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ewaldjongkind\surfdrive - Ewald Jongkind@surfdrive.surf.nl\Shared\RytRedAm\01-Data\"/>
    </mc:Choice>
  </mc:AlternateContent>
  <xr:revisionPtr revIDLastSave="0" documentId="8_{E36E4F75-4E1E-497E-A06B-B722129E0C53}" xr6:coauthVersionLast="47" xr6:coauthVersionMax="47" xr10:uidLastSave="{00000000-0000-0000-0000-000000000000}"/>
  <bookViews>
    <workbookView xWindow="3030" yWindow="3030" windowWidth="21585" windowHeight="10170" firstSheet="3" activeTab="6" xr2:uid="{00000000-000D-0000-FFFF-FFFF00000000}"/>
  </bookViews>
  <sheets>
    <sheet name="0025 NADPH" sheetId="1" r:id="rId1"/>
    <sheet name="005 NADPH" sheetId="6" r:id="rId2"/>
    <sheet name="01 NADPH" sheetId="7" r:id="rId3"/>
    <sheet name="02 NADPH" sheetId="8" r:id="rId4"/>
    <sheet name="04 NADPH" sheetId="9" r:id="rId5"/>
    <sheet name="05 NADPH" sheetId="10" r:id="rId6"/>
    <sheet name="summary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5" l="1"/>
  <c r="B30" i="5" l="1"/>
  <c r="B31" i="5"/>
  <c r="B32" i="5"/>
  <c r="B33" i="5"/>
  <c r="B34" i="5"/>
  <c r="E29" i="5"/>
  <c r="G34" i="5"/>
  <c r="G33" i="5"/>
  <c r="G32" i="5"/>
  <c r="G31" i="5"/>
  <c r="G30" i="5"/>
  <c r="G29" i="5"/>
  <c r="D29" i="5"/>
  <c r="D30" i="5"/>
  <c r="E30" i="5" s="1"/>
  <c r="D31" i="5"/>
  <c r="E31" i="5" s="1"/>
  <c r="D32" i="5"/>
  <c r="E32" i="5" s="1"/>
  <c r="D33" i="5"/>
  <c r="E33" i="5" s="1"/>
  <c r="D34" i="5"/>
  <c r="E34" i="5" s="1"/>
  <c r="H32" i="10"/>
  <c r="H26" i="10"/>
  <c r="H22" i="10"/>
  <c r="H23" i="10" s="1"/>
  <c r="H24" i="10" s="1"/>
  <c r="H25" i="10" s="1"/>
  <c r="H19" i="10"/>
  <c r="H8" i="10"/>
  <c r="H4" i="10"/>
  <c r="H5" i="10" s="1"/>
  <c r="H6" i="10" s="1"/>
  <c r="H7" i="10" s="1"/>
  <c r="H32" i="9"/>
  <c r="H26" i="9"/>
  <c r="H22" i="9"/>
  <c r="H23" i="9" s="1"/>
  <c r="H24" i="9" s="1"/>
  <c r="H25" i="9" s="1"/>
  <c r="H19" i="9"/>
  <c r="H8" i="9"/>
  <c r="H4" i="9"/>
  <c r="H5" i="9" s="1"/>
  <c r="H6" i="9" s="1"/>
  <c r="H7" i="9" s="1"/>
  <c r="H32" i="8"/>
  <c r="H26" i="8"/>
  <c r="H22" i="8"/>
  <c r="H23" i="8" s="1"/>
  <c r="H24" i="8" s="1"/>
  <c r="H25" i="8" s="1"/>
  <c r="H19" i="8"/>
  <c r="H8" i="8"/>
  <c r="H4" i="8"/>
  <c r="H5" i="8" s="1"/>
  <c r="H6" i="8" s="1"/>
  <c r="H7" i="8" s="1"/>
  <c r="H32" i="7"/>
  <c r="H26" i="7"/>
  <c r="H23" i="7"/>
  <c r="H24" i="7" s="1"/>
  <c r="H25" i="7" s="1"/>
  <c r="H22" i="7"/>
  <c r="H19" i="7"/>
  <c r="H8" i="7"/>
  <c r="H4" i="7"/>
  <c r="H5" i="7" s="1"/>
  <c r="H6" i="7" s="1"/>
  <c r="H7" i="7" s="1"/>
  <c r="H32" i="6"/>
  <c r="H26" i="6"/>
  <c r="H22" i="6"/>
  <c r="H23" i="6" s="1"/>
  <c r="H24" i="6" s="1"/>
  <c r="H25" i="6" s="1"/>
  <c r="H19" i="6"/>
  <c r="H8" i="6"/>
  <c r="H4" i="6"/>
  <c r="H5" i="6" s="1"/>
  <c r="H6" i="6" s="1"/>
  <c r="H7" i="6" s="1"/>
  <c r="H22" i="1"/>
  <c r="D12" i="5"/>
  <c r="E12" i="5" s="1"/>
  <c r="F12" i="5" s="1"/>
  <c r="D11" i="5"/>
  <c r="E11" i="5" s="1"/>
  <c r="F11" i="5" s="1"/>
  <c r="F29" i="5" s="1"/>
  <c r="H32" i="1"/>
  <c r="H23" i="1"/>
  <c r="H24" i="1" s="1"/>
  <c r="H25" i="1" s="1"/>
  <c r="H27" i="1" s="1"/>
  <c r="H31" i="1" s="1"/>
  <c r="H26" i="1"/>
  <c r="H7" i="1"/>
  <c r="H6" i="1"/>
  <c r="H4" i="1"/>
  <c r="H29" i="5" l="1"/>
  <c r="H16" i="10"/>
  <c r="H17" i="10" s="1"/>
  <c r="H9" i="10"/>
  <c r="H18" i="10" s="1"/>
  <c r="D21" i="5" s="1"/>
  <c r="H29" i="10"/>
  <c r="H30" i="10" s="1"/>
  <c r="H27" i="10"/>
  <c r="H31" i="10" s="1"/>
  <c r="D22" i="5" s="1"/>
  <c r="E22" i="5" s="1"/>
  <c r="F22" i="5" s="1"/>
  <c r="H9" i="9"/>
  <c r="H18" i="9" s="1"/>
  <c r="D19" i="5" s="1"/>
  <c r="H16" i="9"/>
  <c r="H17" i="9" s="1"/>
  <c r="H29" i="9"/>
  <c r="H30" i="9" s="1"/>
  <c r="H27" i="9"/>
  <c r="H31" i="9" s="1"/>
  <c r="D20" i="5" s="1"/>
  <c r="E20" i="5" s="1"/>
  <c r="F20" i="5" s="1"/>
  <c r="H9" i="8"/>
  <c r="H18" i="8" s="1"/>
  <c r="D17" i="5" s="1"/>
  <c r="E17" i="5" s="1"/>
  <c r="F17" i="5" s="1"/>
  <c r="H16" i="8"/>
  <c r="H17" i="8" s="1"/>
  <c r="H29" i="8"/>
  <c r="H30" i="8" s="1"/>
  <c r="H27" i="8"/>
  <c r="H31" i="8" s="1"/>
  <c r="D18" i="5" s="1"/>
  <c r="E18" i="5" s="1"/>
  <c r="F18" i="5" s="1"/>
  <c r="H16" i="7"/>
  <c r="H17" i="7" s="1"/>
  <c r="H9" i="7"/>
  <c r="H18" i="7" s="1"/>
  <c r="D15" i="5" s="1"/>
  <c r="E15" i="5" s="1"/>
  <c r="F15" i="5" s="1"/>
  <c r="H29" i="7"/>
  <c r="H30" i="7" s="1"/>
  <c r="H27" i="7"/>
  <c r="H31" i="7" s="1"/>
  <c r="D16" i="5" s="1"/>
  <c r="E16" i="5" s="1"/>
  <c r="F16" i="5" s="1"/>
  <c r="H9" i="6"/>
  <c r="H18" i="6" s="1"/>
  <c r="D13" i="5" s="1"/>
  <c r="E13" i="5" s="1"/>
  <c r="F13" i="5" s="1"/>
  <c r="H16" i="6"/>
  <c r="H17" i="6" s="1"/>
  <c r="H29" i="6"/>
  <c r="H30" i="6" s="1"/>
  <c r="H27" i="6"/>
  <c r="H31" i="6" s="1"/>
  <c r="D14" i="5" s="1"/>
  <c r="E14" i="5" s="1"/>
  <c r="F14" i="5" s="1"/>
  <c r="H29" i="1"/>
  <c r="H30" i="1" s="1"/>
  <c r="H31" i="5" l="1"/>
  <c r="F31" i="5"/>
  <c r="H30" i="5"/>
  <c r="F30" i="5"/>
  <c r="H32" i="5"/>
  <c r="F32" i="5"/>
  <c r="E19" i="5"/>
  <c r="F19" i="5" s="1"/>
  <c r="E21" i="5"/>
  <c r="F21" i="5" s="1"/>
  <c r="C21" i="10"/>
  <c r="C20" i="10"/>
  <c r="C10" i="10"/>
  <c r="C14" i="10" s="1"/>
  <c r="C15" i="10" s="1"/>
  <c r="C16" i="10" s="1"/>
  <c r="E16" i="10" s="1"/>
  <c r="C21" i="9"/>
  <c r="C20" i="9"/>
  <c r="C10" i="9"/>
  <c r="C14" i="9" s="1"/>
  <c r="C15" i="9" s="1"/>
  <c r="C21" i="8"/>
  <c r="C20" i="8"/>
  <c r="C10" i="8"/>
  <c r="C14" i="8" s="1"/>
  <c r="C15" i="8" s="1"/>
  <c r="C21" i="7"/>
  <c r="C20" i="7"/>
  <c r="C10" i="7"/>
  <c r="C14" i="7" s="1"/>
  <c r="C15" i="7" s="1"/>
  <c r="C21" i="6"/>
  <c r="C20" i="6"/>
  <c r="C10" i="6"/>
  <c r="C14" i="6" s="1"/>
  <c r="C15" i="6" s="1"/>
  <c r="C21" i="1"/>
  <c r="C20" i="1"/>
  <c r="C10" i="1"/>
  <c r="C14" i="1" s="1"/>
  <c r="C15" i="1" s="1"/>
  <c r="H5" i="1"/>
  <c r="H33" i="5" l="1"/>
  <c r="F33" i="5"/>
  <c r="F34" i="5"/>
  <c r="H34" i="5"/>
  <c r="H16" i="1"/>
  <c r="H17" i="1" s="1"/>
  <c r="H8" i="1"/>
  <c r="H19" i="1" l="1"/>
  <c r="H9" i="1"/>
  <c r="H18" i="1" s="1"/>
</calcChain>
</file>

<file path=xl/sharedStrings.xml><?xml version="1.0" encoding="utf-8"?>
<sst xmlns="http://schemas.openxmlformats.org/spreadsheetml/2006/main" count="427" uniqueCount="51">
  <si>
    <t>Cuvet mix</t>
  </si>
  <si>
    <t>Buffer</t>
  </si>
  <si>
    <t>Gox</t>
  </si>
  <si>
    <t>Substrate</t>
  </si>
  <si>
    <t>NADH</t>
  </si>
  <si>
    <t>NADPH</t>
  </si>
  <si>
    <t>enzyme</t>
  </si>
  <si>
    <t>Total</t>
  </si>
  <si>
    <t>#1</t>
  </si>
  <si>
    <t>#2</t>
  </si>
  <si>
    <t>Data (abs/min)</t>
  </si>
  <si>
    <t>extinction coeff.</t>
  </si>
  <si>
    <t>slope</t>
  </si>
  <si>
    <t>concentration/min</t>
  </si>
  <si>
    <t>U</t>
  </si>
  <si>
    <t>enzyme amount</t>
  </si>
  <si>
    <t>Specific activity</t>
  </si>
  <si>
    <t>Average</t>
  </si>
  <si>
    <t>Stdev</t>
  </si>
  <si>
    <t>in mg</t>
  </si>
  <si>
    <t>dil factor</t>
  </si>
  <si>
    <t>M-1cm-1</t>
  </si>
  <si>
    <t>A/min</t>
  </si>
  <si>
    <t>M/min</t>
  </si>
  <si>
    <t>umol/L/min</t>
  </si>
  <si>
    <t>umol/min</t>
  </si>
  <si>
    <t>mg</t>
  </si>
  <si>
    <t>U/mg</t>
  </si>
  <si>
    <t>Enzyme name</t>
  </si>
  <si>
    <t>Substrate name</t>
  </si>
  <si>
    <t>concentration (mM)</t>
  </si>
  <si>
    <t>U/mL</t>
  </si>
  <si>
    <t>Enzyme (mg/ml)</t>
  </si>
  <si>
    <t>stock dilution</t>
  </si>
  <si>
    <t>Amine</t>
  </si>
  <si>
    <t>RythRedAm</t>
  </si>
  <si>
    <t>hexanal, allylamine</t>
  </si>
  <si>
    <t>10, 100</t>
  </si>
  <si>
    <t>kcat</t>
  </si>
  <si>
    <t>mol</t>
  </si>
  <si>
    <t>is</t>
  </si>
  <si>
    <t>mol/L</t>
  </si>
  <si>
    <t>[NADPH]</t>
  </si>
  <si>
    <t>Spec. Act (U/mg)</t>
  </si>
  <si>
    <t>stdev act</t>
  </si>
  <si>
    <t>stdevkcat</t>
  </si>
  <si>
    <t>kM</t>
  </si>
  <si>
    <t>error</t>
  </si>
  <si>
    <t>adjusted</t>
  </si>
  <si>
    <t>ratio 0.82</t>
  </si>
  <si>
    <t>[NADPH] unnormalized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</si>
</sst>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"/>
    <numFmt numFmtId="165" formatCode="0.0000"/>
    <numFmt numFmtId="166" formatCode="0.000"/>
    <numFmt numFmtId="167" formatCode="_ * #,##0.000_ ;_ * \-#,##0.000_ ;_ * &quot;-&quot;??_ ;_ @_ 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  <xf numFmtId="0" fontId="4" fillId="4" borderId="1" applyNumberFormat="0" applyAlignment="0" applyProtection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2" fillId="3" borderId="1" xfId="2"/>
    <xf numFmtId="0" fontId="4" fillId="4" borderId="1" xfId="4"/>
    <xf numFmtId="0" fontId="1" fillId="2" borderId="0" xfId="1"/>
    <xf numFmtId="2" fontId="1" fillId="2" borderId="0" xfId="1" applyNumberFormat="1"/>
    <xf numFmtId="0" fontId="1" fillId="2" borderId="0" xfId="1" applyBorder="1"/>
    <xf numFmtId="165" fontId="4" fillId="4" borderId="1" xfId="4" applyNumberFormat="1"/>
    <xf numFmtId="166" fontId="4" fillId="4" borderId="1" xfId="4" applyNumberFormat="1"/>
    <xf numFmtId="2" fontId="4" fillId="4" borderId="1" xfId="4" applyNumberFormat="1"/>
    <xf numFmtId="167" fontId="4" fillId="4" borderId="1" xfId="5" applyNumberFormat="1" applyFont="1" applyFill="1" applyBorder="1"/>
    <xf numFmtId="165" fontId="2" fillId="3" borderId="1" xfId="2" applyNumberFormat="1"/>
    <xf numFmtId="166" fontId="1" fillId="2" borderId="0" xfId="1" applyNumberFormat="1"/>
    <xf numFmtId="1" fontId="2" fillId="3" borderId="1" xfId="2" applyNumberFormat="1"/>
    <xf numFmtId="165" fontId="3" fillId="4" borderId="2" xfId="3" applyNumberFormat="1"/>
    <xf numFmtId="164" fontId="0" fillId="0" borderId="0" xfId="0" applyNumberFormat="1"/>
    <xf numFmtId="167" fontId="3" fillId="4" borderId="2" xfId="3" applyNumberFormat="1"/>
    <xf numFmtId="2" fontId="0" fillId="0" borderId="0" xfId="0" applyNumberFormat="1"/>
    <xf numFmtId="0" fontId="6" fillId="0" borderId="0" xfId="0" applyFont="1"/>
    <xf numFmtId="11" fontId="0" fillId="0" borderId="0" xfId="0" applyNumberFormat="1"/>
    <xf numFmtId="166" fontId="0" fillId="0" borderId="0" xfId="0" applyNumberFormat="1"/>
    <xf numFmtId="0" fontId="7" fillId="0" borderId="0" xfId="0" applyFont="1"/>
    <xf numFmtId="164" fontId="7" fillId="0" borderId="0" xfId="0" applyNumberFormat="1" applyFont="1"/>
    <xf numFmtId="2" fontId="7" fillId="0" borderId="0" xfId="0" applyNumberFormat="1" applyFont="1"/>
    <xf numFmtId="165" fontId="7" fillId="0" borderId="0" xfId="0" applyNumberFormat="1" applyFont="1"/>
    <xf numFmtId="0" fontId="8" fillId="0" borderId="3" xfId="0" applyFont="1" applyBorder="1"/>
    <xf numFmtId="164" fontId="8" fillId="0" borderId="3" xfId="0" applyNumberFormat="1" applyFont="1" applyBorder="1"/>
    <xf numFmtId="0" fontId="8" fillId="0" borderId="0" xfId="0" applyFont="1"/>
  </cellXfs>
  <cellStyles count="6">
    <cellStyle name="Calculation" xfId="4" builtinId="22"/>
    <cellStyle name="Comma" xfId="5" builtinId="3"/>
    <cellStyle name="Good" xfId="1" builtinId="26"/>
    <cellStyle name="Input" xfId="2" builtinId="20"/>
    <cellStyle name="Normal" xfId="0" builtinId="0"/>
    <cellStyle name="Output" xfId="3" builtinId="21"/>
  </cellStyles>
  <dxfs count="11">
    <dxf>
      <numFmt numFmtId="166" formatCode="0.0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.0000"/>
      <fill>
        <patternFill patternType="none">
          <fgColor indexed="64"/>
          <bgColor indexed="65"/>
        </patternFill>
      </fill>
    </dxf>
    <dxf>
      <numFmt numFmtId="2" formatCode="0.0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.000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422564</xdr:colOff>
      <xdr:row>24</xdr:row>
      <xdr:rowOff>96982</xdr:rowOff>
    </xdr:from>
    <xdr:to>
      <xdr:col>16</xdr:col>
      <xdr:colOff>384464</xdr:colOff>
      <xdr:row>40</xdr:row>
      <xdr:rowOff>46412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A26D399-F9E9-B97E-2A2C-D1606ED5F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70964" y="4419600"/>
          <a:ext cx="4838700" cy="28311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96982</xdr:colOff>
      <xdr:row>7</xdr:row>
      <xdr:rowOff>0</xdr:rowOff>
    </xdr:from>
    <xdr:to>
      <xdr:col>17</xdr:col>
      <xdr:colOff>234142</xdr:colOff>
      <xdr:row>21</xdr:row>
      <xdr:rowOff>129540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387C24D4-5B28-157B-77B0-019E81C81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5382" y="1260764"/>
          <a:ext cx="5623560" cy="2651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241905</xdr:colOff>
      <xdr:row>8</xdr:row>
      <xdr:rowOff>30238</xdr:rowOff>
    </xdr:from>
    <xdr:to>
      <xdr:col>28</xdr:col>
      <xdr:colOff>365730</xdr:colOff>
      <xdr:row>29</xdr:row>
      <xdr:rowOff>106438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E33750D3-0592-4B1D-8CD8-E05125FB0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7738" y="1602619"/>
          <a:ext cx="6776206" cy="4203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24848</xdr:colOff>
      <xdr:row>35</xdr:row>
      <xdr:rowOff>165651</xdr:rowOff>
    </xdr:from>
    <xdr:to>
      <xdr:col>28</xdr:col>
      <xdr:colOff>511558</xdr:colOff>
      <xdr:row>54</xdr:row>
      <xdr:rowOff>92764</xdr:rowOff>
    </xdr:to>
    <xdr:pic>
      <xdr:nvPicPr>
        <xdr:cNvPr id="5" name="Afbeelding 2">
          <a:extLst>
            <a:ext uri="{FF2B5EF4-FFF2-40B4-BE49-F238E27FC236}">
              <a16:creationId xmlns:a16="http://schemas.microsoft.com/office/drawing/2014/main" id="{EA43B438-9E50-825F-F602-7BAE1EB3B9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6022" y="6833151"/>
          <a:ext cx="5973110" cy="3546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25066</xdr:colOff>
      <xdr:row>51</xdr:row>
      <xdr:rowOff>0</xdr:rowOff>
    </xdr:from>
    <xdr:to>
      <xdr:col>19</xdr:col>
      <xdr:colOff>567991</xdr:colOff>
      <xdr:row>66</xdr:row>
      <xdr:rowOff>180975</xdr:rowOff>
    </xdr:to>
    <xdr:pic>
      <xdr:nvPicPr>
        <xdr:cNvPr id="6" name="Afbeelding 5">
          <a:extLst>
            <a:ext uri="{FF2B5EF4-FFF2-40B4-BE49-F238E27FC236}">
              <a16:creationId xmlns:a16="http://schemas.microsoft.com/office/drawing/2014/main" id="{D6F72602-9D7B-16D4-01C7-5D9AF4125D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566" y="9800724"/>
          <a:ext cx="5422399" cy="3063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01E3FD-A7A7-4EDE-B0F7-EA32FA21D541}" name="Table1" displayName="Table1" ref="C8:F22" totalsRowShown="0" headerRowDxfId="10" dataDxfId="9">
  <autoFilter ref="C8:F22" xr:uid="{6001E3FD-A7A7-4EDE-B0F7-EA32FA21D541}"/>
  <tableColumns count="4">
    <tableColumn id="1" xr3:uid="{E4D6DCDB-A21B-4373-8FFB-CE279F939A1E}" name="[NADPH]" dataDxfId="8"/>
    <tableColumn id="2" xr3:uid="{B64FBEAB-34AB-4499-838C-BFC790B6C3EA}" name="Spec. Act (U/mg)" dataDxfId="7"/>
    <tableColumn id="3" xr3:uid="{50A6D53C-854D-4F3D-A93E-1B7467E39834}" name="umol/min" dataDxfId="6"/>
    <tableColumn id="4" xr3:uid="{AFB98795-F6F9-4924-BBD3-173CFB10D009}" name="kcat" dataDxfId="5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F7ADF08-AE0F-412B-9437-223BD8A671E0}" name="Table3" displayName="Table3" ref="C28:H34" totalsRowShown="0">
  <autoFilter ref="C28:H34" xr:uid="{7F7ADF08-AE0F-412B-9437-223BD8A671E0}"/>
  <tableColumns count="6">
    <tableColumn id="1" xr3:uid="{CEBE7F82-8B4F-45C6-9F34-F2CE5EF38A48}" name="[NADPH] unnormalized"/>
    <tableColumn id="2" xr3:uid="{363846FC-34A5-45A6-AC3D-7FE3D4F09CE8}" name="Spec. Act (U/mg)" dataDxfId="4"/>
    <tableColumn id="3" xr3:uid="{3505404C-C49B-4A79-9646-24C23C96C498}" name="umol/min" dataDxfId="3">
      <calculatedColumnFormula>D29*0.00377</calculatedColumnFormula>
    </tableColumn>
    <tableColumn id="4" xr3:uid="{17944489-22C8-48EA-A689-4521BB8B2869}" name="kcat" dataDxfId="2"/>
    <tableColumn id="5" xr3:uid="{DC945259-4979-4766-BBAF-D927C61E1B0F}" name="stdev act" dataDxfId="1"/>
    <tableColumn id="6" xr3:uid="{5340A8A7-6E2C-4673-BF4D-157945BA4BB0}" name="stdevkca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32"/>
  <sheetViews>
    <sheetView workbookViewId="0">
      <selection activeCell="G34" sqref="G34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4.9500000000000002E-2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7.9581993569131838E-6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7.9581993569131839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1.5717443729903538E-2</v>
      </c>
      <c r="I7" t="s">
        <v>25</v>
      </c>
    </row>
    <row r="8" spans="2:9" x14ac:dyDescent="0.25">
      <c r="B8" t="s">
        <v>5</v>
      </c>
      <c r="C8" s="1">
        <v>5.0000000000000001E-3</v>
      </c>
      <c r="G8" t="s">
        <v>15</v>
      </c>
      <c r="H8" s="15">
        <f>C15</f>
        <v>3.7700000000000003E-3</v>
      </c>
      <c r="I8" t="s">
        <v>26</v>
      </c>
    </row>
    <row r="9" spans="2:9" x14ac:dyDescent="0.25">
      <c r="B9" t="s">
        <v>6</v>
      </c>
      <c r="C9" s="1">
        <v>0.01</v>
      </c>
      <c r="G9" t="s">
        <v>16</v>
      </c>
      <c r="H9" s="2">
        <f>H7/H8</f>
        <v>4.1690832174810444</v>
      </c>
      <c r="I9" t="s">
        <v>27</v>
      </c>
    </row>
    <row r="10" spans="2:9" x14ac:dyDescent="0.25">
      <c r="B10" t="s">
        <v>7</v>
      </c>
      <c r="C10" s="8">
        <f>SUM(C3:C9)</f>
        <v>1.9749999999999999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1974.9999999999998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3.7700000000000003E-3</v>
      </c>
    </row>
    <row r="16" spans="2:9" x14ac:dyDescent="0.25">
      <c r="G16" s="3" t="s">
        <v>14</v>
      </c>
      <c r="H16" s="11">
        <f>H7</f>
        <v>1.5717443729903538E-2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15.717443729903538</v>
      </c>
      <c r="I17" s="5" t="s">
        <v>31</v>
      </c>
    </row>
    <row r="18" spans="2:9" x14ac:dyDescent="0.25">
      <c r="B18" t="s">
        <v>8</v>
      </c>
      <c r="C18" s="10">
        <v>4.9500000000000002E-2</v>
      </c>
      <c r="G18" s="3" t="s">
        <v>16</v>
      </c>
      <c r="H18" s="4">
        <f>H9</f>
        <v>4.1690832174810444</v>
      </c>
      <c r="I18" s="3" t="s">
        <v>27</v>
      </c>
    </row>
    <row r="19" spans="2:9" x14ac:dyDescent="0.25">
      <c r="B19" t="s">
        <v>9</v>
      </c>
      <c r="C19" s="10">
        <v>5.2400000000000002E-2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5.0950000000000002E-2</v>
      </c>
    </row>
    <row r="21" spans="2:9" x14ac:dyDescent="0.25">
      <c r="B21" t="s">
        <v>18</v>
      </c>
      <c r="C21" s="6">
        <f>STDEV(C18:C19)</f>
        <v>2.0506096654409876E-3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5.2400000000000002E-2</v>
      </c>
      <c r="I22" t="s">
        <v>22</v>
      </c>
    </row>
    <row r="23" spans="2:9" x14ac:dyDescent="0.25">
      <c r="G23" t="s">
        <v>13</v>
      </c>
      <c r="H23" s="2">
        <f>H22/H21</f>
        <v>8.4244372990353696E-6</v>
      </c>
      <c r="I23" t="s">
        <v>23</v>
      </c>
    </row>
    <row r="24" spans="2:9" x14ac:dyDescent="0.25">
      <c r="G24" t="s">
        <v>13</v>
      </c>
      <c r="H24" s="2">
        <f>H23*1000000</f>
        <v>8.42443729903537</v>
      </c>
      <c r="I24" t="s">
        <v>24</v>
      </c>
    </row>
    <row r="25" spans="2:9" x14ac:dyDescent="0.25">
      <c r="G25" t="s">
        <v>14</v>
      </c>
      <c r="H25" s="7">
        <f>H24/1000*C10</f>
        <v>1.6638263665594854E-2</v>
      </c>
      <c r="I25" t="s">
        <v>25</v>
      </c>
    </row>
    <row r="26" spans="2:9" x14ac:dyDescent="0.25">
      <c r="G26" t="s">
        <v>15</v>
      </c>
      <c r="H26" s="15">
        <f>C15</f>
        <v>3.7700000000000003E-3</v>
      </c>
      <c r="I26" t="s">
        <v>26</v>
      </c>
    </row>
    <row r="27" spans="2:9" x14ac:dyDescent="0.25">
      <c r="G27" t="s">
        <v>16</v>
      </c>
      <c r="H27" s="2">
        <f>H25/H26</f>
        <v>4.4133325372930639</v>
      </c>
      <c r="I27" t="s">
        <v>27</v>
      </c>
    </row>
    <row r="29" spans="2:9" x14ac:dyDescent="0.25">
      <c r="G29" s="3" t="s">
        <v>14</v>
      </c>
      <c r="H29" s="11">
        <f>H25</f>
        <v>1.6638263665594854E-2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4.4133325372930639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32"/>
  <sheetViews>
    <sheetView workbookViewId="0">
      <selection activeCell="B34" sqref="B34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0.1056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1.6977491961414792E-5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16.977491961414792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3.3785209003215438E-2</v>
      </c>
      <c r="I7" t="s">
        <v>25</v>
      </c>
    </row>
    <row r="8" spans="2:9" x14ac:dyDescent="0.25">
      <c r="B8" t="s">
        <v>5</v>
      </c>
      <c r="C8" s="1">
        <v>0.01</v>
      </c>
      <c r="G8" t="s">
        <v>15</v>
      </c>
      <c r="H8" s="15">
        <f>C15</f>
        <v>7.5400000000000007E-3</v>
      </c>
      <c r="I8" t="s">
        <v>26</v>
      </c>
    </row>
    <row r="9" spans="2:9" x14ac:dyDescent="0.25">
      <c r="B9" t="s">
        <v>6</v>
      </c>
      <c r="C9" s="1">
        <v>0.02</v>
      </c>
      <c r="G9" t="s">
        <v>16</v>
      </c>
      <c r="H9" s="2">
        <f>H7/H8</f>
        <v>4.480796950028572</v>
      </c>
      <c r="I9" t="s">
        <v>27</v>
      </c>
    </row>
    <row r="10" spans="2:9" x14ac:dyDescent="0.25">
      <c r="B10" t="s">
        <v>7</v>
      </c>
      <c r="C10" s="8">
        <f>SUM(C3:C9)</f>
        <v>1.99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995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7.5400000000000007E-3</v>
      </c>
    </row>
    <row r="16" spans="2:9" x14ac:dyDescent="0.25">
      <c r="G16" s="3" t="s">
        <v>14</v>
      </c>
      <c r="H16" s="11">
        <f>H7</f>
        <v>3.3785209003215438E-2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16.892604501607721</v>
      </c>
      <c r="I17" s="5" t="s">
        <v>31</v>
      </c>
    </row>
    <row r="18" spans="2:9" x14ac:dyDescent="0.25">
      <c r="B18" t="s">
        <v>8</v>
      </c>
      <c r="C18" s="10">
        <v>0.1056</v>
      </c>
      <c r="G18" s="3" t="s">
        <v>16</v>
      </c>
      <c r="H18" s="4">
        <f>H9</f>
        <v>4.480796950028572</v>
      </c>
      <c r="I18" s="3" t="s">
        <v>27</v>
      </c>
    </row>
    <row r="19" spans="2:9" x14ac:dyDescent="0.25">
      <c r="B19" t="s">
        <v>9</v>
      </c>
      <c r="C19" s="10">
        <v>9.98E-2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0.1027</v>
      </c>
    </row>
    <row r="21" spans="2:9" x14ac:dyDescent="0.25">
      <c r="B21" t="s">
        <v>18</v>
      </c>
      <c r="C21" s="6">
        <f>STDEV(C18:C19)</f>
        <v>4.1012193308819752E-3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9.98E-2</v>
      </c>
      <c r="I22" t="s">
        <v>22</v>
      </c>
    </row>
    <row r="23" spans="2:9" x14ac:dyDescent="0.25">
      <c r="G23" t="s">
        <v>13</v>
      </c>
      <c r="H23" s="2">
        <f>H22/H21</f>
        <v>1.6045016077170417E-5</v>
      </c>
      <c r="I23" t="s">
        <v>23</v>
      </c>
    </row>
    <row r="24" spans="2:9" x14ac:dyDescent="0.25">
      <c r="G24" t="s">
        <v>13</v>
      </c>
      <c r="H24" s="2">
        <f>H23*1000000</f>
        <v>16.045016077170416</v>
      </c>
      <c r="I24" t="s">
        <v>24</v>
      </c>
    </row>
    <row r="25" spans="2:9" x14ac:dyDescent="0.25">
      <c r="G25" t="s">
        <v>14</v>
      </c>
      <c r="H25" s="7">
        <f>H24/1000*C10</f>
        <v>3.1929581993569128E-2</v>
      </c>
      <c r="I25" t="s">
        <v>25</v>
      </c>
    </row>
    <row r="26" spans="2:9" x14ac:dyDescent="0.25">
      <c r="G26" t="s">
        <v>15</v>
      </c>
      <c r="H26" s="15">
        <f>C15</f>
        <v>7.5400000000000007E-3</v>
      </c>
      <c r="I26" t="s">
        <v>26</v>
      </c>
    </row>
    <row r="27" spans="2:9" x14ac:dyDescent="0.25">
      <c r="G27" t="s">
        <v>16</v>
      </c>
      <c r="H27" s="2">
        <f>H25/H26</f>
        <v>4.2346925720913964</v>
      </c>
      <c r="I27" t="s">
        <v>27</v>
      </c>
    </row>
    <row r="29" spans="2:9" x14ac:dyDescent="0.25">
      <c r="G29" s="3" t="s">
        <v>14</v>
      </c>
      <c r="H29" s="11">
        <f>H25</f>
        <v>3.1929581993569128E-2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4.2346925720913964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32"/>
  <sheetViews>
    <sheetView workbookViewId="0">
      <selection activeCell="G1" sqref="G1:I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7.0400000000000004E-2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1.1318327974276527E-5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11.318327974276528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2.2523472668810288E-2</v>
      </c>
      <c r="I7" t="s">
        <v>25</v>
      </c>
    </row>
    <row r="8" spans="2:9" x14ac:dyDescent="0.25">
      <c r="B8" t="s">
        <v>5</v>
      </c>
      <c r="C8" s="1">
        <v>0.02</v>
      </c>
      <c r="G8" t="s">
        <v>15</v>
      </c>
      <c r="H8" s="15">
        <f>C15</f>
        <v>3.7700000000000003E-3</v>
      </c>
      <c r="I8" t="s">
        <v>26</v>
      </c>
    </row>
    <row r="9" spans="2:9" x14ac:dyDescent="0.25">
      <c r="B9" t="s">
        <v>6</v>
      </c>
      <c r="C9" s="1">
        <v>0.01</v>
      </c>
      <c r="G9" t="s">
        <v>16</v>
      </c>
      <c r="H9" s="2">
        <f>H7/H8</f>
        <v>5.9743959333714285</v>
      </c>
      <c r="I9" t="s">
        <v>27</v>
      </c>
    </row>
    <row r="10" spans="2:9" x14ac:dyDescent="0.25">
      <c r="B10" t="s">
        <v>7</v>
      </c>
      <c r="C10" s="8">
        <f>SUM(C3:C9)</f>
        <v>1.99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1990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3.7700000000000003E-3</v>
      </c>
    </row>
    <row r="16" spans="2:9" x14ac:dyDescent="0.25">
      <c r="G16" s="3" t="s">
        <v>14</v>
      </c>
      <c r="H16" s="11">
        <f>H7</f>
        <v>2.2523472668810288E-2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22.523472668810285</v>
      </c>
      <c r="I17" s="5" t="s">
        <v>31</v>
      </c>
    </row>
    <row r="18" spans="2:9" x14ac:dyDescent="0.25">
      <c r="B18" t="s">
        <v>8</v>
      </c>
      <c r="C18" s="10">
        <v>7.0400000000000004E-2</v>
      </c>
      <c r="G18" s="3" t="s">
        <v>16</v>
      </c>
      <c r="H18" s="4">
        <f>H9</f>
        <v>5.9743959333714285</v>
      </c>
      <c r="I18" s="3" t="s">
        <v>27</v>
      </c>
    </row>
    <row r="19" spans="2:9" x14ac:dyDescent="0.25">
      <c r="B19" t="s">
        <v>9</v>
      </c>
      <c r="C19" s="10">
        <v>6.3200000000000006E-2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6.6799999999999998E-2</v>
      </c>
    </row>
    <row r="21" spans="2:9" x14ac:dyDescent="0.25">
      <c r="B21" t="s">
        <v>18</v>
      </c>
      <c r="C21" s="6">
        <f>STDEV(C18:C19)</f>
        <v>5.0911688245431413E-3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6.3200000000000006E-2</v>
      </c>
      <c r="I22" t="s">
        <v>22</v>
      </c>
    </row>
    <row r="23" spans="2:9" x14ac:dyDescent="0.25">
      <c r="G23" t="s">
        <v>13</v>
      </c>
      <c r="H23" s="2">
        <f>H22/H21</f>
        <v>1.0160771704180065E-5</v>
      </c>
      <c r="I23" t="s">
        <v>23</v>
      </c>
    </row>
    <row r="24" spans="2:9" x14ac:dyDescent="0.25">
      <c r="G24" t="s">
        <v>13</v>
      </c>
      <c r="H24" s="2">
        <f>H23*1000000</f>
        <v>10.160771704180064</v>
      </c>
      <c r="I24" t="s">
        <v>24</v>
      </c>
    </row>
    <row r="25" spans="2:9" x14ac:dyDescent="0.25">
      <c r="G25" t="s">
        <v>14</v>
      </c>
      <c r="H25" s="7">
        <f>H24/1000*C10</f>
        <v>2.0219935691318327E-2</v>
      </c>
      <c r="I25" t="s">
        <v>25</v>
      </c>
    </row>
    <row r="26" spans="2:9" x14ac:dyDescent="0.25">
      <c r="G26" t="s">
        <v>15</v>
      </c>
      <c r="H26" s="15">
        <f>C15</f>
        <v>3.7700000000000003E-3</v>
      </c>
      <c r="I26" t="s">
        <v>26</v>
      </c>
    </row>
    <row r="27" spans="2:9" x14ac:dyDescent="0.25">
      <c r="G27" t="s">
        <v>16</v>
      </c>
      <c r="H27" s="2">
        <f>H25/H26</f>
        <v>5.3633781674584418</v>
      </c>
      <c r="I27" t="s">
        <v>27</v>
      </c>
    </row>
    <row r="29" spans="2:9" x14ac:dyDescent="0.25">
      <c r="G29" s="3" t="s">
        <v>14</v>
      </c>
      <c r="H29" s="11">
        <f>H25</f>
        <v>2.0219935691318327E-2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5.3633781674584418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32"/>
  <sheetViews>
    <sheetView workbookViewId="0">
      <selection activeCell="G1" sqref="G1:I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6.9599999999999995E-2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1.1189710610932476E-5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11.189710610932476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2.2491318327974276E-2</v>
      </c>
      <c r="I7" t="s">
        <v>25</v>
      </c>
    </row>
    <row r="8" spans="2:9" x14ac:dyDescent="0.25">
      <c r="B8" t="s">
        <v>5</v>
      </c>
      <c r="C8" s="1">
        <v>0.04</v>
      </c>
      <c r="G8" t="s">
        <v>15</v>
      </c>
      <c r="H8" s="15">
        <f>C15</f>
        <v>3.7699999999999999E-3</v>
      </c>
      <c r="I8" t="s">
        <v>26</v>
      </c>
    </row>
    <row r="9" spans="2:9" x14ac:dyDescent="0.25">
      <c r="B9" t="s">
        <v>6</v>
      </c>
      <c r="C9" s="1">
        <v>0.01</v>
      </c>
      <c r="G9" t="s">
        <v>16</v>
      </c>
      <c r="H9" s="2">
        <f>H7/H8</f>
        <v>5.9658669304971559</v>
      </c>
      <c r="I9" t="s">
        <v>27</v>
      </c>
    </row>
    <row r="10" spans="2:9" x14ac:dyDescent="0.25">
      <c r="B10" t="s">
        <v>7</v>
      </c>
      <c r="C10" s="8">
        <f>SUM(C3:C9)</f>
        <v>2.0099999999999998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2009.9999999999998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3.7699999999999999E-3</v>
      </c>
    </row>
    <row r="16" spans="2:9" x14ac:dyDescent="0.25">
      <c r="G16" s="3" t="s">
        <v>14</v>
      </c>
      <c r="H16" s="11">
        <f>H7</f>
        <v>2.2491318327974276E-2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22.491318327974277</v>
      </c>
      <c r="I17" s="5" t="s">
        <v>31</v>
      </c>
    </row>
    <row r="18" spans="2:9" x14ac:dyDescent="0.25">
      <c r="B18" t="s">
        <v>8</v>
      </c>
      <c r="C18" s="10">
        <v>6.9599999999999995E-2</v>
      </c>
      <c r="G18" s="3" t="s">
        <v>16</v>
      </c>
      <c r="H18" s="4">
        <f>H9</f>
        <v>5.9658669304971559</v>
      </c>
      <c r="I18" s="3" t="s">
        <v>27</v>
      </c>
    </row>
    <row r="19" spans="2:9" x14ac:dyDescent="0.25">
      <c r="B19" t="s">
        <v>9</v>
      </c>
      <c r="C19" s="10">
        <v>6.8900000000000003E-2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6.9250000000000006E-2</v>
      </c>
    </row>
    <row r="21" spans="2:9" x14ac:dyDescent="0.25">
      <c r="B21" t="s">
        <v>18</v>
      </c>
      <c r="C21" s="6">
        <f>STDEV(C18:C19)</f>
        <v>4.9497474683057776E-4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6.8900000000000003E-2</v>
      </c>
      <c r="I22" t="s">
        <v>22</v>
      </c>
    </row>
    <row r="23" spans="2:9" x14ac:dyDescent="0.25">
      <c r="G23" t="s">
        <v>13</v>
      </c>
      <c r="H23" s="2">
        <f>H22/H21</f>
        <v>1.1077170418006432E-5</v>
      </c>
      <c r="I23" t="s">
        <v>23</v>
      </c>
    </row>
    <row r="24" spans="2:9" x14ac:dyDescent="0.25">
      <c r="G24" t="s">
        <v>13</v>
      </c>
      <c r="H24" s="2">
        <f>H23*1000000</f>
        <v>11.077170418006432</v>
      </c>
      <c r="I24" t="s">
        <v>24</v>
      </c>
    </row>
    <row r="25" spans="2:9" x14ac:dyDescent="0.25">
      <c r="G25" t="s">
        <v>14</v>
      </c>
      <c r="H25" s="7">
        <f>H24/1000*C10</f>
        <v>2.2265112540192925E-2</v>
      </c>
      <c r="I25" t="s">
        <v>25</v>
      </c>
    </row>
    <row r="26" spans="2:9" x14ac:dyDescent="0.25">
      <c r="G26" t="s">
        <v>15</v>
      </c>
      <c r="H26" s="15">
        <f>C15</f>
        <v>3.7699999999999999E-3</v>
      </c>
      <c r="I26" t="s">
        <v>26</v>
      </c>
    </row>
    <row r="27" spans="2:9" x14ac:dyDescent="0.25">
      <c r="G27" t="s">
        <v>16</v>
      </c>
      <c r="H27" s="2">
        <f>H25/H26</f>
        <v>5.9058653952766385</v>
      </c>
      <c r="I27" t="s">
        <v>27</v>
      </c>
    </row>
    <row r="29" spans="2:9" x14ac:dyDescent="0.25">
      <c r="G29" s="3" t="s">
        <v>14</v>
      </c>
      <c r="H29" s="11">
        <f>H25</f>
        <v>2.2265112540192925E-2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5.9058653952766385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32"/>
  <sheetViews>
    <sheetView workbookViewId="0">
      <selection activeCell="G1" sqref="G1:I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7.2099999999999997E-2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1.1591639871382637E-5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11.591639871382636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2.3762861736334399E-2</v>
      </c>
      <c r="I7" t="s">
        <v>25</v>
      </c>
    </row>
    <row r="8" spans="2:9" x14ac:dyDescent="0.25">
      <c r="B8" t="s">
        <v>5</v>
      </c>
      <c r="C8" s="1">
        <v>0.08</v>
      </c>
      <c r="G8" t="s">
        <v>15</v>
      </c>
      <c r="H8" s="15">
        <f>C15</f>
        <v>3.7700000000000003E-3</v>
      </c>
      <c r="I8" t="s">
        <v>26</v>
      </c>
    </row>
    <row r="9" spans="2:9" x14ac:dyDescent="0.25">
      <c r="B9" t="s">
        <v>6</v>
      </c>
      <c r="C9" s="1">
        <v>0.01</v>
      </c>
      <c r="G9" t="s">
        <v>16</v>
      </c>
      <c r="H9" s="2">
        <f>H7/H8</f>
        <v>6.3031463491603175</v>
      </c>
      <c r="I9" t="s">
        <v>27</v>
      </c>
    </row>
    <row r="10" spans="2:9" x14ac:dyDescent="0.25">
      <c r="B10" t="s">
        <v>7</v>
      </c>
      <c r="C10" s="8">
        <f>SUM(C3:C9)</f>
        <v>2.0499999999999998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2049.9999999999995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3.7700000000000003E-3</v>
      </c>
    </row>
    <row r="16" spans="2:9" x14ac:dyDescent="0.25">
      <c r="G16" s="3" t="s">
        <v>14</v>
      </c>
      <c r="H16" s="11">
        <f>H7</f>
        <v>2.3762861736334399E-2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23.762861736334401</v>
      </c>
      <c r="I17" s="5" t="s">
        <v>31</v>
      </c>
    </row>
    <row r="18" spans="2:9" x14ac:dyDescent="0.25">
      <c r="B18" t="s">
        <v>8</v>
      </c>
      <c r="C18" s="10">
        <v>7.2099999999999997E-2</v>
      </c>
      <c r="G18" s="3" t="s">
        <v>16</v>
      </c>
      <c r="H18" s="4">
        <f>H9</f>
        <v>6.3031463491603175</v>
      </c>
      <c r="I18" s="3" t="s">
        <v>27</v>
      </c>
    </row>
    <row r="19" spans="2:9" x14ac:dyDescent="0.25">
      <c r="B19" t="s">
        <v>9</v>
      </c>
      <c r="C19" s="10">
        <v>7.3999999999999996E-2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7.3050000000000004E-2</v>
      </c>
    </row>
    <row r="21" spans="2:9" x14ac:dyDescent="0.25">
      <c r="B21" t="s">
        <v>18</v>
      </c>
      <c r="C21" s="6">
        <f>STDEV(C18:C19)</f>
        <v>1.3435028842544395E-3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7.3999999999999996E-2</v>
      </c>
      <c r="I22" t="s">
        <v>22</v>
      </c>
    </row>
    <row r="23" spans="2:9" x14ac:dyDescent="0.25">
      <c r="G23" t="s">
        <v>13</v>
      </c>
      <c r="H23" s="2">
        <f>H22/H21</f>
        <v>1.1897106109324758E-5</v>
      </c>
      <c r="I23" t="s">
        <v>23</v>
      </c>
    </row>
    <row r="24" spans="2:9" x14ac:dyDescent="0.25">
      <c r="G24" t="s">
        <v>13</v>
      </c>
      <c r="H24" s="2">
        <f>H23*1000000</f>
        <v>11.897106109324758</v>
      </c>
      <c r="I24" t="s">
        <v>24</v>
      </c>
    </row>
    <row r="25" spans="2:9" x14ac:dyDescent="0.25">
      <c r="G25" t="s">
        <v>14</v>
      </c>
      <c r="H25" s="7">
        <f>H24/1000*C10</f>
        <v>2.4389067524115755E-2</v>
      </c>
      <c r="I25" t="s">
        <v>25</v>
      </c>
    </row>
    <row r="26" spans="2:9" x14ac:dyDescent="0.25">
      <c r="G26" t="s">
        <v>15</v>
      </c>
      <c r="H26" s="15">
        <f>C15</f>
        <v>3.7700000000000003E-3</v>
      </c>
      <c r="I26" t="s">
        <v>26</v>
      </c>
    </row>
    <row r="27" spans="2:9" x14ac:dyDescent="0.25">
      <c r="G27" t="s">
        <v>16</v>
      </c>
      <c r="H27" s="2">
        <f>H25/H26</f>
        <v>6.4692486801368041</v>
      </c>
      <c r="I27" t="s">
        <v>27</v>
      </c>
    </row>
    <row r="29" spans="2:9" x14ac:dyDescent="0.25">
      <c r="G29" s="3" t="s">
        <v>14</v>
      </c>
      <c r="H29" s="11">
        <f>H25</f>
        <v>2.4389067524115755E-2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6.4692486801368041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I32"/>
  <sheetViews>
    <sheetView workbookViewId="0">
      <selection activeCell="G1" sqref="G1:I1048576"/>
    </sheetView>
  </sheetViews>
  <sheetFormatPr defaultRowHeight="15" x14ac:dyDescent="0.25"/>
  <cols>
    <col min="2" max="2" width="14.28515625" bestFit="1" customWidth="1"/>
    <col min="3" max="3" width="11.5703125" bestFit="1" customWidth="1"/>
    <col min="7" max="7" width="18.85546875" bestFit="1" customWidth="1"/>
    <col min="8" max="8" width="12" bestFit="1" customWidth="1"/>
    <col min="9" max="9" width="11.5703125" bestFit="1" customWidth="1"/>
  </cols>
  <sheetData>
    <row r="2" spans="2:9" x14ac:dyDescent="0.25">
      <c r="C2" t="s">
        <v>0</v>
      </c>
    </row>
    <row r="3" spans="2:9" x14ac:dyDescent="0.25">
      <c r="B3" t="s">
        <v>1</v>
      </c>
      <c r="C3" s="1">
        <v>1.74</v>
      </c>
      <c r="G3" t="s">
        <v>11</v>
      </c>
      <c r="H3" s="1">
        <v>6220</v>
      </c>
      <c r="I3" t="s">
        <v>21</v>
      </c>
    </row>
    <row r="4" spans="2:9" x14ac:dyDescent="0.25">
      <c r="B4" t="s">
        <v>34</v>
      </c>
      <c r="C4" s="1">
        <v>0.2</v>
      </c>
      <c r="G4" t="s">
        <v>12</v>
      </c>
      <c r="H4" s="13">
        <f>C18</f>
        <v>7.3599999999999999E-2</v>
      </c>
      <c r="I4" t="s">
        <v>22</v>
      </c>
    </row>
    <row r="5" spans="2:9" x14ac:dyDescent="0.25">
      <c r="B5" t="s">
        <v>2</v>
      </c>
      <c r="C5" s="1">
        <v>0</v>
      </c>
      <c r="G5" t="s">
        <v>13</v>
      </c>
      <c r="H5" s="2">
        <f>H4/H3</f>
        <v>1.1832797427652733E-5</v>
      </c>
      <c r="I5" t="s">
        <v>23</v>
      </c>
    </row>
    <row r="6" spans="2:9" x14ac:dyDescent="0.25">
      <c r="B6" t="s">
        <v>3</v>
      </c>
      <c r="C6" s="1">
        <v>0.02</v>
      </c>
      <c r="G6" t="s">
        <v>13</v>
      </c>
      <c r="H6" s="2">
        <f>H5*1000000</f>
        <v>11.832797427652734</v>
      </c>
      <c r="I6" t="s">
        <v>24</v>
      </c>
    </row>
    <row r="7" spans="2:9" x14ac:dyDescent="0.25">
      <c r="B7" t="s">
        <v>4</v>
      </c>
      <c r="C7" s="1">
        <v>0</v>
      </c>
      <c r="G7" t="s">
        <v>14</v>
      </c>
      <c r="H7" s="7">
        <f>H6/1000*C10</f>
        <v>2.4493890675241155E-2</v>
      </c>
      <c r="I7" t="s">
        <v>25</v>
      </c>
    </row>
    <row r="8" spans="2:9" x14ac:dyDescent="0.25">
      <c r="B8" t="s">
        <v>5</v>
      </c>
      <c r="C8" s="1">
        <v>0.1</v>
      </c>
      <c r="G8" t="s">
        <v>15</v>
      </c>
      <c r="H8" s="15">
        <f>C15</f>
        <v>3.7700000000000003E-3</v>
      </c>
      <c r="I8" t="s">
        <v>26</v>
      </c>
    </row>
    <row r="9" spans="2:9" x14ac:dyDescent="0.25">
      <c r="B9" t="s">
        <v>6</v>
      </c>
      <c r="C9" s="1">
        <v>0.01</v>
      </c>
      <c r="G9" t="s">
        <v>16</v>
      </c>
      <c r="H9" s="2">
        <f>H7/H8</f>
        <v>6.4970532295069372</v>
      </c>
      <c r="I9" t="s">
        <v>27</v>
      </c>
    </row>
    <row r="10" spans="2:9" x14ac:dyDescent="0.25">
      <c r="B10" t="s">
        <v>7</v>
      </c>
      <c r="C10" s="8">
        <f>SUM(C3:C9)</f>
        <v>2.0699999999999998</v>
      </c>
    </row>
    <row r="12" spans="2:9" x14ac:dyDescent="0.25">
      <c r="B12" t="s">
        <v>32</v>
      </c>
      <c r="C12" s="12">
        <v>3.77</v>
      </c>
      <c r="G12" t="s">
        <v>28</v>
      </c>
      <c r="H12" s="1" t="s">
        <v>35</v>
      </c>
    </row>
    <row r="13" spans="2:9" x14ac:dyDescent="0.25">
      <c r="B13" t="s">
        <v>33</v>
      </c>
      <c r="C13" s="1">
        <v>10</v>
      </c>
      <c r="G13" t="s">
        <v>29</v>
      </c>
      <c r="H13" s="1" t="s">
        <v>36</v>
      </c>
    </row>
    <row r="14" spans="2:9" x14ac:dyDescent="0.25">
      <c r="B14" t="s">
        <v>20</v>
      </c>
      <c r="C14" s="2">
        <f>C10/C9*C13</f>
        <v>2069.9999999999995</v>
      </c>
      <c r="G14" t="s">
        <v>30</v>
      </c>
      <c r="H14" s="1" t="s">
        <v>37</v>
      </c>
    </row>
    <row r="15" spans="2:9" x14ac:dyDescent="0.25">
      <c r="B15" t="s">
        <v>19</v>
      </c>
      <c r="C15" s="9">
        <f>C12/C14*C10</f>
        <v>3.7700000000000003E-3</v>
      </c>
    </row>
    <row r="16" spans="2:9" x14ac:dyDescent="0.25">
      <c r="B16" t="s">
        <v>39</v>
      </c>
      <c r="C16" s="18">
        <f>C15/31443/1000</f>
        <v>1.19899500683777E-10</v>
      </c>
      <c r="D16" t="s">
        <v>40</v>
      </c>
      <c r="E16" s="18">
        <f>C16/C10*1000</f>
        <v>5.7922464098443006E-8</v>
      </c>
      <c r="F16" t="s">
        <v>41</v>
      </c>
      <c r="G16" s="3" t="s">
        <v>14</v>
      </c>
      <c r="H16" s="11">
        <f>H7</f>
        <v>2.4493890675241155E-2</v>
      </c>
      <c r="I16" s="3" t="s">
        <v>25</v>
      </c>
    </row>
    <row r="17" spans="2:9" x14ac:dyDescent="0.25">
      <c r="B17" t="s">
        <v>10</v>
      </c>
      <c r="G17" s="5" t="s">
        <v>16</v>
      </c>
      <c r="H17" s="11">
        <f>H16/C9*C13</f>
        <v>24.493890675241158</v>
      </c>
      <c r="I17" s="5" t="s">
        <v>31</v>
      </c>
    </row>
    <row r="18" spans="2:9" x14ac:dyDescent="0.25">
      <c r="B18" t="s">
        <v>8</v>
      </c>
      <c r="C18" s="10">
        <v>7.3599999999999999E-2</v>
      </c>
      <c r="G18" s="3" t="s">
        <v>16</v>
      </c>
      <c r="H18" s="4">
        <f>H9</f>
        <v>6.4970532295069372</v>
      </c>
      <c r="I18" s="3" t="s">
        <v>27</v>
      </c>
    </row>
    <row r="19" spans="2:9" x14ac:dyDescent="0.25">
      <c r="B19" t="s">
        <v>9</v>
      </c>
      <c r="C19" s="10">
        <v>7.8100000000000003E-2</v>
      </c>
      <c r="G19" s="3" t="s">
        <v>18</v>
      </c>
      <c r="H19" s="4" t="e">
        <f>#REF!</f>
        <v>#REF!</v>
      </c>
      <c r="I19" s="3" t="s">
        <v>27</v>
      </c>
    </row>
    <row r="20" spans="2:9" x14ac:dyDescent="0.25">
      <c r="B20" t="s">
        <v>17</v>
      </c>
      <c r="C20" s="2">
        <f>AVERAGE(C18:C19)</f>
        <v>7.5850000000000001E-2</v>
      </c>
    </row>
    <row r="21" spans="2:9" x14ac:dyDescent="0.25">
      <c r="B21" t="s">
        <v>18</v>
      </c>
      <c r="C21" s="6">
        <f>STDEV(C18:C19)</f>
        <v>3.1819805153394665E-3</v>
      </c>
      <c r="G21" t="s">
        <v>11</v>
      </c>
      <c r="H21" s="1">
        <v>6220</v>
      </c>
      <c r="I21" t="s">
        <v>21</v>
      </c>
    </row>
    <row r="22" spans="2:9" x14ac:dyDescent="0.25">
      <c r="G22" t="s">
        <v>12</v>
      </c>
      <c r="H22" s="13">
        <f>C19</f>
        <v>7.8100000000000003E-2</v>
      </c>
      <c r="I22" t="s">
        <v>22</v>
      </c>
    </row>
    <row r="23" spans="2:9" x14ac:dyDescent="0.25">
      <c r="G23" t="s">
        <v>13</v>
      </c>
      <c r="H23" s="2">
        <f>H22/H21</f>
        <v>1.2556270096463022E-5</v>
      </c>
      <c r="I23" t="s">
        <v>23</v>
      </c>
    </row>
    <row r="24" spans="2:9" x14ac:dyDescent="0.25">
      <c r="G24" t="s">
        <v>13</v>
      </c>
      <c r="H24" s="2">
        <f>H23*1000000</f>
        <v>12.556270096463022</v>
      </c>
      <c r="I24" t="s">
        <v>24</v>
      </c>
    </row>
    <row r="25" spans="2:9" x14ac:dyDescent="0.25">
      <c r="G25" t="s">
        <v>14</v>
      </c>
      <c r="H25" s="7">
        <f>H24/1000*C10</f>
        <v>2.5991479099678454E-2</v>
      </c>
      <c r="I25" t="s">
        <v>25</v>
      </c>
    </row>
    <row r="26" spans="2:9" x14ac:dyDescent="0.25">
      <c r="G26" t="s">
        <v>15</v>
      </c>
      <c r="H26" s="15">
        <f>C15</f>
        <v>3.7700000000000003E-3</v>
      </c>
      <c r="I26" t="s">
        <v>26</v>
      </c>
    </row>
    <row r="27" spans="2:9" x14ac:dyDescent="0.25">
      <c r="G27" t="s">
        <v>16</v>
      </c>
      <c r="H27" s="2">
        <f>H25/H26</f>
        <v>6.8942915383762475</v>
      </c>
      <c r="I27" t="s">
        <v>27</v>
      </c>
    </row>
    <row r="29" spans="2:9" x14ac:dyDescent="0.25">
      <c r="G29" s="3" t="s">
        <v>14</v>
      </c>
      <c r="H29" s="11">
        <f>H25</f>
        <v>2.5991479099678454E-2</v>
      </c>
      <c r="I29" s="3" t="s">
        <v>25</v>
      </c>
    </row>
    <row r="30" spans="2:9" x14ac:dyDescent="0.25">
      <c r="G30" s="5" t="s">
        <v>16</v>
      </c>
      <c r="H30" s="11" t="e">
        <f>H29/C35*C39</f>
        <v>#DIV/0!</v>
      </c>
      <c r="I30" s="5" t="s">
        <v>31</v>
      </c>
    </row>
    <row r="31" spans="2:9" x14ac:dyDescent="0.25">
      <c r="G31" s="3" t="s">
        <v>16</v>
      </c>
      <c r="H31" s="4">
        <f>H27</f>
        <v>6.8942915383762475</v>
      </c>
      <c r="I31" s="3" t="s">
        <v>27</v>
      </c>
    </row>
    <row r="32" spans="2:9" x14ac:dyDescent="0.25">
      <c r="G32" s="3" t="s">
        <v>18</v>
      </c>
      <c r="H32" s="4">
        <f>H43</f>
        <v>0</v>
      </c>
      <c r="I32" s="3" t="s">
        <v>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N34"/>
  <sheetViews>
    <sheetView tabSelected="1" topLeftCell="E22" zoomScale="85" zoomScaleNormal="85" workbookViewId="0">
      <selection activeCell="P44" sqref="P44"/>
    </sheetView>
  </sheetViews>
  <sheetFormatPr defaultRowHeight="15" x14ac:dyDescent="0.25"/>
  <cols>
    <col min="3" max="3" width="10.28515625" customWidth="1"/>
    <col min="4" max="4" width="16.7109375" customWidth="1"/>
    <col min="5" max="5" width="12.28515625" bestFit="1" customWidth="1"/>
    <col min="6" max="6" width="11.5703125" bestFit="1" customWidth="1"/>
    <col min="7" max="7" width="10.28515625" customWidth="1"/>
    <col min="8" max="8" width="12.28515625" bestFit="1" customWidth="1"/>
  </cols>
  <sheetData>
    <row r="3" spans="3:14" x14ac:dyDescent="0.25">
      <c r="N3" t="s">
        <v>47</v>
      </c>
    </row>
    <row r="4" spans="3:14" x14ac:dyDescent="0.25">
      <c r="L4" t="s">
        <v>38</v>
      </c>
      <c r="M4">
        <v>3.6038000000000001</v>
      </c>
      <c r="N4">
        <v>0.11700000000000001</v>
      </c>
    </row>
    <row r="5" spans="3:14" x14ac:dyDescent="0.25">
      <c r="L5" t="s">
        <v>46</v>
      </c>
      <c r="M5">
        <v>1.6886000000000002E-2</v>
      </c>
      <c r="N5">
        <v>3.3600000000000001E-3</v>
      </c>
    </row>
    <row r="6" spans="3:14" x14ac:dyDescent="0.25">
      <c r="E6" s="17"/>
    </row>
    <row r="7" spans="3:14" x14ac:dyDescent="0.25">
      <c r="E7" s="17"/>
      <c r="F7" s="14"/>
      <c r="G7" s="14"/>
      <c r="H7" s="14"/>
      <c r="I7" s="14"/>
      <c r="J7" s="16"/>
      <c r="K7" s="16"/>
    </row>
    <row r="8" spans="3:14" x14ac:dyDescent="0.25">
      <c r="C8" s="20" t="s">
        <v>42</v>
      </c>
      <c r="D8" s="20" t="s">
        <v>43</v>
      </c>
      <c r="E8" s="20" t="s">
        <v>25</v>
      </c>
      <c r="F8" s="21" t="s">
        <v>38</v>
      </c>
      <c r="G8" s="14"/>
      <c r="H8" s="14"/>
      <c r="I8" s="14"/>
      <c r="J8" s="16"/>
      <c r="K8" s="16"/>
    </row>
    <row r="9" spans="3:14" x14ac:dyDescent="0.25">
      <c r="C9" s="20">
        <v>0</v>
      </c>
      <c r="D9" s="22">
        <v>0</v>
      </c>
      <c r="E9" s="23">
        <v>0</v>
      </c>
      <c r="F9" s="22">
        <v>0</v>
      </c>
    </row>
    <row r="10" spans="3:14" x14ac:dyDescent="0.25">
      <c r="C10" s="20">
        <v>0</v>
      </c>
      <c r="D10" s="22">
        <v>0</v>
      </c>
      <c r="E10" s="23">
        <v>0</v>
      </c>
      <c r="F10" s="22">
        <v>0</v>
      </c>
    </row>
    <row r="11" spans="3:14" x14ac:dyDescent="0.25">
      <c r="C11" s="20">
        <v>2.5000000000000001E-2</v>
      </c>
      <c r="D11" s="22">
        <f>'0025 NADPH'!H18</f>
        <v>4.1690832174810444</v>
      </c>
      <c r="E11" s="23">
        <f>D11*0.00377</f>
        <v>1.5717443729903538E-2</v>
      </c>
      <c r="F11" s="22">
        <f>E11/60/(0.0000000579*1000000)/0.002</f>
        <v>2.2621536744248041</v>
      </c>
    </row>
    <row r="12" spans="3:14" x14ac:dyDescent="0.25">
      <c r="C12" s="20">
        <v>2.5000000000000001E-2</v>
      </c>
      <c r="D12" s="22">
        <f>'0025 NADPH'!H31</f>
        <v>4.4133325372930639</v>
      </c>
      <c r="E12" s="23">
        <f t="shared" ref="E12:E22" si="0">D12*0.00377</f>
        <v>1.663826366559485E-2</v>
      </c>
      <c r="F12" s="22">
        <f>E12/60/(0.0000000579*1000000)/0.002</f>
        <v>2.3946838896941349</v>
      </c>
    </row>
    <row r="13" spans="3:14" x14ac:dyDescent="0.25">
      <c r="C13" s="20">
        <v>0.05</v>
      </c>
      <c r="D13" s="22">
        <f>'005 NADPH'!H18</f>
        <v>4.480796950028572</v>
      </c>
      <c r="E13" s="23">
        <f t="shared" si="0"/>
        <v>1.6892604501607716E-2</v>
      </c>
      <c r="F13" s="22">
        <f t="shared" ref="F13:F22" si="1">E13/60/(0.0000000579*1000000)/0.002</f>
        <v>2.4312902276349617</v>
      </c>
    </row>
    <row r="14" spans="3:14" x14ac:dyDescent="0.25">
      <c r="C14" s="20">
        <v>0.05</v>
      </c>
      <c r="D14" s="22">
        <f>'005 NADPH'!H31</f>
        <v>4.2346925720913964</v>
      </c>
      <c r="E14" s="23">
        <f t="shared" si="0"/>
        <v>1.5964790996784564E-2</v>
      </c>
      <c r="F14" s="22">
        <f t="shared" si="1"/>
        <v>2.2977534537686477</v>
      </c>
    </row>
    <row r="15" spans="3:14" x14ac:dyDescent="0.25">
      <c r="C15" s="20">
        <v>0.1</v>
      </c>
      <c r="D15" s="22">
        <f>'01 NADPH'!H18</f>
        <v>5.9743959333714285</v>
      </c>
      <c r="E15" s="23">
        <f t="shared" si="0"/>
        <v>2.2523472668810284E-2</v>
      </c>
      <c r="F15" s="22">
        <f t="shared" si="1"/>
        <v>3.241720303513282</v>
      </c>
    </row>
    <row r="16" spans="3:14" x14ac:dyDescent="0.25">
      <c r="C16" s="20">
        <v>0.1</v>
      </c>
      <c r="D16" s="22">
        <f>'01 NADPH'!H31</f>
        <v>5.3633781674584418</v>
      </c>
      <c r="E16" s="23">
        <f t="shared" si="0"/>
        <v>2.0219935691318323E-2</v>
      </c>
      <c r="F16" s="22">
        <f t="shared" si="1"/>
        <v>2.9101807270176052</v>
      </c>
    </row>
    <row r="17" spans="2:8" x14ac:dyDescent="0.25">
      <c r="C17" s="20">
        <v>0.2</v>
      </c>
      <c r="D17" s="22">
        <f>'02 NADPH'!H18</f>
        <v>5.9658669304971559</v>
      </c>
      <c r="E17" s="23">
        <f t="shared" si="0"/>
        <v>2.2491318327974276E-2</v>
      </c>
      <c r="F17" s="22">
        <f t="shared" si="1"/>
        <v>3.2370924478949732</v>
      </c>
    </row>
    <row r="18" spans="2:8" x14ac:dyDescent="0.25">
      <c r="C18" s="20">
        <v>0.2</v>
      </c>
      <c r="D18" s="22">
        <f>'02 NADPH'!H31</f>
        <v>5.9058653952766385</v>
      </c>
      <c r="E18" s="23">
        <f t="shared" si="0"/>
        <v>2.2265112540192925E-2</v>
      </c>
      <c r="F18" s="22">
        <f t="shared" si="1"/>
        <v>3.2045354836201674</v>
      </c>
    </row>
    <row r="19" spans="2:8" x14ac:dyDescent="0.25">
      <c r="C19" s="20">
        <v>0.4</v>
      </c>
      <c r="D19" s="22">
        <f>'04 NADPH'!H18</f>
        <v>6.3031463491603175</v>
      </c>
      <c r="E19" s="23">
        <f t="shared" si="0"/>
        <v>2.3762861736334396E-2</v>
      </c>
      <c r="F19" s="22">
        <f t="shared" si="1"/>
        <v>3.4201009983210127</v>
      </c>
    </row>
    <row r="20" spans="2:8" x14ac:dyDescent="0.25">
      <c r="C20" s="20">
        <v>0.4</v>
      </c>
      <c r="D20" s="22">
        <f>'04 NADPH'!H31</f>
        <v>6.4692486801368041</v>
      </c>
      <c r="E20" s="23">
        <f t="shared" si="0"/>
        <v>2.4389067524115751E-2</v>
      </c>
      <c r="F20" s="22">
        <f t="shared" si="1"/>
        <v>3.5102284864875863</v>
      </c>
    </row>
    <row r="21" spans="2:8" x14ac:dyDescent="0.25">
      <c r="C21" s="20">
        <v>0.5</v>
      </c>
      <c r="D21" s="22">
        <f>'05 NADPH'!H18</f>
        <v>6.4970532295069372</v>
      </c>
      <c r="E21" s="23">
        <f t="shared" si="0"/>
        <v>2.4493890675241152E-2</v>
      </c>
      <c r="F21" s="22">
        <f t="shared" si="1"/>
        <v>3.5253152958032747</v>
      </c>
    </row>
    <row r="22" spans="2:8" x14ac:dyDescent="0.25">
      <c r="C22" s="20">
        <v>0.5</v>
      </c>
      <c r="D22" s="22">
        <f>'05 NADPH'!H31</f>
        <v>6.8942915383762475</v>
      </c>
      <c r="E22" s="23">
        <f t="shared" si="0"/>
        <v>2.5991479099678451E-2</v>
      </c>
      <c r="F22" s="22">
        <f t="shared" si="1"/>
        <v>3.7408576712260295</v>
      </c>
    </row>
    <row r="26" spans="2:8" x14ac:dyDescent="0.25">
      <c r="B26" t="s">
        <v>49</v>
      </c>
    </row>
    <row r="27" spans="2:8" x14ac:dyDescent="0.25">
      <c r="B27" t="s">
        <v>48</v>
      </c>
    </row>
    <row r="28" spans="2:8" x14ac:dyDescent="0.25">
      <c r="B28" t="s">
        <v>42</v>
      </c>
      <c r="C28" s="24" t="s">
        <v>50</v>
      </c>
      <c r="D28" s="24" t="s">
        <v>43</v>
      </c>
      <c r="E28" s="24" t="s">
        <v>25</v>
      </c>
      <c r="F28" s="25" t="s">
        <v>38</v>
      </c>
      <c r="G28" s="26" t="s">
        <v>44</v>
      </c>
      <c r="H28" s="26" t="s">
        <v>45</v>
      </c>
    </row>
    <row r="29" spans="2:8" x14ac:dyDescent="0.25">
      <c r="B29">
        <f>Table3[[#This Row],['[NADPH'] unnormalized]]*0.82</f>
        <v>2.0500000000000001E-2</v>
      </c>
      <c r="C29">
        <v>2.5000000000000001E-2</v>
      </c>
      <c r="D29" s="16">
        <f>AVERAGE(D11:D12)</f>
        <v>4.2912078773870537</v>
      </c>
      <c r="E29" s="23">
        <f>D29*0.00377</f>
        <v>1.6177853697749191E-2</v>
      </c>
      <c r="F29" s="22">
        <f>AVERAGE(F11:F12)</f>
        <v>2.3284187820594697</v>
      </c>
      <c r="G29" s="16">
        <f>STDEV(D11:D12)</f>
        <v>0.17271035033928073</v>
      </c>
      <c r="H29" s="19">
        <f>STDEV(F11:F12)</f>
        <v>9.371301392905676E-2</v>
      </c>
    </row>
    <row r="30" spans="2:8" x14ac:dyDescent="0.25">
      <c r="B30">
        <f>Table3[[#This Row],['[NADPH'] unnormalized]]*0.82</f>
        <v>4.1000000000000002E-2</v>
      </c>
      <c r="C30">
        <v>0.05</v>
      </c>
      <c r="D30" s="16">
        <f>AVERAGE(D13:D14)</f>
        <v>4.3577447610599842</v>
      </c>
      <c r="E30" s="23">
        <f t="shared" ref="E30:E34" si="2">D30*0.00377</f>
        <v>1.6428697749196142E-2</v>
      </c>
      <c r="F30" s="22">
        <f>AVERAGE(F13:F14)</f>
        <v>2.3645218407018049</v>
      </c>
      <c r="G30" s="16">
        <f>STDEV(D13:D14)</f>
        <v>0.17402207451907387</v>
      </c>
      <c r="H30" s="19">
        <f>STDEV(F13:F14)</f>
        <v>9.4424758338645179E-2</v>
      </c>
    </row>
    <row r="31" spans="2:8" x14ac:dyDescent="0.25">
      <c r="B31">
        <f>Table3[[#This Row],['[NADPH'] unnormalized]]*0.82</f>
        <v>8.2000000000000003E-2</v>
      </c>
      <c r="C31">
        <v>0.1</v>
      </c>
      <c r="D31" s="16">
        <f>AVERAGE(D15:D16)</f>
        <v>5.6688870504149351</v>
      </c>
      <c r="E31" s="23">
        <f t="shared" si="2"/>
        <v>2.1371704180064306E-2</v>
      </c>
      <c r="F31" s="22">
        <f>AVERAGE(F15:F16)</f>
        <v>3.0759505152654434</v>
      </c>
      <c r="G31" s="16">
        <f>STDEV(D15:D16)</f>
        <v>0.43205480570252741</v>
      </c>
      <c r="H31" s="19">
        <f>STDEV(F15:F16)</f>
        <v>0.23443388277180915</v>
      </c>
    </row>
    <row r="32" spans="2:8" x14ac:dyDescent="0.25">
      <c r="B32">
        <f>Table3[[#This Row],['[NADPH'] unnormalized]]*0.82</f>
        <v>0.16400000000000001</v>
      </c>
      <c r="C32">
        <v>0.2</v>
      </c>
      <c r="D32" s="16">
        <f>AVERAGE(D17:D18)</f>
        <v>5.9358661628868976</v>
      </c>
      <c r="E32" s="23">
        <f t="shared" si="2"/>
        <v>2.2378215434083602E-2</v>
      </c>
      <c r="F32" s="22">
        <f>AVERAGE(F17:F18)</f>
        <v>3.2208139657575705</v>
      </c>
      <c r="G32" s="16">
        <f>STDEV(D17:D18)</f>
        <v>4.2427492436031347E-2</v>
      </c>
      <c r="H32" s="19">
        <f>STDEV(F17:F18)</f>
        <v>2.3021250213563358E-2</v>
      </c>
    </row>
    <row r="33" spans="2:8" x14ac:dyDescent="0.25">
      <c r="B33">
        <f>Table3[[#This Row],['[NADPH'] unnormalized]]*0.82</f>
        <v>0.32800000000000001</v>
      </c>
      <c r="C33">
        <v>0.4</v>
      </c>
      <c r="D33" s="16">
        <f>AVERAGE(D19:D20)</f>
        <v>6.3861975146485612</v>
      </c>
      <c r="E33" s="23">
        <f t="shared" si="2"/>
        <v>2.4075964630225075E-2</v>
      </c>
      <c r="F33" s="22">
        <f>AVERAGE(F19:F20)</f>
        <v>3.4651647424042995</v>
      </c>
      <c r="G33" s="16">
        <f>STDEV(D19:D20)</f>
        <v>0.11745208460436603</v>
      </c>
      <c r="H33" s="19">
        <f>STDEV(F19:F20)</f>
        <v>6.3729758053894567E-2</v>
      </c>
    </row>
    <row r="34" spans="2:8" x14ac:dyDescent="0.25">
      <c r="B34">
        <f>Table3[[#This Row],['[NADPH'] unnormalized]]*0.82</f>
        <v>0.41</v>
      </c>
      <c r="C34">
        <v>0.5</v>
      </c>
      <c r="D34" s="16">
        <f>AVERAGE(D21:D22)</f>
        <v>6.6956723839415924</v>
      </c>
      <c r="E34" s="23">
        <f t="shared" si="2"/>
        <v>2.5242684887459801E-2</v>
      </c>
      <c r="F34" s="22">
        <f>AVERAGE(F21:F22)</f>
        <v>3.6330864835146519</v>
      </c>
      <c r="G34" s="16">
        <f>STDEV(D21:D22)</f>
        <v>0.28088990194856561</v>
      </c>
      <c r="H34" s="19">
        <f>STDEV(F21:F22)</f>
        <v>0.15241147529448654</v>
      </c>
    </row>
  </sheetData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0025 NADPH</vt:lpstr>
      <vt:lpstr>005 NADPH</vt:lpstr>
      <vt:lpstr>01 NADPH</vt:lpstr>
      <vt:lpstr>02 NADPH</vt:lpstr>
      <vt:lpstr>04 NADPH</vt:lpstr>
      <vt:lpstr>05 NADPH</vt:lpstr>
      <vt:lpstr>summary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2020-12-14T08:48:32Z</dcterms:created>
  <dcterms:modified xsi:type="dcterms:W3CDTF">2024-01-29T08:05:47Z</dcterms:modified>
</cp:coreProperties>
</file>