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cepaul\surfdrive - Caroline Paul@surfdrive.surf.nl\Documents\Publications\RytRedAm\01-Data\"/>
    </mc:Choice>
  </mc:AlternateContent>
  <xr:revisionPtr revIDLastSave="0" documentId="13_ncr:1_{A0E9D660-DF77-48E2-A7EC-AE5A64FB211B}" xr6:coauthVersionLast="47" xr6:coauthVersionMax="47" xr10:uidLastSave="{00000000-0000-0000-0000-000000000000}"/>
  <bookViews>
    <workbookView xWindow="-110" yWindow="-110" windowWidth="19420" windowHeight="11620" activeTab="6" xr2:uid="{00000000-000D-0000-FFFF-FFFF00000000}"/>
  </bookViews>
  <sheets>
    <sheet name="100 mM KPi" sheetId="1" r:id="rId1"/>
    <sheet name="50 mM KPi" sheetId="2" r:id="rId2"/>
    <sheet name="acetate 5" sheetId="3" r:id="rId3"/>
    <sheet name="pyridine 5.5" sheetId="4" r:id="rId4"/>
    <sheet name="glycine 9.5" sheetId="5" r:id="rId5"/>
    <sheet name="glycine 10" sheetId="6" r:id="rId6"/>
    <sheet name="Summary" sheetId="7" r:id="rId7"/>
  </sheets>
  <externalReferences>
    <externalReference r:id="rId8"/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7" l="1"/>
  <c r="M12" i="7"/>
  <c r="N12" i="7"/>
  <c r="O12" i="7"/>
  <c r="P12" i="7"/>
  <c r="L8" i="7"/>
  <c r="M8" i="7"/>
  <c r="N8" i="7"/>
  <c r="O8" i="7"/>
  <c r="L4" i="7"/>
  <c r="M4" i="7"/>
  <c r="N4" i="7"/>
  <c r="L13" i="7"/>
  <c r="M13" i="7"/>
  <c r="N13" i="7"/>
  <c r="O13" i="7"/>
  <c r="P13" i="7"/>
  <c r="L9" i="7"/>
  <c r="M9" i="7"/>
  <c r="N9" i="7"/>
  <c r="O9" i="7"/>
  <c r="L5" i="7"/>
  <c r="M5" i="7"/>
  <c r="N5" i="7"/>
  <c r="C25" i="6" l="1"/>
  <c r="H12" i="6" s="1"/>
  <c r="H13" i="6" s="1"/>
  <c r="H14" i="6" s="1"/>
  <c r="C24" i="6"/>
  <c r="H4" i="6" s="1"/>
  <c r="H5" i="6" s="1"/>
  <c r="H6" i="6" s="1"/>
  <c r="C12" i="6"/>
  <c r="C10" i="6"/>
  <c r="C15" i="6" s="1"/>
  <c r="C25" i="5"/>
  <c r="H12" i="5" s="1"/>
  <c r="H13" i="5" s="1"/>
  <c r="H14" i="5" s="1"/>
  <c r="C24" i="5"/>
  <c r="H4" i="5" s="1"/>
  <c r="H5" i="5" s="1"/>
  <c r="H6" i="5" s="1"/>
  <c r="C12" i="5"/>
  <c r="C10" i="5"/>
  <c r="C15" i="5" s="1"/>
  <c r="C25" i="4"/>
  <c r="H12" i="4" s="1"/>
  <c r="H13" i="4" s="1"/>
  <c r="H14" i="4" s="1"/>
  <c r="C24" i="4"/>
  <c r="H4" i="4" s="1"/>
  <c r="H5" i="4" s="1"/>
  <c r="H6" i="4" s="1"/>
  <c r="C12" i="4"/>
  <c r="C10" i="4"/>
  <c r="C15" i="4" s="1"/>
  <c r="C25" i="3"/>
  <c r="H12" i="3" s="1"/>
  <c r="H13" i="3" s="1"/>
  <c r="H14" i="3" s="1"/>
  <c r="C24" i="3"/>
  <c r="H4" i="3" s="1"/>
  <c r="H5" i="3" s="1"/>
  <c r="H6" i="3" s="1"/>
  <c r="C12" i="3"/>
  <c r="C10" i="3"/>
  <c r="C15" i="3" s="1"/>
  <c r="C25" i="2"/>
  <c r="H12" i="2" s="1"/>
  <c r="H13" i="2" s="1"/>
  <c r="H14" i="2" s="1"/>
  <c r="C24" i="2"/>
  <c r="H4" i="2" s="1"/>
  <c r="H5" i="2" s="1"/>
  <c r="H6" i="2" s="1"/>
  <c r="H7" i="2" s="1"/>
  <c r="C15" i="2"/>
  <c r="C12" i="2"/>
  <c r="C10" i="2"/>
  <c r="C25" i="1"/>
  <c r="H12" i="1" s="1"/>
  <c r="H13" i="1" s="1"/>
  <c r="H14" i="1" s="1"/>
  <c r="C24" i="1"/>
  <c r="H4" i="1" s="1"/>
  <c r="H5" i="1" s="1"/>
  <c r="H6" i="1" s="1"/>
  <c r="C12" i="1"/>
  <c r="C10" i="1"/>
  <c r="C15" i="1" s="1"/>
  <c r="H7" i="3" l="1"/>
  <c r="H7" i="1"/>
  <c r="H7" i="4"/>
  <c r="H15" i="3"/>
  <c r="H15" i="1"/>
  <c r="H15" i="2"/>
  <c r="C16" i="3"/>
  <c r="C17" i="3" s="1"/>
  <c r="C18" i="3" s="1"/>
  <c r="C19" i="3" s="1"/>
  <c r="H8" i="3" s="1"/>
  <c r="H9" i="3" s="1"/>
  <c r="H26" i="3" s="1"/>
  <c r="D26" i="7" s="1"/>
  <c r="C16" i="4"/>
  <c r="C17" i="4" s="1"/>
  <c r="C18" i="4" s="1"/>
  <c r="C19" i="4" s="1"/>
  <c r="H8" i="4" s="1"/>
  <c r="H9" i="4" s="1"/>
  <c r="H26" i="4" s="1"/>
  <c r="D30" i="7" s="1"/>
  <c r="C16" i="1"/>
  <c r="C17" i="1" s="1"/>
  <c r="C18" i="1" s="1"/>
  <c r="C19" i="1" s="1"/>
  <c r="H16" i="1" s="1"/>
  <c r="H17" i="1" s="1"/>
  <c r="H27" i="1" s="1"/>
  <c r="C16" i="2"/>
  <c r="C17" i="2" s="1"/>
  <c r="C18" i="2" s="1"/>
  <c r="C19" i="2" s="1"/>
  <c r="H8" i="2" s="1"/>
  <c r="H9" i="2" s="1"/>
  <c r="H26" i="2" s="1"/>
  <c r="D22" i="7" s="1"/>
  <c r="L22" i="7" s="1"/>
  <c r="H15" i="4"/>
  <c r="C16" i="6"/>
  <c r="C17" i="6" s="1"/>
  <c r="C18" i="6" s="1"/>
  <c r="C19" i="6" s="1"/>
  <c r="H8" i="6" s="1"/>
  <c r="H9" i="6" s="1"/>
  <c r="H26" i="6" s="1"/>
  <c r="E34" i="7" s="1"/>
  <c r="H15" i="6"/>
  <c r="H7" i="6"/>
  <c r="H15" i="5"/>
  <c r="H7" i="5"/>
  <c r="C16" i="5"/>
  <c r="C17" i="5" s="1"/>
  <c r="C18" i="5" s="1"/>
  <c r="C19" i="5" s="1"/>
  <c r="H8" i="5" s="1"/>
  <c r="H24" i="6"/>
  <c r="H25" i="6" s="1"/>
  <c r="H24" i="5"/>
  <c r="H25" i="5" s="1"/>
  <c r="H16" i="5"/>
  <c r="H24" i="4"/>
  <c r="H25" i="4" s="1"/>
  <c r="H16" i="4"/>
  <c r="H24" i="3"/>
  <c r="H25" i="3" s="1"/>
  <c r="H24" i="2"/>
  <c r="H25" i="2" s="1"/>
  <c r="H24" i="1"/>
  <c r="H25" i="1" s="1"/>
  <c r="H8" i="1"/>
  <c r="H9" i="1" s="1"/>
  <c r="H26" i="1" s="1"/>
  <c r="H17" i="4" l="1"/>
  <c r="H27" i="4" s="1"/>
  <c r="D31" i="7" s="1"/>
  <c r="L31" i="7" s="1"/>
  <c r="L30" i="7"/>
  <c r="M34" i="7"/>
  <c r="H16" i="2"/>
  <c r="H17" i="2" s="1"/>
  <c r="H27" i="2" s="1"/>
  <c r="D23" i="7" s="1"/>
  <c r="L23" i="7" s="1"/>
  <c r="H16" i="3"/>
  <c r="H17" i="3" s="1"/>
  <c r="H27" i="3" s="1"/>
  <c r="D27" i="7" s="1"/>
  <c r="L27" i="7" s="1"/>
  <c r="H16" i="6"/>
  <c r="H17" i="6" s="1"/>
  <c r="H27" i="6" s="1"/>
  <c r="E35" i="7" s="1"/>
  <c r="M35" i="7" s="1"/>
  <c r="L26" i="7"/>
  <c r="H17" i="5"/>
  <c r="H27" i="5" s="1"/>
  <c r="D35" i="7" s="1"/>
  <c r="L35" i="7" s="1"/>
  <c r="H9" i="5"/>
  <c r="H26" i="5" s="1"/>
  <c r="D34" i="7" s="1"/>
  <c r="L34" i="7" s="1"/>
</calcChain>
</file>

<file path=xl/sharedStrings.xml><?xml version="1.0" encoding="utf-8"?>
<sst xmlns="http://schemas.openxmlformats.org/spreadsheetml/2006/main" count="408" uniqueCount="53">
  <si>
    <t>Cuvet mix</t>
  </si>
  <si>
    <t>Buffer</t>
  </si>
  <si>
    <t>extinction coeff.</t>
  </si>
  <si>
    <t>M-1cm-1</t>
  </si>
  <si>
    <t>Glucose</t>
  </si>
  <si>
    <t>slope</t>
  </si>
  <si>
    <t>A/min</t>
  </si>
  <si>
    <t>Gox</t>
  </si>
  <si>
    <t>concentration/min</t>
  </si>
  <si>
    <t>M/min</t>
  </si>
  <si>
    <t>Substrate</t>
  </si>
  <si>
    <t>umol/L/min</t>
  </si>
  <si>
    <t>NADH</t>
  </si>
  <si>
    <t>U</t>
  </si>
  <si>
    <t>umol/min</t>
  </si>
  <si>
    <t>NADPH</t>
  </si>
  <si>
    <t>enzyme amount</t>
  </si>
  <si>
    <t>mg</t>
  </si>
  <si>
    <t>enzyme</t>
  </si>
  <si>
    <t>Specific activity</t>
  </si>
  <si>
    <t>U/mg</t>
  </si>
  <si>
    <t>Total</t>
  </si>
  <si>
    <t>Enzyme (mg/ml)</t>
  </si>
  <si>
    <t>MW (g/mol)</t>
  </si>
  <si>
    <t>stock dilution</t>
  </si>
  <si>
    <t>dil factor</t>
  </si>
  <si>
    <t>in uM</t>
  </si>
  <si>
    <t>in ug/L</t>
  </si>
  <si>
    <t>in ug</t>
  </si>
  <si>
    <t>in mg</t>
  </si>
  <si>
    <t>Enzyme name</t>
  </si>
  <si>
    <t>RythRedAm</t>
  </si>
  <si>
    <t>Data (abs/min)</t>
  </si>
  <si>
    <t>Substrate name</t>
  </si>
  <si>
    <t>hexanal, allylamine</t>
  </si>
  <si>
    <t>#1</t>
  </si>
  <si>
    <t>concentration (mM)</t>
  </si>
  <si>
    <t>10, 100</t>
  </si>
  <si>
    <t>#2</t>
  </si>
  <si>
    <t>Average</t>
  </si>
  <si>
    <t>Stdev</t>
  </si>
  <si>
    <t>U/mL</t>
  </si>
  <si>
    <t>pH</t>
  </si>
  <si>
    <t>Specific activity (U/mg)</t>
  </si>
  <si>
    <t>stdev</t>
  </si>
  <si>
    <t>50 mM Tris-HCl</t>
  </si>
  <si>
    <t>50 mM Kpi</t>
  </si>
  <si>
    <t>50 mM acetate</t>
  </si>
  <si>
    <t>50 mM pyridine</t>
  </si>
  <si>
    <t>50 mM glycine</t>
  </si>
  <si>
    <t>NORMALIZED</t>
  </si>
  <si>
    <t>50 mM MOPS-NaOH</t>
  </si>
  <si>
    <t>50 mM KPi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</si>
</sst>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0.000"/>
    <numFmt numFmtId="166" formatCode="0.0000"/>
    <numFmt numFmtId="167" formatCode="0.0"/>
    <numFmt numFmtId="168" formatCode="_ * #,##0.000_ ;_ * \-#,##0.00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5" fillId="4" borderId="1" applyNumberFormat="0" applyAlignment="0" applyProtection="0"/>
  </cellStyleXfs>
  <cellXfs count="20">
    <xf numFmtId="0" fontId="0" fillId="0" borderId="0" xfId="0"/>
    <xf numFmtId="0" fontId="3" fillId="3" borderId="1" xfId="3"/>
    <xf numFmtId="0" fontId="4" fillId="4" borderId="2" xfId="4"/>
    <xf numFmtId="0" fontId="5" fillId="4" borderId="1" xfId="5"/>
    <xf numFmtId="165" fontId="5" fillId="4" borderId="1" xfId="5" applyNumberFormat="1"/>
    <xf numFmtId="1" fontId="3" fillId="3" borderId="1" xfId="3" applyNumberFormat="1"/>
    <xf numFmtId="166" fontId="4" fillId="4" borderId="2" xfId="4" applyNumberFormat="1"/>
    <xf numFmtId="2" fontId="5" fillId="4" borderId="1" xfId="5" applyNumberFormat="1"/>
    <xf numFmtId="1" fontId="5" fillId="4" borderId="1" xfId="5" applyNumberFormat="1"/>
    <xf numFmtId="167" fontId="5" fillId="4" borderId="1" xfId="5" applyNumberFormat="1"/>
    <xf numFmtId="168" fontId="5" fillId="4" borderId="1" xfId="1" applyNumberFormat="1" applyFont="1" applyFill="1" applyBorder="1"/>
    <xf numFmtId="166" fontId="3" fillId="3" borderId="1" xfId="3" applyNumberFormat="1"/>
    <xf numFmtId="0" fontId="2" fillId="2" borderId="0" xfId="2"/>
    <xf numFmtId="2" fontId="2" fillId="2" borderId="0" xfId="2" applyNumberFormat="1"/>
    <xf numFmtId="166" fontId="5" fillId="4" borderId="1" xfId="5" applyNumberFormat="1"/>
    <xf numFmtId="0" fontId="2" fillId="2" borderId="0" xfId="2" applyBorder="1"/>
    <xf numFmtId="165" fontId="2" fillId="2" borderId="0" xfId="2" applyNumberFormat="1"/>
    <xf numFmtId="2" fontId="0" fillId="0" borderId="0" xfId="0" applyNumberFormat="1"/>
    <xf numFmtId="167" fontId="0" fillId="0" borderId="0" xfId="0" applyNumberFormat="1"/>
    <xf numFmtId="1" fontId="0" fillId="0" borderId="0" xfId="0" applyNumberFormat="1"/>
  </cellXfs>
  <cellStyles count="6">
    <cellStyle name="Calculation" xfId="5" builtinId="22"/>
    <cellStyle name="Comma" xfId="1" builtinId="3"/>
    <cellStyle name="Good" xfId="2" builtinId="26"/>
    <cellStyle name="Input" xfId="3" builtinId="20"/>
    <cellStyle name="Normal" xfId="0" builtinId="0"/>
    <cellStyle name="Output" xfId="4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54387626262629"/>
          <c:y val="2.9809829059829061E-2"/>
          <c:w val="0.77542392676767691"/>
          <c:h val="0.81110816218030046"/>
        </c:manualLayout>
      </c:layout>
      <c:scatterChart>
        <c:scatterStyle val="smoothMarker"/>
        <c:varyColors val="0"/>
        <c:ser>
          <c:idx val="0"/>
          <c:order val="0"/>
          <c:tx>
            <c:v>MOPS-NaOH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Summary!$L$5:$N$5</c:f>
                <c:numCache>
                  <c:formatCode>General</c:formatCode>
                  <c:ptCount val="3"/>
                  <c:pt idx="0">
                    <c:v>1.0218306086510813</c:v>
                  </c:pt>
                  <c:pt idx="1">
                    <c:v>5.9777090606088201</c:v>
                  </c:pt>
                  <c:pt idx="2">
                    <c:v>0.20436612173021484</c:v>
                  </c:pt>
                </c:numCache>
              </c:numRef>
            </c:plus>
            <c:minus>
              <c:numRef>
                <c:f>Summary!$L$5:$N$5</c:f>
                <c:numCache>
                  <c:formatCode>General</c:formatCode>
                  <c:ptCount val="3"/>
                  <c:pt idx="0">
                    <c:v>1.0218306086510813</c:v>
                  </c:pt>
                  <c:pt idx="1">
                    <c:v>5.9777090606088201</c:v>
                  </c:pt>
                  <c:pt idx="2">
                    <c:v>0.20436612173021484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Summary!$L$3:$N$3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xVal>
          <c:yVal>
            <c:numRef>
              <c:f>Summary!$L$4:$N$4</c:f>
              <c:numCache>
                <c:formatCode>0.0</c:formatCode>
                <c:ptCount val="3"/>
                <c:pt idx="0">
                  <c:v>66.907514450867083</c:v>
                </c:pt>
                <c:pt idx="1">
                  <c:v>73.302023121387307</c:v>
                </c:pt>
                <c:pt idx="2">
                  <c:v>47.109826589595379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DD-4C15-BD64-E6317F89D7BE}"/>
            </c:ext>
          </c:extLst>
        </c:ser>
        <c:ser>
          <c:idx val="1"/>
          <c:order val="1"/>
          <c:tx>
            <c:v>Tris-HCl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Summary!$L$9:$O$9</c:f>
                <c:numCache>
                  <c:formatCode>General</c:formatCode>
                  <c:ptCount val="4"/>
                  <c:pt idx="0">
                    <c:v>0.86855601735342181</c:v>
                  </c:pt>
                  <c:pt idx="1">
                    <c:v>3.2187664172509032</c:v>
                  </c:pt>
                  <c:pt idx="2">
                    <c:v>0.57302657661609568</c:v>
                  </c:pt>
                  <c:pt idx="3">
                    <c:v>4.5321192877818479</c:v>
                  </c:pt>
                </c:numCache>
              </c:numRef>
            </c:plus>
            <c:minus>
              <c:numRef>
                <c:f>Summary!$L$9:$O$9</c:f>
                <c:numCache>
                  <c:formatCode>General</c:formatCode>
                  <c:ptCount val="4"/>
                  <c:pt idx="0">
                    <c:v>0.86855601735342181</c:v>
                  </c:pt>
                  <c:pt idx="1">
                    <c:v>3.2187664172509032</c:v>
                  </c:pt>
                  <c:pt idx="2">
                    <c:v>0.57302657661609568</c:v>
                  </c:pt>
                  <c:pt idx="3">
                    <c:v>4.5321192877818479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Summary!$L$7:$O$7</c:f>
              <c:numCache>
                <c:formatCode>General</c:formatCode>
                <c:ptCount val="4"/>
                <c:pt idx="0">
                  <c:v>7.5</c:v>
                </c:pt>
                <c:pt idx="1">
                  <c:v>8</c:v>
                </c:pt>
                <c:pt idx="2">
                  <c:v>8.5</c:v>
                </c:pt>
                <c:pt idx="3">
                  <c:v>9</c:v>
                </c:pt>
              </c:numCache>
            </c:numRef>
          </c:xVal>
          <c:yVal>
            <c:numRef>
              <c:f>Summary!$L$8:$O$8</c:f>
              <c:numCache>
                <c:formatCode>0.0</c:formatCode>
                <c:ptCount val="4"/>
                <c:pt idx="0">
                  <c:v>77.926300578034699</c:v>
                </c:pt>
                <c:pt idx="1">
                  <c:v>56.683526011560701</c:v>
                </c:pt>
                <c:pt idx="2">
                  <c:v>42.422267558275728</c:v>
                </c:pt>
                <c:pt idx="3">
                  <c:v>37.854660168499016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DD-4C15-BD64-E6317F89D7BE}"/>
            </c:ext>
          </c:extLst>
        </c:ser>
        <c:ser>
          <c:idx val="2"/>
          <c:order val="2"/>
          <c:tx>
            <c:v>KPi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Summary!$L$13:$P$13</c:f>
                <c:numCache>
                  <c:formatCode>General</c:formatCode>
                  <c:ptCount val="5"/>
                  <c:pt idx="0">
                    <c:v>7.3571803822877788</c:v>
                  </c:pt>
                  <c:pt idx="1">
                    <c:v>4.1895054954694366</c:v>
                  </c:pt>
                  <c:pt idx="2">
                    <c:v>2.861125704223022</c:v>
                  </c:pt>
                  <c:pt idx="3">
                    <c:v>2.4523934607625923</c:v>
                  </c:pt>
                  <c:pt idx="4">
                    <c:v>4.7004207997949692</c:v>
                  </c:pt>
                </c:numCache>
              </c:numRef>
            </c:plus>
            <c:minus>
              <c:numRef>
                <c:f>Summary!$L$13:$P$13</c:f>
                <c:numCache>
                  <c:formatCode>General</c:formatCode>
                  <c:ptCount val="5"/>
                  <c:pt idx="0">
                    <c:v>7.3571803822877788</c:v>
                  </c:pt>
                  <c:pt idx="1">
                    <c:v>4.1895054954694366</c:v>
                  </c:pt>
                  <c:pt idx="2">
                    <c:v>2.861125704223022</c:v>
                  </c:pt>
                  <c:pt idx="3">
                    <c:v>2.4523934607625923</c:v>
                  </c:pt>
                  <c:pt idx="4">
                    <c:v>4.7004207997949692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Summary!$L$11:$P$11</c:f>
              <c:numCache>
                <c:formatCode>General</c:formatCode>
                <c:ptCount val="5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</c:numCache>
            </c:numRef>
          </c:xVal>
          <c:yVal>
            <c:numRef>
              <c:f>Summary!$L$12:$P$12</c:f>
              <c:numCache>
                <c:formatCode>0.0</c:formatCode>
                <c:ptCount val="5"/>
                <c:pt idx="0">
                  <c:v>98.482658959537559</c:v>
                </c:pt>
                <c:pt idx="1">
                  <c:v>101.73410404624279</c:v>
                </c:pt>
                <c:pt idx="2">
                  <c:v>100</c:v>
                </c:pt>
                <c:pt idx="3">
                  <c:v>84.826589595375751</c:v>
                </c:pt>
                <c:pt idx="4">
                  <c:v>70.158959537572258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DD-4C15-BD64-E6317F89D7BE}"/>
            </c:ext>
          </c:extLst>
        </c:ser>
        <c:ser>
          <c:idx val="3"/>
          <c:order val="3"/>
          <c:tx>
            <c:v>Acetate</c:v>
          </c:tx>
          <c:spPr>
            <a:ln w="952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Summary!$K$27:$L$27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3.985139373739214</c:v>
                  </c:pt>
                </c:numCache>
              </c:numRef>
            </c:plus>
            <c:minus>
              <c:numRef>
                <c:f>Summary!$K$27:$L$27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3.985139373739214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Summary!$K$25:$L$25</c:f>
              <c:numCache>
                <c:formatCode>General</c:formatCode>
                <c:ptCount val="2"/>
                <c:pt idx="0">
                  <c:v>4.5</c:v>
                </c:pt>
                <c:pt idx="1">
                  <c:v>5</c:v>
                </c:pt>
              </c:numCache>
            </c:numRef>
          </c:xVal>
          <c:yVal>
            <c:numRef>
              <c:f>Summary!$K$26:$L$26</c:f>
              <c:numCache>
                <c:formatCode>0</c:formatCode>
                <c:ptCount val="2"/>
                <c:pt idx="1">
                  <c:v>67.931835786212247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CDD-4C15-BD64-E6317F89D7BE}"/>
            </c:ext>
          </c:extLst>
        </c:ser>
        <c:ser>
          <c:idx val="4"/>
          <c:order val="4"/>
          <c:tx>
            <c:v>Pyridine</c:v>
          </c:tx>
          <c:spPr>
            <a:ln w="952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bg1">
                  <a:lumMod val="50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Summary!$K$31:$L$31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1.9925696868696001</c:v>
                  </c:pt>
                </c:numCache>
              </c:numRef>
            </c:plus>
            <c:minus>
              <c:numRef>
                <c:f>Summary!$K$31:$L$31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1.9925696868696001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Summary!$K$29:$L$29</c:f>
              <c:numCache>
                <c:formatCode>General</c:formatCode>
                <c:ptCount val="2"/>
                <c:pt idx="0">
                  <c:v>5</c:v>
                </c:pt>
                <c:pt idx="1">
                  <c:v>5.5</c:v>
                </c:pt>
              </c:numCache>
            </c:numRef>
          </c:xVal>
          <c:yVal>
            <c:numRef>
              <c:f>Summary!$K$30:$L$30</c:f>
              <c:numCache>
                <c:formatCode>0</c:formatCode>
                <c:ptCount val="2"/>
                <c:pt idx="1">
                  <c:v>70.371804802478707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DD-4C15-BD64-E6317F89D7BE}"/>
            </c:ext>
          </c:extLst>
        </c:ser>
        <c:ser>
          <c:idx val="5"/>
          <c:order val="5"/>
          <c:tx>
            <c:v>Glycine</c:v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Summary!$L$33:$M$33</c:f>
              <c:numCache>
                <c:formatCode>General</c:formatCode>
                <c:ptCount val="2"/>
                <c:pt idx="0">
                  <c:v>9.5</c:v>
                </c:pt>
                <c:pt idx="1">
                  <c:v>10</c:v>
                </c:pt>
              </c:numCache>
            </c:numRef>
          </c:xVal>
          <c:yVal>
            <c:numRef>
              <c:f>Summary!$L$34:$M$34</c:f>
              <c:numCache>
                <c:formatCode>0</c:formatCode>
                <c:ptCount val="2"/>
                <c:pt idx="0">
                  <c:v>19.817173189957625</c:v>
                </c:pt>
                <c:pt idx="1">
                  <c:v>13.319360277031025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CDD-4C15-BD64-E6317F89D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160720"/>
        <c:axId val="725159736"/>
      </c:scatterChart>
      <c:valAx>
        <c:axId val="725160720"/>
        <c:scaling>
          <c:orientation val="minMax"/>
          <c:max val="10"/>
          <c:min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159736"/>
        <c:crosses val="autoZero"/>
        <c:crossBetween val="midCat"/>
        <c:majorUnit val="1"/>
        <c:minorUnit val="0.5"/>
      </c:valAx>
      <c:valAx>
        <c:axId val="725159736"/>
        <c:scaling>
          <c:orientation val="minMax"/>
          <c:max val="11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Relative activity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160720"/>
        <c:crosses val="autoZero"/>
        <c:crossBetween val="midCat"/>
        <c:majorUnit val="20"/>
        <c:minorUnit val="10"/>
      </c:valAx>
      <c:spPr>
        <a:noFill/>
        <a:ln w="6350">
          <a:noFill/>
        </a:ln>
        <a:effectLst/>
      </c:spPr>
    </c:plotArea>
    <c:legend>
      <c:legendPos val="r"/>
      <c:layout>
        <c:manualLayout>
          <c:xMode val="edge"/>
          <c:yMode val="edge"/>
          <c:x val="0.65217407407407413"/>
          <c:y val="4.2264957264957412E-4"/>
          <c:w val="0.34229222222222228"/>
          <c:h val="0.377754700854700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72256944444447"/>
          <c:y val="2.7680555555555555E-2"/>
          <c:w val="0.78171076388888894"/>
          <c:h val="0.80717222222222218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[1]summary!$G$5</c:f>
              <c:strCache>
                <c:ptCount val="1"/>
                <c:pt idx="0">
                  <c:v>Specific activity (U/mg)</c:v>
                </c:pt>
              </c:strCache>
            </c:strRef>
          </c:tx>
          <c:spPr>
            <a:ln w="9525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[1]summary!$H$6:$H$13</c:f>
                <c:numCache>
                  <c:formatCode>General</c:formatCode>
                  <c:ptCount val="8"/>
                  <c:pt idx="0">
                    <c:v>0.14689896555794763</c:v>
                  </c:pt>
                  <c:pt idx="1">
                    <c:v>5.6259178298788751E-2</c:v>
                  </c:pt>
                  <c:pt idx="2">
                    <c:v>2.5004079243905814E-2</c:v>
                  </c:pt>
                  <c:pt idx="3">
                    <c:v>0.36881016884761308</c:v>
                  </c:pt>
                  <c:pt idx="4">
                    <c:v>0.11818717358302114</c:v>
                  </c:pt>
                  <c:pt idx="5">
                    <c:v>0.13062792869702461</c:v>
                  </c:pt>
                  <c:pt idx="6">
                    <c:v>0.60959700058610955</c:v>
                  </c:pt>
                  <c:pt idx="7">
                    <c:v>1.3651124146029538</c:v>
                  </c:pt>
                </c:numCache>
              </c:numRef>
            </c:plus>
            <c:minus>
              <c:numRef>
                <c:f>[1]summary!$H$6:$H$13</c:f>
                <c:numCache>
                  <c:formatCode>General</c:formatCode>
                  <c:ptCount val="8"/>
                  <c:pt idx="0">
                    <c:v>0.14689896555794763</c:v>
                  </c:pt>
                  <c:pt idx="1">
                    <c:v>5.6259178298788751E-2</c:v>
                  </c:pt>
                  <c:pt idx="2">
                    <c:v>2.5004079243905814E-2</c:v>
                  </c:pt>
                  <c:pt idx="3">
                    <c:v>0.36881016884761308</c:v>
                  </c:pt>
                  <c:pt idx="4">
                    <c:v>0.11818717358302114</c:v>
                  </c:pt>
                  <c:pt idx="5">
                    <c:v>0.13062792869702461</c:v>
                  </c:pt>
                  <c:pt idx="6">
                    <c:v>0.60959700058610955</c:v>
                  </c:pt>
                  <c:pt idx="7">
                    <c:v>1.3651124146029538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[1]summary!$F$6:$F$13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</c:numCache>
            </c:numRef>
          </c:xVal>
          <c:yVal>
            <c:numRef>
              <c:f>[1]summary!$G$6:$G$13</c:f>
              <c:numCache>
                <c:formatCode>General</c:formatCode>
                <c:ptCount val="8"/>
                <c:pt idx="0">
                  <c:v>2.7957375997781266</c:v>
                </c:pt>
                <c:pt idx="1">
                  <c:v>4.5306419601147514</c:v>
                </c:pt>
                <c:pt idx="2">
                  <c:v>5.2467043967377638</c:v>
                </c:pt>
                <c:pt idx="3">
                  <c:v>6.1395723732676979</c:v>
                </c:pt>
                <c:pt idx="4">
                  <c:v>8.0887884487047259</c:v>
                </c:pt>
                <c:pt idx="5">
                  <c:v>11.581174543469029</c:v>
                </c:pt>
                <c:pt idx="6">
                  <c:v>15.491415397682463</c:v>
                </c:pt>
                <c:pt idx="7">
                  <c:v>13.97023773411567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D2-4AE8-ACB4-0BA4557A6B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789664"/>
        <c:axId val="695792616"/>
      </c:scatterChart>
      <c:valAx>
        <c:axId val="695789664"/>
        <c:scaling>
          <c:orientation val="minMax"/>
          <c:max val="6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Temp. (°C) </a:t>
                </a:r>
              </a:p>
            </c:rich>
          </c:tx>
          <c:layout>
            <c:manualLayout>
              <c:xMode val="edge"/>
              <c:yMode val="edge"/>
              <c:x val="0.45426150793650805"/>
              <c:y val="0.924098290598290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5792616"/>
        <c:crosses val="autoZero"/>
        <c:crossBetween val="midCat"/>
        <c:minorUnit val="5"/>
      </c:valAx>
      <c:valAx>
        <c:axId val="695792616"/>
        <c:scaling>
          <c:orientation val="minMax"/>
          <c:max val="18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Spe. act. (U/mg) </a:t>
                </a:r>
              </a:p>
            </c:rich>
          </c:tx>
          <c:layout>
            <c:manualLayout>
              <c:xMode val="edge"/>
              <c:yMode val="edge"/>
              <c:x val="2.1417378917378918E-3"/>
              <c:y val="0.249008974358974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5789664"/>
        <c:crosses val="autoZero"/>
        <c:crossBetween val="midCat"/>
        <c:majorUnit val="2"/>
        <c:minorUnit val="1"/>
      </c:valAx>
      <c:spPr>
        <a:noFill/>
        <a:ln w="635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58796296296293"/>
          <c:y val="3.3407567049808427E-2"/>
          <c:w val="0.83841203703703704"/>
          <c:h val="0.808204273504273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9D-415A-9149-28797ADAE190}"/>
              </c:ext>
            </c:extLst>
          </c:dPt>
          <c:errBars>
            <c:errBarType val="both"/>
            <c:errValType val="cust"/>
            <c:noEndCap val="0"/>
            <c:plus>
              <c:numRef>
                <c:f>[2]summary!$F$18:$H$18</c:f>
                <c:numCache>
                  <c:formatCode>General</c:formatCode>
                  <c:ptCount val="3"/>
                  <c:pt idx="0">
                    <c:v>0.32192752026528937</c:v>
                  </c:pt>
                  <c:pt idx="1">
                    <c:v>0.32192752026528937</c:v>
                  </c:pt>
                  <c:pt idx="2">
                    <c:v>0.24378977262808318</c:v>
                  </c:pt>
                </c:numCache>
              </c:numRef>
            </c:plus>
            <c:minus>
              <c:numRef>
                <c:f>[2]summary!$F$18:$H$18</c:f>
                <c:numCache>
                  <c:formatCode>General</c:formatCode>
                  <c:ptCount val="3"/>
                  <c:pt idx="0">
                    <c:v>0.32192752026528937</c:v>
                  </c:pt>
                  <c:pt idx="1">
                    <c:v>0.32192752026528937</c:v>
                  </c:pt>
                  <c:pt idx="2">
                    <c:v>0.24378977262808318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[2]summary!$F$16:$H$16</c:f>
              <c:strCache>
                <c:ptCount val="3"/>
                <c:pt idx="0">
                  <c:v>100 mM KPi, NADPH</c:v>
                </c:pt>
                <c:pt idx="1">
                  <c:v>50 mM KPi, NADPH</c:v>
                </c:pt>
                <c:pt idx="2">
                  <c:v>50 mM KPi, NADH</c:v>
                </c:pt>
              </c:strCache>
            </c:strRef>
          </c:cat>
          <c:val>
            <c:numRef>
              <c:f>[2]summary!$F$17:$H$17</c:f>
              <c:numCache>
                <c:formatCode>General</c:formatCode>
                <c:ptCount val="3"/>
                <c:pt idx="0">
                  <c:v>6.4600324143489827</c:v>
                </c:pt>
                <c:pt idx="1">
                  <c:v>6.4600324143489827</c:v>
                </c:pt>
                <c:pt idx="2">
                  <c:v>7.5805375235090695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9D-415A-9149-28797ADAE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5327336"/>
        <c:axId val="755330288"/>
      </c:barChart>
      <c:catAx>
        <c:axId val="755327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330288"/>
        <c:crosses val="autoZero"/>
        <c:auto val="1"/>
        <c:lblAlgn val="ctr"/>
        <c:lblOffset val="100"/>
        <c:noMultiLvlLbl val="0"/>
      </c:catAx>
      <c:valAx>
        <c:axId val="755330288"/>
        <c:scaling>
          <c:orientation val="minMax"/>
          <c:max val="8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Spe. act. (U/mg)</a:t>
                </a:r>
              </a:p>
            </c:rich>
          </c:tx>
          <c:layout>
            <c:manualLayout>
              <c:xMode val="edge"/>
              <c:yMode val="edge"/>
              <c:x val="2.7855555555555559E-3"/>
              <c:y val="0.249046581196581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327336"/>
        <c:crosses val="autoZero"/>
        <c:crossBetween val="between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54387626262629"/>
          <c:y val="2.9809829059829061E-2"/>
          <c:w val="0.77542392676767691"/>
          <c:h val="0.81110816218030046"/>
        </c:manualLayout>
      </c:layout>
      <c:scatterChart>
        <c:scatterStyle val="smoothMarker"/>
        <c:varyColors val="0"/>
        <c:ser>
          <c:idx val="3"/>
          <c:order val="0"/>
          <c:tx>
            <c:v>Acetate</c:v>
          </c:tx>
          <c:spPr>
            <a:ln w="952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Summary!$D$27</c:f>
                <c:numCache>
                  <c:formatCode>General</c:formatCode>
                  <c:ptCount val="1"/>
                  <c:pt idx="0">
                    <c:v>0.24378977262808318</c:v>
                  </c:pt>
                </c:numCache>
              </c:numRef>
            </c:plus>
            <c:minus>
              <c:numRef>
                <c:f>Summary!$D$27</c:f>
                <c:numCache>
                  <c:formatCode>General</c:formatCode>
                  <c:ptCount val="1"/>
                  <c:pt idx="0">
                    <c:v>0.24378977262808318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Summary!$D$25:$E$25</c:f>
              <c:numCache>
                <c:formatCode>General</c:formatCode>
                <c:ptCount val="2"/>
                <c:pt idx="0">
                  <c:v>5</c:v>
                </c:pt>
              </c:numCache>
            </c:numRef>
          </c:xVal>
          <c:yVal>
            <c:numRef>
              <c:f>Summary!$D$26:$E$26</c:f>
              <c:numCache>
                <c:formatCode>General</c:formatCode>
                <c:ptCount val="2"/>
                <c:pt idx="0" formatCode="0.00">
                  <c:v>3.8764614624591576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64D-47FC-B047-950483BA0F02}"/>
            </c:ext>
          </c:extLst>
        </c:ser>
        <c:ser>
          <c:idx val="4"/>
          <c:order val="1"/>
          <c:tx>
            <c:v>Pyridine</c:v>
          </c:tx>
          <c:spPr>
            <a:ln w="952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bg1">
                  <a:lumMod val="50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Summary!$D$31:$E$31</c:f>
                <c:numCache>
                  <c:formatCode>General</c:formatCode>
                  <c:ptCount val="2"/>
                  <c:pt idx="0">
                    <c:v>0.12189488631404118</c:v>
                  </c:pt>
                </c:numCache>
              </c:numRef>
            </c:plus>
            <c:minus>
              <c:numRef>
                <c:f>Summary!$D$31:$E$31</c:f>
                <c:numCache>
                  <c:formatCode>General</c:formatCode>
                  <c:ptCount val="2"/>
                  <c:pt idx="0">
                    <c:v>0.12189488631404118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Summary!$D$29:$E$29</c:f>
              <c:numCache>
                <c:formatCode>General</c:formatCode>
                <c:ptCount val="2"/>
                <c:pt idx="0">
                  <c:v>5.5</c:v>
                </c:pt>
              </c:numCache>
            </c:numRef>
          </c:xVal>
          <c:yVal>
            <c:numRef>
              <c:f>Summary!$D$30:$E$30</c:f>
              <c:numCache>
                <c:formatCode>General</c:formatCode>
                <c:ptCount val="2"/>
                <c:pt idx="0" formatCode="0.00">
                  <c:v>4.0156958251358548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64D-47FC-B047-950483BA0F02}"/>
            </c:ext>
          </c:extLst>
        </c:ser>
        <c:ser>
          <c:idx val="2"/>
          <c:order val="2"/>
          <c:tx>
            <c:v>KPi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Summary!$D$13:$H$13</c:f>
                <c:numCache>
                  <c:formatCode>General</c:formatCode>
                  <c:ptCount val="5"/>
                  <c:pt idx="0">
                    <c:v>0.45007342639030734</c:v>
                  </c:pt>
                  <c:pt idx="1">
                    <c:v>0.25629181225003655</c:v>
                  </c:pt>
                  <c:pt idx="2">
                    <c:v>0.17502855470734158</c:v>
                  </c:pt>
                  <c:pt idx="3">
                    <c:v>0.15002447546343575</c:v>
                  </c:pt>
                  <c:pt idx="4">
                    <c:v>0.28754691130491855</c:v>
                  </c:pt>
                </c:numCache>
              </c:numRef>
            </c:plus>
            <c:minus>
              <c:numRef>
                <c:f>Summary!$D$13:$H$13</c:f>
                <c:numCache>
                  <c:formatCode>General</c:formatCode>
                  <c:ptCount val="5"/>
                  <c:pt idx="0">
                    <c:v>0.45007342639030734</c:v>
                  </c:pt>
                  <c:pt idx="1">
                    <c:v>0.25629181225003655</c:v>
                  </c:pt>
                  <c:pt idx="2">
                    <c:v>0.17502855470734158</c:v>
                  </c:pt>
                  <c:pt idx="3">
                    <c:v>0.15002447546343575</c:v>
                  </c:pt>
                  <c:pt idx="4">
                    <c:v>0.28754691130491855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Summary!$D$11:$H$11</c:f>
              <c:numCache>
                <c:formatCode>General</c:formatCode>
                <c:ptCount val="5"/>
                <c:pt idx="0">
                  <c:v>6</c:v>
                </c:pt>
                <c:pt idx="1">
                  <c:v>6.5</c:v>
                </c:pt>
                <c:pt idx="2">
                  <c:v>7</c:v>
                </c:pt>
                <c:pt idx="3">
                  <c:v>7.5</c:v>
                </c:pt>
                <c:pt idx="4">
                  <c:v>8</c:v>
                </c:pt>
              </c:numCache>
            </c:numRef>
          </c:xVal>
          <c:yVal>
            <c:numRef>
              <c:f>Summary!$D$12:$H$12</c:f>
              <c:numCache>
                <c:formatCode>0.0</c:formatCode>
                <c:ptCount val="5"/>
                <c:pt idx="0">
                  <c:v>6.0246487723281987</c:v>
                </c:pt>
                <c:pt idx="1">
                  <c:v>6.2235550047234813</c:v>
                </c:pt>
                <c:pt idx="2">
                  <c:v>6.1174716807793308</c:v>
                </c:pt>
                <c:pt idx="3">
                  <c:v>5.1892425962680182</c:v>
                </c:pt>
                <c:pt idx="4">
                  <c:v>4.2919544812404125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64D-47FC-B047-950483BA0F02}"/>
            </c:ext>
          </c:extLst>
        </c:ser>
        <c:ser>
          <c:idx val="0"/>
          <c:order val="3"/>
          <c:tx>
            <c:v>MOPS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Summary!$D$5:$F$5</c:f>
                <c:numCache>
                  <c:formatCode>General</c:formatCode>
                  <c:ptCount val="3"/>
                  <c:pt idx="0">
                    <c:v>6.2510198109764964E-2</c:v>
                  </c:pt>
                  <c:pt idx="1">
                    <c:v>0.36568465894212476</c:v>
                  </c:pt>
                  <c:pt idx="2">
                    <c:v>1.2502039621952907E-2</c:v>
                  </c:pt>
                </c:numCache>
              </c:numRef>
            </c:plus>
            <c:minus>
              <c:numRef>
                <c:f>Summary!$D$5:$F$5</c:f>
                <c:numCache>
                  <c:formatCode>General</c:formatCode>
                  <c:ptCount val="3"/>
                  <c:pt idx="0">
                    <c:v>6.2510198109764964E-2</c:v>
                  </c:pt>
                  <c:pt idx="1">
                    <c:v>0.36568465894212476</c:v>
                  </c:pt>
                  <c:pt idx="2">
                    <c:v>1.2502039621952907E-2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Summary!$D$3:$F$3</c:f>
              <c:numCache>
                <c:formatCode>General</c:formatCode>
                <c:ptCount val="3"/>
                <c:pt idx="0">
                  <c:v>6.5</c:v>
                </c:pt>
                <c:pt idx="1">
                  <c:v>7</c:v>
                </c:pt>
                <c:pt idx="2">
                  <c:v>7.5</c:v>
                </c:pt>
              </c:numCache>
            </c:numRef>
          </c:xVal>
          <c:yVal>
            <c:numRef>
              <c:f>Summary!$D$4:$F$4</c:f>
              <c:numCache>
                <c:formatCode>0.0</c:formatCode>
                <c:ptCount val="3"/>
                <c:pt idx="0">
                  <c:v>4.0930482488451316</c:v>
                </c:pt>
                <c:pt idx="1">
                  <c:v>4.4842305058891858</c:v>
                </c:pt>
                <c:pt idx="2">
                  <c:v>2.8819303004827486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4D-47FC-B047-950483BA0F02}"/>
            </c:ext>
          </c:extLst>
        </c:ser>
        <c:ser>
          <c:idx val="1"/>
          <c:order val="4"/>
          <c:tx>
            <c:v>Tris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Summary!$D$9:$G$9</c:f>
                <c:numCache>
                  <c:formatCode>General</c:formatCode>
                  <c:ptCount val="4"/>
                  <c:pt idx="0">
                    <c:v>5.3133668393300387E-2</c:v>
                  </c:pt>
                  <c:pt idx="1">
                    <c:v>0.19690712404575947</c:v>
                  </c:pt>
                  <c:pt idx="2">
                    <c:v>3.505473854782893E-2</c:v>
                  </c:pt>
                  <c:pt idx="3">
                    <c:v>0.27725111396919244</c:v>
                  </c:pt>
                </c:numCache>
              </c:numRef>
            </c:plus>
            <c:minus>
              <c:numRef>
                <c:f>Summary!$D$9:$G$9</c:f>
                <c:numCache>
                  <c:formatCode>General</c:formatCode>
                  <c:ptCount val="4"/>
                  <c:pt idx="0">
                    <c:v>5.3133668393300387E-2</c:v>
                  </c:pt>
                  <c:pt idx="1">
                    <c:v>0.19690712404575947</c:v>
                  </c:pt>
                  <c:pt idx="2">
                    <c:v>3.505473854782893E-2</c:v>
                  </c:pt>
                  <c:pt idx="3">
                    <c:v>0.27725111396919244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Summary!$D$7:$G$7</c:f>
              <c:numCache>
                <c:formatCode>General</c:formatCode>
                <c:ptCount val="4"/>
                <c:pt idx="0">
                  <c:v>7.5</c:v>
                </c:pt>
                <c:pt idx="1">
                  <c:v>8</c:v>
                </c:pt>
                <c:pt idx="2">
                  <c:v>8.5</c:v>
                </c:pt>
                <c:pt idx="3">
                  <c:v>9</c:v>
                </c:pt>
              </c:numCache>
            </c:numRef>
          </c:xVal>
          <c:yVal>
            <c:numRef>
              <c:f>Summary!$D$8:$G$8</c:f>
              <c:numCache>
                <c:formatCode>0.0</c:formatCode>
                <c:ptCount val="4"/>
                <c:pt idx="0">
                  <c:v>4.7671193697402527</c:v>
                </c:pt>
                <c:pt idx="1">
                  <c:v>3.4675986514244115</c:v>
                </c:pt>
                <c:pt idx="2">
                  <c:v>2.5951702042219549</c:v>
                </c:pt>
                <c:pt idx="3">
                  <c:v>2.3157481156631805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64D-47FC-B047-950483BA0F02}"/>
            </c:ext>
          </c:extLst>
        </c:ser>
        <c:ser>
          <c:idx val="5"/>
          <c:order val="5"/>
          <c:tx>
            <c:v>Glycine</c:v>
          </c:tx>
          <c:spPr>
            <a:ln w="9525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Summary!$D$33:$E$33</c:f>
              <c:numCache>
                <c:formatCode>General</c:formatCode>
                <c:ptCount val="2"/>
                <c:pt idx="0">
                  <c:v>9.5</c:v>
                </c:pt>
                <c:pt idx="1">
                  <c:v>10</c:v>
                </c:pt>
              </c:numCache>
            </c:numRef>
          </c:xVal>
          <c:yVal>
            <c:numRef>
              <c:f>Summary!$D$34:$E$34</c:f>
              <c:numCache>
                <c:formatCode>0.00</c:formatCode>
                <c:ptCount val="2"/>
                <c:pt idx="0">
                  <c:v>1.1308469332039071</c:v>
                </c:pt>
                <c:pt idx="1">
                  <c:v>0.76005581508220577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64D-47FC-B047-950483BA0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160720"/>
        <c:axId val="725159736"/>
      </c:scatterChart>
      <c:valAx>
        <c:axId val="725160720"/>
        <c:scaling>
          <c:orientation val="minMax"/>
          <c:max val="10"/>
          <c:min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159736"/>
        <c:crosses val="autoZero"/>
        <c:crossBetween val="midCat"/>
        <c:majorUnit val="1"/>
        <c:minorUnit val="0.5"/>
      </c:valAx>
      <c:valAx>
        <c:axId val="725159736"/>
        <c:scaling>
          <c:orientation val="minMax"/>
          <c:max val="7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Spe. act. (U/mg)</a:t>
                </a:r>
              </a:p>
            </c:rich>
          </c:tx>
          <c:layout>
            <c:manualLayout>
              <c:xMode val="edge"/>
              <c:yMode val="edge"/>
              <c:x val="7.2254409814836787E-3"/>
              <c:y val="0.233156913487975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160720"/>
        <c:crosses val="autoZero"/>
        <c:crossBetween val="midCat"/>
        <c:majorUnit val="1"/>
        <c:minorUnit val="0.5"/>
      </c:valAx>
      <c:spPr>
        <a:noFill/>
        <a:ln w="6350">
          <a:noFill/>
        </a:ln>
        <a:effectLst/>
      </c:spPr>
    </c:plotArea>
    <c:legend>
      <c:legendPos val="r"/>
      <c:layout>
        <c:manualLayout>
          <c:xMode val="edge"/>
          <c:yMode val="edge"/>
          <c:x val="0.71802592592592607"/>
          <c:y val="4.2264957264957412E-4"/>
          <c:w val="0.27644037037037039"/>
          <c:h val="0.377754700854700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504825</xdr:colOff>
      <xdr:row>15</xdr:row>
      <xdr:rowOff>38100</xdr:rowOff>
    </xdr:from>
    <xdr:to>
      <xdr:col>20</xdr:col>
      <xdr:colOff>156825</xdr:colOff>
      <xdr:row>27</xdr:row>
      <xdr:rowOff>168300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114300</xdr:colOff>
      <xdr:row>15</xdr:row>
      <xdr:rowOff>25400</xdr:rowOff>
    </xdr:from>
    <xdr:to>
      <xdr:col>25</xdr:col>
      <xdr:colOff>350358</xdr:colOff>
      <xdr:row>27</xdr:row>
      <xdr:rowOff>52224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BC9B08-1D81-4522-813D-437C32D58A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120650</xdr:colOff>
      <xdr:row>28</xdr:row>
      <xdr:rowOff>6350</xdr:rowOff>
    </xdr:from>
    <xdr:to>
      <xdr:col>25</xdr:col>
      <xdr:colOff>382250</xdr:colOff>
      <xdr:row>40</xdr:row>
      <xdr:rowOff>136550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92884F4-583D-4D25-AC26-275825648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602155</xdr:colOff>
      <xdr:row>28</xdr:row>
      <xdr:rowOff>103042</xdr:rowOff>
    </xdr:from>
    <xdr:to>
      <xdr:col>20</xdr:col>
      <xdr:colOff>168548</xdr:colOff>
      <xdr:row>40</xdr:row>
      <xdr:rowOff>157900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539656-8978-4CD4-8397-F074DB8E1D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epaul\surfdrive%20-%20Caroline%20Paul@surfdrive.surf.nl\Documents\Publications\RytRedAm\01-Data\2023-02-21%20RytRedAm%20temperature.xlsx" TargetMode="External"/><Relationship Id="rId1" Type="http://schemas.openxmlformats.org/officeDocument/2006/relationships/externalLinkPath" Target="2023-02-21%20RytRedAm%20temperatur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epaul\surfdrive%20-%20Caroline%20Paul@surfdrive.surf.nl\Documents\Publications\RytRedAm\01-Data\rythredam%20Activity%20measurements.xlsx" TargetMode="External"/><Relationship Id="rId1" Type="http://schemas.openxmlformats.org/officeDocument/2006/relationships/externalLinkPath" Target="rythredam%20Activity%20measurement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0 deg"/>
      <sheetName val="20 deg"/>
      <sheetName val="25 deg"/>
      <sheetName val="30 deg"/>
      <sheetName val="35 deg"/>
      <sheetName val="40 deg"/>
      <sheetName val="50 deg"/>
      <sheetName val="60 deg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G5" t="str">
            <v>Specific activity (U/mg)</v>
          </cell>
        </row>
        <row r="6">
          <cell r="F6">
            <v>10</v>
          </cell>
          <cell r="G6">
            <v>2.7957375997781266</v>
          </cell>
          <cell r="H6">
            <v>0.14689896555794763</v>
          </cell>
        </row>
        <row r="7">
          <cell r="F7">
            <v>20</v>
          </cell>
          <cell r="G7">
            <v>4.5306419601147514</v>
          </cell>
          <cell r="H7">
            <v>5.6259178298788751E-2</v>
          </cell>
        </row>
        <row r="8">
          <cell r="F8">
            <v>25</v>
          </cell>
          <cell r="G8">
            <v>5.2467043967377638</v>
          </cell>
          <cell r="H8">
            <v>2.5004079243905814E-2</v>
          </cell>
        </row>
        <row r="9">
          <cell r="F9">
            <v>30</v>
          </cell>
          <cell r="G9">
            <v>6.1395723732676979</v>
          </cell>
          <cell r="H9">
            <v>0.36881016884761308</v>
          </cell>
        </row>
        <row r="10">
          <cell r="F10">
            <v>35</v>
          </cell>
          <cell r="G10">
            <v>8.0887884487047259</v>
          </cell>
          <cell r="H10">
            <v>0.11818717358302114</v>
          </cell>
        </row>
        <row r="11">
          <cell r="F11">
            <v>40</v>
          </cell>
          <cell r="G11">
            <v>11.581174543469029</v>
          </cell>
          <cell r="H11">
            <v>0.13062792869702461</v>
          </cell>
        </row>
        <row r="12">
          <cell r="F12">
            <v>50</v>
          </cell>
          <cell r="G12">
            <v>15.491415397682463</v>
          </cell>
          <cell r="H12">
            <v>0.60959700058610955</v>
          </cell>
        </row>
        <row r="13">
          <cell r="F13">
            <v>60</v>
          </cell>
          <cell r="G13">
            <v>13.97023773411567</v>
          </cell>
          <cell r="H13">
            <v>1.3651124146029538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00 mM KPi NADPH"/>
      <sheetName val="NADH"/>
      <sheetName val="summary"/>
      <sheetName val="MOPS65"/>
      <sheetName val="MOPS7"/>
      <sheetName val="MOPS75"/>
      <sheetName val="TRIS75"/>
      <sheetName val="TRIS8"/>
      <sheetName val="TRIS85"/>
      <sheetName val="TRIS9"/>
      <sheetName val="KPi6"/>
      <sheetName val="KPi65"/>
      <sheetName val="KPi7"/>
      <sheetName val="KPi75"/>
      <sheetName val="KPi8"/>
    </sheetNames>
    <sheetDataSet>
      <sheetData sheetId="0"/>
      <sheetData sheetId="1"/>
      <sheetData sheetId="2">
        <row r="16">
          <cell r="F16" t="str">
            <v>100 mM KPi, NADPH</v>
          </cell>
          <cell r="G16" t="str">
            <v>50 mM KPi, NADPH</v>
          </cell>
          <cell r="H16" t="str">
            <v>50 mM KPi, NADH</v>
          </cell>
        </row>
        <row r="17">
          <cell r="F17">
            <v>6.4600324143489827</v>
          </cell>
          <cell r="G17">
            <v>6.4600324143489827</v>
          </cell>
          <cell r="H17">
            <v>7.5805375235090695</v>
          </cell>
        </row>
        <row r="18">
          <cell r="F18">
            <v>0.32192752026528937</v>
          </cell>
          <cell r="G18">
            <v>0.32192752026528937</v>
          </cell>
          <cell r="H18">
            <v>0.24378977262808318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7"/>
  <sheetViews>
    <sheetView workbookViewId="0">
      <selection activeCell="G36" sqref="G36"/>
    </sheetView>
  </sheetViews>
  <sheetFormatPr defaultRowHeight="14.5" x14ac:dyDescent="0.35"/>
  <cols>
    <col min="2" max="2" width="14.36328125" bestFit="1" customWidth="1"/>
    <col min="3" max="3" width="11.54296875" bestFit="1" customWidth="1"/>
    <col min="7" max="7" width="18.9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0.04</v>
      </c>
      <c r="G4" t="s">
        <v>5</v>
      </c>
      <c r="H4" s="2">
        <f>C24</f>
        <v>0.12635000000000002</v>
      </c>
      <c r="I4" t="s">
        <v>6</v>
      </c>
    </row>
    <row r="5" spans="2:9" x14ac:dyDescent="0.35">
      <c r="B5" t="s">
        <v>7</v>
      </c>
      <c r="C5" s="1">
        <v>0.02</v>
      </c>
      <c r="G5" t="s">
        <v>8</v>
      </c>
      <c r="H5" s="3">
        <f>H4/H3</f>
        <v>2.031350482315113E-5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20.313504823151131</v>
      </c>
      <c r="I6" t="s">
        <v>11</v>
      </c>
    </row>
    <row r="7" spans="2:9" x14ac:dyDescent="0.35">
      <c r="B7" t="s">
        <v>12</v>
      </c>
      <c r="C7" s="1"/>
      <c r="G7" t="s">
        <v>13</v>
      </c>
      <c r="H7" s="4">
        <f>H6/1000*C10</f>
        <v>4.1439549839228304E-2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2">
        <f>C19</f>
        <v>7.4199999999999995E-3</v>
      </c>
      <c r="I8" t="s">
        <v>17</v>
      </c>
    </row>
    <row r="9" spans="2:9" x14ac:dyDescent="0.35">
      <c r="B9" t="s">
        <v>18</v>
      </c>
      <c r="C9" s="1">
        <v>0.02</v>
      </c>
      <c r="G9" t="s">
        <v>19</v>
      </c>
      <c r="H9" s="3">
        <f>H7/H8</f>
        <v>5.5848449918097449</v>
      </c>
      <c r="I9" t="s">
        <v>20</v>
      </c>
    </row>
    <row r="10" spans="2:9" x14ac:dyDescent="0.35">
      <c r="B10" t="s">
        <v>21</v>
      </c>
      <c r="C10" s="3">
        <f>SUM(C3:C9)</f>
        <v>2.04</v>
      </c>
    </row>
    <row r="12" spans="2:9" x14ac:dyDescent="0.35">
      <c r="B12" t="s">
        <v>22</v>
      </c>
      <c r="C12" s="5">
        <f xml:space="preserve"> 3.71/C13*1000000</f>
        <v>117.9905353144718</v>
      </c>
      <c r="G12" t="s">
        <v>5</v>
      </c>
      <c r="H12" s="6">
        <f>C25</f>
        <v>1.6263455967290568E-3</v>
      </c>
      <c r="I12" t="s">
        <v>6</v>
      </c>
    </row>
    <row r="13" spans="2:9" x14ac:dyDescent="0.35">
      <c r="B13" t="s">
        <v>23</v>
      </c>
      <c r="C13" s="1">
        <v>31443.200000000001</v>
      </c>
      <c r="G13" t="s">
        <v>8</v>
      </c>
      <c r="H13" s="3">
        <f>H12/H3</f>
        <v>2.6147035317187408E-7</v>
      </c>
      <c r="I13" t="s">
        <v>9</v>
      </c>
    </row>
    <row r="14" spans="2:9" x14ac:dyDescent="0.35">
      <c r="B14" t="s">
        <v>24</v>
      </c>
      <c r="C14" s="1">
        <v>10</v>
      </c>
      <c r="G14" t="s">
        <v>8</v>
      </c>
      <c r="H14" s="3">
        <f>H13*1000000</f>
        <v>0.26147035317187406</v>
      </c>
      <c r="I14" t="s">
        <v>11</v>
      </c>
    </row>
    <row r="15" spans="2:9" x14ac:dyDescent="0.35">
      <c r="B15" t="s">
        <v>25</v>
      </c>
      <c r="C15" s="3">
        <f>C10/C9*C14</f>
        <v>1020</v>
      </c>
      <c r="G15" t="s">
        <v>13</v>
      </c>
      <c r="H15" s="3">
        <f>H14/1000*C10</f>
        <v>5.3339952047062303E-4</v>
      </c>
      <c r="I15" t="s">
        <v>14</v>
      </c>
    </row>
    <row r="16" spans="2:9" x14ac:dyDescent="0.35">
      <c r="B16" t="s">
        <v>26</v>
      </c>
      <c r="C16" s="7">
        <f>C12/C15</f>
        <v>0.11567699540634491</v>
      </c>
      <c r="G16" t="s">
        <v>16</v>
      </c>
      <c r="H16" s="2">
        <f>C19</f>
        <v>7.4199999999999995E-3</v>
      </c>
      <c r="I16" t="s">
        <v>17</v>
      </c>
    </row>
    <row r="17" spans="2:9" x14ac:dyDescent="0.35">
      <c r="B17" t="s">
        <v>27</v>
      </c>
      <c r="C17" s="8">
        <f>C16*C13</f>
        <v>3637.2549019607841</v>
      </c>
      <c r="G17" t="s">
        <v>19</v>
      </c>
      <c r="H17" s="9">
        <f>H15/H16</f>
        <v>7.1886727826229527E-2</v>
      </c>
      <c r="I17" t="s">
        <v>20</v>
      </c>
    </row>
    <row r="18" spans="2:9" x14ac:dyDescent="0.35">
      <c r="B18" t="s">
        <v>28</v>
      </c>
      <c r="C18" s="8">
        <f>C17*C10/1000</f>
        <v>7.42</v>
      </c>
    </row>
    <row r="19" spans="2:9" x14ac:dyDescent="0.35">
      <c r="B19" t="s">
        <v>29</v>
      </c>
      <c r="C19" s="10">
        <f>C18/1000</f>
        <v>7.4199999999999995E-3</v>
      </c>
    </row>
    <row r="20" spans="2:9" x14ac:dyDescent="0.35">
      <c r="G20" t="s">
        <v>30</v>
      </c>
      <c r="H20" s="1" t="s">
        <v>31</v>
      </c>
    </row>
    <row r="21" spans="2:9" x14ac:dyDescent="0.35">
      <c r="B21" t="s">
        <v>32</v>
      </c>
      <c r="G21" t="s">
        <v>33</v>
      </c>
      <c r="H21" s="1" t="s">
        <v>34</v>
      </c>
    </row>
    <row r="22" spans="2:9" x14ac:dyDescent="0.35">
      <c r="B22" t="s">
        <v>35</v>
      </c>
      <c r="C22" s="11">
        <v>0.1275</v>
      </c>
      <c r="G22" t="s">
        <v>36</v>
      </c>
      <c r="H22" s="1" t="s">
        <v>37</v>
      </c>
    </row>
    <row r="23" spans="2:9" x14ac:dyDescent="0.35">
      <c r="B23" t="s">
        <v>38</v>
      </c>
      <c r="C23" s="11">
        <v>0.12520000000000001</v>
      </c>
    </row>
    <row r="24" spans="2:9" x14ac:dyDescent="0.35">
      <c r="B24" t="s">
        <v>39</v>
      </c>
      <c r="C24" s="3">
        <f>AVERAGE(C22:C23)</f>
        <v>0.12635000000000002</v>
      </c>
      <c r="G24" s="12" t="s">
        <v>13</v>
      </c>
      <c r="H24" s="13">
        <f>H7</f>
        <v>4.1439549839228304E-2</v>
      </c>
      <c r="I24" s="12" t="s">
        <v>14</v>
      </c>
    </row>
    <row r="25" spans="2:9" x14ac:dyDescent="0.35">
      <c r="B25" t="s">
        <v>40</v>
      </c>
      <c r="C25" s="14">
        <f>STDEV(C22:C23)</f>
        <v>1.6263455967290568E-3</v>
      </c>
      <c r="G25" s="15" t="s">
        <v>19</v>
      </c>
      <c r="H25" s="16">
        <f>H24/C9</f>
        <v>2.0719774919614151</v>
      </c>
      <c r="I25" s="15" t="s">
        <v>41</v>
      </c>
    </row>
    <row r="26" spans="2:9" x14ac:dyDescent="0.35">
      <c r="G26" s="12" t="s">
        <v>19</v>
      </c>
      <c r="H26" s="13">
        <f>H9</f>
        <v>5.5848449918097449</v>
      </c>
      <c r="I26" s="12" t="s">
        <v>20</v>
      </c>
    </row>
    <row r="27" spans="2:9" x14ac:dyDescent="0.35">
      <c r="G27" s="12" t="s">
        <v>40</v>
      </c>
      <c r="H27" s="13">
        <f>H17</f>
        <v>7.1886727826229527E-2</v>
      </c>
      <c r="I27" s="12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27"/>
  <sheetViews>
    <sheetView workbookViewId="0">
      <selection activeCell="C24" sqref="A1:XFD1048576"/>
    </sheetView>
  </sheetViews>
  <sheetFormatPr defaultRowHeight="14.5" x14ac:dyDescent="0.35"/>
  <cols>
    <col min="2" max="2" width="14.36328125" bestFit="1" customWidth="1"/>
    <col min="3" max="3" width="11.54296875" bestFit="1" customWidth="1"/>
    <col min="7" max="7" width="18.9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0.04</v>
      </c>
      <c r="G4" t="s">
        <v>5</v>
      </c>
      <c r="H4" s="2">
        <f>C24</f>
        <v>0.12909999999999999</v>
      </c>
      <c r="I4" t="s">
        <v>6</v>
      </c>
    </row>
    <row r="5" spans="2:9" x14ac:dyDescent="0.35">
      <c r="B5" t="s">
        <v>7</v>
      </c>
      <c r="C5" s="1">
        <v>0.02</v>
      </c>
      <c r="G5" t="s">
        <v>8</v>
      </c>
      <c r="H5" s="3">
        <f>H4/H3</f>
        <v>2.0755627009646301E-5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20.7556270096463</v>
      </c>
      <c r="I6" t="s">
        <v>11</v>
      </c>
    </row>
    <row r="7" spans="2:9" x14ac:dyDescent="0.35">
      <c r="B7" t="s">
        <v>12</v>
      </c>
      <c r="C7" s="1"/>
      <c r="G7" t="s">
        <v>13</v>
      </c>
      <c r="H7" s="4">
        <f>H6/1000*C10</f>
        <v>4.2341479099678454E-2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2">
        <f>C19</f>
        <v>7.4199999999999995E-3</v>
      </c>
      <c r="I8" t="s">
        <v>17</v>
      </c>
    </row>
    <row r="9" spans="2:9" x14ac:dyDescent="0.35">
      <c r="B9" t="s">
        <v>18</v>
      </c>
      <c r="C9" s="1">
        <v>0.02</v>
      </c>
      <c r="G9" t="s">
        <v>19</v>
      </c>
      <c r="H9" s="3">
        <f>H7/H8</f>
        <v>5.7063988004957489</v>
      </c>
      <c r="I9" t="s">
        <v>20</v>
      </c>
    </row>
    <row r="10" spans="2:9" x14ac:dyDescent="0.35">
      <c r="B10" t="s">
        <v>21</v>
      </c>
      <c r="C10" s="3">
        <f>SUM(C3:C9)</f>
        <v>2.04</v>
      </c>
    </row>
    <row r="12" spans="2:9" x14ac:dyDescent="0.35">
      <c r="B12" t="s">
        <v>22</v>
      </c>
      <c r="C12" s="5">
        <f xml:space="preserve"> 3.71/C13*1000000</f>
        <v>117.9905353144718</v>
      </c>
      <c r="G12" t="s">
        <v>5</v>
      </c>
      <c r="H12" s="6">
        <f>C25</f>
        <v>5.7982756057296985E-3</v>
      </c>
      <c r="I12" t="s">
        <v>6</v>
      </c>
    </row>
    <row r="13" spans="2:9" x14ac:dyDescent="0.35">
      <c r="B13" t="s">
        <v>23</v>
      </c>
      <c r="C13" s="1">
        <v>31443.200000000001</v>
      </c>
      <c r="G13" t="s">
        <v>8</v>
      </c>
      <c r="H13" s="3">
        <f>H12/H3</f>
        <v>9.3219865043885827E-7</v>
      </c>
      <c r="I13" t="s">
        <v>9</v>
      </c>
    </row>
    <row r="14" spans="2:9" x14ac:dyDescent="0.35">
      <c r="B14" t="s">
        <v>24</v>
      </c>
      <c r="C14" s="1">
        <v>10</v>
      </c>
      <c r="G14" t="s">
        <v>8</v>
      </c>
      <c r="H14" s="3">
        <f>H13*1000000</f>
        <v>0.9321986504388583</v>
      </c>
      <c r="I14" t="s">
        <v>11</v>
      </c>
    </row>
    <row r="15" spans="2:9" x14ac:dyDescent="0.35">
      <c r="B15" t="s">
        <v>25</v>
      </c>
      <c r="C15" s="3">
        <f>C10/C9*C14</f>
        <v>1020</v>
      </c>
      <c r="G15" t="s">
        <v>13</v>
      </c>
      <c r="H15" s="3">
        <f>H14/1000*C10</f>
        <v>1.9016852468952711E-3</v>
      </c>
      <c r="I15" t="s">
        <v>14</v>
      </c>
    </row>
    <row r="16" spans="2:9" x14ac:dyDescent="0.35">
      <c r="B16" t="s">
        <v>26</v>
      </c>
      <c r="C16" s="7">
        <f>C12/C15</f>
        <v>0.11567699540634491</v>
      </c>
      <c r="G16" t="s">
        <v>16</v>
      </c>
      <c r="H16" s="2">
        <f>C19</f>
        <v>7.4199999999999995E-3</v>
      </c>
      <c r="I16" t="s">
        <v>17</v>
      </c>
    </row>
    <row r="17" spans="2:9" x14ac:dyDescent="0.35">
      <c r="B17" t="s">
        <v>27</v>
      </c>
      <c r="C17" s="8">
        <f>C16*C13</f>
        <v>3637.2549019607841</v>
      </c>
      <c r="G17" t="s">
        <v>19</v>
      </c>
      <c r="H17" s="9">
        <f>H15/H16</f>
        <v>0.25629181225003655</v>
      </c>
      <c r="I17" t="s">
        <v>20</v>
      </c>
    </row>
    <row r="18" spans="2:9" x14ac:dyDescent="0.35">
      <c r="B18" t="s">
        <v>28</v>
      </c>
      <c r="C18" s="8">
        <f>C17*C10/1000</f>
        <v>7.42</v>
      </c>
    </row>
    <row r="19" spans="2:9" x14ac:dyDescent="0.35">
      <c r="B19" t="s">
        <v>29</v>
      </c>
      <c r="C19" s="10">
        <f>C18/1000</f>
        <v>7.4199999999999995E-3</v>
      </c>
    </row>
    <row r="20" spans="2:9" x14ac:dyDescent="0.35">
      <c r="G20" t="s">
        <v>30</v>
      </c>
      <c r="H20" s="1" t="s">
        <v>31</v>
      </c>
    </row>
    <row r="21" spans="2:9" x14ac:dyDescent="0.35">
      <c r="B21" t="s">
        <v>32</v>
      </c>
      <c r="G21" t="s">
        <v>33</v>
      </c>
      <c r="H21" s="1" t="s">
        <v>34</v>
      </c>
    </row>
    <row r="22" spans="2:9" x14ac:dyDescent="0.35">
      <c r="B22" t="s">
        <v>35</v>
      </c>
      <c r="C22" s="11">
        <v>0.13320000000000001</v>
      </c>
      <c r="G22" t="s">
        <v>36</v>
      </c>
      <c r="H22" s="1" t="s">
        <v>37</v>
      </c>
    </row>
    <row r="23" spans="2:9" x14ac:dyDescent="0.35">
      <c r="B23" t="s">
        <v>38</v>
      </c>
      <c r="C23" s="11">
        <v>0.125</v>
      </c>
    </row>
    <row r="24" spans="2:9" x14ac:dyDescent="0.35">
      <c r="B24" t="s">
        <v>39</v>
      </c>
      <c r="C24" s="3">
        <f>AVERAGE(C22:C23)</f>
        <v>0.12909999999999999</v>
      </c>
      <c r="G24" s="12" t="s">
        <v>13</v>
      </c>
      <c r="H24" s="13">
        <f>H7</f>
        <v>4.2341479099678454E-2</v>
      </c>
      <c r="I24" s="12" t="s">
        <v>14</v>
      </c>
    </row>
    <row r="25" spans="2:9" x14ac:dyDescent="0.35">
      <c r="B25" t="s">
        <v>40</v>
      </c>
      <c r="C25" s="14">
        <f>STDEV(C22:C23)</f>
        <v>5.7982756057296985E-3</v>
      </c>
      <c r="G25" s="15" t="s">
        <v>19</v>
      </c>
      <c r="H25" s="16">
        <f>H24/C9</f>
        <v>2.1170739549839226</v>
      </c>
      <c r="I25" s="15" t="s">
        <v>41</v>
      </c>
    </row>
    <row r="26" spans="2:9" x14ac:dyDescent="0.35">
      <c r="G26" s="12" t="s">
        <v>19</v>
      </c>
      <c r="H26" s="13">
        <f>H9</f>
        <v>5.7063988004957489</v>
      </c>
      <c r="I26" s="12" t="s">
        <v>20</v>
      </c>
    </row>
    <row r="27" spans="2:9" x14ac:dyDescent="0.35">
      <c r="G27" s="12" t="s">
        <v>40</v>
      </c>
      <c r="H27" s="13">
        <f>H17</f>
        <v>0.25629181225003655</v>
      </c>
      <c r="I27" s="12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27"/>
  <sheetViews>
    <sheetView workbookViewId="0">
      <selection activeCell="C24" sqref="C24"/>
    </sheetView>
  </sheetViews>
  <sheetFormatPr defaultRowHeight="14.5" x14ac:dyDescent="0.35"/>
  <cols>
    <col min="2" max="2" width="14.36328125" bestFit="1" customWidth="1"/>
    <col min="3" max="3" width="11.54296875" bestFit="1" customWidth="1"/>
    <col min="7" max="7" width="18.9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0.04</v>
      </c>
      <c r="G4" t="s">
        <v>5</v>
      </c>
      <c r="H4" s="2">
        <f>C24</f>
        <v>8.77E-2</v>
      </c>
      <c r="I4" t="s">
        <v>6</v>
      </c>
    </row>
    <row r="5" spans="2:9" x14ac:dyDescent="0.35">
      <c r="B5" t="s">
        <v>7</v>
      </c>
      <c r="C5" s="1">
        <v>0.02</v>
      </c>
      <c r="G5" t="s">
        <v>8</v>
      </c>
      <c r="H5" s="3">
        <f>H4/H3</f>
        <v>1.4099678456591639E-5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14.09967845659164</v>
      </c>
      <c r="I6" t="s">
        <v>11</v>
      </c>
    </row>
    <row r="7" spans="2:9" x14ac:dyDescent="0.35">
      <c r="B7" t="s">
        <v>12</v>
      </c>
      <c r="C7" s="1"/>
      <c r="G7" t="s">
        <v>13</v>
      </c>
      <c r="H7" s="4">
        <f>H6/1000*C10</f>
        <v>2.8763344051446947E-2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2">
        <f>C19</f>
        <v>7.4199999999999995E-3</v>
      </c>
      <c r="I8" t="s">
        <v>17</v>
      </c>
    </row>
    <row r="9" spans="2:9" x14ac:dyDescent="0.35">
      <c r="B9" t="s">
        <v>18</v>
      </c>
      <c r="C9" s="1">
        <v>0.02</v>
      </c>
      <c r="G9" t="s">
        <v>19</v>
      </c>
      <c r="H9" s="3">
        <f>H7/H8</f>
        <v>3.8764614624591576</v>
      </c>
      <c r="I9" t="s">
        <v>20</v>
      </c>
    </row>
    <row r="10" spans="2:9" x14ac:dyDescent="0.35">
      <c r="B10" t="s">
        <v>21</v>
      </c>
      <c r="C10" s="3">
        <f>SUM(C3:C9)</f>
        <v>2.04</v>
      </c>
    </row>
    <row r="12" spans="2:9" x14ac:dyDescent="0.35">
      <c r="B12" t="s">
        <v>22</v>
      </c>
      <c r="C12" s="5">
        <f xml:space="preserve"> 3.71/C13*1000000</f>
        <v>117.9905353144718</v>
      </c>
      <c r="G12" t="s">
        <v>5</v>
      </c>
      <c r="H12" s="6">
        <f>C25</f>
        <v>5.5154328932550713E-3</v>
      </c>
      <c r="I12" t="s">
        <v>6</v>
      </c>
    </row>
    <row r="13" spans="2:9" x14ac:dyDescent="0.35">
      <c r="B13" t="s">
        <v>23</v>
      </c>
      <c r="C13" s="1">
        <v>31443.200000000001</v>
      </c>
      <c r="G13" t="s">
        <v>8</v>
      </c>
      <c r="H13" s="3">
        <f>H12/H3</f>
        <v>8.8672554553940057E-7</v>
      </c>
      <c r="I13" t="s">
        <v>9</v>
      </c>
    </row>
    <row r="14" spans="2:9" x14ac:dyDescent="0.35">
      <c r="B14" t="s">
        <v>24</v>
      </c>
      <c r="C14" s="1">
        <v>10</v>
      </c>
      <c r="G14" t="s">
        <v>8</v>
      </c>
      <c r="H14" s="3">
        <f>H13*1000000</f>
        <v>0.88672554553940053</v>
      </c>
      <c r="I14" t="s">
        <v>11</v>
      </c>
    </row>
    <row r="15" spans="2:9" x14ac:dyDescent="0.35">
      <c r="B15" t="s">
        <v>25</v>
      </c>
      <c r="C15" s="3">
        <f>C10/C9*C14</f>
        <v>1020</v>
      </c>
      <c r="G15" t="s">
        <v>13</v>
      </c>
      <c r="H15" s="3">
        <f>H14/1000*C10</f>
        <v>1.8089201129003771E-3</v>
      </c>
      <c r="I15" t="s">
        <v>14</v>
      </c>
    </row>
    <row r="16" spans="2:9" x14ac:dyDescent="0.35">
      <c r="B16" t="s">
        <v>26</v>
      </c>
      <c r="C16" s="7">
        <f>C12/C15</f>
        <v>0.11567699540634491</v>
      </c>
      <c r="G16" t="s">
        <v>16</v>
      </c>
      <c r="H16" s="2">
        <f>C19</f>
        <v>7.4199999999999995E-3</v>
      </c>
      <c r="I16" t="s">
        <v>17</v>
      </c>
    </row>
    <row r="17" spans="2:9" x14ac:dyDescent="0.35">
      <c r="B17" t="s">
        <v>27</v>
      </c>
      <c r="C17" s="8">
        <f>C16*C13</f>
        <v>3637.2549019607841</v>
      </c>
      <c r="G17" t="s">
        <v>19</v>
      </c>
      <c r="H17" s="9">
        <f>H15/H16</f>
        <v>0.24378977262808318</v>
      </c>
      <c r="I17" t="s">
        <v>20</v>
      </c>
    </row>
    <row r="18" spans="2:9" x14ac:dyDescent="0.35">
      <c r="B18" t="s">
        <v>28</v>
      </c>
      <c r="C18" s="8">
        <f>C17*C10/1000</f>
        <v>7.42</v>
      </c>
    </row>
    <row r="19" spans="2:9" x14ac:dyDescent="0.35">
      <c r="B19" t="s">
        <v>29</v>
      </c>
      <c r="C19" s="10">
        <f>C18/1000</f>
        <v>7.4199999999999995E-3</v>
      </c>
    </row>
    <row r="20" spans="2:9" x14ac:dyDescent="0.35">
      <c r="G20" t="s">
        <v>30</v>
      </c>
      <c r="H20" s="1" t="s">
        <v>31</v>
      </c>
    </row>
    <row r="21" spans="2:9" x14ac:dyDescent="0.35">
      <c r="B21" t="s">
        <v>32</v>
      </c>
      <c r="G21" t="s">
        <v>33</v>
      </c>
      <c r="H21" s="1" t="s">
        <v>34</v>
      </c>
    </row>
    <row r="22" spans="2:9" x14ac:dyDescent="0.35">
      <c r="B22" t="s">
        <v>35</v>
      </c>
      <c r="C22" s="11">
        <v>9.1600000000000001E-2</v>
      </c>
      <c r="G22" t="s">
        <v>36</v>
      </c>
      <c r="H22" s="1" t="s">
        <v>37</v>
      </c>
    </row>
    <row r="23" spans="2:9" x14ac:dyDescent="0.35">
      <c r="B23" t="s">
        <v>38</v>
      </c>
      <c r="C23" s="11">
        <v>8.3799999999999999E-2</v>
      </c>
    </row>
    <row r="24" spans="2:9" x14ac:dyDescent="0.35">
      <c r="B24" t="s">
        <v>39</v>
      </c>
      <c r="C24" s="3">
        <f>AVERAGE(C22:C23)</f>
        <v>8.77E-2</v>
      </c>
      <c r="G24" s="12" t="s">
        <v>13</v>
      </c>
      <c r="H24" s="13">
        <f>H7</f>
        <v>2.8763344051446947E-2</v>
      </c>
      <c r="I24" s="12" t="s">
        <v>14</v>
      </c>
    </row>
    <row r="25" spans="2:9" x14ac:dyDescent="0.35">
      <c r="B25" t="s">
        <v>40</v>
      </c>
      <c r="C25" s="14">
        <f>STDEV(C22:C23)</f>
        <v>5.5154328932550713E-3</v>
      </c>
      <c r="G25" s="15" t="s">
        <v>19</v>
      </c>
      <c r="H25" s="16">
        <f>H24/C9</f>
        <v>1.4381672025723473</v>
      </c>
      <c r="I25" s="15" t="s">
        <v>41</v>
      </c>
    </row>
    <row r="26" spans="2:9" x14ac:dyDescent="0.35">
      <c r="G26" s="12" t="s">
        <v>19</v>
      </c>
      <c r="H26" s="13">
        <f>H9</f>
        <v>3.8764614624591576</v>
      </c>
      <c r="I26" s="12" t="s">
        <v>20</v>
      </c>
    </row>
    <row r="27" spans="2:9" x14ac:dyDescent="0.35">
      <c r="G27" s="12" t="s">
        <v>40</v>
      </c>
      <c r="H27" s="13">
        <f>H17</f>
        <v>0.24378977262808318</v>
      </c>
      <c r="I27" s="12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27"/>
  <sheetViews>
    <sheetView workbookViewId="0">
      <selection activeCell="C22" sqref="A1:XFD1048576"/>
    </sheetView>
  </sheetViews>
  <sheetFormatPr defaultRowHeight="14.5" x14ac:dyDescent="0.35"/>
  <cols>
    <col min="2" max="2" width="14.36328125" bestFit="1" customWidth="1"/>
    <col min="3" max="3" width="11.54296875" bestFit="1" customWidth="1"/>
    <col min="7" max="7" width="18.9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0.04</v>
      </c>
      <c r="G4" t="s">
        <v>5</v>
      </c>
      <c r="H4" s="2">
        <f>C24</f>
        <v>9.085E-2</v>
      </c>
      <c r="I4" t="s">
        <v>6</v>
      </c>
    </row>
    <row r="5" spans="2:9" x14ac:dyDescent="0.35">
      <c r="B5" t="s">
        <v>7</v>
      </c>
      <c r="C5" s="1">
        <v>0.02</v>
      </c>
      <c r="G5" t="s">
        <v>8</v>
      </c>
      <c r="H5" s="3">
        <f>H4/H3</f>
        <v>1.4606109324758843E-5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14.606109324758842</v>
      </c>
      <c r="I6" t="s">
        <v>11</v>
      </c>
    </row>
    <row r="7" spans="2:9" x14ac:dyDescent="0.35">
      <c r="B7" t="s">
        <v>12</v>
      </c>
      <c r="C7" s="1"/>
      <c r="G7" t="s">
        <v>13</v>
      </c>
      <c r="H7" s="4">
        <f>H6/1000*C10</f>
        <v>2.9796463022508039E-2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2">
        <f>C19</f>
        <v>7.4199999999999995E-3</v>
      </c>
      <c r="I8" t="s">
        <v>17</v>
      </c>
    </row>
    <row r="9" spans="2:9" x14ac:dyDescent="0.35">
      <c r="B9" t="s">
        <v>18</v>
      </c>
      <c r="C9" s="1">
        <v>0.02</v>
      </c>
      <c r="G9" t="s">
        <v>19</v>
      </c>
      <c r="H9" s="3">
        <f>H7/H8</f>
        <v>4.0156958251358548</v>
      </c>
      <c r="I9" t="s">
        <v>20</v>
      </c>
    </row>
    <row r="10" spans="2:9" x14ac:dyDescent="0.35">
      <c r="B10" t="s">
        <v>21</v>
      </c>
      <c r="C10" s="3">
        <f>SUM(C3:C9)</f>
        <v>2.04</v>
      </c>
    </row>
    <row r="12" spans="2:9" x14ac:dyDescent="0.35">
      <c r="B12" t="s">
        <v>22</v>
      </c>
      <c r="C12" s="5">
        <f xml:space="preserve"> 3.71/C13*1000000</f>
        <v>117.9905353144718</v>
      </c>
      <c r="G12" t="s">
        <v>5</v>
      </c>
      <c r="H12" s="6">
        <f>C25</f>
        <v>2.7577164466275261E-3</v>
      </c>
      <c r="I12" t="s">
        <v>6</v>
      </c>
    </row>
    <row r="13" spans="2:9" x14ac:dyDescent="0.35">
      <c r="B13" t="s">
        <v>23</v>
      </c>
      <c r="C13" s="1">
        <v>31443.200000000001</v>
      </c>
      <c r="G13" t="s">
        <v>8</v>
      </c>
      <c r="H13" s="3">
        <f>H12/H3</f>
        <v>4.4336277276969875E-7</v>
      </c>
      <c r="I13" t="s">
        <v>9</v>
      </c>
    </row>
    <row r="14" spans="2:9" x14ac:dyDescent="0.35">
      <c r="B14" t="s">
        <v>24</v>
      </c>
      <c r="C14" s="1">
        <v>10</v>
      </c>
      <c r="G14" t="s">
        <v>8</v>
      </c>
      <c r="H14" s="3">
        <f>H13*1000000</f>
        <v>0.44336277276969877</v>
      </c>
      <c r="I14" t="s">
        <v>11</v>
      </c>
    </row>
    <row r="15" spans="2:9" x14ac:dyDescent="0.35">
      <c r="B15" t="s">
        <v>25</v>
      </c>
      <c r="C15" s="3">
        <f>C10/C9*C14</f>
        <v>1020</v>
      </c>
      <c r="G15" t="s">
        <v>13</v>
      </c>
      <c r="H15" s="3">
        <f>H14/1000*C10</f>
        <v>9.0446005645018551E-4</v>
      </c>
      <c r="I15" t="s">
        <v>14</v>
      </c>
    </row>
    <row r="16" spans="2:9" x14ac:dyDescent="0.35">
      <c r="B16" t="s">
        <v>26</v>
      </c>
      <c r="C16" s="7">
        <f>C12/C15</f>
        <v>0.11567699540634491</v>
      </c>
      <c r="G16" t="s">
        <v>16</v>
      </c>
      <c r="H16" s="2">
        <f>C19</f>
        <v>7.4199999999999995E-3</v>
      </c>
      <c r="I16" t="s">
        <v>17</v>
      </c>
    </row>
    <row r="17" spans="2:9" x14ac:dyDescent="0.35">
      <c r="B17" t="s">
        <v>27</v>
      </c>
      <c r="C17" s="8">
        <f>C16*C13</f>
        <v>3637.2549019607841</v>
      </c>
      <c r="G17" t="s">
        <v>19</v>
      </c>
      <c r="H17" s="9">
        <f>H15/H16</f>
        <v>0.12189488631404118</v>
      </c>
      <c r="I17" t="s">
        <v>20</v>
      </c>
    </row>
    <row r="18" spans="2:9" x14ac:dyDescent="0.35">
      <c r="B18" t="s">
        <v>28</v>
      </c>
      <c r="C18" s="8">
        <f>C17*C10/1000</f>
        <v>7.42</v>
      </c>
    </row>
    <row r="19" spans="2:9" x14ac:dyDescent="0.35">
      <c r="B19" t="s">
        <v>29</v>
      </c>
      <c r="C19" s="10">
        <f>C18/1000</f>
        <v>7.4199999999999995E-3</v>
      </c>
    </row>
    <row r="20" spans="2:9" x14ac:dyDescent="0.35">
      <c r="G20" t="s">
        <v>30</v>
      </c>
      <c r="H20" s="1" t="s">
        <v>31</v>
      </c>
    </row>
    <row r="21" spans="2:9" x14ac:dyDescent="0.35">
      <c r="B21" t="s">
        <v>32</v>
      </c>
      <c r="G21" t="s">
        <v>33</v>
      </c>
      <c r="H21" s="1" t="s">
        <v>34</v>
      </c>
    </row>
    <row r="22" spans="2:9" x14ac:dyDescent="0.35">
      <c r="B22" t="s">
        <v>35</v>
      </c>
      <c r="C22" s="11">
        <v>8.8900000000000007E-2</v>
      </c>
      <c r="G22" t="s">
        <v>36</v>
      </c>
      <c r="H22" s="1" t="s">
        <v>37</v>
      </c>
    </row>
    <row r="23" spans="2:9" x14ac:dyDescent="0.35">
      <c r="B23" t="s">
        <v>38</v>
      </c>
      <c r="C23" s="11">
        <v>9.2799999999999994E-2</v>
      </c>
    </row>
    <row r="24" spans="2:9" x14ac:dyDescent="0.35">
      <c r="B24" t="s">
        <v>39</v>
      </c>
      <c r="C24" s="3">
        <f>AVERAGE(C22:C23)</f>
        <v>9.085E-2</v>
      </c>
      <c r="G24" s="12" t="s">
        <v>13</v>
      </c>
      <c r="H24" s="13">
        <f>H7</f>
        <v>2.9796463022508039E-2</v>
      </c>
      <c r="I24" s="12" t="s">
        <v>14</v>
      </c>
    </row>
    <row r="25" spans="2:9" x14ac:dyDescent="0.35">
      <c r="B25" t="s">
        <v>40</v>
      </c>
      <c r="C25" s="14">
        <f>STDEV(C22:C23)</f>
        <v>2.7577164466275261E-3</v>
      </c>
      <c r="G25" s="15" t="s">
        <v>19</v>
      </c>
      <c r="H25" s="16">
        <f>H24/C9</f>
        <v>1.4898231511254019</v>
      </c>
      <c r="I25" s="15" t="s">
        <v>41</v>
      </c>
    </row>
    <row r="26" spans="2:9" x14ac:dyDescent="0.35">
      <c r="G26" s="12" t="s">
        <v>19</v>
      </c>
      <c r="H26" s="13">
        <f>H9</f>
        <v>4.0156958251358548</v>
      </c>
      <c r="I26" s="12" t="s">
        <v>20</v>
      </c>
    </row>
    <row r="27" spans="2:9" x14ac:dyDescent="0.35">
      <c r="G27" s="12" t="s">
        <v>40</v>
      </c>
      <c r="H27" s="13">
        <f>H17</f>
        <v>0.12189488631404118</v>
      </c>
      <c r="I27" s="12" t="s">
        <v>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27"/>
  <sheetViews>
    <sheetView workbookViewId="0">
      <selection activeCell="C24" sqref="C24"/>
    </sheetView>
  </sheetViews>
  <sheetFormatPr defaultRowHeight="14.5" x14ac:dyDescent="0.35"/>
  <cols>
    <col min="2" max="2" width="14.36328125" bestFit="1" customWidth="1"/>
    <col min="3" max="3" width="11.54296875" bestFit="1" customWidth="1"/>
    <col min="7" max="7" width="18.9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0.04</v>
      </c>
      <c r="G4" t="s">
        <v>5</v>
      </c>
      <c r="H4" s="2">
        <f>C24</f>
        <v>0.12855</v>
      </c>
      <c r="I4" t="s">
        <v>6</v>
      </c>
    </row>
    <row r="5" spans="2:9" x14ac:dyDescent="0.35">
      <c r="B5" t="s">
        <v>7</v>
      </c>
      <c r="C5" s="1">
        <v>0.02</v>
      </c>
      <c r="G5" t="s">
        <v>8</v>
      </c>
      <c r="H5" s="3">
        <f>H4/H3</f>
        <v>2.0667202572347267E-5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20.667202572347268</v>
      </c>
      <c r="I6" t="s">
        <v>11</v>
      </c>
    </row>
    <row r="7" spans="2:9" x14ac:dyDescent="0.35">
      <c r="B7" t="s">
        <v>12</v>
      </c>
      <c r="C7" s="1"/>
      <c r="G7" t="s">
        <v>13</v>
      </c>
      <c r="H7" s="4">
        <f>H6/1000*C10</f>
        <v>4.1954421221864956E-2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2">
        <f>C19</f>
        <v>3.7100000000000001E-2</v>
      </c>
      <c r="I8" t="s">
        <v>17</v>
      </c>
    </row>
    <row r="9" spans="2:9" x14ac:dyDescent="0.35">
      <c r="B9" t="s">
        <v>18</v>
      </c>
      <c r="C9" s="1">
        <v>0.01</v>
      </c>
      <c r="G9" t="s">
        <v>19</v>
      </c>
      <c r="H9" s="3">
        <f>H7/H8</f>
        <v>1.1308469332039071</v>
      </c>
      <c r="I9" t="s">
        <v>20</v>
      </c>
    </row>
    <row r="10" spans="2:9" x14ac:dyDescent="0.35">
      <c r="B10" t="s">
        <v>21</v>
      </c>
      <c r="C10" s="3">
        <f>SUM(C3:C9)</f>
        <v>2.0299999999999998</v>
      </c>
    </row>
    <row r="12" spans="2:9" x14ac:dyDescent="0.35">
      <c r="B12" t="s">
        <v>22</v>
      </c>
      <c r="C12" s="5">
        <f xml:space="preserve"> 3.71/C13*1000000</f>
        <v>117.9905353144718</v>
      </c>
      <c r="G12" t="s">
        <v>5</v>
      </c>
      <c r="H12" s="6">
        <f>C25</f>
        <v>2.7577164466275456E-3</v>
      </c>
      <c r="I12" t="s">
        <v>6</v>
      </c>
    </row>
    <row r="13" spans="2:9" x14ac:dyDescent="0.35">
      <c r="B13" t="s">
        <v>23</v>
      </c>
      <c r="C13" s="1">
        <v>31443.200000000001</v>
      </c>
      <c r="G13" t="s">
        <v>8</v>
      </c>
      <c r="H13" s="3">
        <f>H12/H3</f>
        <v>4.4336277276970187E-7</v>
      </c>
      <c r="I13" t="s">
        <v>9</v>
      </c>
    </row>
    <row r="14" spans="2:9" x14ac:dyDescent="0.35">
      <c r="B14" t="s">
        <v>24</v>
      </c>
      <c r="C14" s="1">
        <v>1</v>
      </c>
      <c r="G14" t="s">
        <v>8</v>
      </c>
      <c r="H14" s="3">
        <f>H13*1000000</f>
        <v>0.44336277276970187</v>
      </c>
      <c r="I14" t="s">
        <v>11</v>
      </c>
    </row>
    <row r="15" spans="2:9" x14ac:dyDescent="0.35">
      <c r="B15" t="s">
        <v>25</v>
      </c>
      <c r="C15" s="3">
        <f>C10/C9*C14</f>
        <v>202.99999999999997</v>
      </c>
      <c r="G15" t="s">
        <v>13</v>
      </c>
      <c r="H15" s="3">
        <f>H14/1000*C10</f>
        <v>9.0002642872249474E-4</v>
      </c>
      <c r="I15" t="s">
        <v>14</v>
      </c>
    </row>
    <row r="16" spans="2:9" x14ac:dyDescent="0.35">
      <c r="B16" t="s">
        <v>26</v>
      </c>
      <c r="C16" s="7">
        <f>C12/C15</f>
        <v>0.58123416411069861</v>
      </c>
      <c r="G16" t="s">
        <v>16</v>
      </c>
      <c r="H16" s="2">
        <f>C19</f>
        <v>3.7100000000000001E-2</v>
      </c>
      <c r="I16" t="s">
        <v>17</v>
      </c>
    </row>
    <row r="17" spans="2:9" x14ac:dyDescent="0.35">
      <c r="B17" t="s">
        <v>27</v>
      </c>
      <c r="C17" s="8">
        <f>C16*C13</f>
        <v>18275.862068965518</v>
      </c>
      <c r="G17" t="s">
        <v>19</v>
      </c>
      <c r="H17" s="9">
        <f>H15/H16</f>
        <v>2.4259472472304439E-2</v>
      </c>
      <c r="I17" t="s">
        <v>20</v>
      </c>
    </row>
    <row r="18" spans="2:9" x14ac:dyDescent="0.35">
      <c r="B18" t="s">
        <v>28</v>
      </c>
      <c r="C18" s="8">
        <f>C17*C10/1000</f>
        <v>37.1</v>
      </c>
    </row>
    <row r="19" spans="2:9" x14ac:dyDescent="0.35">
      <c r="B19" t="s">
        <v>29</v>
      </c>
      <c r="C19" s="10">
        <f>C18/1000</f>
        <v>3.7100000000000001E-2</v>
      </c>
    </row>
    <row r="20" spans="2:9" x14ac:dyDescent="0.35">
      <c r="G20" t="s">
        <v>30</v>
      </c>
      <c r="H20" s="1" t="s">
        <v>31</v>
      </c>
    </row>
    <row r="21" spans="2:9" x14ac:dyDescent="0.35">
      <c r="B21" t="s">
        <v>32</v>
      </c>
      <c r="G21" t="s">
        <v>33</v>
      </c>
      <c r="H21" s="1" t="s">
        <v>34</v>
      </c>
    </row>
    <row r="22" spans="2:9" x14ac:dyDescent="0.35">
      <c r="B22" t="s">
        <v>35</v>
      </c>
      <c r="C22" s="11">
        <v>0.1305</v>
      </c>
      <c r="G22" t="s">
        <v>36</v>
      </c>
      <c r="H22" s="1" t="s">
        <v>37</v>
      </c>
    </row>
    <row r="23" spans="2:9" x14ac:dyDescent="0.35">
      <c r="B23" t="s">
        <v>38</v>
      </c>
      <c r="C23" s="11">
        <v>0.12659999999999999</v>
      </c>
    </row>
    <row r="24" spans="2:9" x14ac:dyDescent="0.35">
      <c r="B24" t="s">
        <v>39</v>
      </c>
      <c r="C24" s="3">
        <f>AVERAGE(C22:C23)</f>
        <v>0.12855</v>
      </c>
      <c r="G24" s="12" t="s">
        <v>13</v>
      </c>
      <c r="H24" s="13">
        <f>H7</f>
        <v>4.1954421221864956E-2</v>
      </c>
      <c r="I24" s="12" t="s">
        <v>14</v>
      </c>
    </row>
    <row r="25" spans="2:9" x14ac:dyDescent="0.35">
      <c r="B25" t="s">
        <v>40</v>
      </c>
      <c r="C25" s="14">
        <f>STDEV(C22:C23)</f>
        <v>2.7577164466275456E-3</v>
      </c>
      <c r="G25" s="15" t="s">
        <v>19</v>
      </c>
      <c r="H25" s="16">
        <f>H24/C9</f>
        <v>4.1954421221864955</v>
      </c>
      <c r="I25" s="15" t="s">
        <v>41</v>
      </c>
    </row>
    <row r="26" spans="2:9" x14ac:dyDescent="0.35">
      <c r="G26" s="12" t="s">
        <v>19</v>
      </c>
      <c r="H26" s="13">
        <f>H9</f>
        <v>1.1308469332039071</v>
      </c>
      <c r="I26" s="12" t="s">
        <v>20</v>
      </c>
    </row>
    <row r="27" spans="2:9" x14ac:dyDescent="0.35">
      <c r="G27" s="12" t="s">
        <v>40</v>
      </c>
      <c r="H27" s="13">
        <f>H17</f>
        <v>2.4259472472304439E-2</v>
      </c>
      <c r="I27" s="12" t="s">
        <v>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I27"/>
  <sheetViews>
    <sheetView workbookViewId="0">
      <selection activeCell="C15" sqref="C15"/>
    </sheetView>
  </sheetViews>
  <sheetFormatPr defaultRowHeight="14.5" x14ac:dyDescent="0.35"/>
  <cols>
    <col min="2" max="2" width="14.36328125" bestFit="1" customWidth="1"/>
    <col min="3" max="3" width="11.54296875" bestFit="1" customWidth="1"/>
    <col min="7" max="7" width="18.90625" bestFit="1" customWidth="1"/>
    <col min="8" max="8" width="12" bestFit="1" customWidth="1"/>
    <col min="9" max="9" width="11.54296875" bestFit="1" customWidth="1"/>
  </cols>
  <sheetData>
    <row r="2" spans="2:9" x14ac:dyDescent="0.35">
      <c r="C2" t="s">
        <v>0</v>
      </c>
    </row>
    <row r="3" spans="2:9" x14ac:dyDescent="0.3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35">
      <c r="B4" t="s">
        <v>4</v>
      </c>
      <c r="C4" s="1">
        <v>0.04</v>
      </c>
      <c r="G4" t="s">
        <v>5</v>
      </c>
      <c r="H4" s="2">
        <f>C24</f>
        <v>8.6400000000000005E-2</v>
      </c>
      <c r="I4" t="s">
        <v>6</v>
      </c>
    </row>
    <row r="5" spans="2:9" x14ac:dyDescent="0.35">
      <c r="B5" t="s">
        <v>7</v>
      </c>
      <c r="C5" s="1">
        <v>0.02</v>
      </c>
      <c r="G5" t="s">
        <v>8</v>
      </c>
      <c r="H5" s="3">
        <f>H4/H3</f>
        <v>1.3890675241157557E-5</v>
      </c>
      <c r="I5" t="s">
        <v>9</v>
      </c>
    </row>
    <row r="6" spans="2:9" x14ac:dyDescent="0.35">
      <c r="B6" t="s">
        <v>10</v>
      </c>
      <c r="C6" s="1">
        <v>0.02</v>
      </c>
      <c r="G6" t="s">
        <v>8</v>
      </c>
      <c r="H6" s="3">
        <f>H5*1000000</f>
        <v>13.890675241157556</v>
      </c>
      <c r="I6" t="s">
        <v>11</v>
      </c>
    </row>
    <row r="7" spans="2:9" x14ac:dyDescent="0.35">
      <c r="B7" t="s">
        <v>12</v>
      </c>
      <c r="C7" s="1"/>
      <c r="G7" t="s">
        <v>13</v>
      </c>
      <c r="H7" s="4">
        <f>H6/1000*C10</f>
        <v>2.8198070739549837E-2</v>
      </c>
      <c r="I7" t="s">
        <v>14</v>
      </c>
    </row>
    <row r="8" spans="2:9" x14ac:dyDescent="0.35">
      <c r="B8" t="s">
        <v>15</v>
      </c>
      <c r="C8" s="1">
        <v>0.04</v>
      </c>
      <c r="G8" t="s">
        <v>16</v>
      </c>
      <c r="H8" s="2">
        <f>C19</f>
        <v>3.7100000000000001E-2</v>
      </c>
      <c r="I8" t="s">
        <v>17</v>
      </c>
    </row>
    <row r="9" spans="2:9" x14ac:dyDescent="0.35">
      <c r="B9" t="s">
        <v>18</v>
      </c>
      <c r="C9" s="1">
        <v>0.01</v>
      </c>
      <c r="G9" t="s">
        <v>19</v>
      </c>
      <c r="H9" s="3">
        <f>H7/H8</f>
        <v>0.76005581508220577</v>
      </c>
      <c r="I9" t="s">
        <v>20</v>
      </c>
    </row>
    <row r="10" spans="2:9" x14ac:dyDescent="0.35">
      <c r="B10" t="s">
        <v>21</v>
      </c>
      <c r="C10" s="3">
        <f>SUM(C3:C9)</f>
        <v>2.0299999999999998</v>
      </c>
    </row>
    <row r="12" spans="2:9" x14ac:dyDescent="0.35">
      <c r="B12" t="s">
        <v>22</v>
      </c>
      <c r="C12" s="5">
        <f xml:space="preserve"> 3.71/C13*1000000</f>
        <v>117.9905353144718</v>
      </c>
      <c r="G12" t="s">
        <v>5</v>
      </c>
      <c r="H12" s="6">
        <f>C25</f>
        <v>4.1012193308819752E-3</v>
      </c>
      <c r="I12" t="s">
        <v>6</v>
      </c>
    </row>
    <row r="13" spans="2:9" x14ac:dyDescent="0.35">
      <c r="B13" t="s">
        <v>23</v>
      </c>
      <c r="C13" s="1">
        <v>31443.200000000001</v>
      </c>
      <c r="G13" t="s">
        <v>8</v>
      </c>
      <c r="H13" s="3">
        <f>H12/H3</f>
        <v>6.593600210421182E-7</v>
      </c>
      <c r="I13" t="s">
        <v>9</v>
      </c>
    </row>
    <row r="14" spans="2:9" x14ac:dyDescent="0.35">
      <c r="B14" t="s">
        <v>24</v>
      </c>
      <c r="C14" s="1">
        <v>1</v>
      </c>
      <c r="G14" t="s">
        <v>8</v>
      </c>
      <c r="H14" s="3">
        <f>H13*1000000</f>
        <v>0.65936002104211822</v>
      </c>
      <c r="I14" t="s">
        <v>11</v>
      </c>
    </row>
    <row r="15" spans="2:9" x14ac:dyDescent="0.35">
      <c r="B15" t="s">
        <v>25</v>
      </c>
      <c r="C15" s="3">
        <f>C10/C9*C14</f>
        <v>202.99999999999997</v>
      </c>
      <c r="G15" t="s">
        <v>13</v>
      </c>
      <c r="H15" s="3">
        <f>H14/1000*C10</f>
        <v>1.3385008427154999E-3</v>
      </c>
      <c r="I15" t="s">
        <v>14</v>
      </c>
    </row>
    <row r="16" spans="2:9" x14ac:dyDescent="0.35">
      <c r="B16" t="s">
        <v>26</v>
      </c>
      <c r="C16" s="7">
        <f>C12/C15</f>
        <v>0.58123416411069861</v>
      </c>
      <c r="G16" t="s">
        <v>16</v>
      </c>
      <c r="H16" s="2">
        <f>C19</f>
        <v>3.7100000000000001E-2</v>
      </c>
      <c r="I16" t="s">
        <v>17</v>
      </c>
    </row>
    <row r="17" spans="2:9" x14ac:dyDescent="0.35">
      <c r="B17" t="s">
        <v>27</v>
      </c>
      <c r="C17" s="8">
        <f>C16*C13</f>
        <v>18275.862068965518</v>
      </c>
      <c r="G17" t="s">
        <v>19</v>
      </c>
      <c r="H17" s="9">
        <f>H15/H16</f>
        <v>3.6078189830606462E-2</v>
      </c>
      <c r="I17" t="s">
        <v>20</v>
      </c>
    </row>
    <row r="18" spans="2:9" x14ac:dyDescent="0.35">
      <c r="B18" t="s">
        <v>28</v>
      </c>
      <c r="C18" s="8">
        <f>C17*C10/1000</f>
        <v>37.1</v>
      </c>
    </row>
    <row r="19" spans="2:9" x14ac:dyDescent="0.35">
      <c r="B19" t="s">
        <v>29</v>
      </c>
      <c r="C19" s="10">
        <f>C18/1000</f>
        <v>3.7100000000000001E-2</v>
      </c>
    </row>
    <row r="20" spans="2:9" x14ac:dyDescent="0.35">
      <c r="G20" t="s">
        <v>30</v>
      </c>
      <c r="H20" s="1" t="s">
        <v>31</v>
      </c>
    </row>
    <row r="21" spans="2:9" x14ac:dyDescent="0.35">
      <c r="B21" t="s">
        <v>32</v>
      </c>
      <c r="G21" t="s">
        <v>33</v>
      </c>
      <c r="H21" s="1" t="s">
        <v>34</v>
      </c>
    </row>
    <row r="22" spans="2:9" x14ac:dyDescent="0.35">
      <c r="B22" t="s">
        <v>35</v>
      </c>
      <c r="C22" s="11">
        <v>8.9300000000000004E-2</v>
      </c>
      <c r="G22" t="s">
        <v>36</v>
      </c>
      <c r="H22" s="1" t="s">
        <v>37</v>
      </c>
    </row>
    <row r="23" spans="2:9" x14ac:dyDescent="0.35">
      <c r="B23" t="s">
        <v>38</v>
      </c>
      <c r="C23" s="11">
        <v>8.3500000000000005E-2</v>
      </c>
    </row>
    <row r="24" spans="2:9" x14ac:dyDescent="0.35">
      <c r="B24" t="s">
        <v>39</v>
      </c>
      <c r="C24" s="3">
        <f>AVERAGE(C22:C23)</f>
        <v>8.6400000000000005E-2</v>
      </c>
      <c r="G24" s="12" t="s">
        <v>13</v>
      </c>
      <c r="H24" s="13">
        <f>H7</f>
        <v>2.8198070739549837E-2</v>
      </c>
      <c r="I24" s="12" t="s">
        <v>14</v>
      </c>
    </row>
    <row r="25" spans="2:9" x14ac:dyDescent="0.35">
      <c r="B25" t="s">
        <v>40</v>
      </c>
      <c r="C25" s="14">
        <f>STDEV(C22:C23)</f>
        <v>4.1012193308819752E-3</v>
      </c>
      <c r="G25" s="15" t="s">
        <v>19</v>
      </c>
      <c r="H25" s="16">
        <f>H24/C9</f>
        <v>2.8198070739549834</v>
      </c>
      <c r="I25" s="15" t="s">
        <v>41</v>
      </c>
    </row>
    <row r="26" spans="2:9" x14ac:dyDescent="0.35">
      <c r="G26" s="12" t="s">
        <v>19</v>
      </c>
      <c r="H26" s="13">
        <f>H9</f>
        <v>0.76005581508220577</v>
      </c>
      <c r="I26" s="12" t="s">
        <v>20</v>
      </c>
    </row>
    <row r="27" spans="2:9" x14ac:dyDescent="0.35">
      <c r="G27" s="12" t="s">
        <v>40</v>
      </c>
      <c r="H27" s="13">
        <f>H17</f>
        <v>3.6078189830606462E-2</v>
      </c>
      <c r="I27" s="12" t="s">
        <v>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2:P35"/>
  <sheetViews>
    <sheetView tabSelected="1" topLeftCell="G11" zoomScale="68" zoomScaleNormal="100" workbookViewId="0">
      <selection activeCell="AA30" sqref="AA30"/>
    </sheetView>
  </sheetViews>
  <sheetFormatPr defaultRowHeight="14.5" x14ac:dyDescent="0.35"/>
  <cols>
    <col min="3" max="3" width="21.90625" bestFit="1" customWidth="1"/>
    <col min="4" max="4" width="14.36328125" bestFit="1" customWidth="1"/>
  </cols>
  <sheetData>
    <row r="2" spans="3:16" x14ac:dyDescent="0.35">
      <c r="C2" t="s">
        <v>1</v>
      </c>
      <c r="D2" t="s">
        <v>51</v>
      </c>
      <c r="L2" t="s">
        <v>50</v>
      </c>
    </row>
    <row r="3" spans="3:16" x14ac:dyDescent="0.35">
      <c r="C3" t="s">
        <v>42</v>
      </c>
      <c r="D3">
        <v>6.5</v>
      </c>
      <c r="E3">
        <v>7</v>
      </c>
      <c r="F3">
        <v>7.5</v>
      </c>
      <c r="L3">
        <v>6.5</v>
      </c>
      <c r="M3">
        <v>7</v>
      </c>
      <c r="N3">
        <v>7.5</v>
      </c>
    </row>
    <row r="4" spans="3:16" x14ac:dyDescent="0.35">
      <c r="C4" t="s">
        <v>43</v>
      </c>
      <c r="D4" s="18">
        <v>4.0930482488451316</v>
      </c>
      <c r="E4" s="18">
        <v>4.4842305058891858</v>
      </c>
      <c r="F4" s="18">
        <v>2.8819303004827486</v>
      </c>
      <c r="L4" s="18">
        <f>D4/$F$12*100</f>
        <v>66.907514450867083</v>
      </c>
      <c r="M4" s="18">
        <f t="shared" ref="M4:N4" si="0">E4/$F$12*100</f>
        <v>73.302023121387307</v>
      </c>
      <c r="N4" s="18">
        <f t="shared" si="0"/>
        <v>47.109826589595379</v>
      </c>
    </row>
    <row r="5" spans="3:16" x14ac:dyDescent="0.35">
      <c r="C5" t="s">
        <v>44</v>
      </c>
      <c r="D5" s="18">
        <v>6.2510198109764964E-2</v>
      </c>
      <c r="E5" s="18">
        <v>0.36568465894212476</v>
      </c>
      <c r="F5" s="18">
        <v>1.2502039621952907E-2</v>
      </c>
      <c r="L5" s="18">
        <f>D5/$F$12*100</f>
        <v>1.0218306086510813</v>
      </c>
      <c r="M5" s="18">
        <f t="shared" ref="M5" si="1">E5/$F$12*100</f>
        <v>5.9777090606088201</v>
      </c>
      <c r="N5" s="18">
        <f t="shared" ref="N5" si="2">F5/$F$12*100</f>
        <v>0.20436612173021484</v>
      </c>
    </row>
    <row r="6" spans="3:16" x14ac:dyDescent="0.35">
      <c r="C6" t="s">
        <v>1</v>
      </c>
      <c r="D6" t="s">
        <v>45</v>
      </c>
      <c r="L6" s="18"/>
      <c r="M6" s="18"/>
      <c r="N6" s="18"/>
    </row>
    <row r="7" spans="3:16" x14ac:dyDescent="0.35">
      <c r="C7" t="s">
        <v>42</v>
      </c>
      <c r="D7">
        <v>7.5</v>
      </c>
      <c r="E7">
        <v>8</v>
      </c>
      <c r="F7">
        <v>8.5</v>
      </c>
      <c r="G7">
        <v>9</v>
      </c>
      <c r="L7">
        <v>7.5</v>
      </c>
      <c r="M7">
        <v>8</v>
      </c>
      <c r="N7">
        <v>8.5</v>
      </c>
      <c r="O7">
        <v>9</v>
      </c>
    </row>
    <row r="8" spans="3:16" x14ac:dyDescent="0.35">
      <c r="C8" t="s">
        <v>43</v>
      </c>
      <c r="D8" s="18">
        <v>4.7671193697402527</v>
      </c>
      <c r="E8" s="18">
        <v>3.4675986514244115</v>
      </c>
      <c r="F8" s="18">
        <v>2.5951702042219549</v>
      </c>
      <c r="G8" s="18">
        <v>2.3157481156631805</v>
      </c>
      <c r="L8" s="18">
        <f t="shared" ref="L8" si="3">D8/$F$12*100</f>
        <v>77.926300578034699</v>
      </c>
      <c r="M8" s="18">
        <f t="shared" ref="M8" si="4">E8/$F$12*100</f>
        <v>56.683526011560701</v>
      </c>
      <c r="N8" s="18">
        <f t="shared" ref="N8:O12" si="5">F8/$F$12*100</f>
        <v>42.422267558275728</v>
      </c>
      <c r="O8" s="18">
        <f t="shared" si="5"/>
        <v>37.854660168499016</v>
      </c>
    </row>
    <row r="9" spans="3:16" x14ac:dyDescent="0.35">
      <c r="C9" t="s">
        <v>44</v>
      </c>
      <c r="D9" s="18">
        <v>5.3133668393300387E-2</v>
      </c>
      <c r="E9" s="18">
        <v>0.19690712404575947</v>
      </c>
      <c r="F9" s="18">
        <v>3.505473854782893E-2</v>
      </c>
      <c r="G9" s="18">
        <v>0.27725111396919244</v>
      </c>
      <c r="L9" s="18">
        <f t="shared" ref="L9" si="6">D9/$F$12*100</f>
        <v>0.86855601735342181</v>
      </c>
      <c r="M9" s="18">
        <f t="shared" ref="M9" si="7">E9/$F$12*100</f>
        <v>3.2187664172509032</v>
      </c>
      <c r="N9" s="18">
        <f t="shared" ref="N9" si="8">F9/$F$12*100</f>
        <v>0.57302657661609568</v>
      </c>
      <c r="O9" s="18">
        <f t="shared" ref="O9" si="9">G9/$F$12*100</f>
        <v>4.5321192877818479</v>
      </c>
    </row>
    <row r="10" spans="3:16" x14ac:dyDescent="0.35">
      <c r="C10" t="s">
        <v>1</v>
      </c>
      <c r="D10" t="s">
        <v>52</v>
      </c>
      <c r="L10" s="18"/>
      <c r="M10" s="18"/>
      <c r="N10" s="18"/>
    </row>
    <row r="11" spans="3:16" x14ac:dyDescent="0.35">
      <c r="C11" t="s">
        <v>42</v>
      </c>
      <c r="D11">
        <v>6</v>
      </c>
      <c r="E11">
        <v>6.5</v>
      </c>
      <c r="F11">
        <v>7</v>
      </c>
      <c r="G11">
        <v>7.5</v>
      </c>
      <c r="H11">
        <v>8</v>
      </c>
      <c r="L11">
        <v>6</v>
      </c>
      <c r="M11">
        <v>6.5</v>
      </c>
      <c r="N11">
        <v>7</v>
      </c>
      <c r="O11">
        <v>7.5</v>
      </c>
      <c r="P11">
        <v>8</v>
      </c>
    </row>
    <row r="12" spans="3:16" x14ac:dyDescent="0.35">
      <c r="C12" t="s">
        <v>43</v>
      </c>
      <c r="D12" s="18">
        <v>6.0246487723281987</v>
      </c>
      <c r="E12" s="18">
        <v>6.2235550047234813</v>
      </c>
      <c r="F12" s="18">
        <v>6.1174716807793308</v>
      </c>
      <c r="G12" s="18">
        <v>5.1892425962680182</v>
      </c>
      <c r="H12" s="18">
        <v>4.2919544812404125</v>
      </c>
      <c r="L12" s="18">
        <f>D12/$F$12*100</f>
        <v>98.482658959537559</v>
      </c>
      <c r="M12" s="18">
        <f>E12/$F$12*100</f>
        <v>101.73410404624279</v>
      </c>
      <c r="N12" s="18">
        <f t="shared" si="5"/>
        <v>100</v>
      </c>
      <c r="O12" s="18">
        <f t="shared" ref="O12" si="10">G12/$F$12*100</f>
        <v>84.826589595375751</v>
      </c>
      <c r="P12" s="18">
        <f t="shared" ref="P12" si="11">H12/$F$12*100</f>
        <v>70.158959537572258</v>
      </c>
    </row>
    <row r="13" spans="3:16" x14ac:dyDescent="0.35">
      <c r="C13" t="s">
        <v>44</v>
      </c>
      <c r="D13" s="18">
        <v>0.45007342639030734</v>
      </c>
      <c r="E13" s="18">
        <v>0.25629181225003655</v>
      </c>
      <c r="F13" s="18">
        <v>0.17502855470734158</v>
      </c>
      <c r="G13" s="18">
        <v>0.15002447546343575</v>
      </c>
      <c r="H13" s="18">
        <v>0.28754691130491855</v>
      </c>
      <c r="L13" s="18">
        <f>D13/$F$12*100</f>
        <v>7.3571803822877788</v>
      </c>
      <c r="M13" s="18">
        <f t="shared" ref="M13" si="12">E13/$F$12*100</f>
        <v>4.1895054954694366</v>
      </c>
      <c r="N13" s="18">
        <f t="shared" ref="N13" si="13">F13/$F$12*100</f>
        <v>2.861125704223022</v>
      </c>
      <c r="O13" s="18">
        <f t="shared" ref="O13" si="14">G13/$F$12*100</f>
        <v>2.4523934607625923</v>
      </c>
      <c r="P13" s="18">
        <f t="shared" ref="P13" si="15">H13/$F$12*100</f>
        <v>4.7004207997949692</v>
      </c>
    </row>
    <row r="18" spans="3:12" x14ac:dyDescent="0.35">
      <c r="D18" s="17"/>
    </row>
    <row r="19" spans="3:12" x14ac:dyDescent="0.35">
      <c r="D19" s="17"/>
    </row>
    <row r="20" spans="3:12" x14ac:dyDescent="0.35">
      <c r="C20" t="s">
        <v>1</v>
      </c>
      <c r="D20" t="s">
        <v>46</v>
      </c>
    </row>
    <row r="21" spans="3:12" x14ac:dyDescent="0.35">
      <c r="C21" t="s">
        <v>42</v>
      </c>
      <c r="D21">
        <v>7</v>
      </c>
      <c r="L21">
        <v>7</v>
      </c>
    </row>
    <row r="22" spans="3:12" x14ac:dyDescent="0.35">
      <c r="C22" t="s">
        <v>43</v>
      </c>
      <c r="D22" s="17">
        <f>'50 mM KPi'!H26</f>
        <v>5.7063988004957489</v>
      </c>
      <c r="L22" s="19">
        <f>D22/$D$22*100</f>
        <v>100</v>
      </c>
    </row>
    <row r="23" spans="3:12" x14ac:dyDescent="0.35">
      <c r="C23" t="s">
        <v>44</v>
      </c>
      <c r="D23" s="17">
        <f>'50 mM KPi'!H27</f>
        <v>0.25629181225003655</v>
      </c>
      <c r="L23" s="19">
        <f t="shared" ref="L23:L31" si="16">D23/$F$12*100</f>
        <v>4.1895054954694366</v>
      </c>
    </row>
    <row r="24" spans="3:12" x14ac:dyDescent="0.35">
      <c r="C24" t="s">
        <v>1</v>
      </c>
      <c r="D24" t="s">
        <v>47</v>
      </c>
      <c r="L24" s="19"/>
    </row>
    <row r="25" spans="3:12" x14ac:dyDescent="0.35">
      <c r="C25" t="s">
        <v>42</v>
      </c>
      <c r="D25">
        <v>5</v>
      </c>
      <c r="K25">
        <v>4.5</v>
      </c>
      <c r="L25">
        <v>5</v>
      </c>
    </row>
    <row r="26" spans="3:12" x14ac:dyDescent="0.35">
      <c r="C26" t="s">
        <v>43</v>
      </c>
      <c r="D26" s="17">
        <f>'acetate 5'!H26</f>
        <v>3.8764614624591576</v>
      </c>
      <c r="L26" s="19">
        <f>D26/$D$22*100</f>
        <v>67.931835786212247</v>
      </c>
    </row>
    <row r="27" spans="3:12" x14ac:dyDescent="0.35">
      <c r="C27" t="s">
        <v>44</v>
      </c>
      <c r="D27" s="17">
        <f>'acetate 5'!H27</f>
        <v>0.24378977262808318</v>
      </c>
      <c r="K27">
        <v>0</v>
      </c>
      <c r="L27" s="19">
        <f t="shared" si="16"/>
        <v>3.985139373739214</v>
      </c>
    </row>
    <row r="28" spans="3:12" x14ac:dyDescent="0.35">
      <c r="C28" t="s">
        <v>1</v>
      </c>
      <c r="D28" t="s">
        <v>48</v>
      </c>
      <c r="L28" s="19"/>
    </row>
    <row r="29" spans="3:12" x14ac:dyDescent="0.35">
      <c r="C29" t="s">
        <v>42</v>
      </c>
      <c r="D29">
        <v>5.5</v>
      </c>
      <c r="K29">
        <v>5</v>
      </c>
      <c r="L29">
        <v>5.5</v>
      </c>
    </row>
    <row r="30" spans="3:12" x14ac:dyDescent="0.35">
      <c r="C30" t="s">
        <v>43</v>
      </c>
      <c r="D30" s="17">
        <f>'pyridine 5.5'!H26</f>
        <v>4.0156958251358548</v>
      </c>
      <c r="L30" s="19">
        <f>D30/$D$22*100</f>
        <v>70.371804802478707</v>
      </c>
    </row>
    <row r="31" spans="3:12" x14ac:dyDescent="0.35">
      <c r="C31" t="s">
        <v>44</v>
      </c>
      <c r="D31" s="17">
        <f>'pyridine 5.5'!H27</f>
        <v>0.12189488631404118</v>
      </c>
      <c r="K31">
        <v>0</v>
      </c>
      <c r="L31" s="19">
        <f t="shared" si="16"/>
        <v>1.9925696868696001</v>
      </c>
    </row>
    <row r="32" spans="3:12" x14ac:dyDescent="0.35">
      <c r="C32" t="s">
        <v>1</v>
      </c>
      <c r="D32" t="s">
        <v>49</v>
      </c>
      <c r="L32" s="19"/>
    </row>
    <row r="33" spans="3:13" x14ac:dyDescent="0.35">
      <c r="C33" t="s">
        <v>42</v>
      </c>
      <c r="D33">
        <v>9.5</v>
      </c>
      <c r="E33">
        <v>10</v>
      </c>
      <c r="L33">
        <v>9.5</v>
      </c>
      <c r="M33">
        <v>10</v>
      </c>
    </row>
    <row r="34" spans="3:13" x14ac:dyDescent="0.35">
      <c r="C34" t="s">
        <v>43</v>
      </c>
      <c r="D34" s="17">
        <f>'glycine 9.5'!H26</f>
        <v>1.1308469332039071</v>
      </c>
      <c r="E34" s="17">
        <f>'glycine 10'!H26</f>
        <v>0.76005581508220577</v>
      </c>
      <c r="L34" s="19">
        <f>D34/$D$22*100</f>
        <v>19.817173189957625</v>
      </c>
      <c r="M34" s="19">
        <f>E34/$D$22*100</f>
        <v>13.319360277031025</v>
      </c>
    </row>
    <row r="35" spans="3:13" x14ac:dyDescent="0.35">
      <c r="C35" t="s">
        <v>44</v>
      </c>
      <c r="D35" s="17">
        <f>'glycine 9.5'!H27</f>
        <v>2.4259472472304439E-2</v>
      </c>
      <c r="E35" s="17">
        <f>'glycine 10'!H27</f>
        <v>3.6078189830606462E-2</v>
      </c>
      <c r="L35" s="19">
        <f>D35/$F$12*100</f>
        <v>0.39656043768091337</v>
      </c>
      <c r="M35" s="19">
        <f>E35/$F$12*100</f>
        <v>0.58975654834597135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100 mM KPi</vt:lpstr>
      <vt:lpstr>50 mM KPi</vt:lpstr>
      <vt:lpstr>acetate 5</vt:lpstr>
      <vt:lpstr>pyridine 5.5</vt:lpstr>
      <vt:lpstr>glycine 9.5</vt:lpstr>
      <vt:lpstr>glycine 10</vt:lpstr>
      <vt:lpstr>Summary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Caroline Paul</cp:lastModifiedBy>
  <dcterms:created xsi:type="dcterms:W3CDTF">2023-03-06T13:56:33Z</dcterms:created>
  <dcterms:modified xsi:type="dcterms:W3CDTF">2024-05-11T07:12:27Z</dcterms:modified>
</cp:coreProperties>
</file>