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paul\surfdrive - Caroline Paul@surfdrive.surf.nl (2)\Documents\Publications\RytRedAm\01-Data\"/>
    </mc:Choice>
  </mc:AlternateContent>
  <xr:revisionPtr revIDLastSave="0" documentId="13_ncr:1_{102F5F74-A6EE-4006-A94C-94F9CB61B489}" xr6:coauthVersionLast="47" xr6:coauthVersionMax="47" xr10:uidLastSave="{00000000-0000-0000-0000-000000000000}"/>
  <bookViews>
    <workbookView xWindow="-110" yWindow="-110" windowWidth="19420" windowHeight="11620" firstSheet="1" activeTab="6" xr2:uid="{91C342E1-754B-4825-98A6-37621B99205A}"/>
  </bookViews>
  <sheets>
    <sheet name="emptyvector" sheetId="1" r:id="rId1"/>
    <sheet name="aspredam" sheetId="2" r:id="rId2"/>
    <sheet name="rytredam" sheetId="3" r:id="rId3"/>
    <sheet name="shyredam" sheetId="4" r:id="rId4"/>
    <sheet name="BacRedAm" sheetId="5" r:id="rId5"/>
    <sheet name="pihredam" sheetId="6" r:id="rId6"/>
    <sheet name="summary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7" l="1"/>
  <c r="Y22" i="7"/>
  <c r="V22" i="7"/>
  <c r="S22" i="7"/>
  <c r="S17" i="7" s="1"/>
  <c r="Y10" i="7"/>
  <c r="V10" i="7"/>
  <c r="V5" i="7" s="1"/>
  <c r="S10" i="7"/>
  <c r="Y17" i="7"/>
  <c r="Y5" i="7"/>
  <c r="S5" i="7"/>
  <c r="V17" i="7"/>
  <c r="D24" i="7"/>
  <c r="M32" i="7"/>
  <c r="E34" i="7"/>
  <c r="K34" i="7" s="1"/>
  <c r="F34" i="7"/>
  <c r="L34" i="7" s="1"/>
  <c r="G34" i="7"/>
  <c r="M34" i="7" s="1"/>
  <c r="D34" i="7"/>
  <c r="J34" i="7" s="1"/>
  <c r="E33" i="7"/>
  <c r="K33" i="7" s="1"/>
  <c r="F33" i="7"/>
  <c r="L33" i="7" s="1"/>
  <c r="G33" i="7"/>
  <c r="M33" i="7" s="1"/>
  <c r="D33" i="7"/>
  <c r="J33" i="7" s="1"/>
  <c r="E32" i="7"/>
  <c r="K32" i="7" s="1"/>
  <c r="F32" i="7"/>
  <c r="L32" i="7" s="1"/>
  <c r="G32" i="7"/>
  <c r="D32" i="7"/>
  <c r="J32" i="7" s="1"/>
  <c r="E31" i="7"/>
  <c r="K31" i="7" s="1"/>
  <c r="F31" i="7"/>
  <c r="L31" i="7" s="1"/>
  <c r="G31" i="7"/>
  <c r="M31" i="7" s="1"/>
  <c r="D31" i="7"/>
  <c r="J31" i="7" s="1"/>
  <c r="E30" i="7"/>
  <c r="K30" i="7" s="1"/>
  <c r="F30" i="7"/>
  <c r="L30" i="7" s="1"/>
  <c r="G30" i="7"/>
  <c r="M30" i="7" s="1"/>
  <c r="D30" i="7"/>
  <c r="J30" i="7" s="1"/>
  <c r="G29" i="7"/>
  <c r="M29" i="7" s="1"/>
  <c r="E29" i="7"/>
  <c r="K29" i="7" s="1"/>
  <c r="F29" i="7"/>
  <c r="L29" i="7" s="1"/>
  <c r="D29" i="7"/>
  <c r="J29" i="7" s="1"/>
  <c r="D23" i="7"/>
  <c r="D22" i="7"/>
  <c r="F12" i="7"/>
  <c r="F11" i="7"/>
  <c r="F10" i="7"/>
  <c r="F9" i="7"/>
  <c r="F8" i="7"/>
  <c r="E12" i="7"/>
  <c r="E11" i="7"/>
  <c r="E10" i="7"/>
  <c r="E8" i="7"/>
  <c r="F7" i="7"/>
  <c r="E7" i="7"/>
  <c r="H32" i="6"/>
  <c r="H22" i="6"/>
  <c r="H23" i="6" s="1"/>
  <c r="H24" i="6" s="1"/>
  <c r="H25" i="6" s="1"/>
  <c r="C21" i="6"/>
  <c r="C20" i="6"/>
  <c r="H19" i="6"/>
  <c r="C10" i="6"/>
  <c r="C14" i="6" s="1"/>
  <c r="C15" i="6" s="1"/>
  <c r="H4" i="6"/>
  <c r="H5" i="6" s="1"/>
  <c r="H6" i="6" s="1"/>
  <c r="H7" i="6" s="1"/>
  <c r="H32" i="5"/>
  <c r="H22" i="5"/>
  <c r="H23" i="5" s="1"/>
  <c r="H24" i="5" s="1"/>
  <c r="H25" i="5" s="1"/>
  <c r="C21" i="5"/>
  <c r="C20" i="5"/>
  <c r="H19" i="5"/>
  <c r="C10" i="5"/>
  <c r="C14" i="5" s="1"/>
  <c r="C15" i="5" s="1"/>
  <c r="H4" i="5"/>
  <c r="H5" i="5" s="1"/>
  <c r="H6" i="5" s="1"/>
  <c r="H7" i="5" s="1"/>
  <c r="C14" i="4"/>
  <c r="H32" i="4"/>
  <c r="H22" i="4"/>
  <c r="H23" i="4" s="1"/>
  <c r="H24" i="4" s="1"/>
  <c r="H25" i="4" s="1"/>
  <c r="C21" i="4"/>
  <c r="C20" i="4"/>
  <c r="H19" i="4"/>
  <c r="C10" i="4"/>
  <c r="C15" i="4" s="1"/>
  <c r="H4" i="4"/>
  <c r="H5" i="4" s="1"/>
  <c r="H6" i="4" s="1"/>
  <c r="H7" i="4" s="1"/>
  <c r="H32" i="3"/>
  <c r="H22" i="3"/>
  <c r="H23" i="3" s="1"/>
  <c r="H24" i="3" s="1"/>
  <c r="H25" i="3" s="1"/>
  <c r="C21" i="3"/>
  <c r="C20" i="3"/>
  <c r="H19" i="3"/>
  <c r="C10" i="3"/>
  <c r="C14" i="3" s="1"/>
  <c r="C15" i="3" s="1"/>
  <c r="H4" i="3"/>
  <c r="H5" i="3" s="1"/>
  <c r="H6" i="3" s="1"/>
  <c r="H7" i="3" s="1"/>
  <c r="H32" i="2"/>
  <c r="H22" i="2"/>
  <c r="H23" i="2" s="1"/>
  <c r="H24" i="2" s="1"/>
  <c r="H25" i="2" s="1"/>
  <c r="C21" i="2"/>
  <c r="C20" i="2"/>
  <c r="H19" i="2"/>
  <c r="C10" i="2"/>
  <c r="C14" i="2" s="1"/>
  <c r="C15" i="2" s="1"/>
  <c r="H4" i="2"/>
  <c r="H5" i="2" s="1"/>
  <c r="H6" i="2" s="1"/>
  <c r="H7" i="2" s="1"/>
  <c r="H35" i="1"/>
  <c r="H34" i="1"/>
  <c r="H30" i="1"/>
  <c r="H32" i="1"/>
  <c r="H22" i="1"/>
  <c r="H23" i="1" s="1"/>
  <c r="H24" i="1" s="1"/>
  <c r="H25" i="1" s="1"/>
  <c r="C21" i="1"/>
  <c r="C20" i="1"/>
  <c r="H19" i="1"/>
  <c r="C10" i="1"/>
  <c r="C14" i="1" s="1"/>
  <c r="C15" i="1" s="1"/>
  <c r="H4" i="1"/>
  <c r="H5" i="1" s="1"/>
  <c r="H6" i="1" s="1"/>
  <c r="H7" i="1" s="1"/>
  <c r="H29" i="6" l="1"/>
  <c r="H30" i="6" s="1"/>
  <c r="H27" i="6"/>
  <c r="H31" i="6" s="1"/>
  <c r="H9" i="6"/>
  <c r="H18" i="6" s="1"/>
  <c r="H16" i="6"/>
  <c r="H17" i="6" s="1"/>
  <c r="H26" i="6"/>
  <c r="H8" i="6"/>
  <c r="H27" i="5"/>
  <c r="H31" i="5" s="1"/>
  <c r="H29" i="5"/>
  <c r="H30" i="5" s="1"/>
  <c r="H9" i="5"/>
  <c r="H18" i="5" s="1"/>
  <c r="H16" i="5"/>
  <c r="H17" i="5" s="1"/>
  <c r="H26" i="5"/>
  <c r="H8" i="5"/>
  <c r="H29" i="4"/>
  <c r="H30" i="4" s="1"/>
  <c r="H27" i="4"/>
  <c r="H31" i="4" s="1"/>
  <c r="H16" i="4"/>
  <c r="H17" i="4" s="1"/>
  <c r="H9" i="4"/>
  <c r="H18" i="4" s="1"/>
  <c r="H8" i="4"/>
  <c r="H26" i="4"/>
  <c r="H29" i="3"/>
  <c r="H30" i="3" s="1"/>
  <c r="H8" i="3"/>
  <c r="H9" i="3" s="1"/>
  <c r="H18" i="3" s="1"/>
  <c r="H26" i="3"/>
  <c r="H27" i="3" s="1"/>
  <c r="H31" i="3" s="1"/>
  <c r="H16" i="3"/>
  <c r="H17" i="3" s="1"/>
  <c r="H8" i="2"/>
  <c r="H9" i="2" s="1"/>
  <c r="H18" i="2" s="1"/>
  <c r="H26" i="2"/>
  <c r="H27" i="2" s="1"/>
  <c r="H31" i="2" s="1"/>
  <c r="H29" i="2"/>
  <c r="H30" i="2" s="1"/>
  <c r="H16" i="2"/>
  <c r="H17" i="2" s="1"/>
  <c r="H29" i="1"/>
  <c r="H27" i="1"/>
  <c r="H31" i="1" s="1"/>
  <c r="H9" i="1"/>
  <c r="H18" i="1" s="1"/>
  <c r="H16" i="1"/>
  <c r="H17" i="1" s="1"/>
  <c r="H26" i="1"/>
  <c r="H8" i="1"/>
  <c r="H35" i="6" l="1"/>
  <c r="H34" i="6"/>
  <c r="H34" i="5"/>
  <c r="H35" i="5"/>
  <c r="H35" i="4"/>
  <c r="H34" i="4"/>
  <c r="H35" i="3"/>
  <c r="H34" i="3"/>
  <c r="H34" i="2"/>
  <c r="H35" i="2"/>
</calcChain>
</file>

<file path=xl/sharedStrings.xml><?xml version="1.0" encoding="utf-8"?>
<sst xmlns="http://schemas.openxmlformats.org/spreadsheetml/2006/main" count="518" uniqueCount="78">
  <si>
    <t>Cuvet mix</t>
  </si>
  <si>
    <t>Buffer</t>
  </si>
  <si>
    <t>extinction coeff.</t>
  </si>
  <si>
    <t>M-1cm-1</t>
  </si>
  <si>
    <t>Amine</t>
  </si>
  <si>
    <t>slope</t>
  </si>
  <si>
    <t>A/min</t>
  </si>
  <si>
    <t>Gox</t>
  </si>
  <si>
    <t>concentration/min</t>
  </si>
  <si>
    <t>M/min</t>
  </si>
  <si>
    <t>Substrate</t>
  </si>
  <si>
    <t>umol/L/min</t>
  </si>
  <si>
    <t>NADH</t>
  </si>
  <si>
    <t>U</t>
  </si>
  <si>
    <t>umol/min</t>
  </si>
  <si>
    <t>NADPH</t>
  </si>
  <si>
    <t>enzyme amount</t>
  </si>
  <si>
    <t>mg</t>
  </si>
  <si>
    <t>enzyme</t>
  </si>
  <si>
    <t>Specific activity</t>
  </si>
  <si>
    <t>U/mg</t>
  </si>
  <si>
    <t>Total</t>
  </si>
  <si>
    <t>Enzyme (mg/ml)</t>
  </si>
  <si>
    <t>Enzyme name</t>
  </si>
  <si>
    <t>stock dilution</t>
  </si>
  <si>
    <t>Substrate name</t>
  </si>
  <si>
    <t>hexanal, allylamine</t>
  </si>
  <si>
    <t>dil factor</t>
  </si>
  <si>
    <t>concentration (mM)</t>
  </si>
  <si>
    <t>10, 100</t>
  </si>
  <si>
    <t>in mg</t>
  </si>
  <si>
    <t>Data (abs/min)</t>
  </si>
  <si>
    <t>U/mL</t>
  </si>
  <si>
    <t>#1</t>
  </si>
  <si>
    <t>#2</t>
  </si>
  <si>
    <t>Stdev</t>
  </si>
  <si>
    <t>Average</t>
  </si>
  <si>
    <t>stdev</t>
  </si>
  <si>
    <t>average</t>
  </si>
  <si>
    <t>x</t>
  </si>
  <si>
    <t>empty vector</t>
  </si>
  <si>
    <t>aspredam</t>
  </si>
  <si>
    <t>asp</t>
  </si>
  <si>
    <t>shy</t>
  </si>
  <si>
    <t>bac</t>
  </si>
  <si>
    <t>pih</t>
  </si>
  <si>
    <t>AspRedAm</t>
  </si>
  <si>
    <t>RytRedAm</t>
  </si>
  <si>
    <t>ShyRedAm</t>
  </si>
  <si>
    <t>BacRedAm</t>
  </si>
  <si>
    <t>PihRedAm</t>
  </si>
  <si>
    <t>Empty vector</t>
  </si>
  <si>
    <t>mM</t>
  </si>
  <si>
    <t>mL reaction</t>
  </si>
  <si>
    <t>umol</t>
  </si>
  <si>
    <t>req. activity for full conversion after 24 hours</t>
  </si>
  <si>
    <t>1</t>
  </si>
  <si>
    <t>0.1</t>
  </si>
  <si>
    <t>0.01</t>
  </si>
  <si>
    <t>0.001</t>
  </si>
  <si>
    <t>in ml req</t>
  </si>
  <si>
    <t>in ul req</t>
  </si>
  <si>
    <t>req. activity for full conversion after 4 hours</t>
  </si>
  <si>
    <t>0.1 U/mL</t>
  </si>
  <si>
    <t>1 mL reaction mix</t>
  </si>
  <si>
    <t xml:space="preserve">0.1 U </t>
  </si>
  <si>
    <t>enzyme req</t>
  </si>
  <si>
    <t>pipetting scheme</t>
  </si>
  <si>
    <t>buffer</t>
  </si>
  <si>
    <t>glucose</t>
  </si>
  <si>
    <t>nadp+</t>
  </si>
  <si>
    <t>GDH</t>
  </si>
  <si>
    <t>propargylamine</t>
  </si>
  <si>
    <t>substrate</t>
  </si>
  <si>
    <t>TOTAL</t>
  </si>
  <si>
    <t>ryt</t>
  </si>
  <si>
    <t>10xdil stock</t>
  </si>
  <si>
    <t>in umol/min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</si>
</sst>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.00_ ;_ * \-#,##0.00_ ;_ * &quot;-&quot;??_ ;_ @_ "/>
    <numFmt numFmtId="165" formatCode="0.0000"/>
    <numFmt numFmtId="166" formatCode="0.000"/>
    <numFmt numFmtId="167" formatCode="_ * #,##0.000_ ;_ * \-#,##0.000_ ;_ * &quot;-&quot;??_ ;_ @_ "/>
    <numFmt numFmtId="168" formatCode="0.0E+00"/>
    <numFmt numFmtId="169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5" fillId="4" borderId="1" applyNumberFormat="0" applyAlignment="0" applyProtection="0"/>
  </cellStyleXfs>
  <cellXfs count="19">
    <xf numFmtId="0" fontId="0" fillId="0" borderId="0" xfId="0"/>
    <xf numFmtId="0" fontId="3" fillId="3" borderId="1" xfId="3"/>
    <xf numFmtId="165" fontId="4" fillId="4" borderId="2" xfId="4" applyNumberFormat="1"/>
    <xf numFmtId="0" fontId="5" fillId="4" borderId="1" xfId="5"/>
    <xf numFmtId="166" fontId="5" fillId="4" borderId="1" xfId="5" applyNumberFormat="1"/>
    <xf numFmtId="167" fontId="4" fillId="4" borderId="2" xfId="4" applyNumberFormat="1"/>
    <xf numFmtId="2" fontId="5" fillId="4" borderId="1" xfId="5" applyNumberFormat="1"/>
    <xf numFmtId="1" fontId="3" fillId="3" borderId="1" xfId="3" applyNumberFormat="1"/>
    <xf numFmtId="167" fontId="5" fillId="4" borderId="1" xfId="1" applyNumberFormat="1" applyFont="1" applyFill="1" applyBorder="1"/>
    <xf numFmtId="0" fontId="2" fillId="2" borderId="0" xfId="2"/>
    <xf numFmtId="166" fontId="2" fillId="2" borderId="0" xfId="2" applyNumberFormat="1"/>
    <xf numFmtId="0" fontId="2" fillId="2" borderId="0" xfId="2" applyBorder="1"/>
    <xf numFmtId="165" fontId="3" fillId="3" borderId="1" xfId="3" applyNumberFormat="1"/>
    <xf numFmtId="2" fontId="2" fillId="2" borderId="0" xfId="2" applyNumberFormat="1"/>
    <xf numFmtId="165" fontId="5" fillId="4" borderId="1" xfId="5" applyNumberFormat="1"/>
    <xf numFmtId="2" fontId="0" fillId="0" borderId="0" xfId="0" applyNumberFormat="1"/>
    <xf numFmtId="168" fontId="0" fillId="0" borderId="0" xfId="0" applyNumberFormat="1"/>
    <xf numFmtId="169" fontId="0" fillId="0" borderId="0" xfId="0" applyNumberFormat="1"/>
    <xf numFmtId="1" fontId="0" fillId="0" borderId="0" xfId="0" applyNumberFormat="1"/>
  </cellXfs>
  <cellStyles count="6">
    <cellStyle name="Calculation" xfId="5" builtinId="22"/>
    <cellStyle name="Comma" xfId="1" builtinId="3"/>
    <cellStyle name="Good" xfId="2" builtinId="26"/>
    <cellStyle name="Input" xfId="3" builtinId="20"/>
    <cellStyle name="Normal" xfId="0" builtinId="0"/>
    <cellStyle name="Output" xfId="4" builtinId="21"/>
  </cellStyles>
  <dxfs count="8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8856741422276"/>
          <c:y val="4.1892721646190755E-2"/>
          <c:w val="0.87040834554249968"/>
          <c:h val="0.81927319662200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summary!$F$7:$F$12</c:f>
                <c:numCache>
                  <c:formatCode>General</c:formatCode>
                  <c:ptCount val="6"/>
                  <c:pt idx="0">
                    <c:v>1.5654116361637872E-2</c:v>
                  </c:pt>
                  <c:pt idx="1">
                    <c:v>9.1400940847908049E-2</c:v>
                  </c:pt>
                  <c:pt idx="2">
                    <c:v>0.13710141127185563</c:v>
                  </c:pt>
                  <c:pt idx="3">
                    <c:v>0.93685964369105035</c:v>
                  </c:pt>
                  <c:pt idx="4">
                    <c:v>0.16074742581957741</c:v>
                  </c:pt>
                  <c:pt idx="5">
                    <c:v>5.626159903685253E-2</c:v>
                  </c:pt>
                </c:numCache>
              </c:numRef>
            </c:plus>
            <c:minus>
              <c:numRef>
                <c:f>summary!$F$7:$F$12</c:f>
                <c:numCache>
                  <c:formatCode>General</c:formatCode>
                  <c:ptCount val="6"/>
                  <c:pt idx="0">
                    <c:v>1.5654116361637872E-2</c:v>
                  </c:pt>
                  <c:pt idx="1">
                    <c:v>9.1400940847908049E-2</c:v>
                  </c:pt>
                  <c:pt idx="2">
                    <c:v>0.13710141127185563</c:v>
                  </c:pt>
                  <c:pt idx="3">
                    <c:v>0.93685964369105035</c:v>
                  </c:pt>
                  <c:pt idx="4">
                    <c:v>0.16074742581957741</c:v>
                  </c:pt>
                  <c:pt idx="5">
                    <c:v>5.626159903685253E-2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summary!$D$7:$D$12</c:f>
              <c:strCache>
                <c:ptCount val="6"/>
                <c:pt idx="0">
                  <c:v>Empty vector</c:v>
                </c:pt>
                <c:pt idx="1">
                  <c:v>AspRedAm</c:v>
                </c:pt>
                <c:pt idx="2">
                  <c:v>RytRedAm</c:v>
                </c:pt>
                <c:pt idx="3">
                  <c:v>ShyRedAm</c:v>
                </c:pt>
                <c:pt idx="4">
                  <c:v>BacRedAm</c:v>
                </c:pt>
                <c:pt idx="5">
                  <c:v>PihRedAm</c:v>
                </c:pt>
              </c:strCache>
            </c:strRef>
          </c:cat>
          <c:val>
            <c:numRef>
              <c:f>summary!$E$7:$E$12</c:f>
              <c:numCache>
                <c:formatCode>0.00</c:formatCode>
                <c:ptCount val="6"/>
                <c:pt idx="0">
                  <c:v>0.38331993569131828</c:v>
                </c:pt>
                <c:pt idx="1">
                  <c:v>4.0135369774919605</c:v>
                </c:pt>
                <c:pt idx="2">
                  <c:v>83.049839228295781</c:v>
                </c:pt>
                <c:pt idx="3">
                  <c:v>34.173231511254016</c:v>
                </c:pt>
                <c:pt idx="4">
                  <c:v>10.457234726688103</c:v>
                </c:pt>
                <c:pt idx="5">
                  <c:v>1.4297508038585207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AC-4C10-8770-D42F5F132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7991344"/>
        <c:axId val="2087992784"/>
      </c:barChart>
      <c:catAx>
        <c:axId val="208799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992784"/>
        <c:crosses val="autoZero"/>
        <c:auto val="1"/>
        <c:lblAlgn val="ctr"/>
        <c:lblOffset val="100"/>
        <c:noMultiLvlLbl val="0"/>
      </c:catAx>
      <c:valAx>
        <c:axId val="2087992784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>
                    <a:solidFill>
                      <a:sysClr val="windowText" lastClr="000000"/>
                    </a:solidFill>
                  </a:rPr>
                  <a:t>CFE activity (U/mL)</a:t>
                </a:r>
              </a:p>
            </c:rich>
          </c:tx>
          <c:layout>
            <c:manualLayout>
              <c:xMode val="edge"/>
              <c:yMode val="edge"/>
              <c:x val="0"/>
              <c:y val="0.22079160750713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99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66320247574455"/>
          <c:y val="5.3001624576388007E-3"/>
          <c:w val="0.79518140195978237"/>
          <c:h val="0.7887791378075854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summary!$F$7:$F$12</c:f>
                <c:numCache>
                  <c:formatCode>General</c:formatCode>
                  <c:ptCount val="6"/>
                  <c:pt idx="0">
                    <c:v>1.5654116361637872E-2</c:v>
                  </c:pt>
                  <c:pt idx="1">
                    <c:v>9.1400940847908049E-2</c:v>
                  </c:pt>
                  <c:pt idx="2">
                    <c:v>0.13710141127185563</c:v>
                  </c:pt>
                  <c:pt idx="3">
                    <c:v>0.93685964369105035</c:v>
                  </c:pt>
                  <c:pt idx="4">
                    <c:v>0.16074742581957741</c:v>
                  </c:pt>
                  <c:pt idx="5">
                    <c:v>5.626159903685253E-2</c:v>
                  </c:pt>
                </c:numCache>
              </c:numRef>
            </c:plus>
            <c:minus>
              <c:numRef>
                <c:f>summary!$F$7:$F$12</c:f>
                <c:numCache>
                  <c:formatCode>General</c:formatCode>
                  <c:ptCount val="6"/>
                  <c:pt idx="0">
                    <c:v>1.5654116361637872E-2</c:v>
                  </c:pt>
                  <c:pt idx="1">
                    <c:v>9.1400940847908049E-2</c:v>
                  </c:pt>
                  <c:pt idx="2">
                    <c:v>0.13710141127185563</c:v>
                  </c:pt>
                  <c:pt idx="3">
                    <c:v>0.93685964369105035</c:v>
                  </c:pt>
                  <c:pt idx="4">
                    <c:v>0.16074742581957741</c:v>
                  </c:pt>
                  <c:pt idx="5">
                    <c:v>5.626159903685253E-2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summary!$D$7:$D$12</c:f>
              <c:strCache>
                <c:ptCount val="6"/>
                <c:pt idx="0">
                  <c:v>Empty vector</c:v>
                </c:pt>
                <c:pt idx="1">
                  <c:v>AspRedAm</c:v>
                </c:pt>
                <c:pt idx="2">
                  <c:v>RytRedAm</c:v>
                </c:pt>
                <c:pt idx="3">
                  <c:v>ShyRedAm</c:v>
                </c:pt>
                <c:pt idx="4">
                  <c:v>BacRedAm</c:v>
                </c:pt>
                <c:pt idx="5">
                  <c:v>PihRedAm</c:v>
                </c:pt>
              </c:strCache>
            </c:strRef>
          </c:cat>
          <c:val>
            <c:numRef>
              <c:f>summary!$E$7:$E$12</c:f>
              <c:numCache>
                <c:formatCode>0.00</c:formatCode>
                <c:ptCount val="6"/>
                <c:pt idx="0">
                  <c:v>0.38331993569131828</c:v>
                </c:pt>
                <c:pt idx="1">
                  <c:v>4.0135369774919605</c:v>
                </c:pt>
                <c:pt idx="2">
                  <c:v>83.049839228295781</c:v>
                </c:pt>
                <c:pt idx="3">
                  <c:v>34.173231511254016</c:v>
                </c:pt>
                <c:pt idx="4">
                  <c:v>10.457234726688103</c:v>
                </c:pt>
                <c:pt idx="5">
                  <c:v>1.4297508038585207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FC-4792-9907-41C28E931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87991344"/>
        <c:axId val="2087992784"/>
      </c:barChart>
      <c:catAx>
        <c:axId val="2087991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992784"/>
        <c:crosses val="autoZero"/>
        <c:auto val="1"/>
        <c:lblAlgn val="ctr"/>
        <c:lblOffset val="100"/>
        <c:noMultiLvlLbl val="0"/>
      </c:catAx>
      <c:valAx>
        <c:axId val="2087992784"/>
        <c:scaling>
          <c:orientation val="minMax"/>
          <c:max val="90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/>
                  <a:t>CFE activity (U/mL)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991344"/>
        <c:crosses val="autoZero"/>
        <c:crossBetween val="between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335449</xdr:colOff>
      <xdr:row>0</xdr:row>
      <xdr:rowOff>72079</xdr:rowOff>
    </xdr:from>
    <xdr:to>
      <xdr:col>13</xdr:col>
      <xdr:colOff>411179</xdr:colOff>
      <xdr:row>11</xdr:row>
      <xdr:rowOff>136579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CC3BA0-32BD-4795-B784-BB9BCB867B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91722</xdr:colOff>
      <xdr:row>11</xdr:row>
      <xdr:rowOff>105833</xdr:rowOff>
    </xdr:from>
    <xdr:to>
      <xdr:col>15</xdr:col>
      <xdr:colOff>365008</xdr:colOff>
      <xdr:row>22</xdr:row>
      <xdr:rowOff>170333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6438F8-2D7D-48CB-90F3-931A9FB9C4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4CCA3D3-6810-4C67-9B21-F9BAB0A5E626}" name="Table1" displayName="Table1" ref="D28:G34" totalsRowShown="0">
  <autoFilter ref="D28:G34" xr:uid="{C4CCA3D3-6810-4C67-9B21-F9BAB0A5E626}"/>
  <tableColumns count="4">
    <tableColumn id="1" xr3:uid="{0FF3FECF-8612-4D8D-A1AD-4648B493E53B}" name="1" dataDxfId="7">
      <calculatedColumnFormula>$D$28/$E$8</calculatedColumnFormula>
    </tableColumn>
    <tableColumn id="2" xr3:uid="{03804EF5-984F-445C-8F23-4204ED2600BE}" name="0.1" dataDxfId="6">
      <calculatedColumnFormula>$E$28/$E$8</calculatedColumnFormula>
    </tableColumn>
    <tableColumn id="3" xr3:uid="{CF29323E-7A74-413D-9279-54B296BBBCE2}" name="0.01" dataDxfId="5">
      <calculatedColumnFormula>$F$28/$E$8</calculatedColumnFormula>
    </tableColumn>
    <tableColumn id="4" xr3:uid="{5D824085-F7FB-4F6D-8F1B-D4DCADF854D4}" name="0.001" dataDxfId="4">
      <calculatedColumnFormula>$G$28/$E$8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D3AACE8-1E81-4F01-8EC2-01F105CEE06B}" name="Table13" displayName="Table13" ref="J28:M34" totalsRowShown="0">
  <autoFilter ref="J28:M34" xr:uid="{3D3AACE8-1E81-4F01-8EC2-01F105CEE06B}"/>
  <tableColumns count="4">
    <tableColumn id="1" xr3:uid="{3854FDD6-2577-4FAC-816F-6C77EAFC21BC}" name="1" dataDxfId="3">
      <calculatedColumnFormula>Table1[[#This Row],[1]]*1000</calculatedColumnFormula>
    </tableColumn>
    <tableColumn id="2" xr3:uid="{308CAF8B-D3CA-4A33-88D2-ABBE85A4DFF9}" name="0.1" dataDxfId="2">
      <calculatedColumnFormula>Table1[[#This Row],[0.1]]*1000</calculatedColumnFormula>
    </tableColumn>
    <tableColumn id="3" xr3:uid="{0B6A5468-8708-447D-9306-D861C418CCCC}" name="0.01" dataDxfId="1">
      <calculatedColumnFormula>Table1[[#This Row],[0.01]]*1000</calculatedColumnFormula>
    </tableColumn>
    <tableColumn id="4" xr3:uid="{39DBBE17-9BAB-40F1-A09D-737F2337EE84}" name="0.001" dataDxfId="0">
      <calculatedColumnFormula>Table1[[#This Row],[0.001]]*1000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6D955-1252-4E72-9593-20B9F986B537}">
  <dimension ref="B2:I35"/>
  <sheetViews>
    <sheetView workbookViewId="0">
      <selection activeCell="C13" sqref="C13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1.74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0.2</v>
      </c>
      <c r="G4" t="s">
        <v>5</v>
      </c>
      <c r="H4" s="2">
        <f>C18</f>
        <v>4.8099999999999997E-2</v>
      </c>
      <c r="I4" t="s">
        <v>6</v>
      </c>
    </row>
    <row r="5" spans="2:9" x14ac:dyDescent="0.35">
      <c r="B5" t="s">
        <v>7</v>
      </c>
      <c r="C5" s="1">
        <v>0</v>
      </c>
      <c r="G5" t="s">
        <v>8</v>
      </c>
      <c r="H5" s="3">
        <f>H4/H3</f>
        <v>7.7331189710610931E-6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7.733118971061093</v>
      </c>
      <c r="I6" t="s">
        <v>11</v>
      </c>
    </row>
    <row r="7" spans="2:9" x14ac:dyDescent="0.35">
      <c r="B7" t="s">
        <v>12</v>
      </c>
      <c r="C7" s="1">
        <v>0</v>
      </c>
      <c r="G7" t="s">
        <v>13</v>
      </c>
      <c r="H7" s="4">
        <f>H6/1000*C10</f>
        <v>1.577556270096463E-2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5" t="e">
        <f>C15</f>
        <v>#VALUE!</v>
      </c>
      <c r="I8" t="s">
        <v>17</v>
      </c>
    </row>
    <row r="9" spans="2:9" x14ac:dyDescent="0.35">
      <c r="B9" t="s">
        <v>18</v>
      </c>
      <c r="C9" s="1">
        <v>0.04</v>
      </c>
      <c r="G9" t="s">
        <v>19</v>
      </c>
      <c r="H9" s="3" t="e">
        <f>H7/H8</f>
        <v>#VALUE!</v>
      </c>
      <c r="I9" t="s">
        <v>20</v>
      </c>
    </row>
    <row r="10" spans="2:9" x14ac:dyDescent="0.35">
      <c r="B10" t="s">
        <v>21</v>
      </c>
      <c r="C10" s="6">
        <f>SUM(C3:C9)</f>
        <v>2.04</v>
      </c>
    </row>
    <row r="12" spans="2:9" x14ac:dyDescent="0.35">
      <c r="B12" t="s">
        <v>22</v>
      </c>
      <c r="C12" s="7" t="s">
        <v>39</v>
      </c>
      <c r="G12" t="s">
        <v>23</v>
      </c>
      <c r="H12" s="1" t="s">
        <v>40</v>
      </c>
    </row>
    <row r="13" spans="2:9" x14ac:dyDescent="0.35">
      <c r="B13" t="s">
        <v>24</v>
      </c>
      <c r="C13" s="1">
        <v>1</v>
      </c>
      <c r="G13" t="s">
        <v>25</v>
      </c>
      <c r="H13" s="1" t="s">
        <v>26</v>
      </c>
    </row>
    <row r="14" spans="2:9" x14ac:dyDescent="0.35">
      <c r="B14" t="s">
        <v>27</v>
      </c>
      <c r="C14" s="3">
        <f>C10/C9*C13</f>
        <v>51</v>
      </c>
      <c r="G14" t="s">
        <v>28</v>
      </c>
      <c r="H14" s="1" t="s">
        <v>29</v>
      </c>
    </row>
    <row r="15" spans="2:9" x14ac:dyDescent="0.35">
      <c r="B15" t="s">
        <v>30</v>
      </c>
      <c r="C15" s="8" t="e">
        <f>C12/C14*C10</f>
        <v>#VALUE!</v>
      </c>
    </row>
    <row r="16" spans="2:9" x14ac:dyDescent="0.35">
      <c r="G16" s="9" t="s">
        <v>13</v>
      </c>
      <c r="H16" s="10">
        <f>H7</f>
        <v>1.577556270096463E-2</v>
      </c>
      <c r="I16" s="9" t="s">
        <v>14</v>
      </c>
    </row>
    <row r="17" spans="2:9" x14ac:dyDescent="0.35">
      <c r="B17" t="s">
        <v>31</v>
      </c>
      <c r="G17" s="11" t="s">
        <v>19</v>
      </c>
      <c r="H17" s="10">
        <f>H16/C9*C13</f>
        <v>0.39438906752411573</v>
      </c>
      <c r="I17" s="11" t="s">
        <v>32</v>
      </c>
    </row>
    <row r="18" spans="2:9" x14ac:dyDescent="0.35">
      <c r="B18" t="s">
        <v>33</v>
      </c>
      <c r="C18" s="12">
        <v>4.8099999999999997E-2</v>
      </c>
      <c r="G18" s="9" t="s">
        <v>19</v>
      </c>
      <c r="H18" s="13" t="e">
        <f>H9</f>
        <v>#VALUE!</v>
      </c>
      <c r="I18" s="9" t="s">
        <v>20</v>
      </c>
    </row>
    <row r="19" spans="2:9" x14ac:dyDescent="0.35">
      <c r="B19" t="s">
        <v>34</v>
      </c>
      <c r="C19" s="12">
        <v>4.5400000000000003E-2</v>
      </c>
      <c r="G19" s="9" t="s">
        <v>35</v>
      </c>
      <c r="H19" s="13" t="e">
        <f>#REF!</f>
        <v>#REF!</v>
      </c>
      <c r="I19" s="9" t="s">
        <v>20</v>
      </c>
    </row>
    <row r="20" spans="2:9" x14ac:dyDescent="0.35">
      <c r="B20" t="s">
        <v>36</v>
      </c>
      <c r="C20" s="3">
        <f>AVERAGE(C18:C19)</f>
        <v>4.675E-2</v>
      </c>
    </row>
    <row r="21" spans="2:9" x14ac:dyDescent="0.35">
      <c r="B21" t="s">
        <v>35</v>
      </c>
      <c r="C21" s="14">
        <f>STDEV(C18:C19)</f>
        <v>1.9091883092036742E-3</v>
      </c>
      <c r="G21" t="s">
        <v>2</v>
      </c>
      <c r="H21" s="1">
        <v>6220</v>
      </c>
      <c r="I21" t="s">
        <v>3</v>
      </c>
    </row>
    <row r="22" spans="2:9" x14ac:dyDescent="0.35">
      <c r="G22" t="s">
        <v>5</v>
      </c>
      <c r="H22" s="2">
        <f>C19</f>
        <v>4.5400000000000003E-2</v>
      </c>
      <c r="I22" t="s">
        <v>6</v>
      </c>
    </row>
    <row r="23" spans="2:9" x14ac:dyDescent="0.35">
      <c r="G23" t="s">
        <v>8</v>
      </c>
      <c r="H23" s="3">
        <f>H22/H21</f>
        <v>7.2990353697749197E-6</v>
      </c>
      <c r="I23" t="s">
        <v>9</v>
      </c>
    </row>
    <row r="24" spans="2:9" x14ac:dyDescent="0.35">
      <c r="G24" t="s">
        <v>8</v>
      </c>
      <c r="H24" s="3">
        <f>H23*1000000</f>
        <v>7.29903536977492</v>
      </c>
      <c r="I24" t="s">
        <v>11</v>
      </c>
    </row>
    <row r="25" spans="2:9" x14ac:dyDescent="0.35">
      <c r="G25" t="s">
        <v>13</v>
      </c>
      <c r="H25" s="4">
        <f>H24/1000*C10</f>
        <v>1.4890032154340836E-2</v>
      </c>
      <c r="I25" t="s">
        <v>14</v>
      </c>
    </row>
    <row r="26" spans="2:9" x14ac:dyDescent="0.35">
      <c r="G26" t="s">
        <v>16</v>
      </c>
      <c r="H26" s="5" t="e">
        <f>C15</f>
        <v>#VALUE!</v>
      </c>
      <c r="I26" t="s">
        <v>17</v>
      </c>
    </row>
    <row r="27" spans="2:9" x14ac:dyDescent="0.35">
      <c r="G27" t="s">
        <v>19</v>
      </c>
      <c r="H27" s="3" t="e">
        <f>H25/H26</f>
        <v>#VALUE!</v>
      </c>
      <c r="I27" t="s">
        <v>20</v>
      </c>
    </row>
    <row r="29" spans="2:9" x14ac:dyDescent="0.35">
      <c r="G29" s="9" t="s">
        <v>13</v>
      </c>
      <c r="H29" s="10">
        <f>H25</f>
        <v>1.4890032154340836E-2</v>
      </c>
      <c r="I29" s="9" t="s">
        <v>14</v>
      </c>
    </row>
    <row r="30" spans="2:9" x14ac:dyDescent="0.35">
      <c r="G30" s="11" t="s">
        <v>19</v>
      </c>
      <c r="H30" s="10">
        <f>H29/C9*C13</f>
        <v>0.37225080385852088</v>
      </c>
      <c r="I30" s="11" t="s">
        <v>32</v>
      </c>
    </row>
    <row r="31" spans="2:9" x14ac:dyDescent="0.35">
      <c r="G31" s="9" t="s">
        <v>19</v>
      </c>
      <c r="H31" s="13" t="e">
        <f>H27</f>
        <v>#VALUE!</v>
      </c>
      <c r="I31" s="9" t="s">
        <v>20</v>
      </c>
    </row>
    <row r="32" spans="2:9" x14ac:dyDescent="0.35">
      <c r="G32" s="9" t="s">
        <v>35</v>
      </c>
      <c r="H32" s="13">
        <f>H43</f>
        <v>0</v>
      </c>
      <c r="I32" s="9" t="s">
        <v>20</v>
      </c>
    </row>
    <row r="34" spans="7:8" x14ac:dyDescent="0.35">
      <c r="G34" s="9" t="s">
        <v>37</v>
      </c>
      <c r="H34" s="10">
        <f>STDEV(H17,H30)</f>
        <v>1.5654116361637872E-2</v>
      </c>
    </row>
    <row r="35" spans="7:8" x14ac:dyDescent="0.35">
      <c r="G35" s="9" t="s">
        <v>38</v>
      </c>
      <c r="H35" s="13">
        <f>AVERAGE(H17,H30)</f>
        <v>0.38331993569131828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2B060-5908-4029-BE0E-D7CC14A9A661}">
  <dimension ref="B2:I35"/>
  <sheetViews>
    <sheetView workbookViewId="0">
      <selection activeCell="H13" sqref="A1:XFD1048576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1.74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0.2</v>
      </c>
      <c r="G4" t="s">
        <v>5</v>
      </c>
      <c r="H4" s="2">
        <f>C18</f>
        <v>0.12620000000000001</v>
      </c>
      <c r="I4" t="s">
        <v>6</v>
      </c>
    </row>
    <row r="5" spans="2:9" x14ac:dyDescent="0.35">
      <c r="B5" t="s">
        <v>7</v>
      </c>
      <c r="C5" s="1">
        <v>0</v>
      </c>
      <c r="G5" t="s">
        <v>8</v>
      </c>
      <c r="H5" s="3">
        <f>H4/H3</f>
        <v>2.0289389067524117E-5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20.289389067524116</v>
      </c>
      <c r="I6" t="s">
        <v>11</v>
      </c>
    </row>
    <row r="7" spans="2:9" x14ac:dyDescent="0.35">
      <c r="B7" t="s">
        <v>12</v>
      </c>
      <c r="C7" s="1">
        <v>0</v>
      </c>
      <c r="G7" t="s">
        <v>13</v>
      </c>
      <c r="H7" s="4">
        <f>H6/1000*C10</f>
        <v>4.078167202572347E-2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5" t="e">
        <f>C15</f>
        <v>#VALUE!</v>
      </c>
      <c r="I8" t="s">
        <v>17</v>
      </c>
    </row>
    <row r="9" spans="2:9" x14ac:dyDescent="0.35">
      <c r="B9" t="s">
        <v>18</v>
      </c>
      <c r="C9" s="1">
        <v>0.01</v>
      </c>
      <c r="G9" t="s">
        <v>19</v>
      </c>
      <c r="H9" s="3" t="e">
        <f>H7/H8</f>
        <v>#VALUE!</v>
      </c>
      <c r="I9" t="s">
        <v>20</v>
      </c>
    </row>
    <row r="10" spans="2:9" x14ac:dyDescent="0.35">
      <c r="B10" t="s">
        <v>21</v>
      </c>
      <c r="C10" s="6">
        <f>SUM(C3:C9)</f>
        <v>2.0099999999999998</v>
      </c>
    </row>
    <row r="12" spans="2:9" x14ac:dyDescent="0.35">
      <c r="B12" t="s">
        <v>22</v>
      </c>
      <c r="C12" s="7" t="s">
        <v>39</v>
      </c>
      <c r="G12" t="s">
        <v>23</v>
      </c>
      <c r="H12" s="1" t="s">
        <v>41</v>
      </c>
    </row>
    <row r="13" spans="2:9" x14ac:dyDescent="0.35">
      <c r="B13" t="s">
        <v>24</v>
      </c>
      <c r="C13" s="1">
        <v>1</v>
      </c>
      <c r="G13" t="s">
        <v>25</v>
      </c>
      <c r="H13" s="1" t="s">
        <v>26</v>
      </c>
    </row>
    <row r="14" spans="2:9" x14ac:dyDescent="0.35">
      <c r="B14" t="s">
        <v>27</v>
      </c>
      <c r="C14" s="3">
        <f>C10/C9*C13</f>
        <v>200.99999999999997</v>
      </c>
      <c r="G14" t="s">
        <v>28</v>
      </c>
      <c r="H14" s="1" t="s">
        <v>29</v>
      </c>
    </row>
    <row r="15" spans="2:9" x14ac:dyDescent="0.35">
      <c r="B15" t="s">
        <v>30</v>
      </c>
      <c r="C15" s="8" t="e">
        <f>C12/C14*C10</f>
        <v>#VALUE!</v>
      </c>
    </row>
    <row r="16" spans="2:9" x14ac:dyDescent="0.35">
      <c r="G16" s="9" t="s">
        <v>13</v>
      </c>
      <c r="H16" s="10">
        <f>H7</f>
        <v>4.078167202572347E-2</v>
      </c>
      <c r="I16" s="9" t="s">
        <v>14</v>
      </c>
    </row>
    <row r="17" spans="2:9" x14ac:dyDescent="0.35">
      <c r="B17" t="s">
        <v>31</v>
      </c>
      <c r="G17" s="11" t="s">
        <v>19</v>
      </c>
      <c r="H17" s="10">
        <f>H16/C9*C13</f>
        <v>4.078167202572347</v>
      </c>
      <c r="I17" s="11" t="s">
        <v>32</v>
      </c>
    </row>
    <row r="18" spans="2:9" x14ac:dyDescent="0.35">
      <c r="B18" t="s">
        <v>33</v>
      </c>
      <c r="C18" s="12">
        <v>0.12620000000000001</v>
      </c>
      <c r="G18" s="9" t="s">
        <v>19</v>
      </c>
      <c r="H18" s="13" t="e">
        <f>H9</f>
        <v>#VALUE!</v>
      </c>
      <c r="I18" s="9" t="s">
        <v>20</v>
      </c>
    </row>
    <row r="19" spans="2:9" x14ac:dyDescent="0.35">
      <c r="B19" t="s">
        <v>34</v>
      </c>
      <c r="C19" s="12">
        <v>0.1222</v>
      </c>
      <c r="G19" s="9" t="s">
        <v>35</v>
      </c>
      <c r="H19" s="13" t="e">
        <f>#REF!</f>
        <v>#REF!</v>
      </c>
      <c r="I19" s="9" t="s">
        <v>20</v>
      </c>
    </row>
    <row r="20" spans="2:9" x14ac:dyDescent="0.35">
      <c r="B20" t="s">
        <v>36</v>
      </c>
      <c r="C20" s="3">
        <f>AVERAGE(C18:C19)</f>
        <v>0.1242</v>
      </c>
    </row>
    <row r="21" spans="2:9" x14ac:dyDescent="0.35">
      <c r="B21" t="s">
        <v>35</v>
      </c>
      <c r="C21" s="14">
        <f>STDEV(C18:C19)</f>
        <v>2.8284271247461927E-3</v>
      </c>
      <c r="G21" t="s">
        <v>2</v>
      </c>
      <c r="H21" s="1">
        <v>6220</v>
      </c>
      <c r="I21" t="s">
        <v>3</v>
      </c>
    </row>
    <row r="22" spans="2:9" x14ac:dyDescent="0.35">
      <c r="G22" t="s">
        <v>5</v>
      </c>
      <c r="H22" s="2">
        <f>C19</f>
        <v>0.1222</v>
      </c>
      <c r="I22" t="s">
        <v>6</v>
      </c>
    </row>
    <row r="23" spans="2:9" x14ac:dyDescent="0.35">
      <c r="G23" t="s">
        <v>8</v>
      </c>
      <c r="H23" s="3">
        <f>H22/H21</f>
        <v>1.9646302250803858E-5</v>
      </c>
      <c r="I23" t="s">
        <v>9</v>
      </c>
    </row>
    <row r="24" spans="2:9" x14ac:dyDescent="0.35">
      <c r="G24" t="s">
        <v>8</v>
      </c>
      <c r="H24" s="3">
        <f>H23*1000000</f>
        <v>19.646302250803856</v>
      </c>
      <c r="I24" t="s">
        <v>11</v>
      </c>
    </row>
    <row r="25" spans="2:9" x14ac:dyDescent="0.35">
      <c r="G25" t="s">
        <v>13</v>
      </c>
      <c r="H25" s="4">
        <f>H24/1000*C10</f>
        <v>3.9489067524115747E-2</v>
      </c>
      <c r="I25" t="s">
        <v>14</v>
      </c>
    </row>
    <row r="26" spans="2:9" x14ac:dyDescent="0.35">
      <c r="G26" t="s">
        <v>16</v>
      </c>
      <c r="H26" s="5" t="e">
        <f>C15</f>
        <v>#VALUE!</v>
      </c>
      <c r="I26" t="s">
        <v>17</v>
      </c>
    </row>
    <row r="27" spans="2:9" x14ac:dyDescent="0.35">
      <c r="G27" t="s">
        <v>19</v>
      </c>
      <c r="H27" s="3" t="e">
        <f>H25/H26</f>
        <v>#VALUE!</v>
      </c>
      <c r="I27" t="s">
        <v>20</v>
      </c>
    </row>
    <row r="29" spans="2:9" x14ac:dyDescent="0.35">
      <c r="G29" s="9" t="s">
        <v>13</v>
      </c>
      <c r="H29" s="10">
        <f>H25</f>
        <v>3.9489067524115747E-2</v>
      </c>
      <c r="I29" s="9" t="s">
        <v>14</v>
      </c>
    </row>
    <row r="30" spans="2:9" x14ac:dyDescent="0.35">
      <c r="G30" s="11" t="s">
        <v>19</v>
      </c>
      <c r="H30" s="10">
        <f>H29/C9*C13</f>
        <v>3.9489067524115744</v>
      </c>
      <c r="I30" s="11" t="s">
        <v>32</v>
      </c>
    </row>
    <row r="31" spans="2:9" x14ac:dyDescent="0.35">
      <c r="G31" s="9" t="s">
        <v>19</v>
      </c>
      <c r="H31" s="13" t="e">
        <f>H27</f>
        <v>#VALUE!</v>
      </c>
      <c r="I31" s="9" t="s">
        <v>20</v>
      </c>
    </row>
    <row r="32" spans="2:9" x14ac:dyDescent="0.35">
      <c r="G32" s="9" t="s">
        <v>35</v>
      </c>
      <c r="H32" s="13">
        <f>H43</f>
        <v>0</v>
      </c>
      <c r="I32" s="9" t="s">
        <v>20</v>
      </c>
    </row>
    <row r="34" spans="7:8" x14ac:dyDescent="0.35">
      <c r="G34" s="9" t="s">
        <v>37</v>
      </c>
      <c r="H34" s="10">
        <f>STDEV(H17,H30)</f>
        <v>9.1400940847908049E-2</v>
      </c>
    </row>
    <row r="35" spans="7:8" x14ac:dyDescent="0.35">
      <c r="G35" s="9" t="s">
        <v>38</v>
      </c>
      <c r="H35" s="13">
        <f>AVERAGE(H17,H30)</f>
        <v>4.0135369774919605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9F457-D09C-478E-9F12-53BA3DCFA93E}">
  <dimension ref="B2:I35"/>
  <sheetViews>
    <sheetView workbookViewId="0">
      <selection activeCell="D36" sqref="D36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1.74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0.2</v>
      </c>
      <c r="G4" t="s">
        <v>5</v>
      </c>
      <c r="H4" s="2">
        <f>C18</f>
        <v>0.25669999999999998</v>
      </c>
      <c r="I4" t="s">
        <v>6</v>
      </c>
    </row>
    <row r="5" spans="2:9" x14ac:dyDescent="0.35">
      <c r="B5" t="s">
        <v>7</v>
      </c>
      <c r="C5" s="1">
        <v>0</v>
      </c>
      <c r="G5" t="s">
        <v>8</v>
      </c>
      <c r="H5" s="3">
        <f>H4/H3</f>
        <v>4.1270096463022502E-5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41.270096463022504</v>
      </c>
      <c r="I6" t="s">
        <v>11</v>
      </c>
    </row>
    <row r="7" spans="2:9" x14ac:dyDescent="0.35">
      <c r="B7" t="s">
        <v>12</v>
      </c>
      <c r="C7" s="1">
        <v>0</v>
      </c>
      <c r="G7" t="s">
        <v>13</v>
      </c>
      <c r="H7" s="4">
        <f>H6/1000*C10</f>
        <v>8.2952893890675214E-2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5" t="e">
        <f>C15</f>
        <v>#VALUE!</v>
      </c>
      <c r="I8" t="s">
        <v>17</v>
      </c>
    </row>
    <row r="9" spans="2:9" x14ac:dyDescent="0.35">
      <c r="B9" t="s">
        <v>18</v>
      </c>
      <c r="C9" s="1">
        <v>0.01</v>
      </c>
      <c r="G9" t="s">
        <v>19</v>
      </c>
      <c r="H9" s="3" t="e">
        <f>H7/H8</f>
        <v>#VALUE!</v>
      </c>
      <c r="I9" t="s">
        <v>20</v>
      </c>
    </row>
    <row r="10" spans="2:9" x14ac:dyDescent="0.35">
      <c r="B10" t="s">
        <v>21</v>
      </c>
      <c r="C10" s="6">
        <f>SUM(C3:C9)</f>
        <v>2.0099999999999998</v>
      </c>
    </row>
    <row r="12" spans="2:9" x14ac:dyDescent="0.35">
      <c r="B12" t="s">
        <v>22</v>
      </c>
      <c r="C12" s="7" t="s">
        <v>39</v>
      </c>
      <c r="G12" t="s">
        <v>23</v>
      </c>
      <c r="H12" s="1" t="s">
        <v>41</v>
      </c>
    </row>
    <row r="13" spans="2:9" x14ac:dyDescent="0.35">
      <c r="B13" t="s">
        <v>24</v>
      </c>
      <c r="C13" s="1">
        <v>10</v>
      </c>
      <c r="G13" t="s">
        <v>25</v>
      </c>
      <c r="H13" s="1" t="s">
        <v>26</v>
      </c>
    </row>
    <row r="14" spans="2:9" x14ac:dyDescent="0.35">
      <c r="B14" t="s">
        <v>27</v>
      </c>
      <c r="C14" s="3">
        <f>C10/C9*C13</f>
        <v>2009.9999999999998</v>
      </c>
      <c r="G14" t="s">
        <v>28</v>
      </c>
      <c r="H14" s="1" t="s">
        <v>29</v>
      </c>
    </row>
    <row r="15" spans="2:9" x14ac:dyDescent="0.35">
      <c r="B15" t="s">
        <v>30</v>
      </c>
      <c r="C15" s="8" t="e">
        <f>C12/C14*C10</f>
        <v>#VALUE!</v>
      </c>
    </row>
    <row r="16" spans="2:9" x14ac:dyDescent="0.35">
      <c r="G16" s="9" t="s">
        <v>13</v>
      </c>
      <c r="H16" s="10">
        <f>H7</f>
        <v>8.2952893890675214E-2</v>
      </c>
      <c r="I16" s="9" t="s">
        <v>14</v>
      </c>
    </row>
    <row r="17" spans="2:9" x14ac:dyDescent="0.35">
      <c r="B17" t="s">
        <v>31</v>
      </c>
      <c r="G17" s="11" t="s">
        <v>19</v>
      </c>
      <c r="H17" s="10">
        <f>H16/C9*C13</f>
        <v>82.952893890675213</v>
      </c>
      <c r="I17" s="11" t="s">
        <v>32</v>
      </c>
    </row>
    <row r="18" spans="2:9" x14ac:dyDescent="0.35">
      <c r="B18" t="s">
        <v>33</v>
      </c>
      <c r="C18" s="12">
        <v>0.25669999999999998</v>
      </c>
      <c r="G18" s="9" t="s">
        <v>19</v>
      </c>
      <c r="H18" s="13" t="e">
        <f>H9</f>
        <v>#VALUE!</v>
      </c>
      <c r="I18" s="9" t="s">
        <v>20</v>
      </c>
    </row>
    <row r="19" spans="2:9" x14ac:dyDescent="0.35">
      <c r="B19" t="s">
        <v>34</v>
      </c>
      <c r="C19" s="12">
        <v>0.25729999999999997</v>
      </c>
      <c r="G19" s="9" t="s">
        <v>35</v>
      </c>
      <c r="H19" s="13" t="e">
        <f>#REF!</f>
        <v>#REF!</v>
      </c>
      <c r="I19" s="9" t="s">
        <v>20</v>
      </c>
    </row>
    <row r="20" spans="2:9" x14ac:dyDescent="0.35">
      <c r="B20" t="s">
        <v>36</v>
      </c>
      <c r="C20" s="3">
        <f>AVERAGE(C18:C19)</f>
        <v>0.25700000000000001</v>
      </c>
    </row>
    <row r="21" spans="2:9" x14ac:dyDescent="0.35">
      <c r="B21" t="s">
        <v>35</v>
      </c>
      <c r="C21" s="14">
        <f>STDEV(C18:C19)</f>
        <v>4.2426406871192107E-4</v>
      </c>
      <c r="G21" t="s">
        <v>2</v>
      </c>
      <c r="H21" s="1">
        <v>6220</v>
      </c>
      <c r="I21" t="s">
        <v>3</v>
      </c>
    </row>
    <row r="22" spans="2:9" x14ac:dyDescent="0.35">
      <c r="G22" t="s">
        <v>5</v>
      </c>
      <c r="H22" s="2">
        <f>C19</f>
        <v>0.25729999999999997</v>
      </c>
      <c r="I22" t="s">
        <v>6</v>
      </c>
    </row>
    <row r="23" spans="2:9" x14ac:dyDescent="0.35">
      <c r="G23" t="s">
        <v>8</v>
      </c>
      <c r="H23" s="3">
        <f>H22/H21</f>
        <v>4.136655948553054E-5</v>
      </c>
      <c r="I23" t="s">
        <v>9</v>
      </c>
    </row>
    <row r="24" spans="2:9" x14ac:dyDescent="0.35">
      <c r="G24" t="s">
        <v>8</v>
      </c>
      <c r="H24" s="3">
        <f>H23*1000000</f>
        <v>41.366559485530537</v>
      </c>
      <c r="I24" t="s">
        <v>11</v>
      </c>
    </row>
    <row r="25" spans="2:9" x14ac:dyDescent="0.35">
      <c r="G25" t="s">
        <v>13</v>
      </c>
      <c r="H25" s="4">
        <f>H24/1000*C10</f>
        <v>8.3146784565916371E-2</v>
      </c>
      <c r="I25" t="s">
        <v>14</v>
      </c>
    </row>
    <row r="26" spans="2:9" x14ac:dyDescent="0.35">
      <c r="G26" t="s">
        <v>16</v>
      </c>
      <c r="H26" s="5" t="e">
        <f>C15</f>
        <v>#VALUE!</v>
      </c>
      <c r="I26" t="s">
        <v>17</v>
      </c>
    </row>
    <row r="27" spans="2:9" x14ac:dyDescent="0.35">
      <c r="G27" t="s">
        <v>19</v>
      </c>
      <c r="H27" s="3" t="e">
        <f>H25/H26</f>
        <v>#VALUE!</v>
      </c>
      <c r="I27" t="s">
        <v>20</v>
      </c>
    </row>
    <row r="29" spans="2:9" x14ac:dyDescent="0.35">
      <c r="G29" s="9" t="s">
        <v>13</v>
      </c>
      <c r="H29" s="10">
        <f>H25</f>
        <v>8.3146784565916371E-2</v>
      </c>
      <c r="I29" s="9" t="s">
        <v>14</v>
      </c>
    </row>
    <row r="30" spans="2:9" x14ac:dyDescent="0.35">
      <c r="G30" s="11" t="s">
        <v>19</v>
      </c>
      <c r="H30" s="10">
        <f>H29/C9*C13</f>
        <v>83.146784565916363</v>
      </c>
      <c r="I30" s="11" t="s">
        <v>32</v>
      </c>
    </row>
    <row r="31" spans="2:9" x14ac:dyDescent="0.35">
      <c r="G31" s="9" t="s">
        <v>19</v>
      </c>
      <c r="H31" s="13" t="e">
        <f>H27</f>
        <v>#VALUE!</v>
      </c>
      <c r="I31" s="9" t="s">
        <v>20</v>
      </c>
    </row>
    <row r="32" spans="2:9" x14ac:dyDescent="0.35">
      <c r="G32" s="9" t="s">
        <v>35</v>
      </c>
      <c r="H32" s="13">
        <f>H43</f>
        <v>0</v>
      </c>
      <c r="I32" s="9" t="s">
        <v>20</v>
      </c>
    </row>
    <row r="34" spans="7:8" x14ac:dyDescent="0.35">
      <c r="G34" s="9" t="s">
        <v>37</v>
      </c>
      <c r="H34" s="10">
        <f>STDEV(H17,H30)</f>
        <v>0.13710141127185563</v>
      </c>
    </row>
    <row r="35" spans="7:8" x14ac:dyDescent="0.35">
      <c r="G35" s="9" t="s">
        <v>38</v>
      </c>
      <c r="H35" s="13">
        <f>AVERAGE(H17,H30)</f>
        <v>83.049839228295781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77A25-3059-4C27-84E2-74C8EC861F00}">
  <dimension ref="B2:I35"/>
  <sheetViews>
    <sheetView workbookViewId="0">
      <selection activeCell="H16" sqref="A1:XFD1048576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1.74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0.2</v>
      </c>
      <c r="G4" t="s">
        <v>5</v>
      </c>
      <c r="H4" s="2">
        <f>C18</f>
        <v>0.10780000000000001</v>
      </c>
      <c r="I4" t="s">
        <v>6</v>
      </c>
    </row>
    <row r="5" spans="2:9" x14ac:dyDescent="0.35">
      <c r="B5" t="s">
        <v>7</v>
      </c>
      <c r="C5" s="1">
        <v>0</v>
      </c>
      <c r="G5" t="s">
        <v>8</v>
      </c>
      <c r="H5" s="3">
        <f>H4/H3</f>
        <v>1.7331189710610933E-5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17.331189710610932</v>
      </c>
      <c r="I6" t="s">
        <v>11</v>
      </c>
    </row>
    <row r="7" spans="2:9" x14ac:dyDescent="0.35">
      <c r="B7" t="s">
        <v>12</v>
      </c>
      <c r="C7" s="1">
        <v>0</v>
      </c>
      <c r="G7" t="s">
        <v>13</v>
      </c>
      <c r="H7" s="4">
        <f>H6/1000*C10</f>
        <v>3.483569131832797E-2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5" t="e">
        <f>C15</f>
        <v>#VALUE!</v>
      </c>
      <c r="I8" t="s">
        <v>17</v>
      </c>
    </row>
    <row r="9" spans="2:9" x14ac:dyDescent="0.35">
      <c r="B9" t="s">
        <v>18</v>
      </c>
      <c r="C9" s="1">
        <v>0.01</v>
      </c>
      <c r="G9" t="s">
        <v>19</v>
      </c>
      <c r="H9" s="3" t="e">
        <f>H7/H8</f>
        <v>#VALUE!</v>
      </c>
      <c r="I9" t="s">
        <v>20</v>
      </c>
    </row>
    <row r="10" spans="2:9" x14ac:dyDescent="0.35">
      <c r="B10" t="s">
        <v>21</v>
      </c>
      <c r="C10" s="6">
        <f>SUM(C3:C9)</f>
        <v>2.0099999999999998</v>
      </c>
    </row>
    <row r="12" spans="2:9" x14ac:dyDescent="0.35">
      <c r="B12" t="s">
        <v>22</v>
      </c>
      <c r="C12" s="7" t="s">
        <v>39</v>
      </c>
      <c r="G12" t="s">
        <v>23</v>
      </c>
      <c r="H12" s="1" t="s">
        <v>41</v>
      </c>
    </row>
    <row r="13" spans="2:9" x14ac:dyDescent="0.35">
      <c r="B13" t="s">
        <v>24</v>
      </c>
      <c r="C13" s="1">
        <v>10</v>
      </c>
      <c r="G13" t="s">
        <v>25</v>
      </c>
      <c r="H13" s="1" t="s">
        <v>26</v>
      </c>
    </row>
    <row r="14" spans="2:9" x14ac:dyDescent="0.35">
      <c r="B14" t="s">
        <v>27</v>
      </c>
      <c r="C14" s="3">
        <f>C10/C9*C13</f>
        <v>2009.9999999999998</v>
      </c>
      <c r="G14" t="s">
        <v>28</v>
      </c>
      <c r="H14" s="1" t="s">
        <v>29</v>
      </c>
    </row>
    <row r="15" spans="2:9" x14ac:dyDescent="0.35">
      <c r="B15" t="s">
        <v>30</v>
      </c>
      <c r="C15" s="8" t="e">
        <f>C12/C14*C10</f>
        <v>#VALUE!</v>
      </c>
    </row>
    <row r="16" spans="2:9" x14ac:dyDescent="0.35">
      <c r="G16" s="9" t="s">
        <v>13</v>
      </c>
      <c r="H16" s="10">
        <f>H7</f>
        <v>3.483569131832797E-2</v>
      </c>
      <c r="I16" s="9" t="s">
        <v>14</v>
      </c>
    </row>
    <row r="17" spans="2:9" x14ac:dyDescent="0.35">
      <c r="B17" t="s">
        <v>31</v>
      </c>
      <c r="G17" s="11" t="s">
        <v>19</v>
      </c>
      <c r="H17" s="10">
        <f>H16/C9*C13</f>
        <v>34.835691318327967</v>
      </c>
      <c r="I17" s="11" t="s">
        <v>32</v>
      </c>
    </row>
    <row r="18" spans="2:9" x14ac:dyDescent="0.35">
      <c r="B18" t="s">
        <v>33</v>
      </c>
      <c r="C18" s="12">
        <v>0.10780000000000001</v>
      </c>
      <c r="G18" s="9" t="s">
        <v>19</v>
      </c>
      <c r="H18" s="13" t="e">
        <f>H9</f>
        <v>#VALUE!</v>
      </c>
      <c r="I18" s="9" t="s">
        <v>20</v>
      </c>
    </row>
    <row r="19" spans="2:9" x14ac:dyDescent="0.35">
      <c r="B19" t="s">
        <v>34</v>
      </c>
      <c r="C19" s="12">
        <v>0.1037</v>
      </c>
      <c r="G19" s="9" t="s">
        <v>35</v>
      </c>
      <c r="H19" s="13" t="e">
        <f>#REF!</f>
        <v>#REF!</v>
      </c>
      <c r="I19" s="9" t="s">
        <v>20</v>
      </c>
    </row>
    <row r="20" spans="2:9" x14ac:dyDescent="0.35">
      <c r="B20" t="s">
        <v>36</v>
      </c>
      <c r="C20" s="3">
        <f>AVERAGE(C18:C19)</f>
        <v>0.10575000000000001</v>
      </c>
    </row>
    <row r="21" spans="2:9" x14ac:dyDescent="0.35">
      <c r="B21" t="s">
        <v>35</v>
      </c>
      <c r="C21" s="14">
        <f>STDEV(C18:C19)</f>
        <v>2.8991378028648492E-3</v>
      </c>
      <c r="G21" t="s">
        <v>2</v>
      </c>
      <c r="H21" s="1">
        <v>6220</v>
      </c>
      <c r="I21" t="s">
        <v>3</v>
      </c>
    </row>
    <row r="22" spans="2:9" x14ac:dyDescent="0.35">
      <c r="G22" t="s">
        <v>5</v>
      </c>
      <c r="H22" s="2">
        <f>C19</f>
        <v>0.1037</v>
      </c>
      <c r="I22" t="s">
        <v>6</v>
      </c>
    </row>
    <row r="23" spans="2:9" x14ac:dyDescent="0.35">
      <c r="G23" t="s">
        <v>8</v>
      </c>
      <c r="H23" s="3">
        <f>H22/H21</f>
        <v>1.6672025723472667E-5</v>
      </c>
      <c r="I23" t="s">
        <v>9</v>
      </c>
    </row>
    <row r="24" spans="2:9" x14ac:dyDescent="0.35">
      <c r="G24" t="s">
        <v>8</v>
      </c>
      <c r="H24" s="3">
        <f>H23*1000000</f>
        <v>16.672025723472668</v>
      </c>
      <c r="I24" t="s">
        <v>11</v>
      </c>
    </row>
    <row r="25" spans="2:9" x14ac:dyDescent="0.35">
      <c r="G25" t="s">
        <v>13</v>
      </c>
      <c r="H25" s="4">
        <f>H24/1000*C10</f>
        <v>3.3510771704180056E-2</v>
      </c>
      <c r="I25" t="s">
        <v>14</v>
      </c>
    </row>
    <row r="26" spans="2:9" x14ac:dyDescent="0.35">
      <c r="G26" t="s">
        <v>16</v>
      </c>
      <c r="H26" s="5" t="e">
        <f>C15</f>
        <v>#VALUE!</v>
      </c>
      <c r="I26" t="s">
        <v>17</v>
      </c>
    </row>
    <row r="27" spans="2:9" x14ac:dyDescent="0.35">
      <c r="G27" t="s">
        <v>19</v>
      </c>
      <c r="H27" s="3" t="e">
        <f>H25/H26</f>
        <v>#VALUE!</v>
      </c>
      <c r="I27" t="s">
        <v>20</v>
      </c>
    </row>
    <row r="29" spans="2:9" x14ac:dyDescent="0.35">
      <c r="G29" s="9" t="s">
        <v>13</v>
      </c>
      <c r="H29" s="10">
        <f>H25</f>
        <v>3.3510771704180056E-2</v>
      </c>
      <c r="I29" s="9" t="s">
        <v>14</v>
      </c>
    </row>
    <row r="30" spans="2:9" x14ac:dyDescent="0.35">
      <c r="G30" s="11" t="s">
        <v>19</v>
      </c>
      <c r="H30" s="10">
        <f>H29/C9*C13</f>
        <v>33.510771704180058</v>
      </c>
      <c r="I30" s="11" t="s">
        <v>32</v>
      </c>
    </row>
    <row r="31" spans="2:9" x14ac:dyDescent="0.35">
      <c r="G31" s="9" t="s">
        <v>19</v>
      </c>
      <c r="H31" s="13" t="e">
        <f>H27</f>
        <v>#VALUE!</v>
      </c>
      <c r="I31" s="9" t="s">
        <v>20</v>
      </c>
    </row>
    <row r="32" spans="2:9" x14ac:dyDescent="0.35">
      <c r="G32" s="9" t="s">
        <v>35</v>
      </c>
      <c r="H32" s="13">
        <f>H43</f>
        <v>0</v>
      </c>
      <c r="I32" s="9" t="s">
        <v>20</v>
      </c>
    </row>
    <row r="34" spans="7:8" x14ac:dyDescent="0.35">
      <c r="G34" s="9" t="s">
        <v>37</v>
      </c>
      <c r="H34" s="10">
        <f>STDEV(H17,H30)</f>
        <v>0.93685964369105035</v>
      </c>
    </row>
    <row r="35" spans="7:8" x14ac:dyDescent="0.35">
      <c r="G35" s="9" t="s">
        <v>38</v>
      </c>
      <c r="H35" s="13">
        <f>AVERAGE(H17,H30)</f>
        <v>34.173231511254016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EB73C-87F9-4DCA-A020-3EA5BDAE14C3}">
  <dimension ref="B2:I35"/>
  <sheetViews>
    <sheetView workbookViewId="0">
      <selection activeCell="C14" sqref="C14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1.74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0.2</v>
      </c>
      <c r="G4" t="s">
        <v>5</v>
      </c>
      <c r="H4" s="2">
        <f>C18</f>
        <v>6.3700000000000007E-2</v>
      </c>
      <c r="I4" t="s">
        <v>6</v>
      </c>
    </row>
    <row r="5" spans="2:9" x14ac:dyDescent="0.35">
      <c r="B5" t="s">
        <v>7</v>
      </c>
      <c r="C5" s="1">
        <v>0</v>
      </c>
      <c r="G5" t="s">
        <v>8</v>
      </c>
      <c r="H5" s="3">
        <f>H4/H3</f>
        <v>1.0241157556270098E-5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10.241157556270098</v>
      </c>
      <c r="I6" t="s">
        <v>11</v>
      </c>
    </row>
    <row r="7" spans="2:9" x14ac:dyDescent="0.35">
      <c r="B7" t="s">
        <v>12</v>
      </c>
      <c r="C7" s="1">
        <v>0</v>
      </c>
      <c r="G7" t="s">
        <v>13</v>
      </c>
      <c r="H7" s="4">
        <f>H6/1000*C10</f>
        <v>2.0687138263665601E-2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5" t="e">
        <f>C15</f>
        <v>#VALUE!</v>
      </c>
      <c r="I8" t="s">
        <v>17</v>
      </c>
    </row>
    <row r="9" spans="2:9" x14ac:dyDescent="0.35">
      <c r="B9" t="s">
        <v>18</v>
      </c>
      <c r="C9" s="1">
        <v>0.02</v>
      </c>
      <c r="G9" t="s">
        <v>19</v>
      </c>
      <c r="H9" s="3" t="e">
        <f>H7/H8</f>
        <v>#VALUE!</v>
      </c>
      <c r="I9" t="s">
        <v>20</v>
      </c>
    </row>
    <row r="10" spans="2:9" x14ac:dyDescent="0.35">
      <c r="B10" t="s">
        <v>21</v>
      </c>
      <c r="C10" s="6">
        <f>SUM(C3:C9)</f>
        <v>2.02</v>
      </c>
    </row>
    <row r="12" spans="2:9" x14ac:dyDescent="0.35">
      <c r="B12" t="s">
        <v>22</v>
      </c>
      <c r="C12" s="7" t="s">
        <v>39</v>
      </c>
      <c r="G12" t="s">
        <v>23</v>
      </c>
      <c r="H12" s="1" t="s">
        <v>41</v>
      </c>
    </row>
    <row r="13" spans="2:9" x14ac:dyDescent="0.35">
      <c r="B13" t="s">
        <v>24</v>
      </c>
      <c r="C13" s="1">
        <v>10</v>
      </c>
      <c r="G13" t="s">
        <v>25</v>
      </c>
      <c r="H13" s="1" t="s">
        <v>26</v>
      </c>
    </row>
    <row r="14" spans="2:9" x14ac:dyDescent="0.35">
      <c r="B14" t="s">
        <v>27</v>
      </c>
      <c r="C14" s="3">
        <f>C10/C9*C13</f>
        <v>1010</v>
      </c>
      <c r="G14" t="s">
        <v>28</v>
      </c>
      <c r="H14" s="1" t="s">
        <v>29</v>
      </c>
    </row>
    <row r="15" spans="2:9" x14ac:dyDescent="0.35">
      <c r="B15" t="s">
        <v>30</v>
      </c>
      <c r="C15" s="8" t="e">
        <f>C12/C14*C10</f>
        <v>#VALUE!</v>
      </c>
    </row>
    <row r="16" spans="2:9" x14ac:dyDescent="0.35">
      <c r="G16" s="9" t="s">
        <v>13</v>
      </c>
      <c r="H16" s="10">
        <f>H7</f>
        <v>2.0687138263665601E-2</v>
      </c>
      <c r="I16" s="9" t="s">
        <v>14</v>
      </c>
    </row>
    <row r="17" spans="2:9" x14ac:dyDescent="0.35">
      <c r="B17" t="s">
        <v>31</v>
      </c>
      <c r="G17" s="11" t="s">
        <v>19</v>
      </c>
      <c r="H17" s="10">
        <f>H16/C9*C13</f>
        <v>10.343569131832799</v>
      </c>
      <c r="I17" s="11" t="s">
        <v>32</v>
      </c>
    </row>
    <row r="18" spans="2:9" x14ac:dyDescent="0.35">
      <c r="B18" t="s">
        <v>33</v>
      </c>
      <c r="C18" s="12">
        <v>6.3700000000000007E-2</v>
      </c>
      <c r="G18" s="9" t="s">
        <v>19</v>
      </c>
      <c r="H18" s="13" t="e">
        <f>H9</f>
        <v>#VALUE!</v>
      </c>
      <c r="I18" s="9" t="s">
        <v>20</v>
      </c>
    </row>
    <row r="19" spans="2:9" x14ac:dyDescent="0.35">
      <c r="B19" t="s">
        <v>34</v>
      </c>
      <c r="C19" s="12">
        <v>6.5100000000000005E-2</v>
      </c>
      <c r="G19" s="9" t="s">
        <v>35</v>
      </c>
      <c r="H19" s="13" t="e">
        <f>#REF!</f>
        <v>#REF!</v>
      </c>
      <c r="I19" s="9" t="s">
        <v>20</v>
      </c>
    </row>
    <row r="20" spans="2:9" x14ac:dyDescent="0.35">
      <c r="B20" t="s">
        <v>36</v>
      </c>
      <c r="C20" s="3">
        <f>AVERAGE(C18:C19)</f>
        <v>6.4400000000000013E-2</v>
      </c>
    </row>
    <row r="21" spans="2:9" x14ac:dyDescent="0.35">
      <c r="B21" t="s">
        <v>35</v>
      </c>
      <c r="C21" s="14">
        <f>STDEV(C18:C19)</f>
        <v>9.899494936611655E-4</v>
      </c>
      <c r="G21" t="s">
        <v>2</v>
      </c>
      <c r="H21" s="1">
        <v>6220</v>
      </c>
      <c r="I21" t="s">
        <v>3</v>
      </c>
    </row>
    <row r="22" spans="2:9" x14ac:dyDescent="0.35">
      <c r="G22" t="s">
        <v>5</v>
      </c>
      <c r="H22" s="2">
        <f>C19</f>
        <v>6.5100000000000005E-2</v>
      </c>
      <c r="I22" t="s">
        <v>6</v>
      </c>
    </row>
    <row r="23" spans="2:9" x14ac:dyDescent="0.35">
      <c r="G23" t="s">
        <v>8</v>
      </c>
      <c r="H23" s="3">
        <f>H22/H21</f>
        <v>1.0466237942122187E-5</v>
      </c>
      <c r="I23" t="s">
        <v>9</v>
      </c>
    </row>
    <row r="24" spans="2:9" x14ac:dyDescent="0.35">
      <c r="G24" t="s">
        <v>8</v>
      </c>
      <c r="H24" s="3">
        <f>H23*1000000</f>
        <v>10.466237942122186</v>
      </c>
      <c r="I24" t="s">
        <v>11</v>
      </c>
    </row>
    <row r="25" spans="2:9" x14ac:dyDescent="0.35">
      <c r="G25" t="s">
        <v>13</v>
      </c>
      <c r="H25" s="4">
        <f>H24/1000*C10</f>
        <v>2.1141800643086815E-2</v>
      </c>
      <c r="I25" t="s">
        <v>14</v>
      </c>
    </row>
    <row r="26" spans="2:9" x14ac:dyDescent="0.35">
      <c r="G26" t="s">
        <v>16</v>
      </c>
      <c r="H26" s="5" t="e">
        <f>C15</f>
        <v>#VALUE!</v>
      </c>
      <c r="I26" t="s">
        <v>17</v>
      </c>
    </row>
    <row r="27" spans="2:9" x14ac:dyDescent="0.35">
      <c r="G27" t="s">
        <v>19</v>
      </c>
      <c r="H27" s="3" t="e">
        <f>H25/H26</f>
        <v>#VALUE!</v>
      </c>
      <c r="I27" t="s">
        <v>20</v>
      </c>
    </row>
    <row r="29" spans="2:9" x14ac:dyDescent="0.35">
      <c r="G29" s="9" t="s">
        <v>13</v>
      </c>
      <c r="H29" s="10">
        <f>H25</f>
        <v>2.1141800643086815E-2</v>
      </c>
      <c r="I29" s="9" t="s">
        <v>14</v>
      </c>
    </row>
    <row r="30" spans="2:9" x14ac:dyDescent="0.35">
      <c r="G30" s="11" t="s">
        <v>19</v>
      </c>
      <c r="H30" s="10">
        <f>H29/C9*C13</f>
        <v>10.570900321543409</v>
      </c>
      <c r="I30" s="11" t="s">
        <v>32</v>
      </c>
    </row>
    <row r="31" spans="2:9" x14ac:dyDescent="0.35">
      <c r="G31" s="9" t="s">
        <v>19</v>
      </c>
      <c r="H31" s="13" t="e">
        <f>H27</f>
        <v>#VALUE!</v>
      </c>
      <c r="I31" s="9" t="s">
        <v>20</v>
      </c>
    </row>
    <row r="32" spans="2:9" x14ac:dyDescent="0.35">
      <c r="G32" s="9" t="s">
        <v>35</v>
      </c>
      <c r="H32" s="13">
        <f>H43</f>
        <v>0</v>
      </c>
      <c r="I32" s="9" t="s">
        <v>20</v>
      </c>
    </row>
    <row r="34" spans="7:8" x14ac:dyDescent="0.35">
      <c r="G34" s="9" t="s">
        <v>37</v>
      </c>
      <c r="H34" s="10">
        <f>STDEV(H17,H30)</f>
        <v>0.16074742581957741</v>
      </c>
    </row>
    <row r="35" spans="7:8" x14ac:dyDescent="0.35">
      <c r="G35" s="9" t="s">
        <v>38</v>
      </c>
      <c r="H35" s="13">
        <f>AVERAGE(H17,H30)</f>
        <v>10.457234726688103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34B23-08DE-4042-909A-53415C6319F9}">
  <dimension ref="B2:I35"/>
  <sheetViews>
    <sheetView workbookViewId="0">
      <selection activeCell="C20" sqref="C20"/>
    </sheetView>
  </sheetViews>
  <sheetFormatPr defaultRowHeight="14.5" x14ac:dyDescent="0.35"/>
  <cols>
    <col min="2" max="2" width="14.26953125" bestFit="1" customWidth="1"/>
    <col min="3" max="3" width="11.54296875" bestFit="1" customWidth="1"/>
    <col min="7" max="7" width="18.8164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1.74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0.2</v>
      </c>
      <c r="G4" t="s">
        <v>5</v>
      </c>
      <c r="H4" s="2">
        <f>C18</f>
        <v>9.0499999999999997E-2</v>
      </c>
      <c r="I4" t="s">
        <v>6</v>
      </c>
    </row>
    <row r="5" spans="2:9" x14ac:dyDescent="0.35">
      <c r="B5" t="s">
        <v>7</v>
      </c>
      <c r="C5" s="1">
        <v>0</v>
      </c>
      <c r="G5" t="s">
        <v>8</v>
      </c>
      <c r="H5" s="3">
        <f>H4/H3</f>
        <v>1.4549839228295819E-5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14.549839228295818</v>
      </c>
      <c r="I6" t="s">
        <v>11</v>
      </c>
    </row>
    <row r="7" spans="2:9" x14ac:dyDescent="0.35">
      <c r="B7" t="s">
        <v>12</v>
      </c>
      <c r="C7" s="1">
        <v>0</v>
      </c>
      <c r="G7" t="s">
        <v>13</v>
      </c>
      <c r="H7" s="4">
        <f>H6/1000*C10</f>
        <v>2.9390675241157554E-2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5" t="e">
        <f>C15</f>
        <v>#VALUE!</v>
      </c>
      <c r="I8" t="s">
        <v>17</v>
      </c>
    </row>
    <row r="9" spans="2:9" x14ac:dyDescent="0.35">
      <c r="B9" t="s">
        <v>18</v>
      </c>
      <c r="C9" s="1">
        <v>0.02</v>
      </c>
      <c r="G9" t="s">
        <v>19</v>
      </c>
      <c r="H9" s="3" t="e">
        <f>H7/H8</f>
        <v>#VALUE!</v>
      </c>
      <c r="I9" t="s">
        <v>20</v>
      </c>
    </row>
    <row r="10" spans="2:9" x14ac:dyDescent="0.35">
      <c r="B10" t="s">
        <v>21</v>
      </c>
      <c r="C10" s="6">
        <f>SUM(C3:C9)</f>
        <v>2.02</v>
      </c>
    </row>
    <row r="12" spans="2:9" x14ac:dyDescent="0.35">
      <c r="B12" t="s">
        <v>22</v>
      </c>
      <c r="C12" s="7" t="s">
        <v>39</v>
      </c>
      <c r="G12" t="s">
        <v>23</v>
      </c>
      <c r="H12" s="1" t="s">
        <v>41</v>
      </c>
    </row>
    <row r="13" spans="2:9" x14ac:dyDescent="0.35">
      <c r="B13" t="s">
        <v>24</v>
      </c>
      <c r="C13" s="1">
        <v>1</v>
      </c>
      <c r="G13" t="s">
        <v>25</v>
      </c>
      <c r="H13" s="1" t="s">
        <v>26</v>
      </c>
    </row>
    <row r="14" spans="2:9" x14ac:dyDescent="0.35">
      <c r="B14" t="s">
        <v>27</v>
      </c>
      <c r="C14" s="3">
        <f>C10/C9*C13</f>
        <v>101</v>
      </c>
      <c r="G14" t="s">
        <v>28</v>
      </c>
      <c r="H14" s="1" t="s">
        <v>29</v>
      </c>
    </row>
    <row r="15" spans="2:9" x14ac:dyDescent="0.35">
      <c r="B15" t="s">
        <v>30</v>
      </c>
      <c r="C15" s="8" t="e">
        <f>C12/C14*C10</f>
        <v>#VALUE!</v>
      </c>
    </row>
    <row r="16" spans="2:9" x14ac:dyDescent="0.35">
      <c r="G16" s="9" t="s">
        <v>13</v>
      </c>
      <c r="H16" s="10">
        <f>H7</f>
        <v>2.9390675241157554E-2</v>
      </c>
      <c r="I16" s="9" t="s">
        <v>14</v>
      </c>
    </row>
    <row r="17" spans="2:9" x14ac:dyDescent="0.35">
      <c r="B17" t="s">
        <v>31</v>
      </c>
      <c r="G17" s="11" t="s">
        <v>19</v>
      </c>
      <c r="H17" s="10">
        <f>H16/C9*C13</f>
        <v>1.4695337620578777</v>
      </c>
      <c r="I17" s="11" t="s">
        <v>32</v>
      </c>
    </row>
    <row r="18" spans="2:9" x14ac:dyDescent="0.35">
      <c r="B18" t="s">
        <v>33</v>
      </c>
      <c r="C18" s="12">
        <v>9.0499999999999997E-2</v>
      </c>
      <c r="G18" s="9" t="s">
        <v>19</v>
      </c>
      <c r="H18" s="13" t="e">
        <f>H9</f>
        <v>#VALUE!</v>
      </c>
      <c r="I18" s="9" t="s">
        <v>20</v>
      </c>
    </row>
    <row r="19" spans="2:9" x14ac:dyDescent="0.35">
      <c r="B19" t="s">
        <v>34</v>
      </c>
      <c r="C19" s="12">
        <v>8.5599999999999996E-2</v>
      </c>
      <c r="G19" s="9" t="s">
        <v>35</v>
      </c>
      <c r="H19" s="13" t="e">
        <f>#REF!</f>
        <v>#REF!</v>
      </c>
      <c r="I19" s="9" t="s">
        <v>20</v>
      </c>
    </row>
    <row r="20" spans="2:9" x14ac:dyDescent="0.35">
      <c r="B20" t="s">
        <v>36</v>
      </c>
      <c r="C20" s="3">
        <f>AVERAGE(C18:C19)</f>
        <v>8.8049999999999989E-2</v>
      </c>
    </row>
    <row r="21" spans="2:9" x14ac:dyDescent="0.35">
      <c r="B21" t="s">
        <v>35</v>
      </c>
      <c r="C21" s="14">
        <f>STDEV(C18:C19)</f>
        <v>3.4648232278140841E-3</v>
      </c>
      <c r="G21" t="s">
        <v>2</v>
      </c>
      <c r="H21" s="1">
        <v>6220</v>
      </c>
      <c r="I21" t="s">
        <v>3</v>
      </c>
    </row>
    <row r="22" spans="2:9" x14ac:dyDescent="0.35">
      <c r="G22" t="s">
        <v>5</v>
      </c>
      <c r="H22" s="2">
        <f>C19</f>
        <v>8.5599999999999996E-2</v>
      </c>
      <c r="I22" t="s">
        <v>6</v>
      </c>
    </row>
    <row r="23" spans="2:9" x14ac:dyDescent="0.35">
      <c r="G23" t="s">
        <v>8</v>
      </c>
      <c r="H23" s="3">
        <f>H22/H21</f>
        <v>1.3762057877813503E-5</v>
      </c>
      <c r="I23" t="s">
        <v>9</v>
      </c>
    </row>
    <row r="24" spans="2:9" x14ac:dyDescent="0.35">
      <c r="G24" t="s">
        <v>8</v>
      </c>
      <c r="H24" s="3">
        <f>H23*1000000</f>
        <v>13.762057877813504</v>
      </c>
      <c r="I24" t="s">
        <v>11</v>
      </c>
    </row>
    <row r="25" spans="2:9" x14ac:dyDescent="0.35">
      <c r="G25" t="s">
        <v>13</v>
      </c>
      <c r="H25" s="4">
        <f>H24/1000*C10</f>
        <v>2.7799356913183276E-2</v>
      </c>
      <c r="I25" t="s">
        <v>14</v>
      </c>
    </row>
    <row r="26" spans="2:9" x14ac:dyDescent="0.35">
      <c r="G26" t="s">
        <v>16</v>
      </c>
      <c r="H26" s="5" t="e">
        <f>C15</f>
        <v>#VALUE!</v>
      </c>
      <c r="I26" t="s">
        <v>17</v>
      </c>
    </row>
    <row r="27" spans="2:9" x14ac:dyDescent="0.35">
      <c r="G27" t="s">
        <v>19</v>
      </c>
      <c r="H27" s="3" t="e">
        <f>H25/H26</f>
        <v>#VALUE!</v>
      </c>
      <c r="I27" t="s">
        <v>20</v>
      </c>
    </row>
    <row r="29" spans="2:9" x14ac:dyDescent="0.35">
      <c r="G29" s="9" t="s">
        <v>13</v>
      </c>
      <c r="H29" s="10">
        <f>H25</f>
        <v>2.7799356913183276E-2</v>
      </c>
      <c r="I29" s="9" t="s">
        <v>14</v>
      </c>
    </row>
    <row r="30" spans="2:9" x14ac:dyDescent="0.35">
      <c r="G30" s="11" t="s">
        <v>19</v>
      </c>
      <c r="H30" s="10">
        <f>H29/C9*C13</f>
        <v>1.3899678456591638</v>
      </c>
      <c r="I30" s="11" t="s">
        <v>32</v>
      </c>
    </row>
    <row r="31" spans="2:9" x14ac:dyDescent="0.35">
      <c r="G31" s="9" t="s">
        <v>19</v>
      </c>
      <c r="H31" s="13" t="e">
        <f>H27</f>
        <v>#VALUE!</v>
      </c>
      <c r="I31" s="9" t="s">
        <v>20</v>
      </c>
    </row>
    <row r="32" spans="2:9" x14ac:dyDescent="0.35">
      <c r="G32" s="9" t="s">
        <v>35</v>
      </c>
      <c r="H32" s="13">
        <f>H43</f>
        <v>0</v>
      </c>
      <c r="I32" s="9" t="s">
        <v>20</v>
      </c>
    </row>
    <row r="34" spans="7:8" x14ac:dyDescent="0.35">
      <c r="G34" s="9" t="s">
        <v>37</v>
      </c>
      <c r="H34" s="10">
        <f>STDEV(H17,H30)</f>
        <v>5.626159903685253E-2</v>
      </c>
    </row>
    <row r="35" spans="7:8" x14ac:dyDescent="0.35">
      <c r="G35" s="9" t="s">
        <v>38</v>
      </c>
      <c r="H35" s="13">
        <f>AVERAGE(H17,H30)</f>
        <v>1.4297508038585207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10845-B6F9-4CB8-91C6-91B4660158AE}">
  <dimension ref="A1:Z34"/>
  <sheetViews>
    <sheetView tabSelected="1" zoomScale="90" zoomScaleNormal="90" workbookViewId="0">
      <selection activeCell="G20" sqref="G20"/>
    </sheetView>
  </sheetViews>
  <sheetFormatPr defaultRowHeight="14.5" x14ac:dyDescent="0.35"/>
  <cols>
    <col min="4" max="4" width="12.7265625" bestFit="1" customWidth="1"/>
    <col min="18" max="18" width="16.54296875" bestFit="1" customWidth="1"/>
  </cols>
  <sheetData>
    <row r="1" spans="4:26" x14ac:dyDescent="0.35">
      <c r="U1" t="s">
        <v>76</v>
      </c>
      <c r="X1" t="s">
        <v>76</v>
      </c>
    </row>
    <row r="2" spans="4:26" x14ac:dyDescent="0.35">
      <c r="R2" t="s">
        <v>42</v>
      </c>
      <c r="U2" t="s">
        <v>75</v>
      </c>
      <c r="X2" t="s">
        <v>43</v>
      </c>
    </row>
    <row r="3" spans="4:26" x14ac:dyDescent="0.35">
      <c r="R3" t="s">
        <v>67</v>
      </c>
      <c r="U3" t="s">
        <v>67</v>
      </c>
      <c r="X3" t="s">
        <v>67</v>
      </c>
    </row>
    <row r="5" spans="4:26" x14ac:dyDescent="0.35">
      <c r="R5" t="s">
        <v>68</v>
      </c>
      <c r="S5" s="17">
        <f>S12-SUM(S6:S11)</f>
        <v>395.04216037365507</v>
      </c>
      <c r="T5" s="17"/>
      <c r="U5" s="17" t="s">
        <v>68</v>
      </c>
      <c r="V5" s="17">
        <f>V12-SUM(V6:V11)</f>
        <v>401.47951874866908</v>
      </c>
      <c r="W5" s="17"/>
      <c r="X5" s="17" t="s">
        <v>68</v>
      </c>
      <c r="Y5" s="17">
        <f>Y12-SUM(Y6:Y11)</f>
        <v>392.86866494948424</v>
      </c>
      <c r="Z5" s="18"/>
    </row>
    <row r="6" spans="4:26" x14ac:dyDescent="0.35">
      <c r="E6" t="s">
        <v>38</v>
      </c>
      <c r="F6" t="s">
        <v>37</v>
      </c>
      <c r="R6" t="s">
        <v>69</v>
      </c>
      <c r="S6" s="17">
        <v>15</v>
      </c>
      <c r="T6" s="17"/>
      <c r="U6" s="17" t="s">
        <v>69</v>
      </c>
      <c r="V6" s="17">
        <v>15</v>
      </c>
      <c r="W6" s="17"/>
      <c r="X6" s="17" t="s">
        <v>69</v>
      </c>
      <c r="Y6" s="17">
        <v>15</v>
      </c>
      <c r="Z6" s="18"/>
    </row>
    <row r="7" spans="4:26" x14ac:dyDescent="0.35">
      <c r="D7" t="s">
        <v>51</v>
      </c>
      <c r="E7" s="15">
        <f>emptyvector!H35</f>
        <v>0.38331993569131828</v>
      </c>
      <c r="F7" s="15">
        <f>emptyvector!H34</f>
        <v>1.5654116361637872E-2</v>
      </c>
      <c r="R7" t="s">
        <v>70</v>
      </c>
      <c r="S7" s="17">
        <v>10</v>
      </c>
      <c r="T7" s="17"/>
      <c r="U7" s="17" t="s">
        <v>70</v>
      </c>
      <c r="V7" s="17">
        <v>10</v>
      </c>
      <c r="W7" s="17"/>
      <c r="X7" s="17" t="s">
        <v>70</v>
      </c>
      <c r="Y7" s="17">
        <v>10</v>
      </c>
      <c r="Z7" s="18"/>
    </row>
    <row r="8" spans="4:26" x14ac:dyDescent="0.35">
      <c r="D8" t="s">
        <v>46</v>
      </c>
      <c r="E8" s="15">
        <f>aspredam!H35</f>
        <v>4.0135369774919605</v>
      </c>
      <c r="F8" s="15">
        <f>aspredam!H34</f>
        <v>9.1400940847908049E-2</v>
      </c>
      <c r="R8" t="s">
        <v>71</v>
      </c>
      <c r="S8" s="17">
        <v>12.5</v>
      </c>
      <c r="T8" s="17"/>
      <c r="U8" s="17" t="s">
        <v>71</v>
      </c>
      <c r="V8" s="17">
        <v>12.5</v>
      </c>
      <c r="W8" s="17"/>
      <c r="X8" s="17" t="s">
        <v>71</v>
      </c>
      <c r="Y8" s="17">
        <v>12.5</v>
      </c>
      <c r="Z8" s="18"/>
    </row>
    <row r="9" spans="4:26" x14ac:dyDescent="0.35">
      <c r="D9" t="s">
        <v>47</v>
      </c>
      <c r="E9" s="15">
        <f>rytredam!H35</f>
        <v>83.049839228295781</v>
      </c>
      <c r="F9" s="15">
        <f>rytredam!H34</f>
        <v>0.13710141127185563</v>
      </c>
      <c r="R9" t="s">
        <v>72</v>
      </c>
      <c r="S9" s="17">
        <v>50</v>
      </c>
      <c r="T9" s="17"/>
      <c r="U9" s="17" t="s">
        <v>72</v>
      </c>
      <c r="V9" s="17">
        <v>50</v>
      </c>
      <c r="W9" s="17"/>
      <c r="X9" s="17" t="s">
        <v>72</v>
      </c>
      <c r="Y9" s="17">
        <v>50</v>
      </c>
      <c r="Z9" s="18"/>
    </row>
    <row r="10" spans="4:26" x14ac:dyDescent="0.35">
      <c r="D10" t="s">
        <v>48</v>
      </c>
      <c r="E10" s="15">
        <f>shyredam!H35</f>
        <v>34.173231511254016</v>
      </c>
      <c r="F10" s="15">
        <f>shyredam!H34</f>
        <v>0.93685964369105035</v>
      </c>
      <c r="R10" t="s">
        <v>18</v>
      </c>
      <c r="S10" s="17">
        <f>K30/2</f>
        <v>12.45783962634493</v>
      </c>
      <c r="T10" s="17"/>
      <c r="U10" s="17" t="s">
        <v>18</v>
      </c>
      <c r="V10" s="17">
        <f>K31*10/2</f>
        <v>6.0204812513308976</v>
      </c>
      <c r="W10" s="17"/>
      <c r="X10" s="17" t="s">
        <v>18</v>
      </c>
      <c r="Y10" s="17">
        <f>K32*10/2</f>
        <v>14.631335050515746</v>
      </c>
      <c r="Z10" s="18"/>
    </row>
    <row r="11" spans="4:26" x14ac:dyDescent="0.35">
      <c r="D11" t="s">
        <v>49</v>
      </c>
      <c r="E11" s="15">
        <f>BacRedAm!H35</f>
        <v>10.457234726688103</v>
      </c>
      <c r="F11" s="15">
        <f>BacRedAm!H34</f>
        <v>0.16074742581957741</v>
      </c>
      <c r="R11" t="s">
        <v>73</v>
      </c>
      <c r="S11" s="17">
        <v>5</v>
      </c>
      <c r="T11" s="17"/>
      <c r="U11" s="17" t="s">
        <v>73</v>
      </c>
      <c r="V11" s="17">
        <v>5</v>
      </c>
      <c r="W11" s="17"/>
      <c r="X11" s="17" t="s">
        <v>73</v>
      </c>
      <c r="Y11" s="17">
        <v>5</v>
      </c>
      <c r="Z11" s="18"/>
    </row>
    <row r="12" spans="4:26" x14ac:dyDescent="0.35">
      <c r="D12" t="s">
        <v>50</v>
      </c>
      <c r="E12" s="15">
        <f>pihredam!H35</f>
        <v>1.4297508038585207</v>
      </c>
      <c r="F12" s="15">
        <f>pihredam!H34</f>
        <v>5.626159903685253E-2</v>
      </c>
      <c r="R12" t="s">
        <v>74</v>
      </c>
      <c r="S12" s="17">
        <v>500</v>
      </c>
      <c r="T12" s="17"/>
      <c r="U12" s="17" t="s">
        <v>74</v>
      </c>
      <c r="V12" s="17">
        <v>500</v>
      </c>
      <c r="W12" s="17"/>
      <c r="X12" s="17" t="s">
        <v>74</v>
      </c>
      <c r="Y12" s="17">
        <v>500</v>
      </c>
      <c r="Z12" s="18"/>
    </row>
    <row r="13" spans="4:26" x14ac:dyDescent="0.35">
      <c r="S13" s="17"/>
      <c r="T13" s="17"/>
      <c r="U13" s="17"/>
      <c r="V13" s="17"/>
      <c r="W13" s="17"/>
      <c r="X13" s="17"/>
      <c r="Y13" s="17"/>
    </row>
    <row r="14" spans="4:26" x14ac:dyDescent="0.35">
      <c r="R14" t="s">
        <v>44</v>
      </c>
      <c r="S14" s="17"/>
      <c r="T14" s="17"/>
      <c r="U14" s="17" t="s">
        <v>45</v>
      </c>
      <c r="V14" s="17"/>
      <c r="W14" s="17"/>
      <c r="X14" s="17" t="s">
        <v>40</v>
      </c>
      <c r="Y14" s="17"/>
    </row>
    <row r="15" spans="4:26" x14ac:dyDescent="0.35">
      <c r="R15" t="s">
        <v>67</v>
      </c>
      <c r="S15" s="17"/>
      <c r="T15" s="17"/>
      <c r="U15" s="17" t="s">
        <v>67</v>
      </c>
      <c r="V15" s="17"/>
      <c r="W15" s="17"/>
      <c r="X15" s="17" t="s">
        <v>67</v>
      </c>
      <c r="Y15" s="17"/>
    </row>
    <row r="16" spans="4:26" x14ac:dyDescent="0.35">
      <c r="S16" s="17"/>
      <c r="T16" s="17"/>
      <c r="U16" s="17"/>
      <c r="V16" s="17"/>
      <c r="W16" s="17"/>
      <c r="X16" s="17"/>
      <c r="Y16" s="17"/>
    </row>
    <row r="17" spans="1:25" x14ac:dyDescent="0.35">
      <c r="R17" s="18" t="s">
        <v>68</v>
      </c>
      <c r="S17" s="17">
        <f>S24-SUM(S18:S23)</f>
        <v>402.71862124100608</v>
      </c>
      <c r="T17" s="17"/>
      <c r="U17" s="17" t="s">
        <v>68</v>
      </c>
      <c r="V17" s="17">
        <f>V24-SUM(V18:V23)</f>
        <v>372.52887085982877</v>
      </c>
      <c r="W17" s="17"/>
      <c r="X17" s="17" t="s">
        <v>68</v>
      </c>
      <c r="Y17" s="17">
        <f>Y24-SUM(Y18:Y23)</f>
        <v>277.06065848799409</v>
      </c>
    </row>
    <row r="18" spans="1:25" x14ac:dyDescent="0.35">
      <c r="R18" s="18" t="s">
        <v>69</v>
      </c>
      <c r="S18" s="17">
        <v>15</v>
      </c>
      <c r="T18" s="17"/>
      <c r="U18" s="17" t="s">
        <v>69</v>
      </c>
      <c r="V18" s="17">
        <v>15</v>
      </c>
      <c r="W18" s="17"/>
      <c r="X18" s="17" t="s">
        <v>69</v>
      </c>
      <c r="Y18" s="17">
        <v>15</v>
      </c>
    </row>
    <row r="19" spans="1:25" x14ac:dyDescent="0.35">
      <c r="R19" s="18" t="s">
        <v>70</v>
      </c>
      <c r="S19" s="17">
        <v>10</v>
      </c>
      <c r="T19" s="17"/>
      <c r="U19" s="17" t="s">
        <v>70</v>
      </c>
      <c r="V19" s="17">
        <v>10</v>
      </c>
      <c r="W19" s="17"/>
      <c r="X19" s="17" t="s">
        <v>70</v>
      </c>
      <c r="Y19" s="17">
        <v>10</v>
      </c>
    </row>
    <row r="20" spans="1:25" x14ac:dyDescent="0.35">
      <c r="A20" t="s">
        <v>63</v>
      </c>
      <c r="D20">
        <v>10</v>
      </c>
      <c r="E20" t="s">
        <v>52</v>
      </c>
      <c r="R20" s="18" t="s">
        <v>71</v>
      </c>
      <c r="S20" s="17">
        <v>12.5</v>
      </c>
      <c r="T20" s="17"/>
      <c r="U20" s="17" t="s">
        <v>71</v>
      </c>
      <c r="V20" s="17">
        <v>12.5</v>
      </c>
      <c r="W20" s="17"/>
      <c r="X20" s="17" t="s">
        <v>71</v>
      </c>
      <c r="Y20" s="17">
        <v>12.5</v>
      </c>
    </row>
    <row r="21" spans="1:25" x14ac:dyDescent="0.35">
      <c r="A21" t="s">
        <v>64</v>
      </c>
      <c r="D21">
        <v>1</v>
      </c>
      <c r="E21" t="s">
        <v>53</v>
      </c>
      <c r="R21" s="18" t="s">
        <v>72</v>
      </c>
      <c r="S21" s="17">
        <v>50</v>
      </c>
      <c r="T21" s="17"/>
      <c r="U21" s="17" t="s">
        <v>72</v>
      </c>
      <c r="V21" s="17">
        <v>50</v>
      </c>
      <c r="W21" s="17"/>
      <c r="X21" s="17" t="s">
        <v>72</v>
      </c>
      <c r="Y21" s="17">
        <v>50</v>
      </c>
    </row>
    <row r="22" spans="1:25" x14ac:dyDescent="0.35">
      <c r="A22" t="s">
        <v>65</v>
      </c>
      <c r="B22" t="s">
        <v>66</v>
      </c>
      <c r="D22">
        <f>D20*0.001</f>
        <v>0.01</v>
      </c>
      <c r="E22" t="s">
        <v>54</v>
      </c>
      <c r="R22" s="18" t="s">
        <v>18</v>
      </c>
      <c r="S22" s="17">
        <f>K33/2</f>
        <v>4.7813787589939123</v>
      </c>
      <c r="T22" s="17"/>
      <c r="U22" s="17" t="s">
        <v>18</v>
      </c>
      <c r="V22" s="17">
        <f>K34/2</f>
        <v>34.971129140171264</v>
      </c>
      <c r="W22" s="17"/>
      <c r="X22" s="17" t="s">
        <v>18</v>
      </c>
      <c r="Y22" s="17">
        <f>K29/2</f>
        <v>130.43934151200591</v>
      </c>
    </row>
    <row r="23" spans="1:25" x14ac:dyDescent="0.35">
      <c r="D23" s="16">
        <f>D22/(24*60)</f>
        <v>6.9444444444444448E-6</v>
      </c>
      <c r="E23" t="s">
        <v>55</v>
      </c>
      <c r="J23" t="s">
        <v>77</v>
      </c>
      <c r="R23" s="18" t="s">
        <v>73</v>
      </c>
      <c r="S23" s="17">
        <v>5</v>
      </c>
      <c r="T23" s="17"/>
      <c r="U23" s="17" t="s">
        <v>73</v>
      </c>
      <c r="V23" s="17">
        <v>5</v>
      </c>
      <c r="W23" s="17"/>
      <c r="X23" s="17" t="s">
        <v>73</v>
      </c>
      <c r="Y23" s="17">
        <v>5</v>
      </c>
    </row>
    <row r="24" spans="1:25" x14ac:dyDescent="0.35">
      <c r="D24" s="16">
        <f>D23*6</f>
        <v>4.1666666666666672E-5</v>
      </c>
      <c r="E24" t="s">
        <v>62</v>
      </c>
      <c r="J24" t="s">
        <v>77</v>
      </c>
      <c r="R24" s="18" t="s">
        <v>74</v>
      </c>
      <c r="S24" s="17">
        <v>500</v>
      </c>
      <c r="T24" s="17"/>
      <c r="U24" s="17" t="s">
        <v>74</v>
      </c>
      <c r="V24" s="17">
        <v>500</v>
      </c>
      <c r="W24" s="17"/>
      <c r="X24" s="17" t="s">
        <v>74</v>
      </c>
      <c r="Y24" s="17">
        <v>500</v>
      </c>
    </row>
    <row r="25" spans="1:25" x14ac:dyDescent="0.35">
      <c r="D25" s="16"/>
    </row>
    <row r="27" spans="1:25" x14ac:dyDescent="0.35">
      <c r="D27" t="s">
        <v>32</v>
      </c>
    </row>
    <row r="28" spans="1:25" x14ac:dyDescent="0.35">
      <c r="D28" t="s">
        <v>56</v>
      </c>
      <c r="E28" t="s">
        <v>57</v>
      </c>
      <c r="F28" t="s">
        <v>58</v>
      </c>
      <c r="G28" t="s">
        <v>59</v>
      </c>
      <c r="J28" t="s">
        <v>56</v>
      </c>
      <c r="K28" t="s">
        <v>57</v>
      </c>
      <c r="L28" t="s">
        <v>58</v>
      </c>
      <c r="M28" t="s">
        <v>59</v>
      </c>
    </row>
    <row r="29" spans="1:25" x14ac:dyDescent="0.35">
      <c r="C29" t="s">
        <v>60</v>
      </c>
      <c r="D29" s="15">
        <f>D28/$E$7</f>
        <v>2.6087868302401178</v>
      </c>
      <c r="E29" s="15">
        <f t="shared" ref="E29:F29" si="0">E28/$E$7</f>
        <v>0.26087868302401179</v>
      </c>
      <c r="F29" s="15">
        <f t="shared" si="0"/>
        <v>2.6087868302401177E-2</v>
      </c>
      <c r="G29" s="15">
        <f>G28/$E$7</f>
        <v>2.6087868302401176E-3</v>
      </c>
      <c r="I29" t="s">
        <v>61</v>
      </c>
      <c r="J29" s="15">
        <f>Table1[[#This Row],[1]]*1000</f>
        <v>2608.786830240118</v>
      </c>
      <c r="K29" s="15">
        <f>Table1[[#This Row],[0.1]]*1000</f>
        <v>260.87868302401182</v>
      </c>
      <c r="L29" s="15">
        <f>Table1[[#This Row],[0.01]]*1000</f>
        <v>26.087868302401176</v>
      </c>
      <c r="M29" s="15">
        <f>Table1[[#This Row],[0.001]]*1000</f>
        <v>2.6087868302401178</v>
      </c>
    </row>
    <row r="30" spans="1:25" x14ac:dyDescent="0.35">
      <c r="D30" s="15">
        <f>D28/$E$8</f>
        <v>0.24915679252689857</v>
      </c>
      <c r="E30" s="15">
        <f t="shared" ref="E30:G30" si="1">E28/$E$8</f>
        <v>2.4915679252689858E-2</v>
      </c>
      <c r="F30" s="15">
        <f t="shared" si="1"/>
        <v>2.4915679252689856E-3</v>
      </c>
      <c r="G30" s="15">
        <f t="shared" si="1"/>
        <v>2.491567925268986E-4</v>
      </c>
      <c r="J30" s="15">
        <f>Table1[[#This Row],[1]]*1000</f>
        <v>249.15679252689856</v>
      </c>
      <c r="K30" s="15">
        <f>Table1[[#This Row],[0.1]]*1000</f>
        <v>24.915679252689859</v>
      </c>
      <c r="L30" s="15">
        <f>Table1[[#This Row],[0.01]]*1000</f>
        <v>2.4915679252689857</v>
      </c>
      <c r="M30" s="15">
        <f>Table1[[#This Row],[0.001]]*1000</f>
        <v>0.2491567925268986</v>
      </c>
    </row>
    <row r="31" spans="1:25" x14ac:dyDescent="0.35">
      <c r="D31" s="15">
        <f>D28/$E$9</f>
        <v>1.2040962502661795E-2</v>
      </c>
      <c r="E31" s="15">
        <f t="shared" ref="E31:G31" si="2">E28/$E$9</f>
        <v>1.2040962502661795E-3</v>
      </c>
      <c r="F31" s="15">
        <f t="shared" si="2"/>
        <v>1.2040962502661794E-4</v>
      </c>
      <c r="G31" s="15">
        <f t="shared" si="2"/>
        <v>1.2040962502661794E-5</v>
      </c>
      <c r="J31" s="15">
        <f>Table1[[#This Row],[1]]*1000</f>
        <v>12.040962502661795</v>
      </c>
      <c r="K31" s="15">
        <f>Table1[[#This Row],[0.1]]*1000</f>
        <v>1.2040962502661796</v>
      </c>
      <c r="L31" s="15">
        <f>Table1[[#This Row],[0.01]]*1000</f>
        <v>0.12040962502661794</v>
      </c>
      <c r="M31" s="15">
        <f>Table1[[#This Row],[0.001]]*1000</f>
        <v>1.2040962502661793E-2</v>
      </c>
    </row>
    <row r="32" spans="1:25" x14ac:dyDescent="0.35">
      <c r="D32" s="15">
        <f>D28/$E$10</f>
        <v>2.926267010103149E-2</v>
      </c>
      <c r="E32" s="15">
        <f t="shared" ref="E32:G32" si="3">E28/$E$10</f>
        <v>2.926267010103149E-3</v>
      </c>
      <c r="F32" s="15">
        <f t="shared" si="3"/>
        <v>2.9262670101031489E-4</v>
      </c>
      <c r="G32" s="15">
        <f t="shared" si="3"/>
        <v>2.9262670101031489E-5</v>
      </c>
      <c r="J32" s="15">
        <f>Table1[[#This Row],[1]]*1000</f>
        <v>29.262670101031489</v>
      </c>
      <c r="K32" s="15">
        <f>Table1[[#This Row],[0.1]]*1000</f>
        <v>2.9262670101031492</v>
      </c>
      <c r="L32" s="15">
        <f>Table1[[#This Row],[0.01]]*1000</f>
        <v>0.2926267010103149</v>
      </c>
      <c r="M32" s="15">
        <f>Table1[[#This Row],[0.001]]*1000</f>
        <v>2.926267010103149E-2</v>
      </c>
    </row>
    <row r="33" spans="4:13" x14ac:dyDescent="0.35">
      <c r="D33" s="15">
        <f>D28/$E$11</f>
        <v>9.562757517987823E-2</v>
      </c>
      <c r="E33" s="15">
        <f t="shared" ref="E33:G33" si="4">E28/$E$11</f>
        <v>9.5627575179878244E-3</v>
      </c>
      <c r="F33" s="15">
        <f t="shared" si="4"/>
        <v>9.5627575179878233E-4</v>
      </c>
      <c r="G33" s="15">
        <f t="shared" si="4"/>
        <v>9.5627575179878238E-5</v>
      </c>
      <c r="J33" s="15">
        <f>Table1[[#This Row],[1]]*1000</f>
        <v>95.627575179878235</v>
      </c>
      <c r="K33" s="15">
        <f>Table1[[#This Row],[0.1]]*1000</f>
        <v>9.5627575179878246</v>
      </c>
      <c r="L33" s="15">
        <f>Table1[[#This Row],[0.01]]*1000</f>
        <v>0.95627575179878233</v>
      </c>
      <c r="M33" s="15">
        <f>Table1[[#This Row],[0.001]]*1000</f>
        <v>9.5627575179878244E-2</v>
      </c>
    </row>
    <row r="34" spans="4:13" x14ac:dyDescent="0.35">
      <c r="D34" s="15">
        <f>D28/$E$12</f>
        <v>0.69942258280342529</v>
      </c>
      <c r="E34" s="15">
        <f t="shared" ref="E34:G34" si="5">E28/$E$12</f>
        <v>6.9942258280342534E-2</v>
      </c>
      <c r="F34" s="15">
        <f t="shared" si="5"/>
        <v>6.9942258280342529E-3</v>
      </c>
      <c r="G34" s="15">
        <f t="shared" si="5"/>
        <v>6.994225828034252E-4</v>
      </c>
      <c r="J34" s="15">
        <f>Table1[[#This Row],[1]]*1000</f>
        <v>699.42258280342526</v>
      </c>
      <c r="K34" s="15">
        <f>Table1[[#This Row],[0.1]]*1000</f>
        <v>69.942258280342529</v>
      </c>
      <c r="L34" s="15">
        <f>Table1[[#This Row],[0.01]]*1000</f>
        <v>6.9942258280342529</v>
      </c>
      <c r="M34" s="15">
        <f>Table1[[#This Row],[0.001]]*1000</f>
        <v>0.69942258280342517</v>
      </c>
    </row>
  </sheetData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emptyvector</vt:lpstr>
      <vt:lpstr>aspredam</vt:lpstr>
      <vt:lpstr>rytredam</vt:lpstr>
      <vt:lpstr>shyredam</vt:lpstr>
      <vt:lpstr>BacRedAm</vt:lpstr>
      <vt:lpstr>pihredam</vt:lpstr>
      <vt:lpstr>summary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Caroline Paul</cp:lastModifiedBy>
  <cp:lastPrinted>2023-08-10T11:12:45Z</cp:lastPrinted>
  <dcterms:created xsi:type="dcterms:W3CDTF">2023-08-10T09:14:26Z</dcterms:created>
  <dcterms:modified xsi:type="dcterms:W3CDTF">2024-05-24T20:59:29Z</dcterms:modified>
</cp:coreProperties>
</file>