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4" activeTab="7"/>
  </bookViews>
  <sheets>
    <sheet name="pH-dependent adsorption" sheetId="2" r:id="rId1"/>
    <sheet name="Adsorption kinetic" sheetId="4" r:id="rId2"/>
    <sheet name="Adsorption isotherm " sheetId="3" r:id="rId3"/>
    <sheet name="Eluent concentration" sheetId="6" r:id="rId4"/>
    <sheet name="Eluent volume" sheetId="5" r:id="rId5"/>
    <sheet name="Ionic strength" sheetId="7" r:id="rId6"/>
    <sheet name="CEC" sheetId="9" r:id="rId7"/>
    <sheet name="digestion" sheetId="10" r:id="rId8"/>
  </sheets>
  <externalReferences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0" l="1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4" i="10"/>
  <c r="E3" i="10"/>
  <c r="G4" i="10" l="1"/>
  <c r="H4" i="10" s="1"/>
  <c r="I4" i="10" s="1"/>
  <c r="G5" i="10"/>
  <c r="H5" i="10" s="1"/>
  <c r="I5" i="10" s="1"/>
  <c r="G6" i="10"/>
  <c r="H6" i="10" s="1"/>
  <c r="I6" i="10" s="1"/>
  <c r="G7" i="10"/>
  <c r="H7" i="10" s="1"/>
  <c r="I7" i="10" s="1"/>
  <c r="G8" i="10"/>
  <c r="H8" i="10" s="1"/>
  <c r="I8" i="10" s="1"/>
  <c r="G9" i="10"/>
  <c r="H9" i="10" s="1"/>
  <c r="I9" i="10" s="1"/>
  <c r="G10" i="10"/>
  <c r="H10" i="10" s="1"/>
  <c r="I10" i="10" s="1"/>
  <c r="G12" i="10"/>
  <c r="H12" i="10" s="1"/>
  <c r="I12" i="10" s="1"/>
  <c r="G13" i="10"/>
  <c r="H13" i="10" s="1"/>
  <c r="I13" i="10" s="1"/>
  <c r="G14" i="10"/>
  <c r="H14" i="10" s="1"/>
  <c r="I14" i="10" s="1"/>
  <c r="G15" i="10"/>
  <c r="H15" i="10" s="1"/>
  <c r="I15" i="10" s="1"/>
  <c r="G16" i="10"/>
  <c r="H16" i="10" s="1"/>
  <c r="I16" i="10" s="1"/>
  <c r="G17" i="10"/>
  <c r="H17" i="10" s="1"/>
  <c r="I17" i="10" s="1"/>
  <c r="G18" i="10"/>
  <c r="H18" i="10" s="1"/>
  <c r="I18" i="10" s="1"/>
  <c r="G19" i="10"/>
  <c r="H19" i="10" s="1"/>
  <c r="I19" i="10" s="1"/>
  <c r="G20" i="10"/>
  <c r="H20" i="10" s="1"/>
  <c r="I20" i="10" s="1"/>
  <c r="G21" i="10"/>
  <c r="H21" i="10" s="1"/>
  <c r="I21" i="10" s="1"/>
  <c r="G22" i="10"/>
  <c r="H22" i="10" s="1"/>
  <c r="I22" i="10" s="1"/>
  <c r="G23" i="10"/>
  <c r="H23" i="10" s="1"/>
  <c r="I23" i="10" s="1"/>
  <c r="G24" i="10"/>
  <c r="H24" i="10" s="1"/>
  <c r="I24" i="10" s="1"/>
  <c r="G25" i="10"/>
  <c r="H25" i="10" s="1"/>
  <c r="I25" i="10" s="1"/>
  <c r="G26" i="10"/>
  <c r="H26" i="10" s="1"/>
  <c r="I26" i="10" s="1"/>
  <c r="G27" i="10"/>
  <c r="H27" i="10" s="1"/>
  <c r="I27" i="10" s="1"/>
  <c r="G28" i="10"/>
  <c r="H28" i="10" s="1"/>
  <c r="I28" i="10" s="1"/>
  <c r="G29" i="10"/>
  <c r="H29" i="10" s="1"/>
  <c r="I29" i="10" s="1"/>
  <c r="G30" i="10"/>
  <c r="H30" i="10" s="1"/>
  <c r="I30" i="10" s="1"/>
  <c r="G31" i="10"/>
  <c r="H31" i="10" s="1"/>
  <c r="I31" i="10" s="1"/>
  <c r="G32" i="10"/>
  <c r="H32" i="10" s="1"/>
  <c r="I32" i="10" s="1"/>
  <c r="G33" i="10"/>
  <c r="H33" i="10" s="1"/>
  <c r="I33" i="10" s="1"/>
  <c r="G34" i="10"/>
  <c r="H34" i="10" s="1"/>
  <c r="I34" i="10" s="1"/>
  <c r="G35" i="10"/>
  <c r="H35" i="10" s="1"/>
  <c r="I35" i="10" s="1"/>
  <c r="G36" i="10"/>
  <c r="H36" i="10" s="1"/>
  <c r="I36" i="10" s="1"/>
  <c r="G37" i="10"/>
  <c r="H37" i="10" s="1"/>
  <c r="I37" i="10" s="1"/>
  <c r="G38" i="10"/>
  <c r="H38" i="10" s="1"/>
  <c r="I38" i="10" s="1"/>
  <c r="G39" i="10"/>
  <c r="H39" i="10" s="1"/>
  <c r="I39" i="10" s="1"/>
  <c r="G40" i="10"/>
  <c r="H40" i="10" s="1"/>
  <c r="I40" i="10" s="1"/>
  <c r="G41" i="10"/>
  <c r="H41" i="10" s="1"/>
  <c r="I41" i="10" s="1"/>
  <c r="G42" i="10"/>
  <c r="H42" i="10" s="1"/>
  <c r="I42" i="10" s="1"/>
  <c r="G43" i="10"/>
  <c r="H43" i="10" s="1"/>
  <c r="I43" i="10" s="1"/>
  <c r="G44" i="10"/>
  <c r="H44" i="10" s="1"/>
  <c r="I44" i="10" s="1"/>
  <c r="G45" i="10"/>
  <c r="H45" i="10" s="1"/>
  <c r="I45" i="10" s="1"/>
  <c r="G46" i="10"/>
  <c r="H46" i="10" s="1"/>
  <c r="I46" i="10" s="1"/>
  <c r="G47" i="10"/>
  <c r="H47" i="10" s="1"/>
  <c r="I47" i="10" s="1"/>
  <c r="G48" i="10"/>
  <c r="H48" i="10" s="1"/>
  <c r="I48" i="10" s="1"/>
  <c r="G49" i="10"/>
  <c r="H49" i="10" s="1"/>
  <c r="I49" i="10" s="1"/>
  <c r="G50" i="10"/>
  <c r="H50" i="10" s="1"/>
  <c r="I50" i="10" s="1"/>
  <c r="G51" i="10"/>
  <c r="H51" i="10" s="1"/>
  <c r="I51" i="10" s="1"/>
  <c r="G52" i="10"/>
  <c r="H52" i="10" s="1"/>
  <c r="I52" i="10" s="1"/>
  <c r="G53" i="10"/>
  <c r="H53" i="10" s="1"/>
  <c r="I53" i="10" s="1"/>
  <c r="G54" i="10"/>
  <c r="H54" i="10" s="1"/>
  <c r="I54" i="10" s="1"/>
  <c r="G55" i="10"/>
  <c r="H55" i="10" s="1"/>
  <c r="I55" i="10" s="1"/>
  <c r="G56" i="10"/>
  <c r="H56" i="10" s="1"/>
  <c r="I56" i="10" s="1"/>
  <c r="G3" i="10"/>
  <c r="H3" i="10" s="1"/>
  <c r="I3" i="10" s="1"/>
  <c r="F11" i="10"/>
  <c r="G11" i="10" s="1"/>
  <c r="H11" i="10" s="1"/>
  <c r="I11" i="10" s="1"/>
  <c r="F3" i="6"/>
  <c r="F4" i="6"/>
  <c r="F5" i="6"/>
  <c r="F6" i="6"/>
  <c r="F7" i="6"/>
  <c r="F8" i="6"/>
  <c r="F4" i="4" l="1"/>
  <c r="F5" i="4"/>
  <c r="F6" i="4"/>
  <c r="F7" i="4"/>
  <c r="F8" i="4"/>
  <c r="F9" i="4"/>
  <c r="F10" i="4"/>
  <c r="F3" i="4"/>
  <c r="L4" i="2"/>
  <c r="L5" i="2"/>
  <c r="L6" i="2"/>
  <c r="L7" i="2"/>
  <c r="L8" i="2"/>
  <c r="L9" i="2"/>
  <c r="L10" i="2"/>
  <c r="L11" i="2"/>
  <c r="L12" i="2"/>
  <c r="L13" i="2"/>
  <c r="L14" i="2"/>
  <c r="L3" i="2"/>
  <c r="K4" i="2"/>
  <c r="K5" i="2"/>
  <c r="K6" i="2"/>
  <c r="K7" i="2"/>
  <c r="K8" i="2"/>
  <c r="K9" i="2"/>
  <c r="K10" i="2"/>
  <c r="K11" i="2"/>
  <c r="K12" i="2"/>
  <c r="K13" i="2"/>
  <c r="K14" i="2"/>
  <c r="K3" i="2"/>
  <c r="AD4" i="3"/>
  <c r="Z18" i="3"/>
  <c r="V18" i="3"/>
  <c r="Y18" i="3" s="1"/>
  <c r="Z17" i="3"/>
  <c r="V17" i="3"/>
  <c r="Y17" i="3" s="1"/>
  <c r="Z16" i="3"/>
  <c r="V16" i="3"/>
  <c r="Y16" i="3" s="1"/>
  <c r="Z15" i="3"/>
  <c r="V15" i="3"/>
  <c r="Y15" i="3" s="1"/>
  <c r="Z14" i="3"/>
  <c r="V14" i="3"/>
  <c r="Y14" i="3" s="1"/>
  <c r="Z13" i="3"/>
  <c r="V13" i="3"/>
  <c r="Y13" i="3" s="1"/>
  <c r="AB9" i="3"/>
  <c r="AA9" i="3"/>
  <c r="Z9" i="3"/>
  <c r="U9" i="3"/>
  <c r="T9" i="3"/>
  <c r="S9" i="3"/>
  <c r="AB8" i="3"/>
  <c r="AA8" i="3"/>
  <c r="Z8" i="3"/>
  <c r="U8" i="3"/>
  <c r="T8" i="3"/>
  <c r="S8" i="3"/>
  <c r="AB7" i="3"/>
  <c r="AA7" i="3"/>
  <c r="Z7" i="3"/>
  <c r="U7" i="3"/>
  <c r="T7" i="3"/>
  <c r="S7" i="3"/>
  <c r="AB6" i="3"/>
  <c r="AA6" i="3"/>
  <c r="Z6" i="3"/>
  <c r="U6" i="3"/>
  <c r="T6" i="3"/>
  <c r="S6" i="3"/>
  <c r="AB5" i="3"/>
  <c r="AA5" i="3"/>
  <c r="Z5" i="3"/>
  <c r="U5" i="3"/>
  <c r="T5" i="3"/>
  <c r="S5" i="3"/>
  <c r="AB4" i="3"/>
  <c r="AA4" i="3"/>
  <c r="Z4" i="3"/>
  <c r="U4" i="3"/>
  <c r="T4" i="3"/>
  <c r="S4" i="3"/>
  <c r="V5" i="3" l="1"/>
  <c r="V4" i="3"/>
  <c r="V7" i="3"/>
  <c r="AD7" i="3" s="1"/>
  <c r="AC6" i="3"/>
  <c r="AC7" i="3"/>
  <c r="AC9" i="3"/>
  <c r="AC8" i="3"/>
  <c r="V6" i="3"/>
  <c r="AD6" i="3" s="1"/>
  <c r="V8" i="3"/>
  <c r="V9" i="3"/>
  <c r="AC4" i="3"/>
  <c r="AC5" i="3"/>
  <c r="X14" i="3"/>
  <c r="X16" i="3"/>
  <c r="X18" i="3"/>
  <c r="X13" i="3"/>
  <c r="X15" i="3"/>
  <c r="X17" i="3"/>
  <c r="AD8" i="3" l="1"/>
  <c r="AD5" i="3"/>
  <c r="AD9" i="3"/>
  <c r="G4" i="9"/>
  <c r="F4" i="9"/>
  <c r="G3" i="9"/>
  <c r="G2" i="9"/>
  <c r="E8" i="7"/>
  <c r="F8" i="7" s="1"/>
  <c r="E7" i="7"/>
  <c r="F7" i="7" s="1"/>
  <c r="E6" i="7"/>
  <c r="F6" i="7" s="1"/>
  <c r="E5" i="7"/>
  <c r="F5" i="7" s="1"/>
  <c r="E4" i="7"/>
  <c r="F4" i="7" s="1"/>
  <c r="E3" i="7"/>
  <c r="F3" i="7" s="1"/>
  <c r="E4" i="6"/>
  <c r="E5" i="6"/>
  <c r="E6" i="6"/>
  <c r="E7" i="6"/>
  <c r="E8" i="6"/>
  <c r="E3" i="6"/>
  <c r="E5" i="3"/>
  <c r="F5" i="3" s="1"/>
  <c r="E6" i="3"/>
  <c r="F6" i="3" s="1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 s="1"/>
  <c r="E18" i="3"/>
  <c r="F18" i="3" s="1"/>
  <c r="E19" i="3"/>
  <c r="F19" i="3" s="1"/>
  <c r="E7" i="3"/>
  <c r="F7" i="3" s="1"/>
  <c r="E4" i="3"/>
  <c r="F4" i="3" s="1"/>
  <c r="E4" i="5"/>
  <c r="E5" i="5"/>
  <c r="E6" i="5"/>
  <c r="E7" i="5"/>
  <c r="E3" i="5"/>
  <c r="E4" i="4"/>
  <c r="E5" i="4"/>
  <c r="E6" i="4"/>
  <c r="E7" i="4"/>
  <c r="E8" i="4"/>
  <c r="E9" i="4"/>
  <c r="E10" i="4"/>
  <c r="E3" i="4"/>
  <c r="M10" i="4"/>
  <c r="K10" i="4"/>
  <c r="M9" i="4"/>
  <c r="K9" i="4"/>
  <c r="O9" i="4" s="1"/>
  <c r="O8" i="4"/>
  <c r="M8" i="4"/>
  <c r="K8" i="4"/>
  <c r="M7" i="4"/>
  <c r="K7" i="4"/>
  <c r="N7" i="4" s="1"/>
  <c r="M6" i="4"/>
  <c r="K6" i="4"/>
  <c r="M5" i="4"/>
  <c r="K5" i="4"/>
  <c r="O5" i="4" s="1"/>
  <c r="N4" i="4"/>
  <c r="M4" i="4"/>
  <c r="K4" i="4"/>
  <c r="O4" i="4" s="1"/>
  <c r="M3" i="4"/>
  <c r="N3" i="4" s="1"/>
  <c r="K3" i="4"/>
  <c r="O3" i="4" s="1"/>
  <c r="N8" i="4" l="1"/>
  <c r="H2" i="9"/>
  <c r="N6" i="4"/>
  <c r="O7" i="4"/>
  <c r="N10" i="4"/>
  <c r="N5" i="4"/>
  <c r="O6" i="4"/>
  <c r="N9" i="4"/>
  <c r="O10" i="4"/>
  <c r="M3" i="2" l="1"/>
  <c r="M4" i="2"/>
  <c r="M5" i="2"/>
  <c r="M6" i="2"/>
  <c r="M7" i="2"/>
  <c r="M8" i="2"/>
  <c r="M9" i="2"/>
  <c r="M10" i="2"/>
  <c r="M11" i="2"/>
  <c r="M12" i="2"/>
  <c r="E4" i="2" l="1"/>
  <c r="E5" i="2"/>
  <c r="E6" i="2"/>
  <c r="E7" i="2"/>
  <c r="E8" i="2"/>
  <c r="E9" i="2"/>
  <c r="E10" i="2"/>
  <c r="E11" i="2"/>
  <c r="E12" i="2"/>
  <c r="E13" i="2"/>
  <c r="E14" i="2"/>
  <c r="E3" i="2"/>
  <c r="F3" i="9" l="1"/>
  <c r="F2" i="9"/>
  <c r="G8" i="6" l="1"/>
  <c r="G7" i="6"/>
  <c r="G6" i="6"/>
  <c r="G5" i="6"/>
  <c r="G4" i="6"/>
  <c r="G3" i="6"/>
  <c r="F7" i="5"/>
  <c r="G7" i="5" s="1"/>
  <c r="F6" i="5"/>
  <c r="G6" i="5" s="1"/>
  <c r="F5" i="5"/>
  <c r="G5" i="5" s="1"/>
  <c r="F4" i="5"/>
  <c r="G4" i="5" s="1"/>
  <c r="F3" i="5"/>
  <c r="G3" i="5" s="1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C22" i="3"/>
  <c r="M14" i="2"/>
  <c r="J14" i="2"/>
  <c r="M13" i="2"/>
  <c r="J13" i="2"/>
  <c r="J12" i="2"/>
  <c r="J11" i="2"/>
  <c r="J10" i="2"/>
  <c r="J9" i="2"/>
  <c r="J8" i="2"/>
  <c r="J7" i="2"/>
  <c r="J6" i="2"/>
  <c r="J5" i="2"/>
  <c r="J4" i="2"/>
  <c r="J3" i="2"/>
  <c r="F13" i="2"/>
  <c r="F12" i="2"/>
  <c r="F9" i="2"/>
  <c r="F8" i="2"/>
  <c r="F7" i="2"/>
  <c r="F5" i="2"/>
  <c r="E34" i="3" l="1"/>
  <c r="E30" i="3"/>
  <c r="E26" i="3"/>
  <c r="E25" i="3"/>
  <c r="E29" i="3"/>
  <c r="E37" i="3"/>
  <c r="E33" i="3"/>
  <c r="F3" i="2"/>
  <c r="F4" i="2"/>
  <c r="E36" i="3"/>
  <c r="E32" i="3"/>
  <c r="E28" i="3"/>
  <c r="E24" i="3"/>
  <c r="E35" i="3"/>
  <c r="E31" i="3"/>
  <c r="E27" i="3"/>
  <c r="E23" i="3"/>
  <c r="F11" i="2"/>
  <c r="F6" i="2"/>
  <c r="F10" i="2"/>
  <c r="F14" i="2"/>
  <c r="D22" i="3" l="1"/>
  <c r="E22" i="3" l="1"/>
</calcChain>
</file>

<file path=xl/sharedStrings.xml><?xml version="1.0" encoding="utf-8"?>
<sst xmlns="http://schemas.openxmlformats.org/spreadsheetml/2006/main" count="161" uniqueCount="117">
  <si>
    <t>pH</t>
  </si>
  <si>
    <t>R1 Cd (ppb)</t>
  </si>
  <si>
    <t>R2 Cd (ppb)</t>
  </si>
  <si>
    <t>MEAN Cd (ppb)</t>
  </si>
  <si>
    <t>Qsp</t>
  </si>
  <si>
    <t>Qsp-Ksp</t>
  </si>
  <si>
    <r>
      <t xml:space="preserve">[OH </t>
    </r>
    <r>
      <rPr>
        <sz val="11"/>
        <color theme="1"/>
        <rFont val="Arial"/>
        <family val="2"/>
      </rPr>
      <t>̄ ]</t>
    </r>
  </si>
  <si>
    <t>ln(t)</t>
  </si>
  <si>
    <t>Ce(mg/l)</t>
  </si>
  <si>
    <t>ln(Ce)</t>
  </si>
  <si>
    <t>qe(mg/kg)</t>
  </si>
  <si>
    <t>qe(mg/g)</t>
  </si>
  <si>
    <t>Ce/qe</t>
  </si>
  <si>
    <t>R1</t>
  </si>
  <si>
    <t>R2</t>
  </si>
  <si>
    <t>R1 adj</t>
  </si>
  <si>
    <t>R2 adj</t>
  </si>
  <si>
    <t>cont</t>
  </si>
  <si>
    <t>Na sample cont</t>
  </si>
  <si>
    <t>Na sample (ppm)</t>
  </si>
  <si>
    <t>CEC (cmolc/kg)</t>
  </si>
  <si>
    <t xml:space="preserve">Ag </t>
  </si>
  <si>
    <t xml:space="preserve">Al </t>
  </si>
  <si>
    <t xml:space="preserve">As </t>
  </si>
  <si>
    <t xml:space="preserve">B </t>
  </si>
  <si>
    <t xml:space="preserve">Ba </t>
  </si>
  <si>
    <t xml:space="preserve">Be </t>
  </si>
  <si>
    <t xml:space="preserve">Bi </t>
  </si>
  <si>
    <t xml:space="preserve">Ca </t>
  </si>
  <si>
    <t xml:space="preserve">Cd </t>
  </si>
  <si>
    <t xml:space="preserve">Ce </t>
  </si>
  <si>
    <t xml:space="preserve">Co </t>
  </si>
  <si>
    <t xml:space="preserve">Cr </t>
  </si>
  <si>
    <t xml:space="preserve">Cu </t>
  </si>
  <si>
    <t xml:space="preserve">Dy </t>
  </si>
  <si>
    <t xml:space="preserve">Er </t>
  </si>
  <si>
    <t xml:space="preserve">Eu </t>
  </si>
  <si>
    <t xml:space="preserve">Fe </t>
  </si>
  <si>
    <t xml:space="preserve">Ga </t>
  </si>
  <si>
    <t xml:space="preserve">Gd </t>
  </si>
  <si>
    <t xml:space="preserve">Hf </t>
  </si>
  <si>
    <t xml:space="preserve">Hg </t>
  </si>
  <si>
    <t xml:space="preserve">Ho </t>
  </si>
  <si>
    <t xml:space="preserve">K </t>
  </si>
  <si>
    <t xml:space="preserve">La </t>
  </si>
  <si>
    <t xml:space="preserve">Li </t>
  </si>
  <si>
    <t xml:space="preserve">Mg </t>
  </si>
  <si>
    <t xml:space="preserve">Mn </t>
  </si>
  <si>
    <t xml:space="preserve">Mo </t>
  </si>
  <si>
    <t xml:space="preserve">Na </t>
  </si>
  <si>
    <t xml:space="preserve"> Rb</t>
  </si>
  <si>
    <t xml:space="preserve">Nb </t>
  </si>
  <si>
    <t xml:space="preserve">Nd </t>
  </si>
  <si>
    <t xml:space="preserve">Ni </t>
  </si>
  <si>
    <t xml:space="preserve">P </t>
  </si>
  <si>
    <t xml:space="preserve">Pb </t>
  </si>
  <si>
    <t xml:space="preserve">S </t>
  </si>
  <si>
    <t xml:space="preserve">Sb </t>
  </si>
  <si>
    <t xml:space="preserve">Sc </t>
  </si>
  <si>
    <t xml:space="preserve">Si </t>
  </si>
  <si>
    <t xml:space="preserve">Sm </t>
  </si>
  <si>
    <t xml:space="preserve">Sn </t>
  </si>
  <si>
    <t xml:space="preserve">Sr </t>
  </si>
  <si>
    <t xml:space="preserve">Ta </t>
  </si>
  <si>
    <t xml:space="preserve">Tb </t>
  </si>
  <si>
    <t xml:space="preserve">Te </t>
  </si>
  <si>
    <t xml:space="preserve">Th </t>
  </si>
  <si>
    <t xml:space="preserve">Ti </t>
  </si>
  <si>
    <t xml:space="preserve">Tl </t>
  </si>
  <si>
    <t xml:space="preserve">Tm </t>
  </si>
  <si>
    <t xml:space="preserve">U </t>
  </si>
  <si>
    <t xml:space="preserve">V </t>
  </si>
  <si>
    <t xml:space="preserve">W </t>
  </si>
  <si>
    <t xml:space="preserve">Y </t>
  </si>
  <si>
    <t xml:space="preserve">Yb </t>
  </si>
  <si>
    <t>Wt%</t>
  </si>
  <si>
    <t>Element</t>
  </si>
  <si>
    <t>Concentration in digestion solution (ppb)</t>
  </si>
  <si>
    <t>R3 Cd (ppb)</t>
  </si>
  <si>
    <t>R3</t>
  </si>
  <si>
    <t>R3 adj</t>
  </si>
  <si>
    <t>Amount in C-CDs (µg/mg)</t>
  </si>
  <si>
    <t>Time (s)</t>
  </si>
  <si>
    <t>Time (min)</t>
  </si>
  <si>
    <t>t/qt</t>
  </si>
  <si>
    <t>Volume of HNO3 0.1 N (µl)</t>
  </si>
  <si>
    <t>elution efficiency (%)</t>
  </si>
  <si>
    <t>Concentration of HNO3 (N)</t>
  </si>
  <si>
    <t>Cd elution efficiency (%)</t>
  </si>
  <si>
    <t>Concentration of Na (ppm)</t>
  </si>
  <si>
    <t>Cd adsorption efficiency (%)</t>
  </si>
  <si>
    <t>Adsorption isotherm in saturated mud</t>
  </si>
  <si>
    <t>Adsorption isotherm in cadmium standard solutions</t>
  </si>
  <si>
    <t>Cd in polluted soil extract (ppm)</t>
  </si>
  <si>
    <t>Cd in polluted soil+C-CDs extract (ppm)</t>
  </si>
  <si>
    <t>Cd pollutant solutions (ppm)</t>
  </si>
  <si>
    <t>ln(qe)</t>
  </si>
  <si>
    <t xml:space="preserve">Initial concentration of Cd (ppb) </t>
  </si>
  <si>
    <t>Cd in supernatant (ppb)</t>
  </si>
  <si>
    <t xml:space="preserve">R2 </t>
  </si>
  <si>
    <t xml:space="preserve">MEAN </t>
  </si>
  <si>
    <t>Adsorbed Cd (mg/kg)</t>
  </si>
  <si>
    <t>Adjusted</t>
  </si>
  <si>
    <t>Mean</t>
  </si>
  <si>
    <t>Adsorbed Cd by C-CDs (mg/kg)</t>
  </si>
  <si>
    <t>MEAN</t>
  </si>
  <si>
    <t>Adsorption efficiency (%)</t>
  </si>
  <si>
    <t>[OH  ̄] Extra</t>
  </si>
  <si>
    <t>Cd demand(ppb)</t>
  </si>
  <si>
    <t xml:space="preserve">R3 </t>
  </si>
  <si>
    <t>qt (mg/kg)</t>
  </si>
  <si>
    <t>qt (mg/g)</t>
  </si>
  <si>
    <t xml:space="preserve">R1 </t>
  </si>
  <si>
    <t>Na standard solution (ppm)</t>
  </si>
  <si>
    <t>Cd concentration in HNO3 4 N blank (ppb)</t>
  </si>
  <si>
    <t>Cd in digestion solution (ppb)</t>
  </si>
  <si>
    <t>CEC mean  (cmolc/kg)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</si>
</sst>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9"/>
      <color rgb="FF000000"/>
      <name val="Microsoft Sans Serif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charset val="1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9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/>
    <xf numFmtId="2" fontId="3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/>
    </xf>
    <xf numFmtId="0" fontId="0" fillId="3" borderId="1" xfId="0" applyFill="1" applyBorder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Fill="1" applyBorder="1"/>
    <xf numFmtId="0" fontId="0" fillId="0" borderId="4" xfId="0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/>
    </xf>
    <xf numFmtId="2" fontId="8" fillId="6" borderId="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7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2" fontId="8" fillId="5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10" borderId="1" xfId="0" applyFont="1" applyFill="1" applyBorder="1"/>
    <xf numFmtId="0" fontId="7" fillId="11" borderId="2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/>
    </xf>
    <xf numFmtId="0" fontId="7" fillId="12" borderId="1" xfId="0" applyFont="1" applyFill="1" applyBorder="1" applyAlignment="1">
      <alignment horizontal="center"/>
    </xf>
    <xf numFmtId="0" fontId="7" fillId="13" borderId="1" xfId="0" applyFont="1" applyFill="1" applyBorder="1"/>
    <xf numFmtId="1" fontId="0" fillId="0" borderId="1" xfId="0" applyNumberForma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2" fontId="8" fillId="14" borderId="1" xfId="0" applyNumberFormat="1" applyFont="1" applyFill="1" applyBorder="1" applyAlignment="1">
      <alignment horizontal="center" vertical="center"/>
    </xf>
    <xf numFmtId="0" fontId="7" fillId="14" borderId="1" xfId="0" applyFont="1" applyFill="1" applyBorder="1"/>
    <xf numFmtId="0" fontId="7" fillId="14" borderId="1" xfId="0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colors>
    <mruColors>
      <color rgb="FF9999FF"/>
      <color rgb="FFFFFF9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pH-adef</c:v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  <a:headEnd type="oval" w="med" len="med"/>
                <a:tailEnd type="oval" w="med" len="med"/>
              </a:ln>
            </c:spPr>
          </c:marker>
          <c:xVal>
            <c:numRef>
              <c:f>'pH-dependent adsorption'!$A$3:$A$14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'pH-dependent adsorption'!$F$3:$F$12</c:f>
              <c:numCache>
                <c:formatCode>General</c:formatCode>
                <c:ptCount val="10"/>
                <c:pt idx="0">
                  <c:v>6</c:v>
                </c:pt>
                <c:pt idx="1">
                  <c:v>77</c:v>
                </c:pt>
                <c:pt idx="2">
                  <c:v>81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36-407E-9C7A-F90F4875B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  <c:extLst/>
      </c:scatterChart>
      <c:valAx>
        <c:axId val="13187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318711808"/>
        <c:crosses val="autoZero"/>
        <c:crossBetween val="midCat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Cd</a:t>
                </a:r>
                <a:r>
                  <a:rPr lang="en-US" sz="1000" b="1" i="0" kern="1200" baseline="3000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2+ </a:t>
                </a:r>
                <a:r>
                  <a:rPr lang="en-US" sz="10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adsorption efficiency (%)</a:t>
                </a:r>
                <a:endParaRPr lang="en-US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318716800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ec-eeef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'Eluent concentration'!$A$3:$A$8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xVal>
          <c:yVal>
            <c:numRef>
              <c:f>'Eluent concentration'!$G$3:$G$8</c:f>
              <c:numCache>
                <c:formatCode>General</c:formatCode>
                <c:ptCount val="6"/>
                <c:pt idx="0">
                  <c:v>0.1</c:v>
                </c:pt>
                <c:pt idx="1">
                  <c:v>6.9</c:v>
                </c:pt>
                <c:pt idx="2">
                  <c:v>7.1</c:v>
                </c:pt>
                <c:pt idx="3">
                  <c:v>7</c:v>
                </c:pt>
                <c:pt idx="4">
                  <c:v>58.7</c:v>
                </c:pt>
                <c:pt idx="5">
                  <c:v>90.7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29-4955-97A2-1423F19F8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0" u="none" strike="noStrike" baseline="0" dirty="0" smtClean="0">
                    <a:effectLst/>
                  </a:rPr>
                  <a:t>Concentration of </a:t>
                </a:r>
                <a:r>
                  <a:rPr lang="en-US" dirty="0" smtClean="0"/>
                  <a:t>HNO</a:t>
                </a:r>
                <a:r>
                  <a:rPr lang="en-US" baseline="-25000" dirty="0" smtClean="0"/>
                  <a:t>3</a:t>
                </a:r>
                <a:r>
                  <a:rPr lang="en-US" dirty="0" smtClean="0"/>
                  <a:t> (</a:t>
                </a:r>
                <a:r>
                  <a:rPr lang="en-US" dirty="0"/>
                  <a:t>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1808"/>
        <c:crosses val="autoZero"/>
        <c:crossBetween val="midCat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0" u="none" strike="noStrike" baseline="0" dirty="0" smtClean="0">
                    <a:effectLst/>
                  </a:rPr>
                  <a:t>Cd</a:t>
                </a:r>
                <a:r>
                  <a:rPr lang="en-US" sz="1200" b="1" i="0" u="none" strike="noStrike" baseline="30000" dirty="0" smtClean="0">
                    <a:effectLst/>
                  </a:rPr>
                  <a:t>2+ </a:t>
                </a:r>
                <a:r>
                  <a:rPr lang="en-US" dirty="0" smtClean="0"/>
                  <a:t>elution efficiency</a:t>
                </a:r>
                <a:r>
                  <a:rPr lang="en-US" baseline="0" dirty="0" smtClean="0"/>
                  <a:t> (</a:t>
                </a:r>
                <a:r>
                  <a:rPr lang="en-US" dirty="0" smtClean="0"/>
                  <a:t>%)</a:t>
                </a:r>
                <a:endParaRPr lang="en-US" dirty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ve-eeef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'Eluent volume'!$A$3:$A$7</c:f>
              <c:numCache>
                <c:formatCode>General</c:formatCode>
                <c:ptCount val="5"/>
                <c:pt idx="0">
                  <c:v>40</c:v>
                </c:pt>
                <c:pt idx="1">
                  <c:v>80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</c:numCache>
            </c:numRef>
          </c:xVal>
          <c:yVal>
            <c:numRef>
              <c:f>'Eluent volume'!$G$3:$G$7</c:f>
              <c:numCache>
                <c:formatCode>General</c:formatCode>
                <c:ptCount val="5"/>
                <c:pt idx="0">
                  <c:v>5.8</c:v>
                </c:pt>
                <c:pt idx="1">
                  <c:v>13.2</c:v>
                </c:pt>
                <c:pt idx="2">
                  <c:v>12</c:v>
                </c:pt>
                <c:pt idx="3">
                  <c:v>12.7</c:v>
                </c:pt>
                <c:pt idx="4">
                  <c:v>31.7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43-4887-9591-C6C4CB34E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dirty="0"/>
                  <a:t>Volume of HNO</a:t>
                </a:r>
                <a:r>
                  <a:rPr lang="en-US" baseline="-25000" dirty="0"/>
                  <a:t>3</a:t>
                </a:r>
                <a:r>
                  <a:rPr lang="en-US" dirty="0"/>
                  <a:t> 0.1 N (</a:t>
                </a:r>
                <a:r>
                  <a:rPr lang="ebu-KE" dirty="0"/>
                  <a:t>µ</a:t>
                </a:r>
                <a:r>
                  <a:rPr lang="en-US" dirty="0"/>
                  <a:t>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1808"/>
        <c:crosses val="autoZero"/>
        <c:crossBetween val="midCat"/>
        <c:majorUnit val="20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0" u="none" strike="noStrike" baseline="0" dirty="0" smtClean="0">
                    <a:effectLst/>
                  </a:rPr>
                  <a:t>Cd</a:t>
                </a:r>
                <a:r>
                  <a:rPr lang="en-US" sz="1200" b="1" i="0" u="none" strike="noStrike" baseline="30000" dirty="0" smtClean="0">
                    <a:effectLst/>
                  </a:rPr>
                  <a:t>2+ </a:t>
                </a:r>
                <a:r>
                  <a:rPr lang="en-US" dirty="0" smtClean="0"/>
                  <a:t>elution efficiency</a:t>
                </a:r>
                <a:r>
                  <a:rPr lang="en-US" baseline="0" dirty="0" smtClean="0"/>
                  <a:t> (</a:t>
                </a:r>
                <a:r>
                  <a:rPr lang="en-US" dirty="0" smtClean="0"/>
                  <a:t>%)</a:t>
                </a:r>
                <a:endParaRPr lang="en-US" dirty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Na-adef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'Ionic strength'!$A$3:$A$8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50</c:v>
                </c:pt>
              </c:numCache>
            </c:numRef>
          </c:xVal>
          <c:yVal>
            <c:numRef>
              <c:f>'Ionic strength'!$F$3:$F$8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58</c:v>
                </c:pt>
                <c:pt idx="3">
                  <c:v>55</c:v>
                </c:pt>
                <c:pt idx="4">
                  <c:v>51</c:v>
                </c:pt>
                <c:pt idx="5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A0-4F73-8F62-88BB66BEB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dirty="0" smtClean="0"/>
                  <a:t>Concentration </a:t>
                </a:r>
                <a:r>
                  <a:rPr lang="en-US" dirty="0"/>
                  <a:t>of Na</a:t>
                </a:r>
                <a:r>
                  <a:rPr lang="en-US" baseline="30000" dirty="0"/>
                  <a:t>+</a:t>
                </a:r>
                <a:r>
                  <a:rPr lang="en-US" dirty="0"/>
                  <a:t>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1808"/>
        <c:crosses val="autoZero"/>
        <c:crossBetween val="midCat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0" u="none" strike="noStrike" baseline="0" dirty="0" smtClean="0">
                    <a:effectLst/>
                  </a:rPr>
                  <a:t>Cd</a:t>
                </a:r>
                <a:r>
                  <a:rPr lang="en-US" sz="1200" b="1" i="0" u="none" strike="noStrike" baseline="30000" dirty="0" smtClean="0">
                    <a:effectLst/>
                  </a:rPr>
                  <a:t>2+ </a:t>
                </a:r>
                <a:r>
                  <a:rPr lang="en-US" dirty="0" smtClean="0"/>
                  <a:t>adsorption efficiency </a:t>
                </a:r>
                <a:r>
                  <a:rPr lang="en-US" baseline="0" dirty="0" smtClean="0"/>
                  <a:t>(</a:t>
                </a:r>
                <a:r>
                  <a:rPr lang="en-US" dirty="0" smtClean="0"/>
                  <a:t>%)</a:t>
                </a:r>
                <a:endParaRPr lang="en-US" dirty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Calibration curve</a:t>
            </a:r>
          </a:p>
        </c:rich>
      </c:tx>
      <c:layout>
        <c:manualLayout>
          <c:xMode val="edge"/>
          <c:yMode val="edge"/>
          <c:x val="0.24658148216734702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calibration curve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1241813225694234E-2"/>
                  <c:y val="-2.078958880139982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[1]CEC!$B$2:$B$6</c:f>
              <c:numCache>
                <c:formatCode>General</c:formatCode>
                <c:ptCount val="5"/>
                <c:pt idx="0">
                  <c:v>0</c:v>
                </c:pt>
                <c:pt idx="1">
                  <c:v>41</c:v>
                </c:pt>
                <c:pt idx="2">
                  <c:v>65</c:v>
                </c:pt>
                <c:pt idx="3">
                  <c:v>86</c:v>
                </c:pt>
                <c:pt idx="4">
                  <c:v>100</c:v>
                </c:pt>
              </c:numCache>
            </c:numRef>
          </c:xVal>
          <c:yVal>
            <c:numRef>
              <c:f>[1]CEC!$A$2:$A$6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EA-45FE-88D5-0BFE0F28C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837407"/>
        <c:axId val="1690837823"/>
      </c:scatterChart>
      <c:valAx>
        <c:axId val="16908374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count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837823"/>
        <c:crosses val="autoZero"/>
        <c:crossBetween val="midCat"/>
      </c:valAx>
      <c:valAx>
        <c:axId val="1690837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Na</a:t>
                </a:r>
                <a:r>
                  <a:rPr lang="en-US" b="1" baseline="30000">
                    <a:solidFill>
                      <a:schemeClr val="tx1"/>
                    </a:solidFill>
                  </a:rPr>
                  <a:t>+</a:t>
                </a:r>
                <a:r>
                  <a:rPr lang="en-US" b="1">
                    <a:solidFill>
                      <a:schemeClr val="tx1"/>
                    </a:solidFill>
                  </a:rPr>
                  <a:t> 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83740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'Adsorption kinetic'!$A$3:$A$10</c:f>
              <c:numCache>
                <c:formatCode>General</c:formatCode>
                <c:ptCount val="8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90</c:v>
                </c:pt>
                <c:pt idx="7">
                  <c:v>110</c:v>
                </c:pt>
              </c:numCache>
            </c:numRef>
          </c:xVal>
          <c:yVal>
            <c:numRef>
              <c:f>'Adsorption kinetic'!$F$3:$F$10</c:f>
              <c:numCache>
                <c:formatCode>General</c:formatCode>
                <c:ptCount val="8"/>
                <c:pt idx="0">
                  <c:v>2.2999999999999998</c:v>
                </c:pt>
                <c:pt idx="1">
                  <c:v>3.3</c:v>
                </c:pt>
                <c:pt idx="2">
                  <c:v>4</c:v>
                </c:pt>
                <c:pt idx="3">
                  <c:v>5.4</c:v>
                </c:pt>
                <c:pt idx="4">
                  <c:v>5.5</c:v>
                </c:pt>
                <c:pt idx="5">
                  <c:v>5.7</c:v>
                </c:pt>
                <c:pt idx="6">
                  <c:v>5.8</c:v>
                </c:pt>
                <c:pt idx="7">
                  <c:v>6.1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kin-ads</c:v>
                </c15:tx>
              </c15:filteredSeriesTitle>
            </c:ext>
            <c:ext xmlns:c16="http://schemas.microsoft.com/office/drawing/2014/chart" uri="{C3380CC4-5D6E-409C-BE32-E72D297353CC}">
              <c16:uniqueId val="{00000000-481A-4B74-9E4D-B02C3281F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Time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1808"/>
        <c:crosses val="autoZero"/>
        <c:crossBetween val="midCat"/>
        <c:minorUnit val="10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Adsorbed Cd</a:t>
                </a:r>
                <a:r>
                  <a:rPr lang="en-US" sz="1200" b="1" i="0" kern="1200" baseline="3000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2+ </a:t>
                </a:r>
                <a:r>
                  <a:rPr lang="en-US" sz="12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(mg/kg)</a:t>
                </a:r>
                <a:endParaRPr lang="en-US" dirty="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kern="1200" spc="0" baseline="0">
                <a:solidFill>
                  <a:srgbClr val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Fit with Elovich linear model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elovich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3530193643916158E-2"/>
                  <c:y val="0.18374194602198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'Adsorption kinetic'!$O$3:$O$10</c:f>
              <c:numCache>
                <c:formatCode>General</c:formatCode>
                <c:ptCount val="8"/>
                <c:pt idx="0">
                  <c:v>-1.1000000000000001</c:v>
                </c:pt>
                <c:pt idx="1">
                  <c:v>-0.69</c:v>
                </c:pt>
                <c:pt idx="2">
                  <c:v>-0.41</c:v>
                </c:pt>
                <c:pt idx="3">
                  <c:v>-0.18</c:v>
                </c:pt>
                <c:pt idx="4">
                  <c:v>0</c:v>
                </c:pt>
                <c:pt idx="5">
                  <c:v>0.15</c:v>
                </c:pt>
                <c:pt idx="6">
                  <c:v>0.41</c:v>
                </c:pt>
                <c:pt idx="7">
                  <c:v>0.61</c:v>
                </c:pt>
              </c:numCache>
            </c:numRef>
          </c:xVal>
          <c:yVal>
            <c:numRef>
              <c:f>'Adsorption kinetic'!$L$3:$L$10</c:f>
              <c:numCache>
                <c:formatCode>General</c:formatCode>
                <c:ptCount val="8"/>
                <c:pt idx="0">
                  <c:v>2.2999999999999998</c:v>
                </c:pt>
                <c:pt idx="1">
                  <c:v>3.3</c:v>
                </c:pt>
                <c:pt idx="2">
                  <c:v>4</c:v>
                </c:pt>
                <c:pt idx="3">
                  <c:v>5.4</c:v>
                </c:pt>
                <c:pt idx="4">
                  <c:v>5.5</c:v>
                </c:pt>
                <c:pt idx="5">
                  <c:v>5.7</c:v>
                </c:pt>
                <c:pt idx="6">
                  <c:v>5.8</c:v>
                </c:pt>
                <c:pt idx="7">
                  <c:v>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4D-408D-9E54-45C183BC2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  <c:max val="0.7000000000000000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 u="none" strike="noStrike" baseline="0" dirty="0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Ln(</a:t>
                </a:r>
                <a:r>
                  <a:rPr lang="en-US" sz="1400" b="1" i="0" baseline="0" dirty="0" err="1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en-US" sz="1400" b="1" i="0" u="none" strike="noStrike" baseline="0" dirty="0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US" sz="1400" b="1" dirty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1808"/>
        <c:crosses val="autoZero"/>
        <c:crossBetween val="midCat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 u="none" strike="noStrike" baseline="0" dirty="0" err="1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q</a:t>
                </a:r>
                <a:r>
                  <a:rPr lang="en-US" sz="1400" b="1" i="0" u="none" strike="noStrike" baseline="-25000" dirty="0" err="1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en-US" sz="1400" b="1" i="0" u="none" strike="noStrike" baseline="0" dirty="0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(mg/g)</a:t>
                </a:r>
                <a:endParaRPr lang="fa-IR" sz="1400" b="1" dirty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kern="1200" spc="0" baseline="0">
                <a:solidFill>
                  <a:srgbClr val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Fit with pseudo-second-order linear model</a:t>
            </a:r>
            <a:endParaRPr lang="en-US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2821901323706376E-2"/>
                  <c:y val="0.2219705390912840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'Adsorption kinetic'!$K$3:$K$10</c:f>
              <c:numCache>
                <c:formatCode>General</c:formatCode>
                <c:ptCount val="8"/>
                <c:pt idx="0">
                  <c:v>0.33333333333333331</c:v>
                </c:pt>
                <c:pt idx="1">
                  <c:v>0.5</c:v>
                </c:pt>
                <c:pt idx="2">
                  <c:v>0.66666666666666663</c:v>
                </c:pt>
                <c:pt idx="3">
                  <c:v>0.83333333333333337</c:v>
                </c:pt>
                <c:pt idx="4">
                  <c:v>1</c:v>
                </c:pt>
                <c:pt idx="5">
                  <c:v>1.1666666666666667</c:v>
                </c:pt>
                <c:pt idx="6">
                  <c:v>1.5</c:v>
                </c:pt>
                <c:pt idx="7">
                  <c:v>1.8333333333333333</c:v>
                </c:pt>
              </c:numCache>
            </c:numRef>
          </c:xVal>
          <c:yVal>
            <c:numRef>
              <c:f>'Adsorption kinetic'!$N$3:$N$10</c:f>
              <c:numCache>
                <c:formatCode>General</c:formatCode>
                <c:ptCount val="8"/>
                <c:pt idx="0">
                  <c:v>144.93</c:v>
                </c:pt>
                <c:pt idx="1">
                  <c:v>151.52000000000001</c:v>
                </c:pt>
                <c:pt idx="2">
                  <c:v>166.67</c:v>
                </c:pt>
                <c:pt idx="3">
                  <c:v>154.32</c:v>
                </c:pt>
                <c:pt idx="4">
                  <c:v>181.82</c:v>
                </c:pt>
                <c:pt idx="5">
                  <c:v>204.68</c:v>
                </c:pt>
                <c:pt idx="6">
                  <c:v>258.62</c:v>
                </c:pt>
                <c:pt idx="7">
                  <c:v>300.55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Pseudo-Second-Order Kinetics</c:v>
                </c15:tx>
              </c15:filteredSeriesTitle>
            </c:ext>
            <c:ext xmlns:c16="http://schemas.microsoft.com/office/drawing/2014/chart" uri="{C3380CC4-5D6E-409C-BE32-E72D297353CC}">
              <c16:uniqueId val="{00000000-781D-492D-AAFD-5C3E4315A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baseline="0" dirty="0" smtClean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(min)</a:t>
                </a:r>
                <a:endParaRPr lang="en-US" sz="1400" b="1" dirty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1808"/>
        <c:crosses val="autoZero"/>
        <c:crossBetween val="midCat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 baseline="0" dirty="0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t/</a:t>
                </a:r>
                <a:r>
                  <a:rPr lang="en-US" sz="1400" b="1" i="0" baseline="0" dirty="0" err="1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q</a:t>
                </a:r>
                <a:r>
                  <a:rPr lang="en-US" sz="1400" b="1" i="0" baseline="-25000" dirty="0" err="1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en-US" sz="1400" b="1" i="0" baseline="-25000" dirty="0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400" b="1" i="0" baseline="0" dirty="0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(min/mg/g)</a:t>
                </a:r>
                <a:endParaRPr lang="en-US" sz="1400" dirty="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400"/>
              <a:t>Adsorption isotherm in cadmium standard solutions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iso-ads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15"/>
              <c:layout>
                <c:manualLayout>
                  <c:x val="-7.4608509046447544E-2"/>
                  <c:y val="9.5526178121722136E-2"/>
                </c:manualLayout>
              </c:layout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0-7502-4DC4-AFDD-BDEF07E6E01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'Adsorption isotherm '!$A$4:$A$19</c:f>
              <c:numCache>
                <c:formatCode>General</c:formatCode>
                <c:ptCount val="16"/>
                <c:pt idx="0">
                  <c:v>10</c:v>
                </c:pt>
                <c:pt idx="1">
                  <c:v>50</c:v>
                </c:pt>
                <c:pt idx="2">
                  <c:v>250</c:v>
                </c:pt>
                <c:pt idx="3">
                  <c:v>500</c:v>
                </c:pt>
                <c:pt idx="4">
                  <c:v>1000</c:v>
                </c:pt>
                <c:pt idx="5">
                  <c:v>1500</c:v>
                </c:pt>
                <c:pt idx="6">
                  <c:v>2000</c:v>
                </c:pt>
                <c:pt idx="7">
                  <c:v>2500</c:v>
                </c:pt>
                <c:pt idx="8">
                  <c:v>3000</c:v>
                </c:pt>
                <c:pt idx="9">
                  <c:v>3500</c:v>
                </c:pt>
                <c:pt idx="10">
                  <c:v>4000</c:v>
                </c:pt>
                <c:pt idx="11">
                  <c:v>5000</c:v>
                </c:pt>
                <c:pt idx="12">
                  <c:v>6000</c:v>
                </c:pt>
                <c:pt idx="13">
                  <c:v>7000</c:v>
                </c:pt>
                <c:pt idx="14">
                  <c:v>8000</c:v>
                </c:pt>
                <c:pt idx="15">
                  <c:v>10000</c:v>
                </c:pt>
              </c:numCache>
            </c:numRef>
          </c:xVal>
          <c:yVal>
            <c:numRef>
              <c:f>'Adsorption isotherm '!$F$4:$F$19</c:f>
              <c:numCache>
                <c:formatCode>General</c:formatCode>
                <c:ptCount val="16"/>
                <c:pt idx="0">
                  <c:v>11</c:v>
                </c:pt>
                <c:pt idx="1">
                  <c:v>55</c:v>
                </c:pt>
                <c:pt idx="2">
                  <c:v>275</c:v>
                </c:pt>
                <c:pt idx="3">
                  <c:v>544.79999999999995</c:v>
                </c:pt>
                <c:pt idx="4">
                  <c:v>1094.8</c:v>
                </c:pt>
                <c:pt idx="5">
                  <c:v>1642.2</c:v>
                </c:pt>
                <c:pt idx="6">
                  <c:v>2187.6</c:v>
                </c:pt>
                <c:pt idx="7">
                  <c:v>2731.3</c:v>
                </c:pt>
                <c:pt idx="8">
                  <c:v>3277</c:v>
                </c:pt>
                <c:pt idx="9">
                  <c:v>3817.9</c:v>
                </c:pt>
                <c:pt idx="10">
                  <c:v>3708.8</c:v>
                </c:pt>
                <c:pt idx="11">
                  <c:v>4596</c:v>
                </c:pt>
                <c:pt idx="12">
                  <c:v>4962.5</c:v>
                </c:pt>
                <c:pt idx="13">
                  <c:v>5578.7</c:v>
                </c:pt>
                <c:pt idx="14">
                  <c:v>5821</c:v>
                </c:pt>
                <c:pt idx="15">
                  <c:v>6379.1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02-4DC4-AFDD-BDEF07E6E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dirty="0"/>
                  <a:t>Initial concentration of Cd</a:t>
                </a:r>
                <a:r>
                  <a:rPr lang="en-US" baseline="30000" dirty="0"/>
                  <a:t>2+ </a:t>
                </a:r>
                <a:r>
                  <a:rPr lang="en-US" dirty="0"/>
                  <a:t>(ppb)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1808"/>
        <c:crosses val="autoZero"/>
        <c:crossBetween val="midCat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Adsorbed Cd</a:t>
                </a:r>
                <a:r>
                  <a:rPr lang="en-US" sz="1200" b="1" i="0" kern="1200" baseline="3000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2+ </a:t>
                </a:r>
                <a:r>
                  <a:rPr lang="en-US" sz="12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(mg/kg)</a:t>
                </a:r>
                <a:endParaRPr lang="en-US" dirty="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Fit with </a:t>
            </a:r>
            <a:r>
              <a:rPr lang="en-US" sz="1400" b="1" i="0" u="none" strike="noStrike" baseline="0">
                <a:effectLst/>
              </a:rPr>
              <a:t>Langmuir</a:t>
            </a:r>
            <a:r>
              <a:rPr lang="en-US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linear model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Langmuir model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965517323568456E-2"/>
                  <c:y val="0.270853489677297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'Adsorption isotherm '!$D$22:$D$37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4.7000000000000002E-3</c:v>
                </c:pt>
                <c:pt idx="4">
                  <c:v>4.7000000000000002E-3</c:v>
                </c:pt>
                <c:pt idx="5">
                  <c:v>7.0999999999999995E-3</c:v>
                </c:pt>
                <c:pt idx="6">
                  <c:v>1.1300000000000001E-2</c:v>
                </c:pt>
                <c:pt idx="7">
                  <c:v>1.7000000000000001E-2</c:v>
                </c:pt>
                <c:pt idx="8">
                  <c:v>2.0899999999999998E-2</c:v>
                </c:pt>
                <c:pt idx="9">
                  <c:v>2.92E-2</c:v>
                </c:pt>
                <c:pt idx="10">
                  <c:v>0.62839999999999996</c:v>
                </c:pt>
                <c:pt idx="11">
                  <c:v>0.82179999999999997</c:v>
                </c:pt>
                <c:pt idx="12">
                  <c:v>1.4885999999999999</c:v>
                </c:pt>
                <c:pt idx="13">
                  <c:v>1.9285000000000001</c:v>
                </c:pt>
                <c:pt idx="14">
                  <c:v>2.7081999999999997</c:v>
                </c:pt>
                <c:pt idx="15">
                  <c:v>4.2008000000000001</c:v>
                </c:pt>
              </c:numCache>
            </c:numRef>
          </c:xVal>
          <c:yVal>
            <c:numRef>
              <c:f>'Adsorption isotherm '!$E$22:$E$37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8.6270190895741568E-3</c:v>
                </c:pt>
                <c:pt idx="4">
                  <c:v>4.2930215564486668E-3</c:v>
                </c:pt>
                <c:pt idx="5">
                  <c:v>4.3234685178419191E-3</c:v>
                </c:pt>
                <c:pt idx="6">
                  <c:v>5.1654781495703061E-3</c:v>
                </c:pt>
                <c:pt idx="7">
                  <c:v>6.2241423497968002E-3</c:v>
                </c:pt>
                <c:pt idx="8">
                  <c:v>6.3777845590479087E-3</c:v>
                </c:pt>
                <c:pt idx="9">
                  <c:v>7.6481835564053535E-3</c:v>
                </c:pt>
                <c:pt idx="10">
                  <c:v>0.169434857635893</c:v>
                </c:pt>
                <c:pt idx="11">
                  <c:v>0.17880765883376848</c:v>
                </c:pt>
                <c:pt idx="12">
                  <c:v>0.29996977329974805</c:v>
                </c:pt>
                <c:pt idx="13">
                  <c:v>0.34568985605965552</c:v>
                </c:pt>
                <c:pt idx="14">
                  <c:v>0.46524652121628585</c:v>
                </c:pt>
                <c:pt idx="15">
                  <c:v>0.65852549732720911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E8-493C-BF79-A9FA47509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en-US" sz="1400" b="1" i="0" kern="1200" baseline="-2500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(mg/L)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1808"/>
        <c:crosses val="autoZero"/>
        <c:crossBetween val="midCat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en-US" sz="1400" b="1" i="0" kern="1200" baseline="-2500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 </a:t>
                </a: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/q</a:t>
                </a:r>
                <a:r>
                  <a:rPr lang="en-US" sz="1400" b="1" i="0" kern="1200" baseline="-2500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 </a:t>
                </a: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sz="11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mg/L</a:t>
                </a: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</a:t>
                </a:r>
                <a:r>
                  <a:rPr lang="en-US" sz="11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mg/g</a:t>
                </a:r>
                <a:r>
                  <a:rPr lang="en-US" sz="1400" b="1" i="0" kern="1200" baseline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US" sz="14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Adsorption isotherm in saturated mud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soil iso</c:v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>
                  <a:lumMod val="95000"/>
                  <a:lumOff val="5000"/>
                </a:sysClr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5.5500824708542729E-2"/>
                  <c:y val="9.897417553342789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E27-44A6-A261-97445EFC5E96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'Adsorption isotherm '!$AC$4:$AC$9</c:f>
              <c:numCache>
                <c:formatCode>General</c:formatCode>
                <c:ptCount val="6"/>
                <c:pt idx="0">
                  <c:v>0.55000000000000004</c:v>
                </c:pt>
                <c:pt idx="1">
                  <c:v>1.76</c:v>
                </c:pt>
                <c:pt idx="2">
                  <c:v>2.2000000000000002</c:v>
                </c:pt>
                <c:pt idx="3">
                  <c:v>5.83</c:v>
                </c:pt>
                <c:pt idx="4">
                  <c:v>13.86</c:v>
                </c:pt>
                <c:pt idx="5">
                  <c:v>19.14</c:v>
                </c:pt>
              </c:numCache>
            </c:numRef>
          </c:xVal>
          <c:yVal>
            <c:numRef>
              <c:f>'Adsorption isotherm '!$AD$4:$AD$9</c:f>
              <c:numCache>
                <c:formatCode>General</c:formatCode>
                <c:ptCount val="6"/>
                <c:pt idx="0" formatCode="0">
                  <c:v>149.99999999999736</c:v>
                </c:pt>
                <c:pt idx="1">
                  <c:v>150.00000000001123</c:v>
                </c:pt>
                <c:pt idx="2">
                  <c:v>149.99999999998349</c:v>
                </c:pt>
                <c:pt idx="3">
                  <c:v>479.99999999998045</c:v>
                </c:pt>
                <c:pt idx="4">
                  <c:v>589.99999999997942</c:v>
                </c:pt>
                <c:pt idx="5">
                  <c:v>620.00000000006492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723-4980-B672-40C1EECCB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038656"/>
        <c:axId val="2118043232"/>
        <c:extLst/>
      </c:scatterChart>
      <c:valAx>
        <c:axId val="2118038656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rtl="0"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dirty="0"/>
                  <a:t>Initial concentration of Cd</a:t>
                </a:r>
                <a:r>
                  <a:rPr lang="en-US" baseline="30000" dirty="0"/>
                  <a:t>2+</a:t>
                </a:r>
                <a:r>
                  <a:rPr lang="fa-IR" baseline="30000" dirty="0"/>
                  <a:t> </a:t>
                </a:r>
                <a:r>
                  <a:rPr lang="en-US" dirty="0"/>
                  <a:t>(ppm)</a:t>
                </a:r>
                <a:r>
                  <a:rPr lang="fa-IR" dirty="0"/>
                  <a:t> </a:t>
                </a:r>
                <a:endParaRPr lang="en-US" dirty="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rtl="0"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18043232"/>
        <c:crosses val="autoZero"/>
        <c:crossBetween val="midCat"/>
        <c:majorUnit val="2"/>
      </c:valAx>
      <c:valAx>
        <c:axId val="2118043232"/>
        <c:scaling>
          <c:orientation val="minMax"/>
          <c:max val="7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rtl="1">
                  <a:defRPr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dirty="0" smtClean="0"/>
                  <a:t>Adsorbed </a:t>
                </a:r>
                <a:r>
                  <a:rPr lang="en-US" sz="1200" b="1" i="0" u="none" strike="noStrike" baseline="0" dirty="0" smtClean="0">
                    <a:effectLst/>
                  </a:rPr>
                  <a:t>Cd</a:t>
                </a:r>
                <a:r>
                  <a:rPr lang="en-US" sz="1200" b="1" i="0" u="none" strike="noStrike" baseline="30000" dirty="0" smtClean="0">
                    <a:effectLst/>
                  </a:rPr>
                  <a:t>2+ </a:t>
                </a:r>
                <a:r>
                  <a:rPr lang="en-US" dirty="0" smtClean="0"/>
                  <a:t>(</a:t>
                </a:r>
                <a:r>
                  <a:rPr lang="en-US" dirty="0"/>
                  <a:t>mg/kg)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rtl="1">
                <a:defRPr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rtl="0"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1803865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kern="1200" spc="0" baseline="0">
                <a:solidFill>
                  <a:srgbClr val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Fit with Langmuir linear model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Langmuir model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104242742113717"/>
                  <c:y val="0.2647239858054001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'Adsorption isotherm '!$W$13:$W$18</c:f>
              <c:numCache>
                <c:formatCode>General</c:formatCode>
                <c:ptCount val="6"/>
                <c:pt idx="0">
                  <c:v>0.55000000000000004</c:v>
                </c:pt>
                <c:pt idx="1">
                  <c:v>1.76</c:v>
                </c:pt>
                <c:pt idx="2">
                  <c:v>2.2000000000000002</c:v>
                </c:pt>
                <c:pt idx="3">
                  <c:v>5.83</c:v>
                </c:pt>
                <c:pt idx="4">
                  <c:v>13.86</c:v>
                </c:pt>
                <c:pt idx="5">
                  <c:v>19.14</c:v>
                </c:pt>
              </c:numCache>
            </c:numRef>
          </c:xVal>
          <c:yVal>
            <c:numRef>
              <c:f>'Adsorption isotherm '!$X$13:$X$18</c:f>
              <c:numCache>
                <c:formatCode>General</c:formatCode>
                <c:ptCount val="6"/>
                <c:pt idx="0">
                  <c:v>3.6666666666667314</c:v>
                </c:pt>
                <c:pt idx="1">
                  <c:v>11.733333333332455</c:v>
                </c:pt>
                <c:pt idx="2">
                  <c:v>14.666666666668283</c:v>
                </c:pt>
                <c:pt idx="3">
                  <c:v>12.145833333333828</c:v>
                </c:pt>
                <c:pt idx="4">
                  <c:v>23.49152542372963</c:v>
                </c:pt>
                <c:pt idx="5">
                  <c:v>30.870967741932251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96-4A9B-990E-3D662915D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en-US" sz="1400" b="1" i="0" kern="1200" baseline="-2500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r>
                  <a:rPr lang="en-US" sz="14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(mg/L)</a:t>
                </a:r>
                <a:endParaRPr lang="en-US" sz="1400" dirty="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1808"/>
        <c:crosses val="autoZero"/>
        <c:crossBetween val="midCat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 kern="1200" baseline="0" dirty="0" err="1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en-US" sz="1400" b="1" i="0" kern="1200" baseline="-25000" dirty="0" err="1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r>
                  <a:rPr lang="en-US" sz="1400" b="1" i="0" kern="1200" baseline="-2500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4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</a:t>
                </a:r>
                <a:r>
                  <a:rPr lang="en-US" sz="1400" b="1" i="0" kern="1200" baseline="0" dirty="0" err="1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q</a:t>
                </a:r>
                <a:r>
                  <a:rPr lang="en-US" sz="1400" b="1" i="0" kern="1200" baseline="-25000" dirty="0" err="1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r>
                  <a:rPr lang="en-US" sz="1400" b="1" i="0" kern="1200" baseline="-2500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US" sz="14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sz="11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mg/L</a:t>
                </a:r>
                <a:r>
                  <a:rPr lang="en-US" sz="14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</a:t>
                </a:r>
                <a:r>
                  <a:rPr lang="en-US" sz="11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mg/g</a:t>
                </a:r>
                <a:r>
                  <a:rPr lang="en-US" sz="1400" b="1" i="0" kern="1200" baseline="0" dirty="0" smtClean="0">
                    <a:solidFill>
                      <a:srgbClr val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US" sz="1400" dirty="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</a:t>
            </a:r>
            <a:r>
              <a:rPr lang="en-US" sz="1400" b="1" i="0" kern="1200" spc="0" baseline="0">
                <a:solidFill>
                  <a:srgbClr val="000000"/>
                </a:solidFill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Fit with Freounlich linear model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freounlich model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22594764042972E-2"/>
                  <c:y val="0.2723106487119322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'Adsorption isotherm '!$Z$13:$Z$18</c:f>
              <c:numCache>
                <c:formatCode>General</c:formatCode>
                <c:ptCount val="6"/>
                <c:pt idx="0">
                  <c:v>-0.59783700075562041</c:v>
                </c:pt>
                <c:pt idx="1">
                  <c:v>0.56531380905006046</c:v>
                </c:pt>
                <c:pt idx="2">
                  <c:v>0.78845736036427028</c:v>
                </c:pt>
                <c:pt idx="3">
                  <c:v>1.7630170003624011</c:v>
                </c:pt>
                <c:pt idx="4">
                  <c:v>2.6290069937617573</c:v>
                </c:pt>
                <c:pt idx="5">
                  <c:v>2.9517803860248084</c:v>
                </c:pt>
              </c:numCache>
            </c:numRef>
          </c:xVal>
          <c:yVal>
            <c:numRef>
              <c:f>'Adsorption isotherm '!$Y$13:$Y$18</c:f>
              <c:numCache>
                <c:formatCode>General</c:formatCode>
                <c:ptCount val="6"/>
                <c:pt idx="0">
                  <c:v>-1.8971199848858988</c:v>
                </c:pt>
                <c:pt idx="1">
                  <c:v>-1.8971199848858065</c:v>
                </c:pt>
                <c:pt idx="2">
                  <c:v>-1.8971199848859914</c:v>
                </c:pt>
                <c:pt idx="3">
                  <c:v>-0.73396917508024118</c:v>
                </c:pt>
                <c:pt idx="4">
                  <c:v>-0.52763274208240674</c:v>
                </c:pt>
                <c:pt idx="5">
                  <c:v>-0.47803580094289505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B4-44E0-97B2-0F69E22C3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716800"/>
        <c:axId val="1318711808"/>
      </c:scatterChart>
      <c:valAx>
        <c:axId val="1318716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 kern="1200" baseline="0" dirty="0" smtClean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ln(</a:t>
                </a:r>
                <a:r>
                  <a:rPr lang="en-US" sz="1400" b="1" i="0" u="none" strike="noStrike" baseline="0" dirty="0" err="1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en-US" sz="1400" b="1" i="0" u="none" strike="noStrike" baseline="-25000" dirty="0" err="1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r>
                  <a:rPr lang="en-US" sz="1400" b="1" i="0" kern="1200" baseline="0" dirty="0" smtClean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US" sz="1400" b="1" dirty="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1808"/>
        <c:crosses val="autoZero"/>
        <c:crossBetween val="midCat"/>
      </c:valAx>
      <c:valAx>
        <c:axId val="1318711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 b="1" i="0" kern="1200" baseline="0" dirty="0" smtClean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ln(</a:t>
                </a:r>
                <a:r>
                  <a:rPr lang="en-US" sz="1400" b="1" i="0" u="none" strike="noStrike" baseline="0" dirty="0" err="1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q</a:t>
                </a:r>
                <a:r>
                  <a:rPr lang="en-US" sz="1400" b="1" i="0" u="none" strike="noStrike" baseline="-25000" dirty="0" err="1" smtClean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r>
                  <a:rPr lang="en-US" sz="1400" b="1" i="0" kern="1200" baseline="0" dirty="0" smtClean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en-US" sz="1400" b="1" dirty="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71680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179717</xdr:rowOff>
    </xdr:from>
    <xdr:to>
      <xdr:col>5</xdr:col>
      <xdr:colOff>1549121</xdr:colOff>
      <xdr:row>31</xdr:row>
      <xdr:rowOff>80193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118617</xdr:colOff>
      <xdr:row>13</xdr:row>
      <xdr:rowOff>108986</xdr:rowOff>
    </xdr:from>
    <xdr:to>
      <xdr:col>5</xdr:col>
      <xdr:colOff>1404863</xdr:colOff>
      <xdr:row>27</xdr:row>
      <xdr:rowOff>100919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57727</xdr:colOff>
      <xdr:row>42</xdr:row>
      <xdr:rowOff>164016</xdr:rowOff>
    </xdr:from>
    <xdr:to>
      <xdr:col>5</xdr:col>
      <xdr:colOff>1382292</xdr:colOff>
      <xdr:row>56</xdr:row>
      <xdr:rowOff>157714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75322</xdr:colOff>
      <xdr:row>28</xdr:row>
      <xdr:rowOff>62063</xdr:rowOff>
    </xdr:from>
    <xdr:to>
      <xdr:col>5</xdr:col>
      <xdr:colOff>1399887</xdr:colOff>
      <xdr:row>42</xdr:row>
      <xdr:rowOff>55762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136072</xdr:colOff>
      <xdr:row>38</xdr:row>
      <xdr:rowOff>111332</xdr:rowOff>
    </xdr:from>
    <xdr:to>
      <xdr:col>5</xdr:col>
      <xdr:colOff>371105</xdr:colOff>
      <xdr:row>54</xdr:row>
      <xdr:rowOff>105205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138020</xdr:colOff>
      <xdr:row>56</xdr:row>
      <xdr:rowOff>27214</xdr:rowOff>
    </xdr:from>
    <xdr:to>
      <xdr:col>5</xdr:col>
      <xdr:colOff>284513</xdr:colOff>
      <xdr:row>70</xdr:row>
      <xdr:rowOff>105465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578902</xdr:colOff>
      <xdr:row>19</xdr:row>
      <xdr:rowOff>107540</xdr:rowOff>
    </xdr:from>
    <xdr:to>
      <xdr:col>26</xdr:col>
      <xdr:colOff>535145</xdr:colOff>
      <xdr:row>33</xdr:row>
      <xdr:rowOff>47275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568427</xdr:colOff>
      <xdr:row>33</xdr:row>
      <xdr:rowOff>128523</xdr:rowOff>
    </xdr:from>
    <xdr:to>
      <xdr:col>26</xdr:col>
      <xdr:colOff>545619</xdr:colOff>
      <xdr:row>47</xdr:row>
      <xdr:rowOff>171581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568427</xdr:colOff>
      <xdr:row>48</xdr:row>
      <xdr:rowOff>151006</xdr:rowOff>
    </xdr:from>
    <xdr:to>
      <xdr:col>26</xdr:col>
      <xdr:colOff>545619</xdr:colOff>
      <xdr:row>63</xdr:row>
      <xdr:rowOff>9708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78441</xdr:rowOff>
    </xdr:from>
    <xdr:to>
      <xdr:col>6</xdr:col>
      <xdr:colOff>605117</xdr:colOff>
      <xdr:row>24</xdr:row>
      <xdr:rowOff>29241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14883</xdr:rowOff>
    </xdr:from>
    <xdr:to>
      <xdr:col>6</xdr:col>
      <xdr:colOff>842210</xdr:colOff>
      <xdr:row>23</xdr:row>
      <xdr:rowOff>110799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192641</xdr:colOff>
      <xdr:row>9</xdr:row>
      <xdr:rowOff>181939</xdr:rowOff>
    </xdr:from>
    <xdr:to>
      <xdr:col>5</xdr:col>
      <xdr:colOff>759860</xdr:colOff>
      <xdr:row>25</xdr:row>
      <xdr:rowOff>130598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6</xdr:col>
      <xdr:colOff>862264</xdr:colOff>
      <xdr:row>21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folder%20(2)/New%20Microsoft%20Excel%20Worksheet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EC"/>
    </sheetNames>
    <sheetDataSet>
      <sheetData sheetId="0"/>
      <sheetData sheetId="1">
        <row r="2">
          <cell r="A2">
            <v>0</v>
          </cell>
          <cell r="B2">
            <v>0</v>
          </cell>
        </row>
        <row r="3">
          <cell r="A3">
            <v>5</v>
          </cell>
          <cell r="B3">
            <v>41</v>
          </cell>
        </row>
        <row r="4">
          <cell r="A4">
            <v>10</v>
          </cell>
          <cell r="B4">
            <v>65</v>
          </cell>
        </row>
        <row r="5">
          <cell r="A5">
            <v>15</v>
          </cell>
          <cell r="B5">
            <v>86</v>
          </cell>
        </row>
        <row r="6">
          <cell r="A6">
            <v>20</v>
          </cell>
          <cell r="B6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4"/>
  <sheetViews>
    <sheetView topLeftCell="A10" zoomScale="91" zoomScaleNormal="91" workbookViewId="0">
      <selection activeCell="H17" sqref="H17"/>
    </sheetView>
  </sheetViews>
  <sheetFormatPr defaultRowHeight="15" x14ac:dyDescent="0.25"/>
  <cols>
    <col min="1" max="1" width="3.42578125" customWidth="1"/>
    <col min="2" max="4" width="10.7109375" bestFit="1" customWidth="1"/>
    <col min="5" max="5" width="13.42578125" bestFit="1" customWidth="1"/>
    <col min="6" max="6" width="23.85546875" customWidth="1"/>
    <col min="7" max="7" width="6.28515625" customWidth="1"/>
    <col min="9" max="10" width="8.28515625" bestFit="1" customWidth="1"/>
    <col min="11" max="11" width="9" bestFit="1" customWidth="1"/>
    <col min="12" max="12" width="11.28515625" bestFit="1" customWidth="1"/>
    <col min="13" max="13" width="16" bestFit="1" customWidth="1"/>
    <col min="15" max="15" width="8.28515625" bestFit="1" customWidth="1"/>
    <col min="16" max="16" width="12" bestFit="1" customWidth="1"/>
    <col min="17" max="17" width="8.28515625" bestFit="1" customWidth="1"/>
    <col min="18" max="18" width="10.28515625" bestFit="1" customWidth="1"/>
    <col min="19" max="19" width="12" bestFit="1" customWidth="1"/>
  </cols>
  <sheetData>
    <row r="1" spans="1:19" x14ac:dyDescent="0.25">
      <c r="A1" s="32"/>
      <c r="B1" s="67" t="s">
        <v>98</v>
      </c>
      <c r="C1" s="67"/>
      <c r="D1" s="67"/>
      <c r="E1" s="67"/>
      <c r="F1" s="32"/>
      <c r="G1" s="32"/>
      <c r="O1" s="1"/>
      <c r="P1" s="1"/>
      <c r="Q1" s="1"/>
      <c r="R1" s="1"/>
      <c r="S1" s="1"/>
    </row>
    <row r="2" spans="1:19" x14ac:dyDescent="0.25">
      <c r="A2" s="48" t="s">
        <v>0</v>
      </c>
      <c r="B2" s="49" t="s">
        <v>13</v>
      </c>
      <c r="C2" s="49" t="s">
        <v>99</v>
      </c>
      <c r="D2" s="49" t="s">
        <v>79</v>
      </c>
      <c r="E2" s="49" t="s">
        <v>105</v>
      </c>
      <c r="F2" s="48" t="s">
        <v>106</v>
      </c>
      <c r="G2" s="33"/>
      <c r="I2" s="5" t="s">
        <v>6</v>
      </c>
      <c r="J2" s="5" t="s">
        <v>4</v>
      </c>
      <c r="K2" s="5" t="s">
        <v>5</v>
      </c>
      <c r="L2" s="5" t="s">
        <v>107</v>
      </c>
      <c r="M2" s="5" t="s">
        <v>108</v>
      </c>
      <c r="O2" s="51"/>
      <c r="P2" s="1"/>
      <c r="Q2" s="51"/>
      <c r="R2" s="51"/>
      <c r="S2" s="1"/>
    </row>
    <row r="3" spans="1:19" x14ac:dyDescent="0.25">
      <c r="A3" s="4">
        <v>1</v>
      </c>
      <c r="B3" s="4">
        <v>7.7</v>
      </c>
      <c r="C3" s="4">
        <v>11</v>
      </c>
      <c r="D3" s="4">
        <v>9.6</v>
      </c>
      <c r="E3" s="4">
        <f>ROUND(((B3+C3+D3)/3),1)</f>
        <v>9.4</v>
      </c>
      <c r="F3" s="4">
        <f>ROUND(((10-E3)/10)*100,1)</f>
        <v>6</v>
      </c>
      <c r="G3" s="1"/>
      <c r="I3" s="18">
        <v>1E-13</v>
      </c>
      <c r="J3" s="18">
        <f>((10/10^6)/112.41)*(I3^2)</f>
        <v>8.8960056934436456E-34</v>
      </c>
      <c r="K3" s="18">
        <f>J3-(7.2*10^-15)</f>
        <v>-7.2000000000000002E-15</v>
      </c>
      <c r="L3" s="18">
        <f>I3-SQRT((7.2*10^-15/((10/10^6)/112.41)))</f>
        <v>-2.8449112454187703E-4</v>
      </c>
      <c r="M3" s="4">
        <f t="shared" ref="M3:M12" si="0">(0.5*L3)*112.41*10^6</f>
        <v>-15989.823654876198</v>
      </c>
      <c r="O3" s="51"/>
      <c r="P3" s="1"/>
      <c r="Q3" s="51"/>
      <c r="R3" s="51"/>
      <c r="S3" s="1"/>
    </row>
    <row r="4" spans="1:19" x14ac:dyDescent="0.25">
      <c r="A4" s="4">
        <v>2</v>
      </c>
      <c r="B4" s="4">
        <v>2</v>
      </c>
      <c r="C4" s="4">
        <v>2.4</v>
      </c>
      <c r="D4" s="4">
        <v>2.4</v>
      </c>
      <c r="E4" s="4">
        <f t="shared" ref="E4:E14" si="1">ROUND(((B4+C4+D4)/3),1)</f>
        <v>2.2999999999999998</v>
      </c>
      <c r="F4" s="4">
        <f t="shared" ref="F4:F14" si="2">ROUND(((10-E4)/10)*100,1)</f>
        <v>77</v>
      </c>
      <c r="G4" s="1"/>
      <c r="I4" s="18">
        <v>9.9999999999999998E-13</v>
      </c>
      <c r="J4" s="18">
        <f t="shared" ref="J4:J14" si="3">((10/10^6)/112.41)*(I4^2)</f>
        <v>8.896005693443645E-32</v>
      </c>
      <c r="K4" s="18">
        <f t="shared" ref="K4:K14" si="4">J4-(7.2*10^-15)</f>
        <v>-7.2000000000000002E-15</v>
      </c>
      <c r="L4" s="18">
        <f t="shared" ref="L4:L14" si="5">I4-SQRT((7.2*10^-15/((10/10^6)/112.41)))</f>
        <v>-2.8449112364187701E-4</v>
      </c>
      <c r="M4" s="4">
        <f t="shared" si="0"/>
        <v>-15989.823604291696</v>
      </c>
      <c r="O4" s="51"/>
      <c r="P4" s="1"/>
      <c r="Q4" s="51"/>
      <c r="R4" s="51"/>
      <c r="S4" s="1"/>
    </row>
    <row r="5" spans="1:19" x14ac:dyDescent="0.25">
      <c r="A5" s="4">
        <v>3</v>
      </c>
      <c r="B5" s="4">
        <v>1.9</v>
      </c>
      <c r="C5" s="4">
        <v>1.7</v>
      </c>
      <c r="D5" s="4">
        <v>2</v>
      </c>
      <c r="E5" s="4">
        <f t="shared" si="1"/>
        <v>1.9</v>
      </c>
      <c r="F5" s="4">
        <f t="shared" si="2"/>
        <v>81</v>
      </c>
      <c r="G5" s="1"/>
      <c r="I5" s="18">
        <v>9.9999999999999994E-12</v>
      </c>
      <c r="J5" s="18">
        <f t="shared" si="3"/>
        <v>8.8960056934436443E-30</v>
      </c>
      <c r="K5" s="18">
        <f t="shared" si="4"/>
        <v>-7.1999999999999908E-15</v>
      </c>
      <c r="L5" s="18">
        <f t="shared" si="5"/>
        <v>-2.8449111464187699E-4</v>
      </c>
      <c r="M5" s="4">
        <f t="shared" si="0"/>
        <v>-15989.823098446695</v>
      </c>
      <c r="O5" s="51"/>
      <c r="P5" s="1"/>
      <c r="Q5" s="51"/>
      <c r="R5" s="51"/>
      <c r="S5" s="1"/>
    </row>
    <row r="6" spans="1:19" x14ac:dyDescent="0.25">
      <c r="A6" s="4">
        <v>4</v>
      </c>
      <c r="B6" s="4">
        <v>0</v>
      </c>
      <c r="C6" s="4">
        <v>0</v>
      </c>
      <c r="D6" s="4">
        <v>0</v>
      </c>
      <c r="E6" s="4">
        <f t="shared" si="1"/>
        <v>0</v>
      </c>
      <c r="F6" s="4">
        <f t="shared" si="2"/>
        <v>100</v>
      </c>
      <c r="G6" s="1"/>
      <c r="I6" s="18">
        <v>1E-10</v>
      </c>
      <c r="J6" s="18">
        <f t="shared" si="3"/>
        <v>8.8960056934436462E-28</v>
      </c>
      <c r="K6" s="18">
        <f t="shared" si="4"/>
        <v>-7.1999999999991104E-15</v>
      </c>
      <c r="L6" s="18">
        <f t="shared" si="5"/>
        <v>-2.8449102464187702E-4</v>
      </c>
      <c r="M6" s="4">
        <f t="shared" si="0"/>
        <v>-15989.818039996697</v>
      </c>
      <c r="O6" s="51"/>
      <c r="P6" s="1"/>
      <c r="Q6" s="51"/>
      <c r="R6" s="51"/>
      <c r="S6" s="1"/>
    </row>
    <row r="7" spans="1:19" x14ac:dyDescent="0.25">
      <c r="A7" s="4">
        <v>5</v>
      </c>
      <c r="B7" s="4">
        <v>0</v>
      </c>
      <c r="C7" s="4">
        <v>0</v>
      </c>
      <c r="D7" s="4">
        <v>0</v>
      </c>
      <c r="E7" s="4">
        <f t="shared" si="1"/>
        <v>0</v>
      </c>
      <c r="F7" s="4">
        <f t="shared" si="2"/>
        <v>100</v>
      </c>
      <c r="G7" s="1"/>
      <c r="I7" s="18">
        <v>1.0000000000000001E-9</v>
      </c>
      <c r="J7" s="18">
        <f t="shared" si="3"/>
        <v>8.8960056934436462E-26</v>
      </c>
      <c r="K7" s="18">
        <f t="shared" si="4"/>
        <v>-7.1999999999110404E-15</v>
      </c>
      <c r="L7" s="18">
        <f t="shared" si="5"/>
        <v>-2.8449012464187699E-4</v>
      </c>
      <c r="M7" s="4">
        <f t="shared" si="0"/>
        <v>-15989.767455496694</v>
      </c>
      <c r="O7" s="51"/>
      <c r="P7" s="1"/>
      <c r="Q7" s="51"/>
      <c r="R7" s="51"/>
      <c r="S7" s="1"/>
    </row>
    <row r="8" spans="1:19" x14ac:dyDescent="0.25">
      <c r="A8" s="4">
        <v>6</v>
      </c>
      <c r="B8" s="4">
        <v>0</v>
      </c>
      <c r="C8" s="4">
        <v>0</v>
      </c>
      <c r="D8" s="4">
        <v>0</v>
      </c>
      <c r="E8" s="4">
        <f t="shared" si="1"/>
        <v>0</v>
      </c>
      <c r="F8" s="4">
        <f t="shared" si="2"/>
        <v>100</v>
      </c>
      <c r="G8" s="1"/>
      <c r="I8" s="18">
        <v>1E-8</v>
      </c>
      <c r="J8" s="18">
        <f t="shared" si="3"/>
        <v>8.8960056934436464E-24</v>
      </c>
      <c r="K8" s="18">
        <f t="shared" si="4"/>
        <v>-7.1999999911039953E-15</v>
      </c>
      <c r="L8" s="18">
        <f t="shared" si="5"/>
        <v>-2.8448112464187701E-4</v>
      </c>
      <c r="M8" s="4">
        <f t="shared" si="0"/>
        <v>-15989.261610496696</v>
      </c>
      <c r="O8" s="51"/>
      <c r="P8" s="1"/>
      <c r="Q8" s="51"/>
      <c r="R8" s="51"/>
      <c r="S8" s="1"/>
    </row>
    <row r="9" spans="1:19" x14ac:dyDescent="0.25">
      <c r="A9" s="4">
        <v>7</v>
      </c>
      <c r="B9" s="4">
        <v>0</v>
      </c>
      <c r="C9" s="4">
        <v>0</v>
      </c>
      <c r="D9" s="4">
        <v>0</v>
      </c>
      <c r="E9" s="4">
        <f t="shared" si="1"/>
        <v>0</v>
      </c>
      <c r="F9" s="4">
        <f t="shared" si="2"/>
        <v>100</v>
      </c>
      <c r="G9" s="1"/>
      <c r="I9" s="18">
        <v>9.9999999999999995E-8</v>
      </c>
      <c r="J9" s="18">
        <f t="shared" si="3"/>
        <v>8.8960056934436435E-22</v>
      </c>
      <c r="K9" s="18">
        <f t="shared" si="4"/>
        <v>-7.1999991103994307E-15</v>
      </c>
      <c r="L9" s="18">
        <f t="shared" si="5"/>
        <v>-2.84391124641877E-4</v>
      </c>
      <c r="M9" s="4">
        <f t="shared" si="0"/>
        <v>-15984.203160496694</v>
      </c>
      <c r="O9" s="51"/>
      <c r="P9" s="1"/>
      <c r="Q9" s="51"/>
      <c r="R9" s="51"/>
      <c r="S9" s="1"/>
    </row>
    <row r="10" spans="1:19" x14ac:dyDescent="0.25">
      <c r="A10" s="4">
        <v>8</v>
      </c>
      <c r="B10" s="4">
        <v>0</v>
      </c>
      <c r="C10" s="4">
        <v>0</v>
      </c>
      <c r="D10" s="4">
        <v>0</v>
      </c>
      <c r="E10" s="4">
        <f t="shared" si="1"/>
        <v>0</v>
      </c>
      <c r="F10" s="4">
        <f t="shared" si="2"/>
        <v>100</v>
      </c>
      <c r="G10" s="1"/>
      <c r="I10" s="18">
        <v>9.9999999999999995E-7</v>
      </c>
      <c r="J10" s="18">
        <f t="shared" si="3"/>
        <v>8.8960056934436455E-20</v>
      </c>
      <c r="K10" s="18">
        <f t="shared" si="4"/>
        <v>-7.1999110399430652E-15</v>
      </c>
      <c r="L10" s="18">
        <f t="shared" si="5"/>
        <v>-2.8349112464187698E-4</v>
      </c>
      <c r="M10" s="4">
        <f t="shared" si="0"/>
        <v>-15933.618660496695</v>
      </c>
      <c r="O10" s="51"/>
      <c r="P10" s="1"/>
      <c r="Q10" s="51"/>
      <c r="R10" s="51"/>
      <c r="S10" s="1"/>
    </row>
    <row r="11" spans="1:19" x14ac:dyDescent="0.25">
      <c r="A11" s="4">
        <v>9</v>
      </c>
      <c r="B11" s="4">
        <v>0</v>
      </c>
      <c r="C11" s="4">
        <v>0</v>
      </c>
      <c r="D11" s="4">
        <v>0</v>
      </c>
      <c r="E11" s="4">
        <f t="shared" si="1"/>
        <v>0</v>
      </c>
      <c r="F11" s="4">
        <f t="shared" si="2"/>
        <v>100</v>
      </c>
      <c r="G11" s="1"/>
      <c r="I11" s="18">
        <v>1.0000000000000001E-5</v>
      </c>
      <c r="J11" s="18">
        <f t="shared" si="3"/>
        <v>8.896005693443646E-18</v>
      </c>
      <c r="K11" s="18">
        <f t="shared" si="4"/>
        <v>-7.1911039943065563E-15</v>
      </c>
      <c r="L11" s="18">
        <f t="shared" si="5"/>
        <v>-2.7449112464187698E-4</v>
      </c>
      <c r="M11" s="4">
        <f t="shared" si="0"/>
        <v>-15427.773660496694</v>
      </c>
      <c r="O11" s="51"/>
      <c r="P11" s="1"/>
      <c r="Q11" s="51"/>
      <c r="R11" s="51"/>
      <c r="S11" s="1"/>
    </row>
    <row r="12" spans="1:19" x14ac:dyDescent="0.25">
      <c r="A12" s="4">
        <v>10</v>
      </c>
      <c r="B12" s="4">
        <v>0</v>
      </c>
      <c r="C12" s="4">
        <v>0</v>
      </c>
      <c r="D12" s="4">
        <v>0</v>
      </c>
      <c r="E12" s="4">
        <f t="shared" si="1"/>
        <v>0</v>
      </c>
      <c r="F12" s="4">
        <f t="shared" si="2"/>
        <v>100</v>
      </c>
      <c r="G12" s="1"/>
      <c r="I12" s="18">
        <v>1E-4</v>
      </c>
      <c r="J12" s="18">
        <f t="shared" si="3"/>
        <v>8.8960056934436448E-16</v>
      </c>
      <c r="K12" s="18">
        <f t="shared" si="4"/>
        <v>-6.310399430655636E-15</v>
      </c>
      <c r="L12" s="18">
        <f t="shared" si="5"/>
        <v>-1.8449112464187701E-4</v>
      </c>
      <c r="M12" s="4">
        <f t="shared" si="0"/>
        <v>-10369.323660496697</v>
      </c>
      <c r="O12" s="51"/>
      <c r="P12" s="1"/>
      <c r="Q12" s="51"/>
      <c r="R12" s="51"/>
      <c r="S12" s="1"/>
    </row>
    <row r="13" spans="1:19" x14ac:dyDescent="0.25">
      <c r="A13" s="14">
        <v>11</v>
      </c>
      <c r="B13" s="14">
        <v>0</v>
      </c>
      <c r="C13" s="14">
        <v>0</v>
      </c>
      <c r="D13" s="14">
        <v>0</v>
      </c>
      <c r="E13" s="14">
        <f t="shared" si="1"/>
        <v>0</v>
      </c>
      <c r="F13" s="14">
        <f t="shared" si="2"/>
        <v>100</v>
      </c>
      <c r="G13" s="50"/>
      <c r="I13" s="52">
        <v>1E-3</v>
      </c>
      <c r="J13" s="52">
        <f t="shared" si="3"/>
        <v>8.8960056934436448E-14</v>
      </c>
      <c r="K13" s="52">
        <f t="shared" si="4"/>
        <v>8.1760056934436451E-14</v>
      </c>
      <c r="L13" s="52">
        <f t="shared" si="5"/>
        <v>7.1550887535812302E-4</v>
      </c>
      <c r="M13" s="14">
        <f>(0.5*L13)*112.41*10^6</f>
        <v>40215.176339503305</v>
      </c>
      <c r="O13" s="51"/>
      <c r="P13" s="1"/>
      <c r="Q13" s="51"/>
      <c r="R13" s="51"/>
      <c r="S13" s="1"/>
    </row>
    <row r="14" spans="1:19" x14ac:dyDescent="0.25">
      <c r="A14" s="14">
        <v>12</v>
      </c>
      <c r="B14" s="14">
        <v>0.5</v>
      </c>
      <c r="C14" s="14">
        <v>1.2</v>
      </c>
      <c r="D14" s="14">
        <v>1</v>
      </c>
      <c r="E14" s="14">
        <f t="shared" si="1"/>
        <v>0.9</v>
      </c>
      <c r="F14" s="14">
        <f t="shared" si="2"/>
        <v>91</v>
      </c>
      <c r="G14" s="50"/>
      <c r="I14" s="52">
        <v>0.01</v>
      </c>
      <c r="J14" s="52">
        <f t="shared" si="3"/>
        <v>8.8960056934436462E-12</v>
      </c>
      <c r="K14" s="52">
        <f t="shared" si="4"/>
        <v>8.8888056934436468E-12</v>
      </c>
      <c r="L14" s="52">
        <f t="shared" si="5"/>
        <v>9.715508875358124E-3</v>
      </c>
      <c r="M14" s="14">
        <f>(0.5*L14)*112.41*10^6</f>
        <v>546060.17633950338</v>
      </c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R10"/>
  <sheetViews>
    <sheetView topLeftCell="A25" zoomScale="66" zoomScaleNormal="66" workbookViewId="0">
      <selection activeCell="H43" sqref="H43"/>
    </sheetView>
  </sheetViews>
  <sheetFormatPr defaultRowHeight="15" x14ac:dyDescent="0.25"/>
  <cols>
    <col min="1" max="1" width="8.140625" bestFit="1" customWidth="1"/>
    <col min="2" max="3" width="10.42578125" bestFit="1" customWidth="1"/>
    <col min="4" max="4" width="10.42578125" customWidth="1"/>
    <col min="5" max="5" width="13.28515625" customWidth="1"/>
    <col min="6" max="6" width="22.140625" customWidth="1"/>
    <col min="7" max="7" width="7.5703125" bestFit="1" customWidth="1"/>
    <col min="8" max="8" width="7.42578125" bestFit="1" customWidth="1"/>
    <col min="11" max="11" width="10.7109375" bestFit="1" customWidth="1"/>
    <col min="12" max="12" width="12" bestFit="1" customWidth="1"/>
    <col min="13" max="13" width="8.85546875" bestFit="1" customWidth="1"/>
    <col min="14" max="14" width="7.85546875" bestFit="1" customWidth="1"/>
    <col min="15" max="15" width="9.28515625" bestFit="1" customWidth="1"/>
    <col min="16" max="16" width="8.28515625" bestFit="1" customWidth="1"/>
    <col min="17" max="17" width="12.7109375" bestFit="1" customWidth="1"/>
    <col min="19" max="19" width="7" bestFit="1" customWidth="1"/>
    <col min="20" max="20" width="5.7109375" bestFit="1" customWidth="1"/>
    <col min="21" max="21" width="5.5703125" bestFit="1" customWidth="1"/>
  </cols>
  <sheetData>
    <row r="1" spans="1:18" x14ac:dyDescent="0.25">
      <c r="B1" s="68" t="s">
        <v>98</v>
      </c>
      <c r="C1" s="68"/>
      <c r="D1" s="68"/>
      <c r="E1" s="68"/>
      <c r="P1" s="1"/>
      <c r="Q1" s="1"/>
      <c r="R1" s="1"/>
    </row>
    <row r="2" spans="1:18" x14ac:dyDescent="0.25">
      <c r="A2" s="10" t="s">
        <v>82</v>
      </c>
      <c r="B2" s="11" t="s">
        <v>13</v>
      </c>
      <c r="C2" s="11" t="s">
        <v>14</v>
      </c>
      <c r="D2" s="11" t="s">
        <v>109</v>
      </c>
      <c r="E2" s="11" t="s">
        <v>100</v>
      </c>
      <c r="F2" s="10" t="s">
        <v>101</v>
      </c>
      <c r="G2" s="33"/>
      <c r="J2" s="5" t="s">
        <v>82</v>
      </c>
      <c r="K2" s="5" t="s">
        <v>83</v>
      </c>
      <c r="L2" s="5" t="s">
        <v>110</v>
      </c>
      <c r="M2" s="5" t="s">
        <v>111</v>
      </c>
      <c r="N2" s="5" t="s">
        <v>84</v>
      </c>
      <c r="O2" s="5" t="s">
        <v>7</v>
      </c>
      <c r="P2" s="1"/>
      <c r="Q2" s="1"/>
      <c r="R2" s="1"/>
    </row>
    <row r="3" spans="1:18" x14ac:dyDescent="0.25">
      <c r="A3" s="12">
        <v>20</v>
      </c>
      <c r="B3" s="4">
        <v>7.5</v>
      </c>
      <c r="C3" s="4">
        <v>7.8</v>
      </c>
      <c r="D3" s="4">
        <v>7.7</v>
      </c>
      <c r="E3" s="9">
        <f>ROUND(((B3+C3+D3)/3),1)</f>
        <v>7.7</v>
      </c>
      <c r="F3" s="4">
        <f>ROUND(((0.01-(E3/1000))/1000)*10^6,1)</f>
        <v>2.2999999999999998</v>
      </c>
      <c r="G3" s="1"/>
      <c r="J3" s="4">
        <v>20</v>
      </c>
      <c r="K3" s="4">
        <f>J3/60</f>
        <v>0.33333333333333331</v>
      </c>
      <c r="L3" s="4">
        <v>2.2999999999999998</v>
      </c>
      <c r="M3" s="4">
        <f t="shared" ref="M3:M10" si="0">L3/1000</f>
        <v>2.3E-3</v>
      </c>
      <c r="N3" s="4">
        <f t="shared" ref="N3:N10" si="1">ROUND(K3/M3,2)</f>
        <v>144.93</v>
      </c>
      <c r="O3" s="4">
        <f t="shared" ref="O3:O10" si="2">ROUND(LN(K3),2)</f>
        <v>-1.1000000000000001</v>
      </c>
      <c r="P3" s="1"/>
      <c r="Q3" s="1"/>
      <c r="R3" s="1"/>
    </row>
    <row r="4" spans="1:18" x14ac:dyDescent="0.25">
      <c r="A4" s="12">
        <v>30</v>
      </c>
      <c r="B4" s="4">
        <v>6.1</v>
      </c>
      <c r="C4" s="4">
        <v>6.7</v>
      </c>
      <c r="D4" s="4">
        <v>7.2</v>
      </c>
      <c r="E4" s="9">
        <f t="shared" ref="E4:E10" si="3">ROUND(((B4+C4+D4)/3),1)</f>
        <v>6.7</v>
      </c>
      <c r="F4" s="4">
        <f t="shared" ref="F4:F10" si="4">ROUND(((0.01-(E4/1000))/1000)*10^6,1)</f>
        <v>3.3</v>
      </c>
      <c r="G4" s="1"/>
      <c r="J4" s="4">
        <v>30</v>
      </c>
      <c r="K4" s="4">
        <f t="shared" ref="K4:K10" si="5">J4/60</f>
        <v>0.5</v>
      </c>
      <c r="L4" s="4">
        <v>3.3</v>
      </c>
      <c r="M4" s="4">
        <f t="shared" si="0"/>
        <v>3.3E-3</v>
      </c>
      <c r="N4" s="4">
        <f t="shared" si="1"/>
        <v>151.52000000000001</v>
      </c>
      <c r="O4" s="4">
        <f t="shared" si="2"/>
        <v>-0.69</v>
      </c>
      <c r="P4" s="1"/>
      <c r="Q4" s="1"/>
      <c r="R4" s="1"/>
    </row>
    <row r="5" spans="1:18" x14ac:dyDescent="0.25">
      <c r="A5" s="12">
        <v>40</v>
      </c>
      <c r="B5" s="4">
        <v>5.8</v>
      </c>
      <c r="C5" s="4">
        <v>6.2</v>
      </c>
      <c r="D5" s="4">
        <v>5.9</v>
      </c>
      <c r="E5" s="9">
        <f t="shared" si="3"/>
        <v>6</v>
      </c>
      <c r="F5" s="4">
        <f t="shared" si="4"/>
        <v>4</v>
      </c>
      <c r="G5" s="1"/>
      <c r="J5" s="4">
        <v>40</v>
      </c>
      <c r="K5" s="4">
        <f t="shared" si="5"/>
        <v>0.66666666666666663</v>
      </c>
      <c r="L5" s="4">
        <v>4</v>
      </c>
      <c r="M5" s="4">
        <f t="shared" si="0"/>
        <v>4.0000000000000001E-3</v>
      </c>
      <c r="N5" s="4">
        <f t="shared" si="1"/>
        <v>166.67</v>
      </c>
      <c r="O5" s="4">
        <f t="shared" si="2"/>
        <v>-0.41</v>
      </c>
      <c r="P5" s="1"/>
      <c r="Q5" s="1"/>
      <c r="R5" s="1"/>
    </row>
    <row r="6" spans="1:18" x14ac:dyDescent="0.25">
      <c r="A6" s="12">
        <v>50</v>
      </c>
      <c r="B6" s="4">
        <v>4.5</v>
      </c>
      <c r="C6" s="4">
        <v>4.5</v>
      </c>
      <c r="D6" s="4">
        <v>4.7</v>
      </c>
      <c r="E6" s="9">
        <f t="shared" si="3"/>
        <v>4.5999999999999996</v>
      </c>
      <c r="F6" s="4">
        <f t="shared" si="4"/>
        <v>5.4</v>
      </c>
      <c r="G6" s="1"/>
      <c r="J6" s="4">
        <v>50</v>
      </c>
      <c r="K6" s="4">
        <f t="shared" si="5"/>
        <v>0.83333333333333337</v>
      </c>
      <c r="L6" s="4">
        <v>5.4</v>
      </c>
      <c r="M6" s="4">
        <f t="shared" si="0"/>
        <v>5.4000000000000003E-3</v>
      </c>
      <c r="N6" s="4">
        <f t="shared" si="1"/>
        <v>154.32</v>
      </c>
      <c r="O6" s="4">
        <f t="shared" si="2"/>
        <v>-0.18</v>
      </c>
      <c r="P6" s="1"/>
      <c r="Q6" s="1"/>
      <c r="R6" s="1"/>
    </row>
    <row r="7" spans="1:18" x14ac:dyDescent="0.25">
      <c r="A7" s="12">
        <v>60</v>
      </c>
      <c r="B7" s="4">
        <v>4.4000000000000004</v>
      </c>
      <c r="C7" s="4">
        <v>4.5</v>
      </c>
      <c r="D7" s="4">
        <v>4.5</v>
      </c>
      <c r="E7" s="9">
        <f t="shared" si="3"/>
        <v>4.5</v>
      </c>
      <c r="F7" s="4">
        <f t="shared" si="4"/>
        <v>5.5</v>
      </c>
      <c r="G7" s="1"/>
      <c r="J7" s="4">
        <v>60</v>
      </c>
      <c r="K7" s="4">
        <f t="shared" si="5"/>
        <v>1</v>
      </c>
      <c r="L7" s="4">
        <v>5.5</v>
      </c>
      <c r="M7" s="4">
        <f t="shared" si="0"/>
        <v>5.4999999999999997E-3</v>
      </c>
      <c r="N7" s="4">
        <f t="shared" si="1"/>
        <v>181.82</v>
      </c>
      <c r="O7" s="4">
        <f t="shared" si="2"/>
        <v>0</v>
      </c>
      <c r="P7" s="1"/>
      <c r="Q7" s="1"/>
      <c r="R7" s="1"/>
    </row>
    <row r="8" spans="1:18" x14ac:dyDescent="0.25">
      <c r="A8" s="12">
        <v>70</v>
      </c>
      <c r="B8" s="4">
        <v>4.3</v>
      </c>
      <c r="C8" s="4">
        <v>4.4000000000000004</v>
      </c>
      <c r="D8" s="4">
        <v>4.0999999999999996</v>
      </c>
      <c r="E8" s="9">
        <f t="shared" si="3"/>
        <v>4.3</v>
      </c>
      <c r="F8" s="4">
        <f t="shared" si="4"/>
        <v>5.7</v>
      </c>
      <c r="G8" s="1"/>
      <c r="J8" s="4">
        <v>70</v>
      </c>
      <c r="K8" s="4">
        <f t="shared" si="5"/>
        <v>1.1666666666666667</v>
      </c>
      <c r="L8" s="4">
        <v>5.7</v>
      </c>
      <c r="M8" s="4">
        <f t="shared" si="0"/>
        <v>5.7000000000000002E-3</v>
      </c>
      <c r="N8" s="4">
        <f t="shared" si="1"/>
        <v>204.68</v>
      </c>
      <c r="O8" s="4">
        <f t="shared" si="2"/>
        <v>0.15</v>
      </c>
      <c r="P8" s="1"/>
      <c r="Q8" s="1"/>
      <c r="R8" s="1"/>
    </row>
    <row r="9" spans="1:18" x14ac:dyDescent="0.25">
      <c r="A9" s="12">
        <v>90</v>
      </c>
      <c r="B9" s="4">
        <v>3.9</v>
      </c>
      <c r="C9" s="4">
        <v>4.2</v>
      </c>
      <c r="D9" s="4">
        <v>4.5999999999999996</v>
      </c>
      <c r="E9" s="9">
        <f t="shared" si="3"/>
        <v>4.2</v>
      </c>
      <c r="F9" s="4">
        <f t="shared" si="4"/>
        <v>5.8</v>
      </c>
      <c r="G9" s="1"/>
      <c r="H9" s="15"/>
      <c r="I9" s="15"/>
      <c r="J9" s="4">
        <v>90</v>
      </c>
      <c r="K9" s="4">
        <f t="shared" si="5"/>
        <v>1.5</v>
      </c>
      <c r="L9" s="4">
        <v>5.8</v>
      </c>
      <c r="M9" s="4">
        <f t="shared" si="0"/>
        <v>5.7999999999999996E-3</v>
      </c>
      <c r="N9" s="4">
        <f t="shared" si="1"/>
        <v>258.62</v>
      </c>
      <c r="O9" s="4">
        <f t="shared" si="2"/>
        <v>0.41</v>
      </c>
      <c r="P9" s="1"/>
      <c r="Q9" s="1"/>
      <c r="R9" s="1"/>
    </row>
    <row r="10" spans="1:18" x14ac:dyDescent="0.25">
      <c r="A10" s="12">
        <v>110</v>
      </c>
      <c r="B10" s="4">
        <v>3.6</v>
      </c>
      <c r="C10" s="4">
        <v>4</v>
      </c>
      <c r="D10" s="4">
        <v>4.2</v>
      </c>
      <c r="E10" s="9">
        <f t="shared" si="3"/>
        <v>3.9</v>
      </c>
      <c r="F10" s="4">
        <f t="shared" si="4"/>
        <v>6.1</v>
      </c>
      <c r="G10" s="1"/>
      <c r="H10" s="1"/>
      <c r="I10" s="15"/>
      <c r="J10" s="4">
        <v>110</v>
      </c>
      <c r="K10" s="4">
        <f t="shared" si="5"/>
        <v>1.8333333333333333</v>
      </c>
      <c r="L10" s="4">
        <v>6.1</v>
      </c>
      <c r="M10" s="4">
        <f t="shared" si="0"/>
        <v>6.0999999999999995E-3</v>
      </c>
      <c r="N10" s="4">
        <f t="shared" si="1"/>
        <v>300.55</v>
      </c>
      <c r="O10" s="4">
        <f t="shared" si="2"/>
        <v>0.61</v>
      </c>
      <c r="P10" s="1"/>
      <c r="Q10" s="1"/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37"/>
  <sheetViews>
    <sheetView topLeftCell="L1" zoomScale="66" zoomScaleNormal="66" workbookViewId="0">
      <selection activeCell="AD12" sqref="AD12"/>
    </sheetView>
  </sheetViews>
  <sheetFormatPr defaultRowHeight="15" x14ac:dyDescent="0.25"/>
  <cols>
    <col min="1" max="1" width="32.28515625" bestFit="1" customWidth="1"/>
    <col min="2" max="3" width="10.42578125" bestFit="1" customWidth="1"/>
    <col min="4" max="4" width="10.42578125" customWidth="1"/>
    <col min="5" max="5" width="11.5703125" bestFit="1" customWidth="1"/>
    <col min="6" max="6" width="22.140625" bestFit="1" customWidth="1"/>
    <col min="9" max="9" width="10.5703125" bestFit="1" customWidth="1"/>
    <col min="10" max="10" width="9.5703125" bestFit="1" customWidth="1"/>
    <col min="11" max="11" width="8.85546875" customWidth="1"/>
    <col min="12" max="12" width="12" bestFit="1" customWidth="1"/>
    <col min="13" max="13" width="12.7109375" bestFit="1" customWidth="1"/>
    <col min="14" max="14" width="12" bestFit="1" customWidth="1"/>
    <col min="15" max="15" width="26.85546875" bestFit="1" customWidth="1"/>
    <col min="30" max="30" width="26.7109375" bestFit="1" customWidth="1"/>
  </cols>
  <sheetData>
    <row r="1" spans="1:30" x14ac:dyDescent="0.25">
      <c r="A1" s="71" t="s">
        <v>92</v>
      </c>
      <c r="B1" s="71"/>
      <c r="C1" s="71"/>
      <c r="D1" s="71"/>
      <c r="E1" s="71"/>
      <c r="F1" s="71"/>
      <c r="M1" s="1"/>
      <c r="N1" s="1"/>
      <c r="O1" s="73" t="s">
        <v>91</v>
      </c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</row>
    <row r="2" spans="1:30" x14ac:dyDescent="0.25">
      <c r="A2" s="32"/>
      <c r="B2" s="72" t="s">
        <v>98</v>
      </c>
      <c r="C2" s="72"/>
      <c r="D2" s="72"/>
      <c r="E2" s="72"/>
      <c r="F2" s="33"/>
      <c r="M2" s="1"/>
      <c r="N2" s="1"/>
      <c r="O2" s="41"/>
      <c r="P2" s="69" t="s">
        <v>94</v>
      </c>
      <c r="Q2" s="69"/>
      <c r="R2" s="69"/>
      <c r="S2" s="69"/>
      <c r="T2" s="69"/>
      <c r="U2" s="69"/>
      <c r="V2" s="69"/>
      <c r="W2" s="70" t="s">
        <v>93</v>
      </c>
      <c r="X2" s="70"/>
      <c r="Y2" s="70"/>
      <c r="Z2" s="70"/>
      <c r="AA2" s="70"/>
      <c r="AB2" s="70"/>
      <c r="AC2" s="70"/>
      <c r="AD2" s="32"/>
    </row>
    <row r="3" spans="1:30" x14ac:dyDescent="0.25">
      <c r="A3" s="31" t="s">
        <v>97</v>
      </c>
      <c r="B3" s="40" t="s">
        <v>13</v>
      </c>
      <c r="C3" s="40" t="s">
        <v>99</v>
      </c>
      <c r="D3" s="40" t="s">
        <v>79</v>
      </c>
      <c r="E3" s="40" t="s">
        <v>103</v>
      </c>
      <c r="F3" s="31" t="s">
        <v>101</v>
      </c>
      <c r="M3" s="1"/>
      <c r="N3" s="1"/>
      <c r="O3" s="42" t="s">
        <v>95</v>
      </c>
      <c r="P3" s="43" t="s">
        <v>13</v>
      </c>
      <c r="Q3" s="44" t="s">
        <v>14</v>
      </c>
      <c r="R3" s="44" t="s">
        <v>79</v>
      </c>
      <c r="S3" s="44" t="s">
        <v>15</v>
      </c>
      <c r="T3" s="44" t="s">
        <v>16</v>
      </c>
      <c r="U3" s="44" t="s">
        <v>80</v>
      </c>
      <c r="V3" s="44" t="s">
        <v>103</v>
      </c>
      <c r="W3" s="45" t="s">
        <v>13</v>
      </c>
      <c r="X3" s="45" t="s">
        <v>14</v>
      </c>
      <c r="Y3" s="45" t="s">
        <v>79</v>
      </c>
      <c r="Z3" s="45" t="s">
        <v>15</v>
      </c>
      <c r="AA3" s="45" t="s">
        <v>16</v>
      </c>
      <c r="AB3" s="45" t="s">
        <v>80</v>
      </c>
      <c r="AC3" s="45" t="s">
        <v>103</v>
      </c>
      <c r="AD3" s="46" t="s">
        <v>104</v>
      </c>
    </row>
    <row r="4" spans="1:30" x14ac:dyDescent="0.25">
      <c r="A4" s="34">
        <v>10</v>
      </c>
      <c r="B4" s="35">
        <v>0</v>
      </c>
      <c r="C4" s="35">
        <v>0</v>
      </c>
      <c r="D4" s="35">
        <v>0</v>
      </c>
      <c r="E4" s="36">
        <f>ROUND(((B4+C4+D4)/3),1)</f>
        <v>0</v>
      </c>
      <c r="F4" s="35">
        <f t="shared" ref="F4:F19" si="0">ROUND((((A4/909.09)-(E4/909.09))/1000)*10^6,1)</f>
        <v>11</v>
      </c>
      <c r="M4" s="1"/>
      <c r="N4" s="1"/>
      <c r="O4" s="30">
        <v>100</v>
      </c>
      <c r="P4" s="4">
        <v>0.04</v>
      </c>
      <c r="Q4" s="4">
        <v>0.03</v>
      </c>
      <c r="R4" s="4">
        <v>0.04</v>
      </c>
      <c r="S4" s="4">
        <f>P4*11</f>
        <v>0.44</v>
      </c>
      <c r="T4" s="4">
        <f>Q4*11</f>
        <v>0.32999999999999996</v>
      </c>
      <c r="U4" s="4">
        <f>R4*11</f>
        <v>0.44</v>
      </c>
      <c r="V4" s="4">
        <f>ROUND(((S4+T4+U4)/3),2)</f>
        <v>0.4</v>
      </c>
      <c r="W4" s="4">
        <v>0.04</v>
      </c>
      <c r="X4" s="4">
        <v>0.05</v>
      </c>
      <c r="Y4" s="4">
        <v>0.06</v>
      </c>
      <c r="Z4" s="4">
        <f>W4*11</f>
        <v>0.44</v>
      </c>
      <c r="AA4" s="4">
        <f>X4*11</f>
        <v>0.55000000000000004</v>
      </c>
      <c r="AB4" s="4">
        <f>Y4*11</f>
        <v>0.65999999999999992</v>
      </c>
      <c r="AC4" s="4">
        <f>ROUND(((Z4+AA4+AB4)/3),2)</f>
        <v>0.55000000000000004</v>
      </c>
      <c r="AD4" s="47">
        <f>(((O4/1000)-(V4/1000))-((O4/1000)-(AC4/1000)))*10^6</f>
        <v>149.99999999999736</v>
      </c>
    </row>
    <row r="5" spans="1:30" x14ac:dyDescent="0.25">
      <c r="A5" s="34">
        <v>50</v>
      </c>
      <c r="B5" s="35">
        <v>0</v>
      </c>
      <c r="C5" s="35">
        <v>0</v>
      </c>
      <c r="D5" s="35">
        <v>0</v>
      </c>
      <c r="E5" s="36">
        <f t="shared" ref="E5:E6" si="1">ROUND(((B5+C5+D5)/3),1)</f>
        <v>0</v>
      </c>
      <c r="F5" s="35">
        <f t="shared" si="0"/>
        <v>55</v>
      </c>
      <c r="M5" s="1"/>
      <c r="N5" s="1"/>
      <c r="O5" s="16">
        <v>200</v>
      </c>
      <c r="P5" s="4">
        <v>0.14000000000000001</v>
      </c>
      <c r="Q5" s="4">
        <v>0.15</v>
      </c>
      <c r="R5" s="4">
        <v>0.15</v>
      </c>
      <c r="S5" s="4">
        <f t="shared" ref="S5:U9" si="2">P5*11</f>
        <v>1.54</v>
      </c>
      <c r="T5" s="4">
        <f t="shared" si="2"/>
        <v>1.65</v>
      </c>
      <c r="U5" s="4">
        <f t="shared" si="2"/>
        <v>1.65</v>
      </c>
      <c r="V5" s="4">
        <f t="shared" ref="V5:V9" si="3">ROUND(((S5+T5+U5)/3),2)</f>
        <v>1.61</v>
      </c>
      <c r="W5" s="4">
        <v>0.15</v>
      </c>
      <c r="X5" s="4">
        <v>0.14000000000000001</v>
      </c>
      <c r="Y5" s="4">
        <v>0.19</v>
      </c>
      <c r="Z5" s="4">
        <f t="shared" ref="Z5:AB9" si="4">W5*11</f>
        <v>1.65</v>
      </c>
      <c r="AA5" s="4">
        <f t="shared" si="4"/>
        <v>1.54</v>
      </c>
      <c r="AB5" s="4">
        <f t="shared" si="4"/>
        <v>2.09</v>
      </c>
      <c r="AC5" s="4">
        <f t="shared" ref="AC5:AC9" si="5">ROUND(((Z5+AA5+AB5)/3),2)</f>
        <v>1.76</v>
      </c>
      <c r="AD5" s="4">
        <f t="shared" ref="AD5:AD9" si="6">(((O5/1000)-(V5/1000))-((O5/1000)-(AC5/1000)))*10^6</f>
        <v>150.00000000001123</v>
      </c>
    </row>
    <row r="6" spans="1:30" x14ac:dyDescent="0.25">
      <c r="A6" s="34">
        <v>250</v>
      </c>
      <c r="B6" s="35">
        <v>0</v>
      </c>
      <c r="C6" s="35">
        <v>0</v>
      </c>
      <c r="D6" s="35">
        <v>0</v>
      </c>
      <c r="E6" s="36">
        <f t="shared" si="1"/>
        <v>0</v>
      </c>
      <c r="F6" s="35">
        <f t="shared" si="0"/>
        <v>275</v>
      </c>
      <c r="M6" s="1"/>
      <c r="N6" s="1"/>
      <c r="O6" s="4">
        <v>300</v>
      </c>
      <c r="P6" s="4">
        <v>0.18</v>
      </c>
      <c r="Q6" s="4">
        <v>0.19</v>
      </c>
      <c r="R6" s="4">
        <v>0.19</v>
      </c>
      <c r="S6" s="4">
        <f t="shared" si="2"/>
        <v>1.98</v>
      </c>
      <c r="T6" s="4">
        <f t="shared" si="2"/>
        <v>2.09</v>
      </c>
      <c r="U6" s="4">
        <f t="shared" si="2"/>
        <v>2.09</v>
      </c>
      <c r="V6" s="4">
        <f t="shared" si="3"/>
        <v>2.0499999999999998</v>
      </c>
      <c r="W6" s="4">
        <v>0.2</v>
      </c>
      <c r="X6" s="4">
        <v>0.19</v>
      </c>
      <c r="Y6" s="4">
        <v>0.21</v>
      </c>
      <c r="Z6" s="4">
        <f t="shared" si="4"/>
        <v>2.2000000000000002</v>
      </c>
      <c r="AA6" s="4">
        <f t="shared" si="4"/>
        <v>2.09</v>
      </c>
      <c r="AB6" s="4">
        <f t="shared" si="4"/>
        <v>2.31</v>
      </c>
      <c r="AC6" s="4">
        <f t="shared" si="5"/>
        <v>2.2000000000000002</v>
      </c>
      <c r="AD6" s="4">
        <f t="shared" si="6"/>
        <v>149.99999999998349</v>
      </c>
    </row>
    <row r="7" spans="1:30" x14ac:dyDescent="0.25">
      <c r="A7" s="34">
        <v>500</v>
      </c>
      <c r="B7" s="35">
        <v>4.5</v>
      </c>
      <c r="C7" s="35">
        <v>4.9000000000000004</v>
      </c>
      <c r="D7" s="35">
        <v>4.8</v>
      </c>
      <c r="E7" s="37">
        <f>ROUND(((B7+C7+D7)/3),1)</f>
        <v>4.7</v>
      </c>
      <c r="F7" s="35">
        <f t="shared" si="0"/>
        <v>544.79999999999995</v>
      </c>
      <c r="M7" s="1"/>
      <c r="N7" s="1"/>
      <c r="O7" s="4">
        <v>400</v>
      </c>
      <c r="P7" s="4">
        <v>0.51</v>
      </c>
      <c r="Q7" s="4">
        <v>0.46</v>
      </c>
      <c r="R7" s="4">
        <v>0.49</v>
      </c>
      <c r="S7" s="4">
        <f t="shared" si="2"/>
        <v>5.61</v>
      </c>
      <c r="T7" s="4">
        <f t="shared" si="2"/>
        <v>5.0600000000000005</v>
      </c>
      <c r="U7" s="4">
        <f t="shared" si="2"/>
        <v>5.39</v>
      </c>
      <c r="V7" s="4">
        <f t="shared" si="3"/>
        <v>5.35</v>
      </c>
      <c r="W7" s="4">
        <v>0.54</v>
      </c>
      <c r="X7" s="4">
        <v>0.51</v>
      </c>
      <c r="Y7" s="4">
        <v>0.54</v>
      </c>
      <c r="Z7" s="4">
        <f t="shared" si="4"/>
        <v>5.94</v>
      </c>
      <c r="AA7" s="4">
        <f t="shared" si="4"/>
        <v>5.61</v>
      </c>
      <c r="AB7" s="4">
        <f t="shared" si="4"/>
        <v>5.94</v>
      </c>
      <c r="AC7" s="4">
        <f t="shared" si="5"/>
        <v>5.83</v>
      </c>
      <c r="AD7" s="4">
        <f t="shared" si="6"/>
        <v>479.99999999998045</v>
      </c>
    </row>
    <row r="8" spans="1:30" x14ac:dyDescent="0.25">
      <c r="A8" s="34">
        <v>1000</v>
      </c>
      <c r="B8" s="35">
        <v>5.7</v>
      </c>
      <c r="C8" s="35">
        <v>3.6</v>
      </c>
      <c r="D8" s="35">
        <v>4.7</v>
      </c>
      <c r="E8" s="37">
        <f t="shared" ref="E8:E19" si="7">ROUND(((B8+C8+D8)/3),1)</f>
        <v>4.7</v>
      </c>
      <c r="F8" s="35">
        <f t="shared" si="0"/>
        <v>1094.8</v>
      </c>
      <c r="M8" s="1"/>
      <c r="N8" s="1"/>
      <c r="O8" s="4">
        <v>500</v>
      </c>
      <c r="P8" s="4">
        <v>1.21</v>
      </c>
      <c r="Q8" s="4">
        <v>1.2</v>
      </c>
      <c r="R8" s="4">
        <v>1.21</v>
      </c>
      <c r="S8" s="4">
        <f t="shared" si="2"/>
        <v>13.309999999999999</v>
      </c>
      <c r="T8" s="4">
        <f t="shared" si="2"/>
        <v>13.2</v>
      </c>
      <c r="U8" s="4">
        <f t="shared" si="2"/>
        <v>13.309999999999999</v>
      </c>
      <c r="V8" s="4">
        <f t="shared" si="3"/>
        <v>13.27</v>
      </c>
      <c r="W8" s="4">
        <v>1.23</v>
      </c>
      <c r="X8" s="4">
        <v>1.31</v>
      </c>
      <c r="Y8" s="4">
        <v>1.24</v>
      </c>
      <c r="Z8" s="4">
        <f t="shared" si="4"/>
        <v>13.53</v>
      </c>
      <c r="AA8" s="4">
        <f t="shared" si="4"/>
        <v>14.41</v>
      </c>
      <c r="AB8" s="4">
        <f t="shared" si="4"/>
        <v>13.64</v>
      </c>
      <c r="AC8" s="4">
        <f t="shared" si="5"/>
        <v>13.86</v>
      </c>
      <c r="AD8" s="4">
        <f t="shared" si="6"/>
        <v>589.99999999997942</v>
      </c>
    </row>
    <row r="9" spans="1:30" x14ac:dyDescent="0.25">
      <c r="A9" s="34">
        <v>1500</v>
      </c>
      <c r="B9" s="35">
        <v>7.6</v>
      </c>
      <c r="C9" s="35">
        <v>6.7</v>
      </c>
      <c r="D9" s="35">
        <v>6.9</v>
      </c>
      <c r="E9" s="37">
        <f t="shared" si="7"/>
        <v>7.1</v>
      </c>
      <c r="F9" s="35">
        <f t="shared" si="0"/>
        <v>1642.2</v>
      </c>
      <c r="M9" s="1"/>
      <c r="N9" s="1"/>
      <c r="O9" s="16">
        <v>600</v>
      </c>
      <c r="P9" s="4">
        <v>1.7</v>
      </c>
      <c r="Q9" s="4">
        <v>1.69</v>
      </c>
      <c r="R9" s="4">
        <v>1.66</v>
      </c>
      <c r="S9" s="4">
        <f t="shared" si="2"/>
        <v>18.7</v>
      </c>
      <c r="T9" s="4">
        <f t="shared" si="2"/>
        <v>18.59</v>
      </c>
      <c r="U9" s="4">
        <f>R9*11</f>
        <v>18.259999999999998</v>
      </c>
      <c r="V9" s="4">
        <f t="shared" si="3"/>
        <v>18.52</v>
      </c>
      <c r="W9" s="4">
        <v>1.73</v>
      </c>
      <c r="X9" s="4">
        <v>1.75</v>
      </c>
      <c r="Y9" s="4">
        <v>1.74</v>
      </c>
      <c r="Z9" s="4">
        <f t="shared" si="4"/>
        <v>19.03</v>
      </c>
      <c r="AA9" s="4">
        <f t="shared" si="4"/>
        <v>19.25</v>
      </c>
      <c r="AB9" s="4">
        <f t="shared" si="4"/>
        <v>19.14</v>
      </c>
      <c r="AC9" s="4">
        <f t="shared" si="5"/>
        <v>19.14</v>
      </c>
      <c r="AD9" s="4">
        <f t="shared" si="6"/>
        <v>620.00000000006492</v>
      </c>
    </row>
    <row r="10" spans="1:30" x14ac:dyDescent="0.25">
      <c r="A10" s="34">
        <v>2000</v>
      </c>
      <c r="B10" s="35">
        <v>11.1</v>
      </c>
      <c r="C10" s="35">
        <v>11.3</v>
      </c>
      <c r="D10" s="35">
        <v>11.4</v>
      </c>
      <c r="E10" s="37">
        <f t="shared" si="7"/>
        <v>11.3</v>
      </c>
      <c r="F10" s="35">
        <f t="shared" si="0"/>
        <v>2187.6</v>
      </c>
      <c r="M10" s="1"/>
      <c r="N10" s="1"/>
      <c r="O10" s="1"/>
      <c r="P10" s="24"/>
    </row>
    <row r="11" spans="1:30" x14ac:dyDescent="0.25">
      <c r="A11" s="34">
        <v>2500</v>
      </c>
      <c r="B11" s="35">
        <v>17.399999999999999</v>
      </c>
      <c r="C11" s="35">
        <v>16.8</v>
      </c>
      <c r="D11" s="35">
        <v>16.8</v>
      </c>
      <c r="E11" s="37">
        <f t="shared" si="7"/>
        <v>17</v>
      </c>
      <c r="F11" s="35">
        <f t="shared" si="0"/>
        <v>2731.3</v>
      </c>
      <c r="M11" s="1"/>
      <c r="N11" s="1"/>
      <c r="O11" s="1"/>
      <c r="P11" s="24"/>
    </row>
    <row r="12" spans="1:30" x14ac:dyDescent="0.25">
      <c r="A12" s="34">
        <v>3000</v>
      </c>
      <c r="B12" s="35">
        <v>20.8</v>
      </c>
      <c r="C12" s="35">
        <v>21.2</v>
      </c>
      <c r="D12" s="35">
        <v>20.6</v>
      </c>
      <c r="E12" s="37">
        <f t="shared" si="7"/>
        <v>20.9</v>
      </c>
      <c r="F12" s="35">
        <f t="shared" si="0"/>
        <v>3277</v>
      </c>
      <c r="M12" s="1"/>
      <c r="N12" s="1"/>
      <c r="O12" s="1"/>
      <c r="P12" s="24"/>
      <c r="U12" s="31" t="s">
        <v>10</v>
      </c>
      <c r="V12" s="31" t="s">
        <v>11</v>
      </c>
      <c r="W12" s="31" t="s">
        <v>8</v>
      </c>
      <c r="X12" s="31" t="s">
        <v>12</v>
      </c>
      <c r="Y12" s="31" t="s">
        <v>96</v>
      </c>
      <c r="Z12" s="31" t="s">
        <v>9</v>
      </c>
    </row>
    <row r="13" spans="1:30" x14ac:dyDescent="0.25">
      <c r="A13" s="34">
        <v>3500</v>
      </c>
      <c r="B13" s="35">
        <v>29.3</v>
      </c>
      <c r="C13" s="35">
        <v>29.2</v>
      </c>
      <c r="D13" s="35">
        <v>29</v>
      </c>
      <c r="E13" s="37">
        <f t="shared" si="7"/>
        <v>29.2</v>
      </c>
      <c r="F13" s="35">
        <f t="shared" si="0"/>
        <v>3817.9</v>
      </c>
      <c r="M13" s="1"/>
      <c r="N13" s="1"/>
      <c r="O13" s="1"/>
      <c r="P13" s="24"/>
      <c r="U13" s="4">
        <v>149.99999999999736</v>
      </c>
      <c r="V13" s="12">
        <f t="shared" ref="V13:V18" si="8">U13/1000</f>
        <v>0.14999999999999736</v>
      </c>
      <c r="W13" s="4">
        <v>0.55000000000000004</v>
      </c>
      <c r="X13" s="4">
        <f t="shared" ref="X13" si="9">W13/V13</f>
        <v>3.6666666666667314</v>
      </c>
      <c r="Y13" s="4">
        <f t="shared" ref="Y13:Z18" si="10">LN(V13)</f>
        <v>-1.8971199848858988</v>
      </c>
      <c r="Z13" s="4">
        <f t="shared" si="10"/>
        <v>-0.59783700075562041</v>
      </c>
    </row>
    <row r="14" spans="1:30" x14ac:dyDescent="0.25">
      <c r="A14" s="38">
        <v>4000</v>
      </c>
      <c r="B14" s="35">
        <v>627.20000000000005</v>
      </c>
      <c r="C14" s="35">
        <v>628.5</v>
      </c>
      <c r="D14" s="35">
        <v>629.6</v>
      </c>
      <c r="E14" s="37">
        <f t="shared" si="7"/>
        <v>628.4</v>
      </c>
      <c r="F14" s="35">
        <f t="shared" si="0"/>
        <v>3708.8</v>
      </c>
      <c r="M14" s="1"/>
      <c r="N14" s="1"/>
      <c r="O14" s="1"/>
      <c r="P14" s="24"/>
      <c r="U14" s="4">
        <v>150.00000000001123</v>
      </c>
      <c r="V14" s="12">
        <f t="shared" si="8"/>
        <v>0.15000000000001124</v>
      </c>
      <c r="W14" s="4">
        <v>1.76</v>
      </c>
      <c r="X14" s="4">
        <f>W14/V14</f>
        <v>11.733333333332455</v>
      </c>
      <c r="Y14" s="4">
        <f t="shared" si="10"/>
        <v>-1.8971199848858065</v>
      </c>
      <c r="Z14" s="4">
        <f t="shared" si="10"/>
        <v>0.56531380905006046</v>
      </c>
    </row>
    <row r="15" spans="1:30" x14ac:dyDescent="0.25">
      <c r="A15" s="38">
        <v>5000</v>
      </c>
      <c r="B15" s="35">
        <v>818.4</v>
      </c>
      <c r="C15" s="35">
        <v>824.2</v>
      </c>
      <c r="D15" s="35">
        <v>822.7</v>
      </c>
      <c r="E15" s="37">
        <f t="shared" si="7"/>
        <v>821.8</v>
      </c>
      <c r="F15" s="35">
        <f t="shared" si="0"/>
        <v>4596</v>
      </c>
      <c r="M15" s="1"/>
      <c r="N15" s="1"/>
      <c r="O15" s="1"/>
      <c r="P15" s="24"/>
      <c r="U15" s="4">
        <v>149.99999999998349</v>
      </c>
      <c r="V15" s="12">
        <f t="shared" si="8"/>
        <v>0.14999999999998348</v>
      </c>
      <c r="W15" s="4">
        <v>2.2000000000000002</v>
      </c>
      <c r="X15" s="4">
        <f>W15/V15</f>
        <v>14.666666666668283</v>
      </c>
      <c r="Y15" s="4">
        <f t="shared" si="10"/>
        <v>-1.8971199848859914</v>
      </c>
      <c r="Z15" s="4">
        <f t="shared" si="10"/>
        <v>0.78845736036427028</v>
      </c>
    </row>
    <row r="16" spans="1:30" x14ac:dyDescent="0.25">
      <c r="A16" s="38">
        <v>6000</v>
      </c>
      <c r="B16" s="35">
        <v>1487.7</v>
      </c>
      <c r="C16" s="35">
        <v>1488.1</v>
      </c>
      <c r="D16" s="35">
        <v>1490.1</v>
      </c>
      <c r="E16" s="37">
        <f t="shared" si="7"/>
        <v>1488.6</v>
      </c>
      <c r="F16" s="35">
        <f t="shared" si="0"/>
        <v>4962.5</v>
      </c>
      <c r="M16" s="1"/>
      <c r="N16" s="1"/>
      <c r="O16" s="1"/>
      <c r="P16" s="24"/>
      <c r="U16" s="4">
        <v>479.99999999998045</v>
      </c>
      <c r="V16" s="12">
        <f t="shared" si="8"/>
        <v>0.47999999999998044</v>
      </c>
      <c r="W16" s="4">
        <v>5.83</v>
      </c>
      <c r="X16" s="4">
        <f>W16/V16</f>
        <v>12.145833333333828</v>
      </c>
      <c r="Y16" s="4">
        <f t="shared" si="10"/>
        <v>-0.73396917508024118</v>
      </c>
      <c r="Z16" s="4">
        <f t="shared" si="10"/>
        <v>1.7630170003624011</v>
      </c>
    </row>
    <row r="17" spans="1:26" x14ac:dyDescent="0.25">
      <c r="A17" s="38">
        <v>7000</v>
      </c>
      <c r="B17" s="35">
        <v>1928.4</v>
      </c>
      <c r="C17" s="35">
        <v>1929.7</v>
      </c>
      <c r="D17" s="35">
        <v>1927.3</v>
      </c>
      <c r="E17" s="37">
        <f t="shared" si="7"/>
        <v>1928.5</v>
      </c>
      <c r="F17" s="35">
        <f t="shared" si="0"/>
        <v>5578.7</v>
      </c>
      <c r="M17" s="1"/>
      <c r="N17" s="1"/>
      <c r="O17" s="1"/>
      <c r="P17" s="24"/>
      <c r="U17" s="4">
        <v>589.99999999997942</v>
      </c>
      <c r="V17" s="12">
        <f t="shared" si="8"/>
        <v>0.58999999999997943</v>
      </c>
      <c r="W17" s="4">
        <v>13.86</v>
      </c>
      <c r="X17" s="4">
        <f>W17/V17</f>
        <v>23.49152542372963</v>
      </c>
      <c r="Y17" s="4">
        <f t="shared" si="10"/>
        <v>-0.52763274208240674</v>
      </c>
      <c r="Z17" s="4">
        <f t="shared" si="10"/>
        <v>2.6290069937617573</v>
      </c>
    </row>
    <row r="18" spans="1:26" x14ac:dyDescent="0.25">
      <c r="A18" s="38">
        <v>8000</v>
      </c>
      <c r="B18" s="35">
        <v>2712</v>
      </c>
      <c r="C18" s="35">
        <v>2707.2</v>
      </c>
      <c r="D18" s="35">
        <v>2705.5</v>
      </c>
      <c r="E18" s="37">
        <f t="shared" si="7"/>
        <v>2708.2</v>
      </c>
      <c r="F18" s="35">
        <f t="shared" si="0"/>
        <v>5821</v>
      </c>
      <c r="U18" s="4">
        <v>620.00000000006492</v>
      </c>
      <c r="V18" s="12">
        <f t="shared" si="8"/>
        <v>0.62000000000006494</v>
      </c>
      <c r="W18" s="4">
        <v>19.14</v>
      </c>
      <c r="X18" s="4">
        <f>W18/V18</f>
        <v>30.870967741932251</v>
      </c>
      <c r="Y18" s="4">
        <f t="shared" si="10"/>
        <v>-0.47803580094289505</v>
      </c>
      <c r="Z18" s="4">
        <f t="shared" si="10"/>
        <v>2.9517803860248084</v>
      </c>
    </row>
    <row r="19" spans="1:26" x14ac:dyDescent="0.25">
      <c r="A19" s="38">
        <v>10000</v>
      </c>
      <c r="B19" s="35">
        <v>4202.8</v>
      </c>
      <c r="C19" s="35">
        <v>4191.2</v>
      </c>
      <c r="D19" s="35">
        <v>4208.5</v>
      </c>
      <c r="E19" s="37">
        <f t="shared" si="7"/>
        <v>4200.8</v>
      </c>
      <c r="F19" s="35">
        <f t="shared" si="0"/>
        <v>6379.1</v>
      </c>
    </row>
    <row r="20" spans="1:26" x14ac:dyDescent="0.25">
      <c r="A20" s="32"/>
      <c r="B20" s="32"/>
      <c r="C20" s="32"/>
      <c r="D20" s="32"/>
      <c r="E20" s="32"/>
      <c r="F20" s="32"/>
    </row>
    <row r="21" spans="1:26" x14ac:dyDescent="0.25">
      <c r="A21" s="32"/>
      <c r="B21" s="31" t="s">
        <v>10</v>
      </c>
      <c r="C21" s="31" t="s">
        <v>11</v>
      </c>
      <c r="D21" s="31" t="s">
        <v>8</v>
      </c>
      <c r="E21" s="31" t="s">
        <v>12</v>
      </c>
      <c r="F21" s="32"/>
    </row>
    <row r="22" spans="1:26" x14ac:dyDescent="0.25">
      <c r="A22" s="32"/>
      <c r="B22" s="35">
        <v>11</v>
      </c>
      <c r="C22" s="39">
        <f>B22/1000</f>
        <v>1.0999999999999999E-2</v>
      </c>
      <c r="D22" s="35">
        <f t="shared" ref="D22:D37" si="11">E4/1000</f>
        <v>0</v>
      </c>
      <c r="E22" s="35">
        <f t="shared" ref="E22:E37" si="12">D22/C22</f>
        <v>0</v>
      </c>
      <c r="F22" s="32"/>
    </row>
    <row r="23" spans="1:26" x14ac:dyDescent="0.25">
      <c r="A23" s="32"/>
      <c r="B23" s="35">
        <v>55</v>
      </c>
      <c r="C23" s="39">
        <f t="shared" ref="C23:C37" si="13">B23/1000</f>
        <v>5.5E-2</v>
      </c>
      <c r="D23" s="35">
        <f t="shared" si="11"/>
        <v>0</v>
      </c>
      <c r="E23" s="35">
        <f t="shared" si="12"/>
        <v>0</v>
      </c>
      <c r="F23" s="32"/>
    </row>
    <row r="24" spans="1:26" x14ac:dyDescent="0.25">
      <c r="A24" s="32"/>
      <c r="B24" s="35">
        <v>275</v>
      </c>
      <c r="C24" s="39">
        <f t="shared" si="13"/>
        <v>0.27500000000000002</v>
      </c>
      <c r="D24" s="35">
        <f t="shared" si="11"/>
        <v>0</v>
      </c>
      <c r="E24" s="35">
        <f t="shared" si="12"/>
        <v>0</v>
      </c>
      <c r="F24" s="32"/>
    </row>
    <row r="25" spans="1:26" x14ac:dyDescent="0.25">
      <c r="A25" s="32"/>
      <c r="B25" s="35">
        <v>544.79999999999995</v>
      </c>
      <c r="C25" s="39">
        <f t="shared" si="13"/>
        <v>0.54479999999999995</v>
      </c>
      <c r="D25" s="35">
        <f t="shared" si="11"/>
        <v>4.7000000000000002E-3</v>
      </c>
      <c r="E25" s="35">
        <f t="shared" si="12"/>
        <v>8.6270190895741568E-3</v>
      </c>
      <c r="F25" s="32"/>
    </row>
    <row r="26" spans="1:26" x14ac:dyDescent="0.25">
      <c r="A26" s="32"/>
      <c r="B26" s="35">
        <v>1094.8</v>
      </c>
      <c r="C26" s="39">
        <f t="shared" si="13"/>
        <v>1.0948</v>
      </c>
      <c r="D26" s="35">
        <f t="shared" si="11"/>
        <v>4.7000000000000002E-3</v>
      </c>
      <c r="E26" s="35">
        <f t="shared" si="12"/>
        <v>4.2930215564486668E-3</v>
      </c>
      <c r="F26" s="32"/>
    </row>
    <row r="27" spans="1:26" x14ac:dyDescent="0.25">
      <c r="A27" s="32"/>
      <c r="B27" s="35">
        <v>1642.2</v>
      </c>
      <c r="C27" s="39">
        <f t="shared" si="13"/>
        <v>1.6422000000000001</v>
      </c>
      <c r="D27" s="35">
        <f t="shared" si="11"/>
        <v>7.0999999999999995E-3</v>
      </c>
      <c r="E27" s="35">
        <f t="shared" si="12"/>
        <v>4.3234685178419191E-3</v>
      </c>
      <c r="F27" s="32"/>
    </row>
    <row r="28" spans="1:26" x14ac:dyDescent="0.25">
      <c r="A28" s="32"/>
      <c r="B28" s="35">
        <v>2187.6</v>
      </c>
      <c r="C28" s="39">
        <f t="shared" si="13"/>
        <v>2.1875999999999998</v>
      </c>
      <c r="D28" s="35">
        <f t="shared" si="11"/>
        <v>1.1300000000000001E-2</v>
      </c>
      <c r="E28" s="35">
        <f t="shared" si="12"/>
        <v>5.1654781495703061E-3</v>
      </c>
      <c r="F28" s="32"/>
    </row>
    <row r="29" spans="1:26" x14ac:dyDescent="0.25">
      <c r="A29" s="32"/>
      <c r="B29" s="35">
        <v>2731.3</v>
      </c>
      <c r="C29" s="39">
        <f t="shared" si="13"/>
        <v>2.7313000000000001</v>
      </c>
      <c r="D29" s="35">
        <f t="shared" si="11"/>
        <v>1.7000000000000001E-2</v>
      </c>
      <c r="E29" s="35">
        <f t="shared" si="12"/>
        <v>6.2241423497968002E-3</v>
      </c>
      <c r="F29" s="32"/>
    </row>
    <row r="30" spans="1:26" x14ac:dyDescent="0.25">
      <c r="A30" s="32"/>
      <c r="B30" s="35">
        <v>3277</v>
      </c>
      <c r="C30" s="39">
        <f t="shared" si="13"/>
        <v>3.2770000000000001</v>
      </c>
      <c r="D30" s="35">
        <f t="shared" si="11"/>
        <v>2.0899999999999998E-2</v>
      </c>
      <c r="E30" s="35">
        <f t="shared" si="12"/>
        <v>6.3777845590479087E-3</v>
      </c>
      <c r="F30" s="32"/>
    </row>
    <row r="31" spans="1:26" x14ac:dyDescent="0.25">
      <c r="A31" s="32"/>
      <c r="B31" s="35">
        <v>3817.9</v>
      </c>
      <c r="C31" s="39">
        <f t="shared" si="13"/>
        <v>3.8179000000000003</v>
      </c>
      <c r="D31" s="35">
        <f t="shared" si="11"/>
        <v>2.92E-2</v>
      </c>
      <c r="E31" s="35">
        <f t="shared" si="12"/>
        <v>7.6481835564053535E-3</v>
      </c>
      <c r="F31" s="32"/>
    </row>
    <row r="32" spans="1:26" x14ac:dyDescent="0.25">
      <c r="A32" s="32"/>
      <c r="B32" s="35">
        <v>3708.8</v>
      </c>
      <c r="C32" s="39">
        <f t="shared" si="13"/>
        <v>3.7088000000000001</v>
      </c>
      <c r="D32" s="35">
        <f t="shared" si="11"/>
        <v>0.62839999999999996</v>
      </c>
      <c r="E32" s="35">
        <f t="shared" si="12"/>
        <v>0.169434857635893</v>
      </c>
      <c r="F32" s="32"/>
    </row>
    <row r="33" spans="1:6" x14ac:dyDescent="0.25">
      <c r="A33" s="32"/>
      <c r="B33" s="35">
        <v>4596</v>
      </c>
      <c r="C33" s="39">
        <f t="shared" si="13"/>
        <v>4.5960000000000001</v>
      </c>
      <c r="D33" s="35">
        <f t="shared" si="11"/>
        <v>0.82179999999999997</v>
      </c>
      <c r="E33" s="35">
        <f t="shared" si="12"/>
        <v>0.17880765883376848</v>
      </c>
      <c r="F33" s="32"/>
    </row>
    <row r="34" spans="1:6" x14ac:dyDescent="0.25">
      <c r="A34" s="32"/>
      <c r="B34" s="35">
        <v>4962.5</v>
      </c>
      <c r="C34" s="39">
        <f t="shared" si="13"/>
        <v>4.9625000000000004</v>
      </c>
      <c r="D34" s="35">
        <f t="shared" si="11"/>
        <v>1.4885999999999999</v>
      </c>
      <c r="E34" s="35">
        <f t="shared" si="12"/>
        <v>0.29996977329974805</v>
      </c>
      <c r="F34" s="32"/>
    </row>
    <row r="35" spans="1:6" x14ac:dyDescent="0.25">
      <c r="A35" s="32"/>
      <c r="B35" s="35">
        <v>5578.7</v>
      </c>
      <c r="C35" s="39">
        <f t="shared" si="13"/>
        <v>5.5786999999999995</v>
      </c>
      <c r="D35" s="35">
        <f t="shared" si="11"/>
        <v>1.9285000000000001</v>
      </c>
      <c r="E35" s="35">
        <f t="shared" si="12"/>
        <v>0.34568985605965552</v>
      </c>
      <c r="F35" s="32"/>
    </row>
    <row r="36" spans="1:6" x14ac:dyDescent="0.25">
      <c r="A36" s="32"/>
      <c r="B36" s="35">
        <v>5821</v>
      </c>
      <c r="C36" s="39">
        <f t="shared" si="13"/>
        <v>5.8209999999999997</v>
      </c>
      <c r="D36" s="35">
        <f t="shared" si="11"/>
        <v>2.7081999999999997</v>
      </c>
      <c r="E36" s="35">
        <f t="shared" si="12"/>
        <v>0.46524652121628585</v>
      </c>
      <c r="F36" s="32"/>
    </row>
    <row r="37" spans="1:6" x14ac:dyDescent="0.25">
      <c r="A37" s="32"/>
      <c r="B37" s="35">
        <v>6379.1</v>
      </c>
      <c r="C37" s="39">
        <f t="shared" si="13"/>
        <v>6.3791000000000002</v>
      </c>
      <c r="D37" s="35">
        <f t="shared" si="11"/>
        <v>4.2008000000000001</v>
      </c>
      <c r="E37" s="35">
        <f t="shared" si="12"/>
        <v>0.65852549732720911</v>
      </c>
      <c r="F37" s="32"/>
    </row>
  </sheetData>
  <mergeCells count="5">
    <mergeCell ref="P2:V2"/>
    <mergeCell ref="W2:AC2"/>
    <mergeCell ref="A1:F1"/>
    <mergeCell ref="B2:E2"/>
    <mergeCell ref="O1:AD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FF"/>
  </sheetPr>
  <dimension ref="A1:I8"/>
  <sheetViews>
    <sheetView zoomScale="85" zoomScaleNormal="85" workbookViewId="0">
      <selection activeCell="I7" sqref="I7"/>
    </sheetView>
  </sheetViews>
  <sheetFormatPr defaultRowHeight="15" x14ac:dyDescent="0.25"/>
  <cols>
    <col min="1" max="1" width="22.42578125" bestFit="1" customWidth="1"/>
    <col min="2" max="4" width="10.5703125" bestFit="1" customWidth="1"/>
    <col min="5" max="5" width="13.5703125" bestFit="1" customWidth="1"/>
    <col min="6" max="6" width="8.140625" bestFit="1" customWidth="1"/>
    <col min="7" max="7" width="20.140625" bestFit="1" customWidth="1"/>
    <col min="9" max="9" width="40" bestFit="1" customWidth="1"/>
  </cols>
  <sheetData>
    <row r="1" spans="1:9" x14ac:dyDescent="0.25">
      <c r="B1" s="74" t="s">
        <v>98</v>
      </c>
      <c r="C1" s="74"/>
      <c r="D1" s="74"/>
      <c r="E1" s="74"/>
      <c r="F1" s="74"/>
    </row>
    <row r="2" spans="1:9" x14ac:dyDescent="0.25">
      <c r="A2" s="28" t="s">
        <v>87</v>
      </c>
      <c r="B2" s="29" t="s">
        <v>112</v>
      </c>
      <c r="C2" s="29" t="s">
        <v>14</v>
      </c>
      <c r="D2" s="29" t="s">
        <v>109</v>
      </c>
      <c r="E2" s="29" t="s">
        <v>105</v>
      </c>
      <c r="F2" s="28" t="s">
        <v>102</v>
      </c>
      <c r="G2" s="28" t="s">
        <v>88</v>
      </c>
      <c r="I2" s="2" t="s">
        <v>114</v>
      </c>
    </row>
    <row r="3" spans="1:9" x14ac:dyDescent="0.25">
      <c r="A3" s="16">
        <v>0</v>
      </c>
      <c r="B3" s="27">
        <v>0.3</v>
      </c>
      <c r="C3" s="27">
        <v>0.2</v>
      </c>
      <c r="D3" s="27">
        <v>0.4</v>
      </c>
      <c r="E3" s="27">
        <f>ROUND(((B3+C3+D3)/3),1)</f>
        <v>0.3</v>
      </c>
      <c r="F3" s="4">
        <f>E3-((A3*20)/4)</f>
        <v>0.3</v>
      </c>
      <c r="G3" s="4">
        <f>ROUND((F3/(10^6/50)/0.011)*100,1)</f>
        <v>0.1</v>
      </c>
      <c r="I3" s="4">
        <v>20</v>
      </c>
    </row>
    <row r="4" spans="1:9" x14ac:dyDescent="0.25">
      <c r="A4" s="4">
        <v>0.1</v>
      </c>
      <c r="B4" s="4">
        <v>15.5</v>
      </c>
      <c r="C4" s="4">
        <v>16.100000000000001</v>
      </c>
      <c r="D4" s="17">
        <v>15.1</v>
      </c>
      <c r="E4" s="17">
        <f t="shared" ref="E4:E8" si="0">ROUND(((B4+C4+D4)/3),1)</f>
        <v>15.6</v>
      </c>
      <c r="F4" s="4">
        <f>E4-((A4*20)/4)</f>
        <v>15.1</v>
      </c>
      <c r="G4" s="4">
        <f>ROUND((F4/(10^6/50)/0.011)*100,1)</f>
        <v>6.9</v>
      </c>
    </row>
    <row r="5" spans="1:9" x14ac:dyDescent="0.25">
      <c r="A5" s="4">
        <v>0.2</v>
      </c>
      <c r="B5" s="4">
        <v>16.7</v>
      </c>
      <c r="C5" s="4">
        <v>16.599999999999998</v>
      </c>
      <c r="D5" s="17">
        <v>16.8</v>
      </c>
      <c r="E5" s="17">
        <f t="shared" si="0"/>
        <v>16.7</v>
      </c>
      <c r="F5" s="4">
        <f t="shared" ref="F5:F8" si="1">E5-((A5*20)/4)</f>
        <v>15.7</v>
      </c>
      <c r="G5" s="4">
        <f t="shared" ref="G5:G8" si="2">ROUND((F5/(10^6/50)/0.011)*100,1)</f>
        <v>7.1</v>
      </c>
    </row>
    <row r="6" spans="1:9" x14ac:dyDescent="0.25">
      <c r="A6" s="4">
        <v>0.3</v>
      </c>
      <c r="B6" s="4">
        <v>17</v>
      </c>
      <c r="C6" s="4">
        <v>16.899999999999999</v>
      </c>
      <c r="D6" s="17">
        <v>16.7</v>
      </c>
      <c r="E6" s="17">
        <f t="shared" si="0"/>
        <v>16.899999999999999</v>
      </c>
      <c r="F6" s="4">
        <f t="shared" si="1"/>
        <v>15.399999999999999</v>
      </c>
      <c r="G6" s="4">
        <f t="shared" si="2"/>
        <v>7</v>
      </c>
    </row>
    <row r="7" spans="1:9" x14ac:dyDescent="0.25">
      <c r="A7" s="4">
        <v>0.4</v>
      </c>
      <c r="B7" s="4">
        <v>130</v>
      </c>
      <c r="C7" s="4">
        <v>132.19999999999999</v>
      </c>
      <c r="D7" s="17">
        <v>131.1</v>
      </c>
      <c r="E7" s="17">
        <f t="shared" si="0"/>
        <v>131.1</v>
      </c>
      <c r="F7" s="4">
        <f t="shared" si="1"/>
        <v>129.1</v>
      </c>
      <c r="G7" s="4">
        <f t="shared" si="2"/>
        <v>58.7</v>
      </c>
    </row>
    <row r="8" spans="1:9" x14ac:dyDescent="0.25">
      <c r="A8" s="4">
        <v>0.5</v>
      </c>
      <c r="B8" s="4">
        <v>202.2</v>
      </c>
      <c r="C8" s="4">
        <v>201.7</v>
      </c>
      <c r="D8" s="17">
        <v>202.5</v>
      </c>
      <c r="E8" s="17">
        <f t="shared" si="0"/>
        <v>202.1</v>
      </c>
      <c r="F8" s="4">
        <f t="shared" si="1"/>
        <v>199.6</v>
      </c>
      <c r="G8" s="4">
        <f t="shared" si="2"/>
        <v>90.7</v>
      </c>
    </row>
  </sheetData>
  <mergeCells count="1">
    <mergeCell ref="B1:F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"/>
  <sheetViews>
    <sheetView zoomScale="95" zoomScaleNormal="95" workbookViewId="0">
      <selection activeCell="I2" sqref="I2:I3"/>
    </sheetView>
  </sheetViews>
  <sheetFormatPr defaultRowHeight="15" x14ac:dyDescent="0.25"/>
  <cols>
    <col min="1" max="1" width="24.7109375" bestFit="1" customWidth="1"/>
    <col min="2" max="4" width="10.42578125" bestFit="1" customWidth="1"/>
    <col min="5" max="5" width="12" bestFit="1" customWidth="1"/>
    <col min="6" max="6" width="9" bestFit="1" customWidth="1"/>
    <col min="7" max="7" width="20.28515625" bestFit="1" customWidth="1"/>
    <col min="9" max="9" width="38.5703125" bestFit="1" customWidth="1"/>
  </cols>
  <sheetData>
    <row r="1" spans="1:9" x14ac:dyDescent="0.25">
      <c r="B1" s="75" t="s">
        <v>98</v>
      </c>
      <c r="C1" s="75"/>
      <c r="D1" s="75"/>
      <c r="E1" s="75"/>
    </row>
    <row r="2" spans="1:9" x14ac:dyDescent="0.25">
      <c r="A2" s="26" t="s">
        <v>85</v>
      </c>
      <c r="B2" s="7" t="s">
        <v>112</v>
      </c>
      <c r="C2" s="7" t="s">
        <v>14</v>
      </c>
      <c r="D2" s="7" t="s">
        <v>79</v>
      </c>
      <c r="E2" s="7" t="s">
        <v>105</v>
      </c>
      <c r="F2" s="8" t="s">
        <v>102</v>
      </c>
      <c r="G2" s="8" t="s">
        <v>86</v>
      </c>
      <c r="I2" s="2" t="s">
        <v>114</v>
      </c>
    </row>
    <row r="3" spans="1:9" x14ac:dyDescent="0.25">
      <c r="A3" s="4">
        <v>40</v>
      </c>
      <c r="B3" s="4">
        <v>16.3</v>
      </c>
      <c r="C3" s="4">
        <v>16.600000000000001</v>
      </c>
      <c r="D3" s="4">
        <v>16.7</v>
      </c>
      <c r="E3" s="9">
        <f>ROUND(((B3+C3+D3)/3),1)</f>
        <v>16.5</v>
      </c>
      <c r="F3" s="13">
        <f t="shared" ref="F3:F7" si="0">ROUND(E3-0.5,1)</f>
        <v>16</v>
      </c>
      <c r="G3" s="4">
        <f t="shared" ref="G3:G7" si="1">ROUND(((F3/(10^6/A3))/0.011)*100,1)</f>
        <v>5.8</v>
      </c>
      <c r="I3" s="4">
        <v>20</v>
      </c>
    </row>
    <row r="4" spans="1:9" x14ac:dyDescent="0.25">
      <c r="A4" s="4">
        <v>80</v>
      </c>
      <c r="B4" s="4">
        <v>19.2</v>
      </c>
      <c r="C4" s="4">
        <v>18.600000000000001</v>
      </c>
      <c r="D4" s="4">
        <v>18.3</v>
      </c>
      <c r="E4" s="9">
        <f t="shared" ref="E4:E7" si="2">ROUND(((B4+C4+D4)/3),1)</f>
        <v>18.7</v>
      </c>
      <c r="F4" s="13">
        <f t="shared" si="0"/>
        <v>18.2</v>
      </c>
      <c r="G4" s="4">
        <f t="shared" si="1"/>
        <v>13.2</v>
      </c>
    </row>
    <row r="5" spans="1:9" x14ac:dyDescent="0.25">
      <c r="A5" s="4">
        <v>120</v>
      </c>
      <c r="B5" s="4">
        <v>12.1</v>
      </c>
      <c r="C5" s="4">
        <v>10.9</v>
      </c>
      <c r="D5" s="4">
        <v>11.6</v>
      </c>
      <c r="E5" s="9">
        <f t="shared" si="2"/>
        <v>11.5</v>
      </c>
      <c r="F5" s="13">
        <f t="shared" si="0"/>
        <v>11</v>
      </c>
      <c r="G5" s="4">
        <f t="shared" si="1"/>
        <v>12</v>
      </c>
    </row>
    <row r="6" spans="1:9" x14ac:dyDescent="0.25">
      <c r="A6" s="4">
        <v>140</v>
      </c>
      <c r="B6" s="4">
        <v>10.9</v>
      </c>
      <c r="C6" s="4">
        <v>10.1</v>
      </c>
      <c r="D6" s="4">
        <v>10.6</v>
      </c>
      <c r="E6" s="9">
        <f t="shared" si="2"/>
        <v>10.5</v>
      </c>
      <c r="F6" s="13">
        <f t="shared" si="0"/>
        <v>10</v>
      </c>
      <c r="G6" s="4">
        <f t="shared" si="1"/>
        <v>12.7</v>
      </c>
    </row>
    <row r="7" spans="1:9" x14ac:dyDescent="0.25">
      <c r="A7" s="4">
        <v>160</v>
      </c>
      <c r="B7" s="4">
        <v>21.8</v>
      </c>
      <c r="C7" s="4">
        <v>22.9</v>
      </c>
      <c r="D7" s="4">
        <v>22.1</v>
      </c>
      <c r="E7" s="9">
        <f t="shared" si="2"/>
        <v>22.3</v>
      </c>
      <c r="F7" s="13">
        <f t="shared" si="0"/>
        <v>21.8</v>
      </c>
      <c r="G7" s="4">
        <f t="shared" si="1"/>
        <v>31.7</v>
      </c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F"/>
  </sheetPr>
  <dimension ref="A1:G8"/>
  <sheetViews>
    <sheetView zoomScale="89" zoomScaleNormal="89" workbookViewId="0">
      <selection activeCell="B1" sqref="B1:E1"/>
    </sheetView>
  </sheetViews>
  <sheetFormatPr defaultRowHeight="15" x14ac:dyDescent="0.25"/>
  <cols>
    <col min="1" max="1" width="25" customWidth="1"/>
    <col min="2" max="3" width="10.85546875" bestFit="1" customWidth="1"/>
    <col min="4" max="4" width="10.85546875" customWidth="1"/>
    <col min="5" max="5" width="13.85546875" bestFit="1" customWidth="1"/>
    <col min="6" max="6" width="27.7109375" bestFit="1" customWidth="1"/>
    <col min="7" max="7" width="6.42578125" customWidth="1"/>
  </cols>
  <sheetData>
    <row r="1" spans="1:7" x14ac:dyDescent="0.25">
      <c r="B1" s="76" t="s">
        <v>98</v>
      </c>
      <c r="C1" s="76"/>
      <c r="D1" s="76"/>
      <c r="E1" s="76"/>
      <c r="F1" s="15"/>
      <c r="G1" s="33"/>
    </row>
    <row r="2" spans="1:7" x14ac:dyDescent="0.25">
      <c r="A2" s="54" t="s">
        <v>89</v>
      </c>
      <c r="B2" s="53" t="s">
        <v>1</v>
      </c>
      <c r="C2" s="53" t="s">
        <v>2</v>
      </c>
      <c r="D2" s="53" t="s">
        <v>78</v>
      </c>
      <c r="E2" s="53" t="s">
        <v>3</v>
      </c>
      <c r="F2" s="55" t="s">
        <v>90</v>
      </c>
      <c r="G2" s="25"/>
    </row>
    <row r="3" spans="1:7" x14ac:dyDescent="0.25">
      <c r="A3" s="4">
        <v>0</v>
      </c>
      <c r="B3" s="4">
        <v>0</v>
      </c>
      <c r="C3" s="4">
        <v>0</v>
      </c>
      <c r="D3" s="56">
        <v>0</v>
      </c>
      <c r="E3" s="56">
        <f>ROUND(((B3+C3+D3)/3),1)</f>
        <v>0</v>
      </c>
      <c r="F3" s="23">
        <f>ROUND(((10-E3)/10)*100,1)</f>
        <v>100</v>
      </c>
      <c r="G3" s="25"/>
    </row>
    <row r="4" spans="1:7" x14ac:dyDescent="0.25">
      <c r="A4" s="4">
        <v>5</v>
      </c>
      <c r="B4" s="4">
        <v>0</v>
      </c>
      <c r="C4" s="4">
        <v>0</v>
      </c>
      <c r="D4" s="56">
        <v>0</v>
      </c>
      <c r="E4" s="56">
        <f t="shared" ref="E4:E8" si="0">ROUND(((B4+C4+D4)/3),1)</f>
        <v>0</v>
      </c>
      <c r="F4" s="23">
        <f t="shared" ref="F4:F8" si="1">ROUND(((10-E4)/10)*100,1)</f>
        <v>100</v>
      </c>
      <c r="G4" s="25"/>
    </row>
    <row r="5" spans="1:7" x14ac:dyDescent="0.25">
      <c r="A5" s="4">
        <v>10</v>
      </c>
      <c r="B5" s="4">
        <v>4.4000000000000004</v>
      </c>
      <c r="C5" s="4">
        <v>4.3</v>
      </c>
      <c r="D5" s="9">
        <v>3.8</v>
      </c>
      <c r="E5" s="9">
        <f t="shared" si="0"/>
        <v>4.2</v>
      </c>
      <c r="F5" s="23">
        <f t="shared" si="1"/>
        <v>58</v>
      </c>
      <c r="G5" s="25"/>
    </row>
    <row r="6" spans="1:7" x14ac:dyDescent="0.25">
      <c r="A6" s="4">
        <v>20</v>
      </c>
      <c r="B6" s="4">
        <v>4.7</v>
      </c>
      <c r="C6" s="4">
        <v>4.5</v>
      </c>
      <c r="D6" s="9">
        <v>4.4000000000000004</v>
      </c>
      <c r="E6" s="9">
        <f t="shared" si="0"/>
        <v>4.5</v>
      </c>
      <c r="F6" s="23">
        <f t="shared" si="1"/>
        <v>55</v>
      </c>
      <c r="G6" s="25"/>
    </row>
    <row r="7" spans="1:7" x14ac:dyDescent="0.25">
      <c r="A7" s="4">
        <v>30</v>
      </c>
      <c r="B7" s="4">
        <v>4.9000000000000004</v>
      </c>
      <c r="C7" s="4">
        <v>5.2</v>
      </c>
      <c r="D7" s="9">
        <v>4.7</v>
      </c>
      <c r="E7" s="9">
        <f t="shared" si="0"/>
        <v>4.9000000000000004</v>
      </c>
      <c r="F7" s="23">
        <f t="shared" si="1"/>
        <v>51</v>
      </c>
      <c r="G7" s="25"/>
    </row>
    <row r="8" spans="1:7" x14ac:dyDescent="0.25">
      <c r="A8" s="4">
        <v>50</v>
      </c>
      <c r="B8" s="4">
        <v>6.7</v>
      </c>
      <c r="C8" s="4">
        <v>6.5</v>
      </c>
      <c r="D8" s="9">
        <v>6.1</v>
      </c>
      <c r="E8" s="9">
        <f t="shared" si="0"/>
        <v>6.4</v>
      </c>
      <c r="F8" s="4">
        <f t="shared" si="1"/>
        <v>36</v>
      </c>
    </row>
  </sheetData>
  <mergeCells count="1">
    <mergeCell ref="B1:E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6"/>
  <sheetViews>
    <sheetView zoomScale="80" zoomScaleNormal="80" workbookViewId="0">
      <selection activeCell="I17" sqref="I17"/>
    </sheetView>
  </sheetViews>
  <sheetFormatPr defaultRowHeight="15" x14ac:dyDescent="0.25"/>
  <cols>
    <col min="1" max="1" width="28.85546875" bestFit="1" customWidth="1"/>
    <col min="2" max="2" width="5.28515625" bestFit="1" customWidth="1"/>
    <col min="3" max="3" width="14.7109375" bestFit="1" customWidth="1"/>
    <col min="4" max="4" width="3.28515625" customWidth="1"/>
    <col min="5" max="5" width="16.5703125" customWidth="1"/>
    <col min="6" max="6" width="18.140625" bestFit="1" customWidth="1"/>
    <col min="7" max="7" width="15.140625" customWidth="1"/>
    <col min="8" max="8" width="22" bestFit="1" customWidth="1"/>
    <col min="10" max="10" width="12.5703125" bestFit="1" customWidth="1"/>
  </cols>
  <sheetData>
    <row r="1" spans="1:8" x14ac:dyDescent="0.25">
      <c r="A1" s="8" t="s">
        <v>113</v>
      </c>
      <c r="B1" s="10" t="s">
        <v>17</v>
      </c>
      <c r="E1" s="19" t="s">
        <v>18</v>
      </c>
      <c r="F1" s="6" t="s">
        <v>19</v>
      </c>
      <c r="G1" s="2" t="s">
        <v>20</v>
      </c>
      <c r="H1" s="3" t="s">
        <v>116</v>
      </c>
    </row>
    <row r="2" spans="1:8" ht="15" customHeight="1" x14ac:dyDescent="0.25">
      <c r="A2" s="20">
        <v>0</v>
      </c>
      <c r="B2" s="4">
        <v>0</v>
      </c>
      <c r="D2" s="19" t="s">
        <v>13</v>
      </c>
      <c r="E2" s="4">
        <v>93</v>
      </c>
      <c r="F2" s="4">
        <f>(0.196*E2)-1.4479</f>
        <v>16.780100000000001</v>
      </c>
      <c r="G2" s="4">
        <f>ROUND(((((E2/(1000/2.6))/0.000005)/23000)*100),2)</f>
        <v>210.26</v>
      </c>
      <c r="H2" s="4">
        <f>ROUND(((G2+G3+G4)/3),2)</f>
        <v>211.01</v>
      </c>
    </row>
    <row r="3" spans="1:8" ht="15" customHeight="1" x14ac:dyDescent="0.25">
      <c r="A3" s="4">
        <v>5</v>
      </c>
      <c r="B3" s="4">
        <v>41</v>
      </c>
      <c r="D3" s="19" t="s">
        <v>14</v>
      </c>
      <c r="E3" s="4">
        <v>93</v>
      </c>
      <c r="F3" s="4">
        <f>(0.196*E3)-1.4479</f>
        <v>16.780100000000001</v>
      </c>
      <c r="G3" s="4">
        <f>ROUND(((((E3/(1000/2.6))/0.000005)/23000)*100),2)</f>
        <v>210.26</v>
      </c>
      <c r="H3" s="15"/>
    </row>
    <row r="4" spans="1:8" ht="15" customHeight="1" x14ac:dyDescent="0.25">
      <c r="A4" s="4">
        <v>10</v>
      </c>
      <c r="B4" s="4">
        <v>65</v>
      </c>
      <c r="D4" s="19" t="s">
        <v>79</v>
      </c>
      <c r="E4" s="4">
        <v>94</v>
      </c>
      <c r="F4" s="4">
        <f>(0.196*E4)-1.4479</f>
        <v>16.976099999999999</v>
      </c>
      <c r="G4" s="4">
        <f>ROUND(((((E4/(1000/2.6))/0.000005)/23000)*100),2)</f>
        <v>212.52</v>
      </c>
      <c r="H4" s="15"/>
    </row>
    <row r="5" spans="1:8" x14ac:dyDescent="0.25">
      <c r="A5" s="4">
        <v>15</v>
      </c>
      <c r="B5" s="4">
        <v>86</v>
      </c>
      <c r="E5" s="15"/>
      <c r="F5" s="15"/>
      <c r="G5" s="15"/>
      <c r="H5" s="15"/>
    </row>
    <row r="6" spans="1:8" x14ac:dyDescent="0.25">
      <c r="A6" s="4">
        <v>20</v>
      </c>
      <c r="B6" s="4">
        <v>100</v>
      </c>
      <c r="E6" s="15"/>
      <c r="F6" s="15"/>
      <c r="G6" s="15"/>
      <c r="H6" s="15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L56"/>
  <sheetViews>
    <sheetView tabSelected="1" zoomScale="73" zoomScaleNormal="73" workbookViewId="0">
      <selection activeCell="L50" sqref="L50"/>
    </sheetView>
  </sheetViews>
  <sheetFormatPr defaultRowHeight="15" x14ac:dyDescent="0.25"/>
  <cols>
    <col min="1" max="1" width="9" customWidth="1"/>
    <col min="2" max="2" width="12.7109375" customWidth="1"/>
    <col min="3" max="3" width="9" customWidth="1"/>
    <col min="4" max="4" width="7.5703125" customWidth="1"/>
    <col min="5" max="5" width="38.42578125" bestFit="1" customWidth="1"/>
    <col min="6" max="6" width="15" bestFit="1" customWidth="1"/>
    <col min="7" max="7" width="41.7109375" bestFit="1" customWidth="1"/>
    <col min="8" max="8" width="24" bestFit="1" customWidth="1"/>
    <col min="9" max="9" width="8.5703125" customWidth="1"/>
    <col min="12" max="12" width="38.5703125" bestFit="1" customWidth="1"/>
  </cols>
  <sheetData>
    <row r="1" spans="1:12" x14ac:dyDescent="0.25">
      <c r="B1" s="77" t="s">
        <v>115</v>
      </c>
      <c r="C1" s="77"/>
      <c r="D1" s="77"/>
      <c r="E1" s="77"/>
      <c r="F1" s="77"/>
    </row>
    <row r="2" spans="1:12" x14ac:dyDescent="0.25">
      <c r="A2" s="21" t="s">
        <v>76</v>
      </c>
      <c r="B2" s="21" t="s">
        <v>13</v>
      </c>
      <c r="C2" s="21" t="s">
        <v>14</v>
      </c>
      <c r="D2" s="21" t="s">
        <v>79</v>
      </c>
      <c r="E2" s="21" t="s">
        <v>103</v>
      </c>
      <c r="F2" s="21" t="s">
        <v>102</v>
      </c>
      <c r="G2" s="21" t="s">
        <v>77</v>
      </c>
      <c r="H2" s="21" t="s">
        <v>81</v>
      </c>
      <c r="I2" s="21" t="s">
        <v>75</v>
      </c>
      <c r="L2" s="2" t="s">
        <v>114</v>
      </c>
    </row>
    <row r="3" spans="1:12" x14ac:dyDescent="0.25">
      <c r="A3" s="22" t="s">
        <v>21</v>
      </c>
      <c r="B3" s="12">
        <v>0</v>
      </c>
      <c r="C3" s="61">
        <v>0</v>
      </c>
      <c r="D3" s="61">
        <v>0</v>
      </c>
      <c r="E3" s="12">
        <f>(B3+C3+D3)/3</f>
        <v>0</v>
      </c>
      <c r="F3" s="12">
        <v>0</v>
      </c>
      <c r="G3" s="4">
        <f>F3*1000</f>
        <v>0</v>
      </c>
      <c r="H3" s="4">
        <f>(G3/1000)/10</f>
        <v>0</v>
      </c>
      <c r="I3" s="47">
        <f>(((H3/1000)/1)*100)</f>
        <v>0</v>
      </c>
      <c r="L3" s="4">
        <v>20</v>
      </c>
    </row>
    <row r="4" spans="1:12" x14ac:dyDescent="0.25">
      <c r="A4" s="22" t="s">
        <v>22</v>
      </c>
      <c r="B4" s="12">
        <v>1.0300000000000002</v>
      </c>
      <c r="C4" s="62">
        <v>0.92100000000000004</v>
      </c>
      <c r="D4" s="12">
        <v>1.145</v>
      </c>
      <c r="E4" s="12">
        <f>(B4+C4+D4)/3</f>
        <v>1.032</v>
      </c>
      <c r="F4" s="12">
        <v>1.0319400000000001</v>
      </c>
      <c r="G4" s="4">
        <f t="shared" ref="G4:G56" si="0">F4*1000</f>
        <v>1031.94</v>
      </c>
      <c r="H4" s="4">
        <f t="shared" ref="H4:H56" si="1">(G4/1000)/10</f>
        <v>0.10319400000000001</v>
      </c>
      <c r="I4" s="65">
        <f>(((H4/1000)/1)*100)</f>
        <v>1.0319399999999999E-2</v>
      </c>
    </row>
    <row r="5" spans="1:12" x14ac:dyDescent="0.25">
      <c r="A5" s="22" t="s">
        <v>23</v>
      </c>
      <c r="B5" s="12">
        <v>4.0000000000000001E-3</v>
      </c>
      <c r="C5" s="62">
        <v>7.0000000000000001E-3</v>
      </c>
      <c r="D5" s="63">
        <v>4.0000000000000001E-3</v>
      </c>
      <c r="E5" s="12">
        <f t="shared" ref="E5:E56" si="2">(B5+C5+D5)/3</f>
        <v>5.0000000000000001E-3</v>
      </c>
      <c r="F5" s="12">
        <v>5.0000000000000001E-3</v>
      </c>
      <c r="G5" s="4">
        <f t="shared" si="0"/>
        <v>5</v>
      </c>
      <c r="H5" s="4">
        <f t="shared" si="1"/>
        <v>5.0000000000000001E-4</v>
      </c>
      <c r="I5" s="65">
        <f t="shared" ref="I5:I56" si="3">(((H5/1000)/1)*100)</f>
        <v>4.9999999999999996E-5</v>
      </c>
    </row>
    <row r="6" spans="1:12" x14ac:dyDescent="0.25">
      <c r="A6" s="22" t="s">
        <v>24</v>
      </c>
      <c r="B6" s="12">
        <v>4.7999999999999987E-2</v>
      </c>
      <c r="C6" s="62">
        <v>0.04</v>
      </c>
      <c r="D6" s="62">
        <v>6.5000000000000002E-2</v>
      </c>
      <c r="E6" s="12">
        <f t="shared" si="2"/>
        <v>5.0999999999999997E-2</v>
      </c>
      <c r="F6" s="12">
        <v>5.0980000000000025E-2</v>
      </c>
      <c r="G6" s="4">
        <f t="shared" si="0"/>
        <v>50.980000000000025</v>
      </c>
      <c r="H6" s="4">
        <f t="shared" si="1"/>
        <v>5.0980000000000027E-3</v>
      </c>
      <c r="I6" s="65">
        <f t="shared" si="3"/>
        <v>5.0980000000000025E-4</v>
      </c>
    </row>
    <row r="7" spans="1:12" x14ac:dyDescent="0.25">
      <c r="A7" s="22" t="s">
        <v>25</v>
      </c>
      <c r="B7" s="12">
        <v>0.35399999999999998</v>
      </c>
      <c r="C7" s="62">
        <v>0.28899999999999998</v>
      </c>
      <c r="D7" s="62">
        <v>0.45800000000000002</v>
      </c>
      <c r="E7" s="12">
        <f t="shared" si="2"/>
        <v>0.36699999999999999</v>
      </c>
      <c r="F7" s="12">
        <v>0.36737999999999998</v>
      </c>
      <c r="G7" s="4">
        <f t="shared" si="0"/>
        <v>367.38</v>
      </c>
      <c r="H7" s="4">
        <f t="shared" si="1"/>
        <v>3.6738E-2</v>
      </c>
      <c r="I7" s="65">
        <f t="shared" si="3"/>
        <v>3.6738000000000001E-3</v>
      </c>
    </row>
    <row r="8" spans="1:12" x14ac:dyDescent="0.25">
      <c r="A8" s="22" t="s">
        <v>26</v>
      </c>
      <c r="B8" s="12">
        <v>0</v>
      </c>
      <c r="C8" s="61">
        <v>0</v>
      </c>
      <c r="D8" s="61">
        <v>0</v>
      </c>
      <c r="E8" s="12">
        <f t="shared" si="2"/>
        <v>0</v>
      </c>
      <c r="F8" s="12">
        <v>0</v>
      </c>
      <c r="G8" s="4">
        <f t="shared" si="0"/>
        <v>0</v>
      </c>
      <c r="H8" s="4">
        <f t="shared" si="1"/>
        <v>0</v>
      </c>
      <c r="I8" s="47">
        <f t="shared" si="3"/>
        <v>0</v>
      </c>
    </row>
    <row r="9" spans="1:12" x14ac:dyDescent="0.25">
      <c r="A9" s="22" t="s">
        <v>27</v>
      </c>
      <c r="B9" s="12">
        <v>1.1000000000000003E-2</v>
      </c>
      <c r="C9" s="62">
        <v>8.9999999999999993E-3</v>
      </c>
      <c r="D9" s="62">
        <v>1.9E-2</v>
      </c>
      <c r="E9" s="12">
        <f t="shared" si="2"/>
        <v>1.3000000000000003E-2</v>
      </c>
      <c r="F9" s="12">
        <v>1.329243028724976E-2</v>
      </c>
      <c r="G9" s="4">
        <f t="shared" si="0"/>
        <v>13.29243028724976</v>
      </c>
      <c r="H9" s="4">
        <f t="shared" si="1"/>
        <v>1.3292430287249759E-3</v>
      </c>
      <c r="I9" s="65">
        <f t="shared" si="3"/>
        <v>1.3292430287249759E-4</v>
      </c>
    </row>
    <row r="10" spans="1:12" x14ac:dyDescent="0.25">
      <c r="A10" s="22" t="s">
        <v>28</v>
      </c>
      <c r="B10" s="12">
        <v>10.252000000000002</v>
      </c>
      <c r="C10" s="62">
        <v>10.452</v>
      </c>
      <c r="D10" s="60">
        <v>10.417999999999999</v>
      </c>
      <c r="E10" s="12">
        <f t="shared" si="2"/>
        <v>10.374000000000001</v>
      </c>
      <c r="F10" s="12">
        <v>10.3742</v>
      </c>
      <c r="G10" s="4">
        <f t="shared" si="0"/>
        <v>10374.200000000001</v>
      </c>
      <c r="H10" s="4">
        <f t="shared" si="1"/>
        <v>1.03742</v>
      </c>
      <c r="I10" s="65">
        <f t="shared" si="3"/>
        <v>0.103742</v>
      </c>
    </row>
    <row r="11" spans="1:12" x14ac:dyDescent="0.25">
      <c r="A11" s="57" t="s">
        <v>29</v>
      </c>
      <c r="B11" s="59">
        <v>2.8999999999999998E-2</v>
      </c>
      <c r="C11" s="64">
        <v>1.9E-2</v>
      </c>
      <c r="D11" s="64">
        <v>1.2E-2</v>
      </c>
      <c r="E11" s="59">
        <f t="shared" si="2"/>
        <v>0.02</v>
      </c>
      <c r="F11" s="59">
        <f>E11-(L3/1000)</f>
        <v>0</v>
      </c>
      <c r="G11" s="58">
        <f t="shared" si="0"/>
        <v>0</v>
      </c>
      <c r="H11" s="58">
        <f t="shared" si="1"/>
        <v>0</v>
      </c>
      <c r="I11" s="66">
        <f t="shared" si="3"/>
        <v>0</v>
      </c>
    </row>
    <row r="12" spans="1:12" x14ac:dyDescent="0.25">
      <c r="A12" s="22" t="s">
        <v>30</v>
      </c>
      <c r="B12" s="12">
        <v>0</v>
      </c>
      <c r="C12" s="61">
        <v>0</v>
      </c>
      <c r="D12" s="61">
        <v>0</v>
      </c>
      <c r="E12" s="12">
        <f t="shared" si="2"/>
        <v>0</v>
      </c>
      <c r="F12" s="12">
        <v>0</v>
      </c>
      <c r="G12" s="4">
        <f t="shared" si="0"/>
        <v>0</v>
      </c>
      <c r="H12" s="4">
        <f t="shared" si="1"/>
        <v>0</v>
      </c>
      <c r="I12" s="47">
        <f t="shared" si="3"/>
        <v>0</v>
      </c>
    </row>
    <row r="13" spans="1:12" x14ac:dyDescent="0.25">
      <c r="A13" s="22" t="s">
        <v>31</v>
      </c>
      <c r="B13" s="12">
        <v>0</v>
      </c>
      <c r="C13" s="61">
        <v>0</v>
      </c>
      <c r="D13" s="61">
        <v>0</v>
      </c>
      <c r="E13" s="12">
        <f t="shared" si="2"/>
        <v>0</v>
      </c>
      <c r="F13" s="12">
        <v>0</v>
      </c>
      <c r="G13" s="4">
        <f t="shared" si="0"/>
        <v>0</v>
      </c>
      <c r="H13" s="4">
        <f t="shared" si="1"/>
        <v>0</v>
      </c>
      <c r="I13" s="47">
        <f t="shared" si="3"/>
        <v>0</v>
      </c>
    </row>
    <row r="14" spans="1:12" x14ac:dyDescent="0.25">
      <c r="A14" s="22" t="s">
        <v>32</v>
      </c>
      <c r="B14" s="12">
        <v>0</v>
      </c>
      <c r="C14" s="61">
        <v>0</v>
      </c>
      <c r="D14" s="61">
        <v>0</v>
      </c>
      <c r="E14" s="12">
        <f t="shared" si="2"/>
        <v>0</v>
      </c>
      <c r="F14" s="12">
        <v>0</v>
      </c>
      <c r="G14" s="4">
        <f t="shared" si="0"/>
        <v>0</v>
      </c>
      <c r="H14" s="4">
        <f t="shared" si="1"/>
        <v>0</v>
      </c>
      <c r="I14" s="47">
        <f t="shared" si="3"/>
        <v>0</v>
      </c>
    </row>
    <row r="15" spans="1:12" x14ac:dyDescent="0.25">
      <c r="A15" s="22" t="s">
        <v>33</v>
      </c>
      <c r="B15" s="12">
        <v>0.39999999999999991</v>
      </c>
      <c r="C15" s="62">
        <v>0.39200000000000002</v>
      </c>
      <c r="D15" s="62">
        <v>0.32100000000000001</v>
      </c>
      <c r="E15" s="12">
        <f t="shared" si="2"/>
        <v>0.371</v>
      </c>
      <c r="F15" s="12">
        <v>0.37140000000000001</v>
      </c>
      <c r="G15" s="4">
        <f t="shared" si="0"/>
        <v>371.40000000000003</v>
      </c>
      <c r="H15" s="4">
        <f t="shared" si="1"/>
        <v>3.7139999999999999E-2</v>
      </c>
      <c r="I15" s="65">
        <f t="shared" si="3"/>
        <v>3.7139999999999999E-3</v>
      </c>
    </row>
    <row r="16" spans="1:12" x14ac:dyDescent="0.25">
      <c r="A16" s="22" t="s">
        <v>34</v>
      </c>
      <c r="B16" s="12">
        <v>0</v>
      </c>
      <c r="C16" s="61">
        <v>0</v>
      </c>
      <c r="D16" s="61">
        <v>0</v>
      </c>
      <c r="E16" s="12">
        <f t="shared" si="2"/>
        <v>0</v>
      </c>
      <c r="F16" s="12">
        <v>0</v>
      </c>
      <c r="G16" s="4">
        <f t="shared" si="0"/>
        <v>0</v>
      </c>
      <c r="H16" s="4">
        <f t="shared" si="1"/>
        <v>0</v>
      </c>
      <c r="I16" s="47">
        <f t="shared" si="3"/>
        <v>0</v>
      </c>
    </row>
    <row r="17" spans="1:9" x14ac:dyDescent="0.25">
      <c r="A17" s="22" t="s">
        <v>35</v>
      </c>
      <c r="B17" s="12">
        <v>0</v>
      </c>
      <c r="C17" s="61">
        <v>0</v>
      </c>
      <c r="D17" s="61">
        <v>0</v>
      </c>
      <c r="E17" s="12">
        <f t="shared" si="2"/>
        <v>0</v>
      </c>
      <c r="F17" s="12">
        <v>0</v>
      </c>
      <c r="G17" s="4">
        <f t="shared" si="0"/>
        <v>0</v>
      </c>
      <c r="H17" s="4">
        <f t="shared" si="1"/>
        <v>0</v>
      </c>
      <c r="I17" s="47">
        <f t="shared" si="3"/>
        <v>0</v>
      </c>
    </row>
    <row r="18" spans="1:9" x14ac:dyDescent="0.25">
      <c r="A18" s="22" t="s">
        <v>36</v>
      </c>
      <c r="B18" s="12">
        <v>0</v>
      </c>
      <c r="C18" s="61">
        <v>0</v>
      </c>
      <c r="D18" s="61">
        <v>0</v>
      </c>
      <c r="E18" s="12">
        <f t="shared" si="2"/>
        <v>0</v>
      </c>
      <c r="F18" s="12">
        <v>0</v>
      </c>
      <c r="G18" s="4">
        <f t="shared" si="0"/>
        <v>0</v>
      </c>
      <c r="H18" s="4">
        <f t="shared" si="1"/>
        <v>0</v>
      </c>
      <c r="I18" s="47">
        <f t="shared" si="3"/>
        <v>0</v>
      </c>
    </row>
    <row r="19" spans="1:9" x14ac:dyDescent="0.25">
      <c r="A19" s="22" t="s">
        <v>37</v>
      </c>
      <c r="B19" s="12">
        <v>7.2029999999999976</v>
      </c>
      <c r="C19" s="62">
        <v>7.2610000000000001</v>
      </c>
      <c r="D19" s="62">
        <v>6.8449999999999998</v>
      </c>
      <c r="E19" s="12">
        <f t="shared" si="2"/>
        <v>7.1029999999999989</v>
      </c>
      <c r="F19" s="12">
        <v>7.1029999999999998</v>
      </c>
      <c r="G19" s="4">
        <f t="shared" si="0"/>
        <v>7103</v>
      </c>
      <c r="H19" s="4">
        <f t="shared" si="1"/>
        <v>0.71029999999999993</v>
      </c>
      <c r="I19" s="65">
        <f t="shared" si="3"/>
        <v>7.1029999999999996E-2</v>
      </c>
    </row>
    <row r="20" spans="1:9" x14ac:dyDescent="0.25">
      <c r="A20" s="22" t="s">
        <v>38</v>
      </c>
      <c r="B20" s="12">
        <v>0</v>
      </c>
      <c r="C20" s="61">
        <v>0</v>
      </c>
      <c r="D20" s="61">
        <v>0</v>
      </c>
      <c r="E20" s="12">
        <f t="shared" si="2"/>
        <v>0</v>
      </c>
      <c r="F20" s="12">
        <v>0</v>
      </c>
      <c r="G20" s="4">
        <f t="shared" si="0"/>
        <v>0</v>
      </c>
      <c r="H20" s="4">
        <f t="shared" si="1"/>
        <v>0</v>
      </c>
      <c r="I20" s="47">
        <f t="shared" si="3"/>
        <v>0</v>
      </c>
    </row>
    <row r="21" spans="1:9" x14ac:dyDescent="0.25">
      <c r="A21" s="22" t="s">
        <v>39</v>
      </c>
      <c r="B21" s="12">
        <v>0</v>
      </c>
      <c r="C21" s="61">
        <v>0</v>
      </c>
      <c r="D21" s="61">
        <v>0</v>
      </c>
      <c r="E21" s="12">
        <f t="shared" si="2"/>
        <v>0</v>
      </c>
      <c r="F21" s="12">
        <v>0</v>
      </c>
      <c r="G21" s="4">
        <f t="shared" si="0"/>
        <v>0</v>
      </c>
      <c r="H21" s="4">
        <f t="shared" si="1"/>
        <v>0</v>
      </c>
      <c r="I21" s="47">
        <f t="shared" si="3"/>
        <v>0</v>
      </c>
    </row>
    <row r="22" spans="1:9" x14ac:dyDescent="0.25">
      <c r="A22" s="22" t="s">
        <v>40</v>
      </c>
      <c r="B22" s="12">
        <v>0</v>
      </c>
      <c r="C22" s="61">
        <v>0</v>
      </c>
      <c r="D22" s="61">
        <v>0</v>
      </c>
      <c r="E22" s="12">
        <f t="shared" si="2"/>
        <v>0</v>
      </c>
      <c r="F22" s="12">
        <v>0</v>
      </c>
      <c r="G22" s="4">
        <f t="shared" si="0"/>
        <v>0</v>
      </c>
      <c r="H22" s="4">
        <f t="shared" si="1"/>
        <v>0</v>
      </c>
      <c r="I22" s="47">
        <f t="shared" si="3"/>
        <v>0</v>
      </c>
    </row>
    <row r="23" spans="1:9" x14ac:dyDescent="0.25">
      <c r="A23" s="22" t="s">
        <v>41</v>
      </c>
      <c r="B23" s="12">
        <v>0</v>
      </c>
      <c r="C23" s="61">
        <v>0</v>
      </c>
      <c r="D23" s="61">
        <v>0</v>
      </c>
      <c r="E23" s="12">
        <f t="shared" si="2"/>
        <v>0</v>
      </c>
      <c r="F23" s="12">
        <v>0</v>
      </c>
      <c r="G23" s="4">
        <f t="shared" si="0"/>
        <v>0</v>
      </c>
      <c r="H23" s="4">
        <f t="shared" si="1"/>
        <v>0</v>
      </c>
      <c r="I23" s="47">
        <f t="shared" si="3"/>
        <v>0</v>
      </c>
    </row>
    <row r="24" spans="1:9" x14ac:dyDescent="0.25">
      <c r="A24" s="22" t="s">
        <v>42</v>
      </c>
      <c r="B24" s="12">
        <v>0</v>
      </c>
      <c r="C24" s="61">
        <v>0</v>
      </c>
      <c r="D24" s="61">
        <v>0</v>
      </c>
      <c r="E24" s="12">
        <f t="shared" si="2"/>
        <v>0</v>
      </c>
      <c r="F24" s="12">
        <v>0</v>
      </c>
      <c r="G24" s="4">
        <f t="shared" si="0"/>
        <v>0</v>
      </c>
      <c r="H24" s="4">
        <f t="shared" si="1"/>
        <v>0</v>
      </c>
      <c r="I24" s="47">
        <f t="shared" si="3"/>
        <v>0</v>
      </c>
    </row>
    <row r="25" spans="1:9" x14ac:dyDescent="0.25">
      <c r="A25" s="22" t="s">
        <v>43</v>
      </c>
      <c r="B25" s="12">
        <v>1.911</v>
      </c>
      <c r="C25" s="62">
        <v>1.67</v>
      </c>
      <c r="D25" s="62">
        <v>1.552</v>
      </c>
      <c r="E25" s="12">
        <f t="shared" si="2"/>
        <v>1.7110000000000001</v>
      </c>
      <c r="F25" s="12">
        <v>1.71092</v>
      </c>
      <c r="G25" s="4">
        <f t="shared" si="0"/>
        <v>1710.92</v>
      </c>
      <c r="H25" s="4">
        <f t="shared" si="1"/>
        <v>0.17109199999999999</v>
      </c>
      <c r="I25" s="65">
        <f t="shared" si="3"/>
        <v>1.7109199999999998E-2</v>
      </c>
    </row>
    <row r="26" spans="1:9" x14ac:dyDescent="0.25">
      <c r="A26" s="22" t="s">
        <v>44</v>
      </c>
      <c r="B26" s="12">
        <v>0</v>
      </c>
      <c r="C26" s="61">
        <v>0</v>
      </c>
      <c r="D26" s="61">
        <v>0</v>
      </c>
      <c r="E26" s="12">
        <f t="shared" si="2"/>
        <v>0</v>
      </c>
      <c r="F26" s="12">
        <v>0</v>
      </c>
      <c r="G26" s="4">
        <f t="shared" si="0"/>
        <v>0</v>
      </c>
      <c r="H26" s="4">
        <f t="shared" si="1"/>
        <v>0</v>
      </c>
      <c r="I26" s="47">
        <f t="shared" si="3"/>
        <v>0</v>
      </c>
    </row>
    <row r="27" spans="1:9" x14ac:dyDescent="0.25">
      <c r="A27" s="22" t="s">
        <v>45</v>
      </c>
      <c r="B27" s="12">
        <v>0.10000000000000003</v>
      </c>
      <c r="C27" s="62">
        <v>9.8000000000000004E-2</v>
      </c>
      <c r="D27" s="62">
        <v>0.153</v>
      </c>
      <c r="E27" s="12">
        <f t="shared" si="2"/>
        <v>0.11700000000000001</v>
      </c>
      <c r="F27" s="12">
        <v>0.1174393062753936</v>
      </c>
      <c r="G27" s="4">
        <f t="shared" si="0"/>
        <v>117.43930627539361</v>
      </c>
      <c r="H27" s="4">
        <f t="shared" si="1"/>
        <v>1.174393062753936E-2</v>
      </c>
      <c r="I27" s="65">
        <f t="shared" si="3"/>
        <v>1.1743930627539361E-3</v>
      </c>
    </row>
    <row r="28" spans="1:9" x14ac:dyDescent="0.25">
      <c r="A28" s="22" t="s">
        <v>46</v>
      </c>
      <c r="B28" s="12">
        <v>5.1430000000000025</v>
      </c>
      <c r="C28" s="62">
        <v>5.3209999999999997</v>
      </c>
      <c r="D28" s="62">
        <v>5.2649999999999997</v>
      </c>
      <c r="E28" s="12">
        <f t="shared" si="2"/>
        <v>5.2430000000000012</v>
      </c>
      <c r="F28" s="12">
        <v>5.2426000000000004</v>
      </c>
      <c r="G28" s="4">
        <f t="shared" si="0"/>
        <v>5242.6000000000004</v>
      </c>
      <c r="H28" s="4">
        <f t="shared" si="1"/>
        <v>0.52426000000000006</v>
      </c>
      <c r="I28" s="65">
        <f t="shared" si="3"/>
        <v>5.2426E-2</v>
      </c>
    </row>
    <row r="29" spans="1:9" x14ac:dyDescent="0.25">
      <c r="A29" s="22" t="s">
        <v>47</v>
      </c>
      <c r="B29" s="12">
        <v>4.5999999999999999E-2</v>
      </c>
      <c r="C29" s="62">
        <v>3.2000000000000001E-2</v>
      </c>
      <c r="D29" s="62">
        <v>4.8000000000000001E-2</v>
      </c>
      <c r="E29" s="12">
        <f t="shared" si="2"/>
        <v>4.2000000000000003E-2</v>
      </c>
      <c r="F29" s="12">
        <v>4.1540000000000001E-2</v>
      </c>
      <c r="G29" s="4">
        <f t="shared" si="0"/>
        <v>41.54</v>
      </c>
      <c r="H29" s="4">
        <f t="shared" si="1"/>
        <v>4.1539999999999997E-3</v>
      </c>
      <c r="I29" s="65">
        <f t="shared" si="3"/>
        <v>4.1539999999999996E-4</v>
      </c>
    </row>
    <row r="30" spans="1:9" x14ac:dyDescent="0.25">
      <c r="A30" s="22" t="s">
        <v>48</v>
      </c>
      <c r="B30" s="12">
        <v>1.8000000000000016E-2</v>
      </c>
      <c r="C30" s="62">
        <v>2.5999999999999999E-2</v>
      </c>
      <c r="D30" s="62">
        <v>3.1E-2</v>
      </c>
      <c r="E30" s="12">
        <f t="shared" si="2"/>
        <v>2.5000000000000005E-2</v>
      </c>
      <c r="F30" s="12">
        <v>2.519585235417816E-2</v>
      </c>
      <c r="G30" s="4">
        <f t="shared" si="0"/>
        <v>25.195852354178161</v>
      </c>
      <c r="H30" s="4">
        <f t="shared" si="1"/>
        <v>2.5195852354178159E-3</v>
      </c>
      <c r="I30" s="65">
        <f t="shared" si="3"/>
        <v>2.5195852354178159E-4</v>
      </c>
    </row>
    <row r="31" spans="1:9" x14ac:dyDescent="0.25">
      <c r="A31" s="22" t="s">
        <v>49</v>
      </c>
      <c r="B31" s="12">
        <v>0.12200000000000003</v>
      </c>
      <c r="C31" s="62">
        <v>0.105</v>
      </c>
      <c r="D31" s="62">
        <v>0.109</v>
      </c>
      <c r="E31" s="12">
        <f t="shared" si="2"/>
        <v>0.112</v>
      </c>
      <c r="F31" s="12">
        <v>0.1123</v>
      </c>
      <c r="G31" s="4">
        <f t="shared" si="0"/>
        <v>112.3</v>
      </c>
      <c r="H31" s="4">
        <f t="shared" si="1"/>
        <v>1.123E-2</v>
      </c>
      <c r="I31" s="65">
        <f t="shared" si="3"/>
        <v>1.1230000000000001E-3</v>
      </c>
    </row>
    <row r="32" spans="1:9" x14ac:dyDescent="0.25">
      <c r="A32" s="22" t="s">
        <v>50</v>
      </c>
      <c r="B32" s="12">
        <v>2.9000000000000012E-2</v>
      </c>
      <c r="C32" s="62">
        <v>2.1999999999999999E-2</v>
      </c>
      <c r="D32" s="62">
        <v>2.1000000000000001E-2</v>
      </c>
      <c r="E32" s="12">
        <f t="shared" si="2"/>
        <v>2.4000000000000004E-2</v>
      </c>
      <c r="F32" s="12">
        <v>2.3583737597902003E-2</v>
      </c>
      <c r="G32" s="4">
        <f t="shared" si="0"/>
        <v>23.583737597902001</v>
      </c>
      <c r="H32" s="4">
        <f t="shared" si="1"/>
        <v>2.3583737597902004E-3</v>
      </c>
      <c r="I32" s="65">
        <f t="shared" si="3"/>
        <v>2.3583737597902002E-4</v>
      </c>
    </row>
    <row r="33" spans="1:9" x14ac:dyDescent="0.25">
      <c r="A33" s="22" t="s">
        <v>51</v>
      </c>
      <c r="B33" s="12">
        <v>0</v>
      </c>
      <c r="C33" s="61">
        <v>0</v>
      </c>
      <c r="D33" s="61">
        <v>0</v>
      </c>
      <c r="E33" s="12">
        <f t="shared" si="2"/>
        <v>0</v>
      </c>
      <c r="F33" s="12">
        <v>0</v>
      </c>
      <c r="G33" s="4">
        <f t="shared" si="0"/>
        <v>0</v>
      </c>
      <c r="H33" s="4">
        <f t="shared" si="1"/>
        <v>0</v>
      </c>
      <c r="I33" s="47">
        <f t="shared" si="3"/>
        <v>0</v>
      </c>
    </row>
    <row r="34" spans="1:9" x14ac:dyDescent="0.25">
      <c r="A34" s="22" t="s">
        <v>52</v>
      </c>
      <c r="B34" s="12">
        <v>0</v>
      </c>
      <c r="C34" s="61">
        <v>0</v>
      </c>
      <c r="D34" s="61">
        <v>0</v>
      </c>
      <c r="E34" s="12">
        <f t="shared" si="2"/>
        <v>0</v>
      </c>
      <c r="F34" s="12">
        <v>0</v>
      </c>
      <c r="G34" s="4">
        <f t="shared" si="0"/>
        <v>0</v>
      </c>
      <c r="H34" s="4">
        <f t="shared" si="1"/>
        <v>0</v>
      </c>
      <c r="I34" s="47">
        <f t="shared" si="3"/>
        <v>0</v>
      </c>
    </row>
    <row r="35" spans="1:9" x14ac:dyDescent="0.25">
      <c r="A35" s="22" t="s">
        <v>53</v>
      </c>
      <c r="B35" s="12">
        <v>0.11200000000000004</v>
      </c>
      <c r="C35" s="62">
        <v>0.115</v>
      </c>
      <c r="D35" s="62">
        <v>0.121</v>
      </c>
      <c r="E35" s="12">
        <f t="shared" si="2"/>
        <v>0.11600000000000001</v>
      </c>
      <c r="F35" s="12">
        <v>0.11601708882167319</v>
      </c>
      <c r="G35" s="4">
        <f t="shared" si="0"/>
        <v>116.0170888216732</v>
      </c>
      <c r="H35" s="4">
        <f t="shared" si="1"/>
        <v>1.1601708882167319E-2</v>
      </c>
      <c r="I35" s="65">
        <f t="shared" si="3"/>
        <v>1.160170888216732E-3</v>
      </c>
    </row>
    <row r="36" spans="1:9" x14ac:dyDescent="0.25">
      <c r="A36" s="22" t="s">
        <v>54</v>
      </c>
      <c r="B36" s="12">
        <v>12.570999999999998</v>
      </c>
      <c r="C36" s="62">
        <v>12.340999999999999</v>
      </c>
      <c r="D36" s="62">
        <v>12.285</v>
      </c>
      <c r="E36" s="12">
        <f t="shared" si="2"/>
        <v>12.399000000000001</v>
      </c>
      <c r="F36" s="12">
        <v>12.3994</v>
      </c>
      <c r="G36" s="4">
        <f t="shared" si="0"/>
        <v>12399.4</v>
      </c>
      <c r="H36" s="4">
        <f t="shared" si="1"/>
        <v>1.23994</v>
      </c>
      <c r="I36" s="65">
        <f t="shared" si="3"/>
        <v>0.12399400000000002</v>
      </c>
    </row>
    <row r="37" spans="1:9" x14ac:dyDescent="0.25">
      <c r="A37" s="22" t="s">
        <v>55</v>
      </c>
      <c r="B37" s="12">
        <v>4.2999999999999983E-2</v>
      </c>
      <c r="C37" s="62">
        <v>4.2000000000000003E-2</v>
      </c>
      <c r="D37" s="62">
        <v>3.2000000000000001E-2</v>
      </c>
      <c r="E37" s="12">
        <f t="shared" si="2"/>
        <v>3.9E-2</v>
      </c>
      <c r="F37" s="12">
        <v>3.8711574191986113E-2</v>
      </c>
      <c r="G37" s="4">
        <f t="shared" si="0"/>
        <v>38.711574191986116</v>
      </c>
      <c r="H37" s="4">
        <f t="shared" si="1"/>
        <v>3.8711574191986112E-3</v>
      </c>
      <c r="I37" s="65">
        <f t="shared" si="3"/>
        <v>3.8711574191986115E-4</v>
      </c>
    </row>
    <row r="38" spans="1:9" x14ac:dyDescent="0.25">
      <c r="A38" s="22" t="s">
        <v>56</v>
      </c>
      <c r="B38" s="12">
        <v>16.721000000000004</v>
      </c>
      <c r="C38" s="62">
        <v>16.829999999999998</v>
      </c>
      <c r="D38" s="62">
        <v>16.620999999999999</v>
      </c>
      <c r="E38" s="12">
        <f t="shared" si="2"/>
        <v>16.724</v>
      </c>
      <c r="F38" s="12">
        <v>16.723600000000001</v>
      </c>
      <c r="G38" s="4">
        <f t="shared" si="0"/>
        <v>16723.600000000002</v>
      </c>
      <c r="H38" s="4">
        <f t="shared" si="1"/>
        <v>1.6723600000000001</v>
      </c>
      <c r="I38" s="65">
        <f t="shared" si="3"/>
        <v>0.16723600000000002</v>
      </c>
    </row>
    <row r="39" spans="1:9" x14ac:dyDescent="0.25">
      <c r="A39" s="22" t="s">
        <v>57</v>
      </c>
      <c r="B39" s="12">
        <v>1.7999999999999999E-2</v>
      </c>
      <c r="C39" s="62">
        <v>1.2E-2</v>
      </c>
      <c r="D39" s="62">
        <v>1.4999999999999999E-2</v>
      </c>
      <c r="E39" s="12">
        <f t="shared" si="2"/>
        <v>1.4999999999999999E-2</v>
      </c>
      <c r="F39" s="12">
        <v>1.46030387458564E-2</v>
      </c>
      <c r="G39" s="4">
        <f t="shared" si="0"/>
        <v>14.6030387458564</v>
      </c>
      <c r="H39" s="4">
        <f t="shared" si="1"/>
        <v>1.4603038745856401E-3</v>
      </c>
      <c r="I39" s="65">
        <f t="shared" si="3"/>
        <v>1.4603038745856402E-4</v>
      </c>
    </row>
    <row r="40" spans="1:9" x14ac:dyDescent="0.25">
      <c r="A40" s="22" t="s">
        <v>58</v>
      </c>
      <c r="B40" s="12">
        <v>0</v>
      </c>
      <c r="C40" s="61">
        <v>0</v>
      </c>
      <c r="D40" s="61">
        <v>0</v>
      </c>
      <c r="E40" s="12">
        <f t="shared" si="2"/>
        <v>0</v>
      </c>
      <c r="F40" s="12">
        <v>0</v>
      </c>
      <c r="G40" s="4">
        <f t="shared" si="0"/>
        <v>0</v>
      </c>
      <c r="H40" s="4">
        <f t="shared" si="1"/>
        <v>0</v>
      </c>
      <c r="I40" s="47">
        <f t="shared" si="3"/>
        <v>0</v>
      </c>
    </row>
    <row r="41" spans="1:9" x14ac:dyDescent="0.25">
      <c r="A41" s="22" t="s">
        <v>59</v>
      </c>
      <c r="B41" s="12">
        <v>13.513000000000002</v>
      </c>
      <c r="C41" s="62">
        <v>13.612</v>
      </c>
      <c r="D41" s="62">
        <v>13.398999999999999</v>
      </c>
      <c r="E41" s="12">
        <f t="shared" si="2"/>
        <v>13.508000000000001</v>
      </c>
      <c r="F41" s="12">
        <v>13.5084</v>
      </c>
      <c r="G41" s="4">
        <f t="shared" si="0"/>
        <v>13508.4</v>
      </c>
      <c r="H41" s="4">
        <f t="shared" si="1"/>
        <v>1.35084</v>
      </c>
      <c r="I41" s="65">
        <f t="shared" si="3"/>
        <v>0.13508400000000001</v>
      </c>
    </row>
    <row r="42" spans="1:9" x14ac:dyDescent="0.25">
      <c r="A42" s="22" t="s">
        <v>60</v>
      </c>
      <c r="B42" s="12">
        <v>0</v>
      </c>
      <c r="C42" s="61">
        <v>0</v>
      </c>
      <c r="D42" s="61">
        <v>0</v>
      </c>
      <c r="E42" s="12">
        <f t="shared" si="2"/>
        <v>0</v>
      </c>
      <c r="F42" s="12">
        <v>0</v>
      </c>
      <c r="G42" s="4">
        <f t="shared" si="0"/>
        <v>0</v>
      </c>
      <c r="H42" s="4">
        <f t="shared" si="1"/>
        <v>0</v>
      </c>
      <c r="I42" s="47">
        <f t="shared" si="3"/>
        <v>0</v>
      </c>
    </row>
    <row r="43" spans="1:9" x14ac:dyDescent="0.25">
      <c r="A43" s="22" t="s">
        <v>61</v>
      </c>
      <c r="B43" s="12">
        <v>4.1000000000000009E-2</v>
      </c>
      <c r="C43" s="62">
        <v>3.9E-2</v>
      </c>
      <c r="D43" s="62">
        <v>4.9000000000000002E-2</v>
      </c>
      <c r="E43" s="12">
        <f t="shared" si="2"/>
        <v>4.3000000000000003E-2</v>
      </c>
      <c r="F43" s="12">
        <v>4.2510135286433194E-2</v>
      </c>
      <c r="G43" s="4">
        <f t="shared" si="0"/>
        <v>42.510135286433197</v>
      </c>
      <c r="H43" s="4">
        <f t="shared" si="1"/>
        <v>4.2510135286433198E-3</v>
      </c>
      <c r="I43" s="65">
        <f t="shared" si="3"/>
        <v>4.2510135286433193E-4</v>
      </c>
    </row>
    <row r="44" spans="1:9" x14ac:dyDescent="0.25">
      <c r="A44" s="22" t="s">
        <v>62</v>
      </c>
      <c r="B44" s="12">
        <v>2.8999999999999998E-2</v>
      </c>
      <c r="C44" s="62">
        <v>2.5000000000000001E-2</v>
      </c>
      <c r="D44" s="62">
        <v>4.4999999999999998E-2</v>
      </c>
      <c r="E44" s="12">
        <f t="shared" si="2"/>
        <v>3.3000000000000002E-2</v>
      </c>
      <c r="F44" s="12">
        <v>3.2559999999999999E-2</v>
      </c>
      <c r="G44" s="4">
        <f t="shared" si="0"/>
        <v>32.559999999999995</v>
      </c>
      <c r="H44" s="4">
        <f t="shared" si="1"/>
        <v>3.2559999999999993E-3</v>
      </c>
      <c r="I44" s="65">
        <f t="shared" si="3"/>
        <v>3.2559999999999995E-4</v>
      </c>
    </row>
    <row r="45" spans="1:9" x14ac:dyDescent="0.25">
      <c r="A45" s="22" t="s">
        <v>63</v>
      </c>
      <c r="B45" s="12">
        <v>0</v>
      </c>
      <c r="C45" s="61">
        <v>0</v>
      </c>
      <c r="D45" s="61">
        <v>0</v>
      </c>
      <c r="E45" s="12">
        <f t="shared" si="2"/>
        <v>0</v>
      </c>
      <c r="F45" s="12">
        <v>0</v>
      </c>
      <c r="G45" s="4">
        <f t="shared" si="0"/>
        <v>0</v>
      </c>
      <c r="H45" s="4">
        <f t="shared" si="1"/>
        <v>0</v>
      </c>
      <c r="I45" s="47">
        <f t="shared" si="3"/>
        <v>0</v>
      </c>
    </row>
    <row r="46" spans="1:9" x14ac:dyDescent="0.25">
      <c r="A46" s="22" t="s">
        <v>64</v>
      </c>
      <c r="B46" s="12">
        <v>0</v>
      </c>
      <c r="C46" s="61">
        <v>0</v>
      </c>
      <c r="D46" s="61">
        <v>0</v>
      </c>
      <c r="E46" s="12">
        <f t="shared" si="2"/>
        <v>0</v>
      </c>
      <c r="F46" s="12">
        <v>0</v>
      </c>
      <c r="G46" s="4">
        <f t="shared" si="0"/>
        <v>0</v>
      </c>
      <c r="H46" s="4">
        <f t="shared" si="1"/>
        <v>0</v>
      </c>
      <c r="I46" s="47">
        <f t="shared" si="3"/>
        <v>0</v>
      </c>
    </row>
    <row r="47" spans="1:9" x14ac:dyDescent="0.25">
      <c r="A47" s="22" t="s">
        <v>65</v>
      </c>
      <c r="B47" s="12">
        <v>0</v>
      </c>
      <c r="C47" s="61">
        <v>0</v>
      </c>
      <c r="D47" s="61">
        <v>0</v>
      </c>
      <c r="E47" s="12">
        <f t="shared" si="2"/>
        <v>0</v>
      </c>
      <c r="F47" s="12">
        <v>0</v>
      </c>
      <c r="G47" s="4">
        <f t="shared" si="0"/>
        <v>0</v>
      </c>
      <c r="H47" s="4">
        <f t="shared" si="1"/>
        <v>0</v>
      </c>
      <c r="I47" s="47">
        <f t="shared" si="3"/>
        <v>0</v>
      </c>
    </row>
    <row r="48" spans="1:9" x14ac:dyDescent="0.25">
      <c r="A48" s="22" t="s">
        <v>66</v>
      </c>
      <c r="B48" s="12">
        <v>0</v>
      </c>
      <c r="C48" s="61">
        <v>0</v>
      </c>
      <c r="D48" s="61">
        <v>0</v>
      </c>
      <c r="E48" s="12">
        <f t="shared" si="2"/>
        <v>0</v>
      </c>
      <c r="F48" s="12">
        <v>0</v>
      </c>
      <c r="G48" s="4">
        <f t="shared" si="0"/>
        <v>0</v>
      </c>
      <c r="H48" s="4">
        <f t="shared" si="1"/>
        <v>0</v>
      </c>
      <c r="I48" s="47">
        <f t="shared" si="3"/>
        <v>0</v>
      </c>
    </row>
    <row r="49" spans="1:9" x14ac:dyDescent="0.25">
      <c r="A49" s="22" t="s">
        <v>67</v>
      </c>
      <c r="B49" s="12">
        <v>1.8999999999999996E-2</v>
      </c>
      <c r="C49" s="62">
        <v>2.5000000000000001E-2</v>
      </c>
      <c r="D49" s="62">
        <v>1.6E-2</v>
      </c>
      <c r="E49" s="12">
        <f t="shared" si="2"/>
        <v>0.02</v>
      </c>
      <c r="F49" s="12">
        <v>2.0320000000000001E-2</v>
      </c>
      <c r="G49" s="4">
        <f t="shared" si="0"/>
        <v>20.32</v>
      </c>
      <c r="H49" s="4">
        <f t="shared" si="1"/>
        <v>2.032E-3</v>
      </c>
      <c r="I49" s="65">
        <f t="shared" si="3"/>
        <v>2.0319999999999998E-4</v>
      </c>
    </row>
    <row r="50" spans="1:9" x14ac:dyDescent="0.25">
      <c r="A50" s="22" t="s">
        <v>68</v>
      </c>
      <c r="B50" s="12">
        <v>0</v>
      </c>
      <c r="C50" s="61">
        <v>0</v>
      </c>
      <c r="D50" s="61">
        <v>0</v>
      </c>
      <c r="E50" s="12">
        <f t="shared" si="2"/>
        <v>0</v>
      </c>
      <c r="F50" s="12">
        <v>0</v>
      </c>
      <c r="G50" s="4">
        <f t="shared" si="0"/>
        <v>0</v>
      </c>
      <c r="H50" s="4">
        <f t="shared" si="1"/>
        <v>0</v>
      </c>
      <c r="I50" s="47">
        <f t="shared" si="3"/>
        <v>0</v>
      </c>
    </row>
    <row r="51" spans="1:9" x14ac:dyDescent="0.25">
      <c r="A51" s="22" t="s">
        <v>69</v>
      </c>
      <c r="B51" s="12">
        <v>0</v>
      </c>
      <c r="C51" s="61">
        <v>0</v>
      </c>
      <c r="D51" s="61">
        <v>0</v>
      </c>
      <c r="E51" s="12">
        <f t="shared" si="2"/>
        <v>0</v>
      </c>
      <c r="F51" s="12">
        <v>0</v>
      </c>
      <c r="G51" s="4">
        <f t="shared" si="0"/>
        <v>0</v>
      </c>
      <c r="H51" s="4">
        <f t="shared" si="1"/>
        <v>0</v>
      </c>
      <c r="I51" s="47">
        <f t="shared" si="3"/>
        <v>0</v>
      </c>
    </row>
    <row r="52" spans="1:9" x14ac:dyDescent="0.25">
      <c r="A52" s="22" t="s">
        <v>70</v>
      </c>
      <c r="B52" s="12">
        <v>0</v>
      </c>
      <c r="C52" s="61">
        <v>0</v>
      </c>
      <c r="D52" s="61">
        <v>0</v>
      </c>
      <c r="E52" s="12">
        <f t="shared" si="2"/>
        <v>0</v>
      </c>
      <c r="F52" s="12">
        <v>0</v>
      </c>
      <c r="G52" s="4">
        <f t="shared" si="0"/>
        <v>0</v>
      </c>
      <c r="H52" s="4">
        <f t="shared" si="1"/>
        <v>0</v>
      </c>
      <c r="I52" s="47">
        <f t="shared" si="3"/>
        <v>0</v>
      </c>
    </row>
    <row r="53" spans="1:9" x14ac:dyDescent="0.25">
      <c r="A53" s="22" t="s">
        <v>71</v>
      </c>
      <c r="B53" s="12">
        <v>4.0000000000000001E-3</v>
      </c>
      <c r="C53" s="61">
        <v>4.0000000000000001E-3</v>
      </c>
      <c r="D53" s="62">
        <v>7.0000000000000001E-3</v>
      </c>
      <c r="E53" s="12">
        <f t="shared" si="2"/>
        <v>5.0000000000000001E-3</v>
      </c>
      <c r="F53" s="12">
        <v>5.0000000000000001E-3</v>
      </c>
      <c r="G53" s="4">
        <f t="shared" si="0"/>
        <v>5</v>
      </c>
      <c r="H53" s="4">
        <f t="shared" si="1"/>
        <v>5.0000000000000001E-4</v>
      </c>
      <c r="I53" s="65">
        <f t="shared" si="3"/>
        <v>4.9999999999999996E-5</v>
      </c>
    </row>
    <row r="54" spans="1:9" x14ac:dyDescent="0.25">
      <c r="A54" s="22" t="s">
        <v>72</v>
      </c>
      <c r="B54" s="12">
        <v>0</v>
      </c>
      <c r="C54" s="61">
        <v>0</v>
      </c>
      <c r="D54" s="61">
        <v>0</v>
      </c>
      <c r="E54" s="12">
        <f t="shared" si="2"/>
        <v>0</v>
      </c>
      <c r="F54" s="12">
        <v>0</v>
      </c>
      <c r="G54" s="4">
        <f t="shared" si="0"/>
        <v>0</v>
      </c>
      <c r="H54" s="4">
        <f t="shared" si="1"/>
        <v>0</v>
      </c>
      <c r="I54" s="47">
        <f t="shared" si="3"/>
        <v>0</v>
      </c>
    </row>
    <row r="55" spans="1:9" x14ac:dyDescent="0.25">
      <c r="A55" s="22" t="s">
        <v>73</v>
      </c>
      <c r="B55" s="12">
        <v>0</v>
      </c>
      <c r="C55" s="61">
        <v>0</v>
      </c>
      <c r="D55" s="61">
        <v>0</v>
      </c>
      <c r="E55" s="12">
        <f t="shared" si="2"/>
        <v>0</v>
      </c>
      <c r="F55" s="12">
        <v>0</v>
      </c>
      <c r="G55" s="4">
        <f t="shared" si="0"/>
        <v>0</v>
      </c>
      <c r="H55" s="4">
        <f t="shared" si="1"/>
        <v>0</v>
      </c>
      <c r="I55" s="47">
        <f t="shared" si="3"/>
        <v>0</v>
      </c>
    </row>
    <row r="56" spans="1:9" x14ac:dyDescent="0.25">
      <c r="A56" s="22" t="s">
        <v>74</v>
      </c>
      <c r="B56" s="12">
        <v>0</v>
      </c>
      <c r="C56" s="61">
        <v>0</v>
      </c>
      <c r="D56" s="61">
        <v>0</v>
      </c>
      <c r="E56" s="12">
        <f t="shared" si="2"/>
        <v>0</v>
      </c>
      <c r="F56" s="12">
        <v>0</v>
      </c>
      <c r="G56" s="4">
        <f t="shared" si="0"/>
        <v>0</v>
      </c>
      <c r="H56" s="4">
        <f t="shared" si="1"/>
        <v>0</v>
      </c>
      <c r="I56" s="47">
        <f t="shared" si="3"/>
        <v>0</v>
      </c>
    </row>
  </sheetData>
  <mergeCells count="1">
    <mergeCell ref="B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pH-dependent adsorption</vt:lpstr>
      <vt:lpstr>Adsorption kinetic</vt:lpstr>
      <vt:lpstr>Adsorption isotherm </vt:lpstr>
      <vt:lpstr>Eluent concentration</vt:lpstr>
      <vt:lpstr>Eluent volume</vt:lpstr>
      <vt:lpstr>Ionic strength</vt:lpstr>
      <vt:lpstr>CEC</vt:lpstr>
      <vt:lpstr>digestion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2020-05-08T04:54:28Z</dcterms:modified>
</cp:coreProperties>
</file>