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. Research\4. Magnetite formation at low pH\0. Paper\dataset\"/>
    </mc:Choice>
  </mc:AlternateContent>
  <bookViews>
    <workbookView xWindow="480" yWindow="120" windowWidth="27795" windowHeight="12585" firstSheet="2" activeTab="11"/>
  </bookViews>
  <sheets>
    <sheet name="exp. (a)" sheetId="2" r:id="rId1"/>
    <sheet name="exp. (b)" sheetId="1" r:id="rId2"/>
    <sheet name="exp. (c)" sheetId="3" r:id="rId3"/>
    <sheet name="exp. (d)" sheetId="4" r:id="rId4"/>
    <sheet name="exp. (e)" sheetId="5" r:id="rId5"/>
    <sheet name="exp. (f)" sheetId="6" r:id="rId6"/>
    <sheet name="exp. (g)" sheetId="7" r:id="rId7"/>
    <sheet name="exp. (h)" sheetId="8" r:id="rId8"/>
    <sheet name="model" sheetId="9" r:id="rId9"/>
    <sheet name="model exp. (f)" sheetId="11" r:id="rId10"/>
    <sheet name="model exp. (h)" sheetId="14" r:id="rId11"/>
    <sheet name="mass balance iron oxidation" sheetId="10" r:id="rId12"/>
    <sheet name="sparging gas" sheetId="13" r:id="rId13"/>
    <sheet name="graphics" sheetId="15" r:id="rId14"/>
  </sheets>
  <calcPr calcId="162913"/>
</workbook>
</file>

<file path=xl/calcChain.xml><?xml version="1.0" encoding="utf-8"?>
<calcChain xmlns="http://schemas.openxmlformats.org/spreadsheetml/2006/main">
  <c r="B30" i="10" l="1"/>
  <c r="J34" i="10"/>
  <c r="B42" i="10"/>
  <c r="B39" i="10"/>
  <c r="B37" i="10"/>
  <c r="B35" i="10"/>
  <c r="B31" i="10"/>
  <c r="B48" i="7" l="1"/>
  <c r="B50" i="8"/>
  <c r="B52" i="7"/>
  <c r="B50" i="6"/>
  <c r="B50" i="5"/>
  <c r="B50" i="4"/>
  <c r="B50" i="3"/>
  <c r="B50" i="1"/>
  <c r="B50" i="2"/>
  <c r="B11" i="10" l="1"/>
  <c r="C21" i="2" l="1"/>
  <c r="C22" i="2"/>
  <c r="C23" i="2"/>
  <c r="C24" i="2"/>
  <c r="D21" i="2"/>
  <c r="D22" i="2"/>
  <c r="D23" i="2"/>
  <c r="D24" i="2"/>
  <c r="E21" i="2" l="1"/>
  <c r="A35" i="15"/>
  <c r="A36" i="15"/>
  <c r="A37" i="15"/>
  <c r="A34" i="15"/>
  <c r="B35" i="15"/>
  <c r="B36" i="15"/>
  <c r="B37" i="15"/>
  <c r="B34" i="15"/>
  <c r="B26" i="15"/>
  <c r="B27" i="15"/>
  <c r="B28" i="15"/>
  <c r="B29" i="15"/>
  <c r="B25" i="15"/>
  <c r="A26" i="15"/>
  <c r="A27" i="15"/>
  <c r="A28" i="15"/>
  <c r="A29" i="15"/>
  <c r="A25" i="15"/>
  <c r="B45" i="8" l="1"/>
  <c r="C35" i="8"/>
  <c r="D35" i="8" s="1"/>
  <c r="D29" i="8"/>
  <c r="C29" i="8"/>
  <c r="B29" i="8"/>
  <c r="L11" i="8"/>
  <c r="C23" i="8"/>
  <c r="D23" i="8" s="1"/>
  <c r="E23" i="8" s="1"/>
  <c r="C22" i="8"/>
  <c r="D22" i="8" s="1"/>
  <c r="E22" i="8" s="1"/>
  <c r="C21" i="8"/>
  <c r="D21" i="8" s="1"/>
  <c r="E21" i="8" s="1"/>
  <c r="E20" i="8"/>
  <c r="B9" i="14"/>
  <c r="F17" i="14" s="1"/>
  <c r="B10" i="14"/>
  <c r="F12" i="14" s="1"/>
  <c r="B12" i="14"/>
  <c r="L11" i="7"/>
  <c r="D35" i="7"/>
  <c r="C30" i="7"/>
  <c r="B30" i="7"/>
  <c r="E25" i="7"/>
  <c r="C25" i="7"/>
  <c r="E24" i="7"/>
  <c r="C24" i="7"/>
  <c r="E23" i="7"/>
  <c r="C23" i="7"/>
  <c r="D23" i="7" s="1"/>
  <c r="E22" i="7"/>
  <c r="C22" i="7"/>
  <c r="D22" i="7" s="1"/>
  <c r="E21" i="7"/>
  <c r="C21" i="7"/>
  <c r="E20" i="7"/>
  <c r="A25" i="7"/>
  <c r="B55" i="6"/>
  <c r="B54" i="6"/>
  <c r="C29" i="5"/>
  <c r="D29" i="5" s="1"/>
  <c r="B29" i="5"/>
  <c r="E24" i="5"/>
  <c r="E23" i="5"/>
  <c r="E22" i="5"/>
  <c r="E21" i="5"/>
  <c r="E20" i="5"/>
  <c r="B11" i="1"/>
  <c r="G11" i="13"/>
  <c r="G12" i="13" s="1"/>
  <c r="B11" i="13"/>
  <c r="B12" i="13" s="1"/>
  <c r="B14" i="13" s="1"/>
  <c r="B15" i="13" s="1"/>
  <c r="B17" i="13" s="1"/>
  <c r="B18" i="13" s="1"/>
  <c r="B19" i="13" s="1"/>
  <c r="B8" i="13"/>
  <c r="E4" i="13"/>
  <c r="E3" i="13"/>
  <c r="B44" i="4"/>
  <c r="D29" i="4"/>
  <c r="E20" i="4"/>
  <c r="E24" i="4"/>
  <c r="E22" i="4"/>
  <c r="E21" i="4"/>
  <c r="C29" i="3"/>
  <c r="B29" i="3"/>
  <c r="D29" i="3" s="1"/>
  <c r="E24" i="3"/>
  <c r="E23" i="3"/>
  <c r="E22" i="3"/>
  <c r="E21" i="3"/>
  <c r="C29" i="2"/>
  <c r="B29" i="2"/>
  <c r="E24" i="2"/>
  <c r="E23" i="2"/>
  <c r="E22" i="2"/>
  <c r="E20" i="2"/>
  <c r="D34" i="8"/>
  <c r="B11" i="8"/>
  <c r="L10" i="8"/>
  <c r="D37" i="7"/>
  <c r="D36" i="7"/>
  <c r="B11" i="7"/>
  <c r="L10" i="7"/>
  <c r="B44" i="5"/>
  <c r="D35" i="5"/>
  <c r="D34" i="5"/>
  <c r="B11" i="5"/>
  <c r="L10" i="5"/>
  <c r="L11" i="5" s="1"/>
  <c r="D35" i="4"/>
  <c r="D34" i="4"/>
  <c r="G11" i="4"/>
  <c r="B11" i="4"/>
  <c r="L10" i="4"/>
  <c r="L11" i="4" s="1"/>
  <c r="B45" i="4" s="1"/>
  <c r="B44" i="3"/>
  <c r="D35" i="3"/>
  <c r="D34" i="3"/>
  <c r="G11" i="3"/>
  <c r="B11" i="3"/>
  <c r="L10" i="3"/>
  <c r="L11" i="3" s="1"/>
  <c r="B44" i="2"/>
  <c r="D35" i="2"/>
  <c r="D34" i="2"/>
  <c r="G11" i="2"/>
  <c r="B11" i="2"/>
  <c r="L10" i="2"/>
  <c r="L11" i="2" s="1"/>
  <c r="B10" i="11"/>
  <c r="B40" i="9"/>
  <c r="B10" i="9"/>
  <c r="L10" i="1"/>
  <c r="B46" i="7" l="1"/>
  <c r="F30" i="14"/>
  <c r="F22" i="14"/>
  <c r="F14" i="14"/>
  <c r="D36" i="4"/>
  <c r="B46" i="4" s="1"/>
  <c r="F29" i="14"/>
  <c r="F21" i="14"/>
  <c r="F13" i="14"/>
  <c r="F31" i="14"/>
  <c r="F27" i="14"/>
  <c r="F23" i="14"/>
  <c r="F19" i="14"/>
  <c r="F15" i="14"/>
  <c r="F11" i="14"/>
  <c r="F26" i="14"/>
  <c r="F18" i="14"/>
  <c r="H10" i="14"/>
  <c r="D30" i="7"/>
  <c r="F10" i="14"/>
  <c r="F25" i="14"/>
  <c r="E5" i="13"/>
  <c r="F32" i="14"/>
  <c r="F28" i="14"/>
  <c r="F24" i="14"/>
  <c r="F20" i="14"/>
  <c r="F16" i="14"/>
  <c r="B44" i="8"/>
  <c r="D29" i="2"/>
  <c r="L12" i="2"/>
  <c r="B43" i="2" s="1"/>
  <c r="L13" i="2"/>
  <c r="B45" i="2"/>
  <c r="D36" i="8"/>
  <c r="B46" i="8" s="1"/>
  <c r="D21" i="7"/>
  <c r="D25" i="7"/>
  <c r="D24" i="7"/>
  <c r="D38" i="7"/>
  <c r="D39" i="7" s="1"/>
  <c r="D36" i="5"/>
  <c r="B46" i="5" s="1"/>
  <c r="D36" i="3"/>
  <c r="B46" i="3" s="1"/>
  <c r="B49" i="3" s="1"/>
  <c r="D36" i="2"/>
  <c r="B46" i="2" s="1"/>
  <c r="L12" i="8"/>
  <c r="B43" i="8" s="1"/>
  <c r="B47" i="8" s="1"/>
  <c r="B47" i="7"/>
  <c r="L12" i="7"/>
  <c r="B45" i="7" s="1"/>
  <c r="B49" i="7" s="1"/>
  <c r="L12" i="5"/>
  <c r="B43" i="5" s="1"/>
  <c r="B45" i="5"/>
  <c r="L12" i="4"/>
  <c r="B43" i="4" s="1"/>
  <c r="L13" i="4"/>
  <c r="B45" i="3"/>
  <c r="L13" i="3"/>
  <c r="L12" i="3"/>
  <c r="B43" i="3" s="1"/>
  <c r="B25" i="10"/>
  <c r="B21" i="10"/>
  <c r="B13" i="10"/>
  <c r="B36" i="10" s="1"/>
  <c r="B12" i="10"/>
  <c r="B34" i="10" s="1"/>
  <c r="J36" i="10" l="1"/>
  <c r="B49" i="4"/>
  <c r="B49" i="5"/>
  <c r="H12" i="14"/>
  <c r="H16" i="14"/>
  <c r="H20" i="14"/>
  <c r="H24" i="14"/>
  <c r="H28" i="14"/>
  <c r="H32" i="14"/>
  <c r="H17" i="14"/>
  <c r="H25" i="14"/>
  <c r="H11" i="14"/>
  <c r="J11" i="14"/>
  <c r="H18" i="14"/>
  <c r="H26" i="14"/>
  <c r="J10" i="14"/>
  <c r="H15" i="14"/>
  <c r="H19" i="14"/>
  <c r="H23" i="14"/>
  <c r="H27" i="14"/>
  <c r="H31" i="14"/>
  <c r="H13" i="14"/>
  <c r="H21" i="14"/>
  <c r="H29" i="14"/>
  <c r="H14" i="14"/>
  <c r="H22" i="14"/>
  <c r="H30" i="14"/>
  <c r="B47" i="4"/>
  <c r="B48" i="4" s="1"/>
  <c r="B49" i="2"/>
  <c r="B47" i="2"/>
  <c r="B48" i="2" s="1"/>
  <c r="B48" i="8"/>
  <c r="B49" i="8"/>
  <c r="B50" i="7"/>
  <c r="B47" i="3"/>
  <c r="B48" i="3" s="1"/>
  <c r="B47" i="5"/>
  <c r="B48" i="5" s="1"/>
  <c r="B16" i="10"/>
  <c r="B10" i="10"/>
  <c r="L10" i="6"/>
  <c r="L11" i="6" s="1"/>
  <c r="E24" i="6"/>
  <c r="E23" i="6"/>
  <c r="E22" i="6"/>
  <c r="E21" i="6"/>
  <c r="E20" i="6"/>
  <c r="C24" i="6"/>
  <c r="B22" i="10" s="1"/>
  <c r="C23" i="6"/>
  <c r="C22" i="6"/>
  <c r="C21" i="6"/>
  <c r="B11" i="6"/>
  <c r="B9" i="11"/>
  <c r="P31" i="11" s="1"/>
  <c r="J26" i="11"/>
  <c r="Q25" i="11"/>
  <c r="Q26" i="11" s="1"/>
  <c r="Q27" i="11" s="1"/>
  <c r="Q28" i="11" s="1"/>
  <c r="Q29" i="11" s="1"/>
  <c r="Q30" i="11" s="1"/>
  <c r="Q31" i="11" s="1"/>
  <c r="Q32" i="11" s="1"/>
  <c r="J21" i="11"/>
  <c r="F19" i="11"/>
  <c r="N17" i="11"/>
  <c r="N15" i="11"/>
  <c r="R12" i="11"/>
  <c r="S11" i="11"/>
  <c r="S12" i="11" s="1"/>
  <c r="S13" i="11" s="1"/>
  <c r="S14" i="11" s="1"/>
  <c r="S15" i="11" s="1"/>
  <c r="S16" i="11" s="1"/>
  <c r="S17" i="11" s="1"/>
  <c r="L10" i="11"/>
  <c r="B44" i="1"/>
  <c r="L11" i="1"/>
  <c r="G11" i="1"/>
  <c r="J40" i="9"/>
  <c r="H53" i="9"/>
  <c r="H45" i="9"/>
  <c r="F43" i="9"/>
  <c r="F47" i="9"/>
  <c r="F51" i="9"/>
  <c r="F55" i="9"/>
  <c r="F59" i="9"/>
  <c r="B42" i="9"/>
  <c r="B39" i="9"/>
  <c r="Q25" i="9"/>
  <c r="Q26" i="9" s="1"/>
  <c r="S11" i="9"/>
  <c r="S12" i="9" s="1"/>
  <c r="B9" i="9"/>
  <c r="L24" i="9" s="1"/>
  <c r="D35" i="1"/>
  <c r="D36" i="1" s="1"/>
  <c r="B46" i="1" s="1"/>
  <c r="D34" i="1"/>
  <c r="D29" i="1"/>
  <c r="E20" i="1"/>
  <c r="F20" i="1"/>
  <c r="E24" i="1"/>
  <c r="E23" i="1"/>
  <c r="E22" i="1"/>
  <c r="E21" i="1"/>
  <c r="B41" i="10" l="1"/>
  <c r="J35" i="10" s="1"/>
  <c r="T53" i="9"/>
  <c r="T49" i="9"/>
  <c r="T45" i="9"/>
  <c r="T41" i="9"/>
  <c r="R58" i="9"/>
  <c r="R54" i="9"/>
  <c r="R50" i="9"/>
  <c r="R46" i="9"/>
  <c r="R42" i="9"/>
  <c r="P59" i="9"/>
  <c r="P55" i="9"/>
  <c r="P51" i="9"/>
  <c r="P47" i="9"/>
  <c r="P43" i="9"/>
  <c r="N60" i="9"/>
  <c r="N56" i="9"/>
  <c r="N52" i="9"/>
  <c r="N48" i="9"/>
  <c r="N44" i="9"/>
  <c r="N40" i="9"/>
  <c r="L57" i="9"/>
  <c r="L53" i="9"/>
  <c r="L49" i="9"/>
  <c r="L45" i="9"/>
  <c r="L41" i="9"/>
  <c r="J57" i="9"/>
  <c r="J53" i="9"/>
  <c r="J49" i="9"/>
  <c r="J45" i="9"/>
  <c r="J41" i="9"/>
  <c r="H58" i="9"/>
  <c r="H54" i="9"/>
  <c r="H50" i="9"/>
  <c r="H46" i="9"/>
  <c r="H42" i="9"/>
  <c r="F42" i="9"/>
  <c r="F46" i="9"/>
  <c r="F50" i="9"/>
  <c r="F54" i="9"/>
  <c r="F58" i="9"/>
  <c r="T52" i="9"/>
  <c r="T48" i="9"/>
  <c r="T44" i="9"/>
  <c r="T40" i="9"/>
  <c r="R57" i="9"/>
  <c r="R53" i="9"/>
  <c r="R49" i="9"/>
  <c r="R45" i="9"/>
  <c r="R41" i="9"/>
  <c r="P58" i="9"/>
  <c r="P54" i="9"/>
  <c r="P50" i="9"/>
  <c r="P46" i="9"/>
  <c r="P42" i="9"/>
  <c r="N59" i="9"/>
  <c r="N55" i="9"/>
  <c r="N51" i="9"/>
  <c r="N47" i="9"/>
  <c r="N43" i="9"/>
  <c r="L60" i="9"/>
  <c r="L56" i="9"/>
  <c r="L52" i="9"/>
  <c r="L48" i="9"/>
  <c r="L44" i="9"/>
  <c r="L40" i="9"/>
  <c r="J56" i="9"/>
  <c r="J52" i="9"/>
  <c r="J48" i="9"/>
  <c r="J44" i="9"/>
  <c r="J60" i="9"/>
  <c r="T51" i="9"/>
  <c r="T47" i="9"/>
  <c r="T43" i="9"/>
  <c r="R60" i="9"/>
  <c r="R56" i="9"/>
  <c r="R52" i="9"/>
  <c r="R48" i="9"/>
  <c r="R44" i="9"/>
  <c r="R40" i="9"/>
  <c r="P57" i="9"/>
  <c r="P53" i="9"/>
  <c r="P49" i="9"/>
  <c r="P45" i="9"/>
  <c r="P41" i="9"/>
  <c r="N58" i="9"/>
  <c r="N54" i="9"/>
  <c r="N50" i="9"/>
  <c r="N46" i="9"/>
  <c r="N42" i="9"/>
  <c r="L59" i="9"/>
  <c r="L55" i="9"/>
  <c r="L51" i="9"/>
  <c r="L47" i="9"/>
  <c r="L43" i="9"/>
  <c r="J59" i="9"/>
  <c r="J55" i="9"/>
  <c r="J51" i="9"/>
  <c r="J47" i="9"/>
  <c r="J43" i="9"/>
  <c r="H60" i="9"/>
  <c r="H56" i="9"/>
  <c r="H52" i="9"/>
  <c r="H48" i="9"/>
  <c r="H44" i="9"/>
  <c r="H40" i="9"/>
  <c r="F44" i="9"/>
  <c r="F48" i="9"/>
  <c r="F52" i="9"/>
  <c r="F56" i="9"/>
  <c r="F60" i="9"/>
  <c r="T54" i="9"/>
  <c r="T50" i="9"/>
  <c r="T46" i="9"/>
  <c r="T42" i="9"/>
  <c r="R59" i="9"/>
  <c r="R55" i="9"/>
  <c r="R51" i="9"/>
  <c r="R47" i="9"/>
  <c r="R43" i="9"/>
  <c r="P60" i="9"/>
  <c r="P56" i="9"/>
  <c r="P52" i="9"/>
  <c r="P48" i="9"/>
  <c r="P44" i="9"/>
  <c r="P40" i="9"/>
  <c r="N57" i="9"/>
  <c r="N53" i="9"/>
  <c r="N49" i="9"/>
  <c r="N45" i="9"/>
  <c r="N41" i="9"/>
  <c r="L58" i="9"/>
  <c r="L54" i="9"/>
  <c r="L50" i="9"/>
  <c r="L46" i="9"/>
  <c r="L42" i="9"/>
  <c r="J58" i="9"/>
  <c r="J54" i="9"/>
  <c r="J50" i="9"/>
  <c r="J46" i="9"/>
  <c r="J42" i="9"/>
  <c r="H59" i="9"/>
  <c r="H55" i="9"/>
  <c r="H51" i="9"/>
  <c r="H47" i="9"/>
  <c r="H43" i="9"/>
  <c r="F41" i="9"/>
  <c r="F57" i="9"/>
  <c r="F49" i="9"/>
  <c r="H41" i="9"/>
  <c r="H57" i="9"/>
  <c r="F40" i="9"/>
  <c r="F53" i="9"/>
  <c r="F45" i="9"/>
  <c r="H49" i="9"/>
  <c r="B45" i="1"/>
  <c r="L12" i="1"/>
  <c r="L24" i="11"/>
  <c r="J29" i="11"/>
  <c r="L11" i="11"/>
  <c r="H13" i="11"/>
  <c r="J16" i="11"/>
  <c r="L20" i="11"/>
  <c r="F31" i="11"/>
  <c r="T13" i="11"/>
  <c r="F10" i="11"/>
  <c r="T11" i="11"/>
  <c r="F15" i="11"/>
  <c r="P18" i="11"/>
  <c r="R21" i="11"/>
  <c r="P28" i="11"/>
  <c r="C54" i="6" s="1"/>
  <c r="D54" i="6" s="1"/>
  <c r="E54" i="6" s="1"/>
  <c r="L10" i="14"/>
  <c r="J29" i="14"/>
  <c r="J25" i="14"/>
  <c r="J21" i="14"/>
  <c r="J17" i="14"/>
  <c r="J13" i="14"/>
  <c r="J28" i="14"/>
  <c r="J20" i="14"/>
  <c r="J12" i="14"/>
  <c r="L12" i="14"/>
  <c r="J27" i="14"/>
  <c r="J23" i="14"/>
  <c r="J19" i="14"/>
  <c r="L11" i="14"/>
  <c r="J30" i="14"/>
  <c r="J26" i="14"/>
  <c r="J22" i="14"/>
  <c r="J18" i="14"/>
  <c r="J14" i="14"/>
  <c r="J32" i="14"/>
  <c r="J24" i="14"/>
  <c r="J16" i="14"/>
  <c r="J31" i="14"/>
  <c r="J15" i="14"/>
  <c r="B51" i="7"/>
  <c r="L12" i="6"/>
  <c r="B43" i="6" s="1"/>
  <c r="B49" i="6" s="1"/>
  <c r="F11" i="11"/>
  <c r="H12" i="11"/>
  <c r="L14" i="11"/>
  <c r="R16" i="11"/>
  <c r="T19" i="11"/>
  <c r="R23" i="11"/>
  <c r="R26" i="11"/>
  <c r="S18" i="11"/>
  <c r="T18" i="11" s="1"/>
  <c r="T17" i="11"/>
  <c r="R32" i="11"/>
  <c r="L32" i="11"/>
  <c r="R31" i="11"/>
  <c r="L31" i="11"/>
  <c r="T30" i="11"/>
  <c r="N30" i="11"/>
  <c r="F30" i="11"/>
  <c r="P29" i="11"/>
  <c r="H29" i="11"/>
  <c r="J28" i="11"/>
  <c r="R27" i="11"/>
  <c r="L27" i="11"/>
  <c r="T26" i="11"/>
  <c r="N26" i="11"/>
  <c r="F26" i="11"/>
  <c r="P25" i="11"/>
  <c r="H25" i="11"/>
  <c r="P24" i="11"/>
  <c r="H24" i="11"/>
  <c r="P23" i="11"/>
  <c r="H23" i="11"/>
  <c r="P22" i="11"/>
  <c r="H22" i="11"/>
  <c r="P21" i="11"/>
  <c r="H21" i="11"/>
  <c r="P20" i="11"/>
  <c r="H20" i="11"/>
  <c r="P19" i="11"/>
  <c r="H19" i="11"/>
  <c r="R18" i="11"/>
  <c r="J18" i="11"/>
  <c r="L17" i="11"/>
  <c r="T16" i="11"/>
  <c r="N16" i="11"/>
  <c r="F16" i="11"/>
  <c r="P15" i="11"/>
  <c r="H15" i="11"/>
  <c r="R14" i="11"/>
  <c r="J14" i="11"/>
  <c r="L13" i="11"/>
  <c r="T12" i="11"/>
  <c r="H32" i="11"/>
  <c r="N31" i="11"/>
  <c r="R30" i="11"/>
  <c r="J30" i="11"/>
  <c r="F29" i="11"/>
  <c r="N28" i="11"/>
  <c r="T27" i="11"/>
  <c r="J27" i="11"/>
  <c r="H26" i="11"/>
  <c r="N25" i="11"/>
  <c r="T24" i="11"/>
  <c r="J24" i="11"/>
  <c r="N23" i="11"/>
  <c r="T22" i="11"/>
  <c r="J22" i="11"/>
  <c r="N21" i="11"/>
  <c r="T20" i="11"/>
  <c r="J20" i="11"/>
  <c r="N19" i="11"/>
  <c r="L18" i="11"/>
  <c r="R17" i="11"/>
  <c r="H17" i="11"/>
  <c r="P16" i="11"/>
  <c r="T15" i="11"/>
  <c r="L15" i="11"/>
  <c r="H14" i="11"/>
  <c r="P13" i="11"/>
  <c r="F13" i="11"/>
  <c r="N12" i="11"/>
  <c r="F12" i="11"/>
  <c r="R11" i="11"/>
  <c r="J11" i="11"/>
  <c r="R10" i="11"/>
  <c r="J10" i="11"/>
  <c r="H31" i="11"/>
  <c r="L29" i="11"/>
  <c r="H28" i="11"/>
  <c r="F27" i="11"/>
  <c r="J25" i="11"/>
  <c r="T23" i="11"/>
  <c r="N22" i="11"/>
  <c r="P32" i="11"/>
  <c r="F32" i="11"/>
  <c r="J31" i="11"/>
  <c r="H30" i="11"/>
  <c r="N29" i="11"/>
  <c r="T28" i="11"/>
  <c r="L28" i="11"/>
  <c r="H27" i="11"/>
  <c r="P26" i="11"/>
  <c r="T25" i="11"/>
  <c r="L25" i="11"/>
  <c r="R24" i="11"/>
  <c r="F24" i="11"/>
  <c r="L23" i="11"/>
  <c r="R22" i="11"/>
  <c r="F22" i="11"/>
  <c r="L21" i="11"/>
  <c r="R20" i="11"/>
  <c r="F20" i="11"/>
  <c r="L19" i="11"/>
  <c r="H18" i="11"/>
  <c r="P17" i="11"/>
  <c r="F17" i="11"/>
  <c r="L16" i="11"/>
  <c r="J15" i="11"/>
  <c r="P14" i="11"/>
  <c r="F14" i="11"/>
  <c r="N13" i="11"/>
  <c r="L12" i="11"/>
  <c r="B12" i="11"/>
  <c r="P11" i="11"/>
  <c r="H11" i="11"/>
  <c r="P10" i="11"/>
  <c r="H10" i="11"/>
  <c r="N32" i="11"/>
  <c r="P30" i="11"/>
  <c r="T29" i="11"/>
  <c r="R28" i="11"/>
  <c r="P27" i="11"/>
  <c r="L26" i="11"/>
  <c r="R25" i="11"/>
  <c r="N24" i="11"/>
  <c r="J23" i="11"/>
  <c r="T21" i="11"/>
  <c r="T10" i="11"/>
  <c r="P12" i="11"/>
  <c r="R13" i="11"/>
  <c r="T14" i="11"/>
  <c r="H16" i="11"/>
  <c r="J17" i="11"/>
  <c r="N18" i="11"/>
  <c r="R19" i="11"/>
  <c r="F21" i="11"/>
  <c r="F23" i="11"/>
  <c r="F28" i="11"/>
  <c r="L30" i="11"/>
  <c r="N10" i="11"/>
  <c r="N11" i="11"/>
  <c r="J12" i="11"/>
  <c r="J13" i="11"/>
  <c r="N14" i="11"/>
  <c r="R15" i="11"/>
  <c r="F18" i="11"/>
  <c r="J19" i="11"/>
  <c r="N20" i="11"/>
  <c r="L22" i="11"/>
  <c r="F25" i="11"/>
  <c r="N27" i="11"/>
  <c r="R29" i="11"/>
  <c r="J32" i="11"/>
  <c r="F30" i="9"/>
  <c r="H22" i="9"/>
  <c r="J31" i="9"/>
  <c r="H10" i="9"/>
  <c r="H26" i="9"/>
  <c r="L12" i="9"/>
  <c r="F22" i="9"/>
  <c r="H14" i="9"/>
  <c r="H30" i="9"/>
  <c r="J23" i="9"/>
  <c r="F18" i="9"/>
  <c r="H18" i="9"/>
  <c r="J11" i="9"/>
  <c r="J27" i="9"/>
  <c r="T24" i="9"/>
  <c r="T20" i="9"/>
  <c r="T12" i="9"/>
  <c r="R23" i="9"/>
  <c r="R15" i="9"/>
  <c r="P26" i="9"/>
  <c r="P22" i="9"/>
  <c r="P14" i="9"/>
  <c r="N29" i="9"/>
  <c r="N21" i="9"/>
  <c r="L32" i="9"/>
  <c r="L20" i="9"/>
  <c r="T28" i="9"/>
  <c r="R19" i="9"/>
  <c r="R11" i="9"/>
  <c r="P30" i="9"/>
  <c r="P18" i="9"/>
  <c r="P10" i="9"/>
  <c r="N25" i="9"/>
  <c r="N17" i="9"/>
  <c r="N13" i="9"/>
  <c r="L28" i="9"/>
  <c r="F14" i="9"/>
  <c r="J15" i="9"/>
  <c r="F26" i="9"/>
  <c r="J19" i="9"/>
  <c r="L16" i="9"/>
  <c r="F10" i="9"/>
  <c r="F29" i="9"/>
  <c r="F21" i="9"/>
  <c r="F17" i="9"/>
  <c r="F13" i="9"/>
  <c r="H11" i="9"/>
  <c r="H15" i="9"/>
  <c r="H19" i="9"/>
  <c r="J12" i="9"/>
  <c r="J20" i="9"/>
  <c r="J28" i="9"/>
  <c r="L13" i="9"/>
  <c r="L17" i="9"/>
  <c r="L25" i="9"/>
  <c r="N10" i="9"/>
  <c r="N18" i="9"/>
  <c r="N26" i="9"/>
  <c r="N30" i="9"/>
  <c r="P15" i="9"/>
  <c r="P27" i="9"/>
  <c r="P31" i="9"/>
  <c r="R16" i="9"/>
  <c r="R24" i="9"/>
  <c r="T21" i="9"/>
  <c r="T25" i="9"/>
  <c r="T29" i="9"/>
  <c r="F31" i="9"/>
  <c r="F27" i="9"/>
  <c r="F23" i="9"/>
  <c r="F19" i="9"/>
  <c r="F15" i="9"/>
  <c r="F11" i="9"/>
  <c r="H13" i="9"/>
  <c r="H17" i="9"/>
  <c r="H21" i="9"/>
  <c r="H25" i="9"/>
  <c r="H29" i="9"/>
  <c r="J10" i="9"/>
  <c r="J14" i="9"/>
  <c r="J18" i="9"/>
  <c r="J22" i="9"/>
  <c r="J26" i="9"/>
  <c r="J30" i="9"/>
  <c r="L11" i="9"/>
  <c r="L15" i="9"/>
  <c r="L19" i="9"/>
  <c r="L23" i="9"/>
  <c r="L27" i="9"/>
  <c r="L31" i="9"/>
  <c r="N12" i="9"/>
  <c r="N16" i="9"/>
  <c r="N20" i="9"/>
  <c r="B17" i="10" s="1"/>
  <c r="N24" i="9"/>
  <c r="N28" i="9"/>
  <c r="N32" i="9"/>
  <c r="P13" i="9"/>
  <c r="P17" i="9"/>
  <c r="P21" i="9"/>
  <c r="P25" i="9"/>
  <c r="P29" i="9"/>
  <c r="R10" i="9"/>
  <c r="R14" i="9"/>
  <c r="R18" i="9"/>
  <c r="R22" i="9"/>
  <c r="R26" i="9"/>
  <c r="T11" i="9"/>
  <c r="T19" i="9"/>
  <c r="T23" i="9"/>
  <c r="T27" i="9"/>
  <c r="F25" i="9"/>
  <c r="H23" i="9"/>
  <c r="H27" i="9"/>
  <c r="H31" i="9"/>
  <c r="J16" i="9"/>
  <c r="J24" i="9"/>
  <c r="J32" i="9"/>
  <c r="L21" i="9"/>
  <c r="L29" i="9"/>
  <c r="N14" i="9"/>
  <c r="N22" i="9"/>
  <c r="P11" i="9"/>
  <c r="P19" i="9"/>
  <c r="P23" i="9"/>
  <c r="R12" i="9"/>
  <c r="R20" i="9"/>
  <c r="B12" i="9"/>
  <c r="F32" i="9"/>
  <c r="F28" i="9"/>
  <c r="F24" i="9"/>
  <c r="F20" i="9"/>
  <c r="F16" i="9"/>
  <c r="F12" i="9"/>
  <c r="H12" i="9"/>
  <c r="H16" i="9"/>
  <c r="H20" i="9"/>
  <c r="H24" i="9"/>
  <c r="H28" i="9"/>
  <c r="H32" i="9"/>
  <c r="J13" i="9"/>
  <c r="J17" i="9"/>
  <c r="J21" i="9"/>
  <c r="J25" i="9"/>
  <c r="J29" i="9"/>
  <c r="L10" i="9"/>
  <c r="L14" i="9"/>
  <c r="L18" i="9"/>
  <c r="L22" i="9"/>
  <c r="L26" i="9"/>
  <c r="L30" i="9"/>
  <c r="N11" i="9"/>
  <c r="N15" i="9"/>
  <c r="N19" i="9"/>
  <c r="N23" i="9"/>
  <c r="N27" i="9"/>
  <c r="N31" i="9"/>
  <c r="P12" i="9"/>
  <c r="P16" i="9"/>
  <c r="P20" i="9"/>
  <c r="P24" i="9"/>
  <c r="P28" i="9"/>
  <c r="P32" i="9"/>
  <c r="R13" i="9"/>
  <c r="R17" i="9"/>
  <c r="R21" i="9"/>
  <c r="R25" i="9"/>
  <c r="T10" i="9"/>
  <c r="T22" i="9"/>
  <c r="T26" i="9"/>
  <c r="T30" i="9"/>
  <c r="S13" i="9"/>
  <c r="T13" i="9" s="1"/>
  <c r="Q27" i="9"/>
  <c r="R27" i="9" s="1"/>
  <c r="F54" i="6" l="1"/>
  <c r="E56" i="6"/>
  <c r="F56" i="6" s="1"/>
  <c r="B26" i="10"/>
  <c r="B38" i="10" s="1"/>
  <c r="J37" i="10" s="1"/>
  <c r="C55" i="6"/>
  <c r="D55" i="6" s="1"/>
  <c r="E55" i="6" s="1"/>
  <c r="F55" i="6" s="1"/>
  <c r="B22" i="13"/>
  <c r="B43" i="1"/>
  <c r="K34" i="10"/>
  <c r="K35" i="10"/>
  <c r="K36" i="10"/>
  <c r="S14" i="9"/>
  <c r="T14" i="9" s="1"/>
  <c r="Q28" i="9"/>
  <c r="R28" i="9" s="1"/>
  <c r="L13" i="1"/>
  <c r="B47" i="1" l="1"/>
  <c r="B48" i="1" s="1"/>
  <c r="B49" i="1"/>
  <c r="E57" i="6"/>
  <c r="B20" i="13"/>
  <c r="B23" i="13"/>
  <c r="F57" i="6"/>
  <c r="K37" i="10"/>
  <c r="K38" i="10" s="1"/>
  <c r="Q29" i="9"/>
  <c r="R29" i="9" s="1"/>
  <c r="S15" i="9"/>
  <c r="T15" i="9" s="1"/>
  <c r="Q30" i="9" l="1"/>
  <c r="R30" i="9" s="1"/>
  <c r="S16" i="9"/>
  <c r="T16" i="9" s="1"/>
  <c r="S17" i="9" l="1"/>
  <c r="T17" i="9" s="1"/>
  <c r="Q31" i="9"/>
  <c r="R31" i="9" s="1"/>
  <c r="Q32" i="9" l="1"/>
  <c r="R32" i="9" s="1"/>
  <c r="S18" i="9"/>
  <c r="T18" i="9" s="1"/>
  <c r="D22" i="6" l="1"/>
  <c r="D24" i="6"/>
  <c r="B44" i="6" s="1"/>
  <c r="D23" i="6"/>
  <c r="D21" i="6"/>
</calcChain>
</file>

<file path=xl/sharedStrings.xml><?xml version="1.0" encoding="utf-8"?>
<sst xmlns="http://schemas.openxmlformats.org/spreadsheetml/2006/main" count="757" uniqueCount="140">
  <si>
    <t>[Fe2+]</t>
  </si>
  <si>
    <t>mg/L</t>
  </si>
  <si>
    <t>mol/L</t>
  </si>
  <si>
    <t>Q</t>
  </si>
  <si>
    <t>L/h</t>
  </si>
  <si>
    <t>Feed 1</t>
  </si>
  <si>
    <t>Feed 2</t>
  </si>
  <si>
    <t>[NO3-]</t>
  </si>
  <si>
    <t>total flow</t>
  </si>
  <si>
    <t>Total feed</t>
  </si>
  <si>
    <t>Duration</t>
  </si>
  <si>
    <t>hours</t>
  </si>
  <si>
    <t>Fe2+</t>
  </si>
  <si>
    <t>NO3-</t>
  </si>
  <si>
    <t>L</t>
  </si>
  <si>
    <t>mol</t>
  </si>
  <si>
    <t>Experimental data</t>
  </si>
  <si>
    <t>time (h)</t>
  </si>
  <si>
    <t>total Fe (mg/L)</t>
  </si>
  <si>
    <t>&lt;0.012</t>
  </si>
  <si>
    <r>
      <t>Fe</t>
    </r>
    <r>
      <rPr>
        <b/>
        <sz val="11"/>
        <color theme="1"/>
        <rFont val="Calibri"/>
        <family val="2"/>
      </rPr>
      <t>²⁺ (mg/L)</t>
    </r>
  </si>
  <si>
    <r>
      <t>Fe</t>
    </r>
    <r>
      <rPr>
        <b/>
        <sz val="11"/>
        <color theme="1"/>
        <rFont val="Calibri"/>
        <family val="2"/>
      </rPr>
      <t>³⁺ (mg/L)</t>
    </r>
  </si>
  <si>
    <t>Iron balance</t>
  </si>
  <si>
    <t>Reactor</t>
  </si>
  <si>
    <t>Effluent</t>
  </si>
  <si>
    <t>pH</t>
  </si>
  <si>
    <t>Precipitates</t>
  </si>
  <si>
    <t>weight empty tube (g)</t>
  </si>
  <si>
    <t>weight tube + sample (g)</t>
  </si>
  <si>
    <t>weight sample (g)</t>
  </si>
  <si>
    <t>reactor</t>
  </si>
  <si>
    <t>effluent</t>
  </si>
  <si>
    <t>Total</t>
  </si>
  <si>
    <t>weight empty tube (mg)</t>
  </si>
  <si>
    <t>weight tube + sample (mg)</t>
  </si>
  <si>
    <t>Calculations</t>
  </si>
  <si>
    <t>Calculated concentrations in reactor</t>
  </si>
  <si>
    <t>Assuming no reactions are occuring</t>
  </si>
  <si>
    <t>Iron</t>
  </si>
  <si>
    <t>Cin</t>
  </si>
  <si>
    <t>V</t>
  </si>
  <si>
    <t>HRT</t>
  </si>
  <si>
    <t>hrs</t>
  </si>
  <si>
    <t>t</t>
  </si>
  <si>
    <r>
      <t>Conc. Fe</t>
    </r>
    <r>
      <rPr>
        <vertAlign val="superscript"/>
        <sz val="11"/>
        <color theme="1"/>
        <rFont val="Calibri"/>
        <family val="2"/>
        <scheme val="minor"/>
      </rPr>
      <t>2+</t>
    </r>
  </si>
  <si>
    <t>Nitrate</t>
  </si>
  <si>
    <t>C = (1 - e^-(Q/V)t) *Cin</t>
  </si>
  <si>
    <t>hr</t>
  </si>
  <si>
    <r>
      <t>Conc. NO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 xml:space="preserve">- </t>
    </r>
    <r>
      <rPr>
        <sz val="11"/>
        <color theme="1"/>
        <rFont val="Calibri"/>
        <family val="2"/>
        <scheme val="minor"/>
      </rPr>
      <t>-N (mg/L)</t>
    </r>
  </si>
  <si>
    <r>
      <t>Conc. Fe</t>
    </r>
    <r>
      <rPr>
        <sz val="11"/>
        <color theme="1"/>
        <rFont val="Calibri"/>
        <family val="2"/>
      </rPr>
      <t>²⁺ (mg/L)</t>
    </r>
  </si>
  <si>
    <t>Meas. Fe reactor</t>
  </si>
  <si>
    <t>Meas. Fe effluent</t>
  </si>
  <si>
    <t>Fe in precipitate*</t>
  </si>
  <si>
    <t>Surplus Fe</t>
  </si>
  <si>
    <t>Volume reactor</t>
  </si>
  <si>
    <r>
      <t>Total Fe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 xml:space="preserve"> inflow</t>
    </r>
  </si>
  <si>
    <t>molar mass Fe</t>
  </si>
  <si>
    <r>
      <t>molar mass NO</t>
    </r>
    <r>
      <rPr>
        <sz val="11"/>
        <color theme="1"/>
        <rFont val="Calibri"/>
        <family val="2"/>
      </rPr>
      <t>₃⁻</t>
    </r>
  </si>
  <si>
    <r>
      <t>molar mass Fe</t>
    </r>
    <r>
      <rPr>
        <sz val="11"/>
        <color theme="1"/>
        <rFont val="Calibri"/>
        <family val="2"/>
      </rPr>
      <t>₃O₄</t>
    </r>
  </si>
  <si>
    <t>* assuming 100% magnetite</t>
  </si>
  <si>
    <t>Valid for experiment (f)</t>
  </si>
  <si>
    <t>sum</t>
  </si>
  <si>
    <t>Measurements experiment (b)</t>
  </si>
  <si>
    <t>time</t>
  </si>
  <si>
    <r>
      <t>Fe</t>
    </r>
    <r>
      <rPr>
        <sz val="11"/>
        <color theme="1"/>
        <rFont val="Calibri"/>
        <family val="2"/>
      </rPr>
      <t>²⁺</t>
    </r>
  </si>
  <si>
    <r>
      <t>NO</t>
    </r>
    <r>
      <rPr>
        <sz val="11"/>
        <color theme="1"/>
        <rFont val="Calibri"/>
        <family val="2"/>
      </rPr>
      <t>₂⁻</t>
    </r>
  </si>
  <si>
    <r>
      <t>NH</t>
    </r>
    <r>
      <rPr>
        <sz val="11"/>
        <color theme="1"/>
        <rFont val="Calibri"/>
        <family val="2"/>
      </rPr>
      <t>₄⁺</t>
    </r>
  </si>
  <si>
    <r>
      <t>molar mass NO</t>
    </r>
    <r>
      <rPr>
        <sz val="11"/>
        <color theme="1"/>
        <rFont val="Calibri"/>
        <family val="2"/>
      </rPr>
      <t>₂⁻</t>
    </r>
  </si>
  <si>
    <r>
      <t>molar mass NH</t>
    </r>
    <r>
      <rPr>
        <sz val="11"/>
        <color theme="1"/>
        <rFont val="Calibri"/>
        <family val="2"/>
      </rPr>
      <t>₄⁺</t>
    </r>
  </si>
  <si>
    <t>h</t>
  </si>
  <si>
    <t>Modeled experiment (b)</t>
  </si>
  <si>
    <t>Measurements experiment (f)</t>
  </si>
  <si>
    <t>Mass balance for iron oxidation based on experiments (b) and (f)</t>
  </si>
  <si>
    <r>
      <t>Meas. Fe</t>
    </r>
    <r>
      <rPr>
        <sz val="11"/>
        <color theme="1"/>
        <rFont val="Calibri"/>
        <family val="2"/>
      </rPr>
      <t>²⁺</t>
    </r>
    <r>
      <rPr>
        <sz val="11"/>
        <color theme="1"/>
        <rFont val="Calibri"/>
        <family val="2"/>
        <scheme val="minor"/>
      </rPr>
      <t xml:space="preserve"> reactor</t>
    </r>
  </si>
  <si>
    <r>
      <t>NO</t>
    </r>
    <r>
      <rPr>
        <sz val="11"/>
        <color theme="1"/>
        <rFont val="Calibri"/>
        <family val="2"/>
      </rPr>
      <t>₃⁻ to NO₂⁻</t>
    </r>
  </si>
  <si>
    <r>
      <t>NO</t>
    </r>
    <r>
      <rPr>
        <sz val="11"/>
        <color theme="1"/>
        <rFont val="Calibri"/>
        <family val="2"/>
      </rPr>
      <t>₃⁻ to NH₄⁺</t>
    </r>
  </si>
  <si>
    <r>
      <t>O</t>
    </r>
    <r>
      <rPr>
        <sz val="11"/>
        <color theme="1"/>
        <rFont val="Calibri"/>
        <family val="2"/>
      </rPr>
      <t>₂</t>
    </r>
  </si>
  <si>
    <r>
      <t>[Fe</t>
    </r>
    <r>
      <rPr>
        <sz val="11"/>
        <color theme="1"/>
        <rFont val="Calibri"/>
        <family val="2"/>
      </rPr>
      <t>²⁺] oxidized</t>
    </r>
  </si>
  <si>
    <t>Modeled experiment (f)</t>
  </si>
  <si>
    <t>by:</t>
  </si>
  <si>
    <r>
      <t>[Fe</t>
    </r>
    <r>
      <rPr>
        <sz val="11"/>
        <color theme="1"/>
        <rFont val="Calibri"/>
        <family val="2"/>
      </rPr>
      <t>²⁺] in precipitate</t>
    </r>
  </si>
  <si>
    <r>
      <t>Fe</t>
    </r>
    <r>
      <rPr>
        <sz val="11"/>
        <color theme="1"/>
        <rFont val="Calibri"/>
        <family val="2"/>
      </rPr>
      <t xml:space="preserve"> precipitated</t>
    </r>
  </si>
  <si>
    <t>N2 gas</t>
  </si>
  <si>
    <t>max O2 concentration</t>
  </si>
  <si>
    <t>ppmv</t>
  </si>
  <si>
    <t>flow Fe stock</t>
  </si>
  <si>
    <t>mL/min</t>
  </si>
  <si>
    <t>L/hour</t>
  </si>
  <si>
    <t>flow reactor</t>
  </si>
  <si>
    <t>L/hour total</t>
  </si>
  <si>
    <t>P</t>
  </si>
  <si>
    <t>atm</t>
  </si>
  <si>
    <t>T</t>
  </si>
  <si>
    <t>C</t>
  </si>
  <si>
    <t>Vm @ T=305K</t>
  </si>
  <si>
    <t>dm3/mol</t>
  </si>
  <si>
    <t>dm3/min</t>
  </si>
  <si>
    <t>O2 in flow</t>
  </si>
  <si>
    <t>dm3 O2/min</t>
  </si>
  <si>
    <t>O2 in reactor</t>
  </si>
  <si>
    <t>mol/min</t>
  </si>
  <si>
    <t>mol/hour</t>
  </si>
  <si>
    <t>possible Fe oxidized</t>
  </si>
  <si>
    <t>mol/experiment</t>
  </si>
  <si>
    <t>total Fe load</t>
  </si>
  <si>
    <t>Oxidation rate</t>
  </si>
  <si>
    <r>
      <t>meas. Fe</t>
    </r>
    <r>
      <rPr>
        <b/>
        <sz val="11"/>
        <color theme="1"/>
        <rFont val="Calibri"/>
        <family val="2"/>
      </rPr>
      <t>²⁺ (mg/L)</t>
    </r>
  </si>
  <si>
    <r>
      <t>mod. Fe</t>
    </r>
    <r>
      <rPr>
        <b/>
        <sz val="11"/>
        <color theme="1"/>
        <rFont val="Calibri"/>
        <family val="2"/>
      </rPr>
      <t>²⁺ (mg/L)</t>
    </r>
  </si>
  <si>
    <r>
      <t>oxidized  Fe</t>
    </r>
    <r>
      <rPr>
        <b/>
        <sz val="11"/>
        <color theme="1"/>
        <rFont val="Calibri"/>
        <family val="2"/>
      </rPr>
      <t>²⁺ (mg/L)</t>
    </r>
  </si>
  <si>
    <r>
      <t>oxidized  Fe</t>
    </r>
    <r>
      <rPr>
        <b/>
        <sz val="11"/>
        <color theme="1"/>
        <rFont val="Calibri"/>
        <family val="2"/>
      </rPr>
      <t>²⁺ (mol/h)</t>
    </r>
  </si>
  <si>
    <t>average</t>
  </si>
  <si>
    <t>SD</t>
  </si>
  <si>
    <t>seeded</t>
  </si>
  <si>
    <t>Total formed</t>
  </si>
  <si>
    <t>Valid for experiments (a) - (e) and (g)</t>
  </si>
  <si>
    <t>Valid for experiment (h)</t>
  </si>
  <si>
    <t>exp. (b)</t>
  </si>
  <si>
    <t>time [h]</t>
  </si>
  <si>
    <r>
      <t>NO</t>
    </r>
    <r>
      <rPr>
        <sz val="11"/>
        <color theme="1"/>
        <rFont val="Calibri"/>
        <family val="2"/>
      </rPr>
      <t>₂⁻</t>
    </r>
    <r>
      <rPr>
        <sz val="11"/>
        <color theme="1"/>
        <rFont val="Lucida Sans Unicode"/>
        <family val="2"/>
      </rPr>
      <t xml:space="preserve"> -N</t>
    </r>
  </si>
  <si>
    <r>
      <t>NH</t>
    </r>
    <r>
      <rPr>
        <sz val="11"/>
        <color theme="1"/>
        <rFont val="Calibri"/>
        <family val="2"/>
      </rPr>
      <t>₄⁺</t>
    </r>
    <r>
      <rPr>
        <vertAlign val="superscript"/>
        <sz val="11"/>
        <color theme="1"/>
        <rFont val="Lucida Sans Unicode"/>
        <family val="2"/>
      </rPr>
      <t xml:space="preserve"> </t>
    </r>
    <r>
      <rPr>
        <sz val="11"/>
        <color theme="1"/>
        <rFont val="Lucida Sans Unicode"/>
        <family val="2"/>
      </rPr>
      <t>-N</t>
    </r>
  </si>
  <si>
    <t>experiment (b)</t>
  </si>
  <si>
    <t>Iron concentration in CSTR</t>
  </si>
  <si>
    <r>
      <t>[Fe</t>
    </r>
    <r>
      <rPr>
        <b/>
        <sz val="11"/>
        <color theme="1"/>
        <rFont val="Calibri"/>
        <family val="2"/>
      </rPr>
      <t>²⁺] [mg/L]</t>
    </r>
  </si>
  <si>
    <t>exp. (d)</t>
  </si>
  <si>
    <r>
      <t>NO</t>
    </r>
    <r>
      <rPr>
        <b/>
        <sz val="11"/>
        <color theme="1"/>
        <rFont val="Calibri"/>
        <family val="2"/>
      </rPr>
      <t>₃⁻-N (mg/L)</t>
    </r>
  </si>
  <si>
    <r>
      <t>NO</t>
    </r>
    <r>
      <rPr>
        <b/>
        <sz val="11"/>
        <color theme="1"/>
        <rFont val="Calibri"/>
        <family val="2"/>
      </rPr>
      <t>₂⁻-N (mg/L)</t>
    </r>
  </si>
  <si>
    <r>
      <t>NH</t>
    </r>
    <r>
      <rPr>
        <b/>
        <sz val="11"/>
        <color theme="1"/>
        <rFont val="Calibri"/>
        <family val="2"/>
      </rPr>
      <t>₄⁺-N (mg/L)</t>
    </r>
  </si>
  <si>
    <t>mg/experiment</t>
  </si>
  <si>
    <r>
      <t>Fe</t>
    </r>
    <r>
      <rPr>
        <sz val="11"/>
        <color theme="1"/>
        <rFont val="Calibri"/>
        <family val="2"/>
      </rPr>
      <t>²⁺</t>
    </r>
    <r>
      <rPr>
        <sz val="11"/>
        <color theme="1"/>
        <rFont val="Calibri"/>
        <family val="2"/>
        <scheme val="minor"/>
      </rPr>
      <t xml:space="preserve"> oxidized based on measured Fe</t>
    </r>
    <r>
      <rPr>
        <sz val="11"/>
        <color theme="1"/>
        <rFont val="Calibri"/>
        <family val="2"/>
      </rPr>
      <t>²⁺ concentration in the reactor [mg L⁻¹</t>
    </r>
    <r>
      <rPr>
        <sz val="11"/>
        <color theme="1"/>
        <rFont val="Calibri"/>
        <family val="2"/>
        <scheme val="minor"/>
      </rPr>
      <t>]</t>
    </r>
  </si>
  <si>
    <r>
      <t>Fe</t>
    </r>
    <r>
      <rPr>
        <sz val="11"/>
        <color theme="1"/>
        <rFont val="Calibri"/>
        <family val="2"/>
      </rPr>
      <t>²⁺ in Fe₃O₄  in reactor and effluent per liter of total inflow [mg L⁻¹]</t>
    </r>
  </si>
  <si>
    <r>
      <t>Fe</t>
    </r>
    <r>
      <rPr>
        <sz val="11"/>
        <color theme="1"/>
        <rFont val="Calibri"/>
        <family val="2"/>
      </rPr>
      <t>²⁺</t>
    </r>
    <r>
      <rPr>
        <sz val="11"/>
        <color theme="1"/>
        <rFont val="Calibri"/>
        <family val="2"/>
        <scheme val="minor"/>
      </rPr>
      <t xml:space="preserve"> oxidized based on formation of NO</t>
    </r>
    <r>
      <rPr>
        <sz val="11"/>
        <color theme="1"/>
        <rFont val="Calibri"/>
        <family val="2"/>
      </rPr>
      <t>₂⁻</t>
    </r>
    <r>
      <rPr>
        <sz val="11"/>
        <color theme="1"/>
        <rFont val="Calibri"/>
        <family val="2"/>
        <scheme val="minor"/>
      </rPr>
      <t xml:space="preserve"> and NH</t>
    </r>
    <r>
      <rPr>
        <sz val="11"/>
        <color theme="1"/>
        <rFont val="Calibri"/>
        <family val="2"/>
      </rPr>
      <t>₄⁺ in the reactor [mg L⁻¹]</t>
    </r>
  </si>
  <si>
    <r>
      <t>Fe</t>
    </r>
    <r>
      <rPr>
        <sz val="11"/>
        <color theme="1"/>
        <rFont val="Calibri"/>
        <family val="2"/>
      </rPr>
      <t>²⁺</t>
    </r>
    <r>
      <rPr>
        <sz val="11"/>
        <color theme="1"/>
        <rFont val="Calibri"/>
        <family val="2"/>
        <scheme val="minor"/>
      </rPr>
      <t xml:space="preserve"> presumably oxidized by O</t>
    </r>
    <r>
      <rPr>
        <sz val="11"/>
        <color theme="1"/>
        <rFont val="Calibri"/>
        <family val="2"/>
      </rPr>
      <t>₂</t>
    </r>
    <r>
      <rPr>
        <sz val="11"/>
        <color theme="1"/>
        <rFont val="Calibri"/>
        <family val="2"/>
        <scheme val="minor"/>
      </rPr>
      <t xml:space="preserve"> diffused into reactor [mg L⁻¹]</t>
    </r>
  </si>
  <si>
    <r>
      <t>NO</t>
    </r>
    <r>
      <rPr>
        <b/>
        <sz val="11"/>
        <color theme="1"/>
        <rFont val="Calibri"/>
        <family val="2"/>
      </rPr>
      <t>₃⁻ to NO₂⁻</t>
    </r>
  </si>
  <si>
    <r>
      <t>NO</t>
    </r>
    <r>
      <rPr>
        <b/>
        <sz val="11"/>
        <color theme="1"/>
        <rFont val="Calibri"/>
        <family val="2"/>
      </rPr>
      <t>₃⁻ to NH₄⁺</t>
    </r>
  </si>
  <si>
    <r>
      <t>O</t>
    </r>
    <r>
      <rPr>
        <b/>
        <sz val="11"/>
        <color theme="1"/>
        <rFont val="Calibri"/>
        <family val="2"/>
      </rPr>
      <t>₂</t>
    </r>
  </si>
  <si>
    <r>
      <t>oxidized  Fe</t>
    </r>
    <r>
      <rPr>
        <b/>
        <sz val="11"/>
        <color theme="1"/>
        <rFont val="Calibri"/>
        <family val="2"/>
      </rPr>
      <t>²⁺ (mg/h)</t>
    </r>
  </si>
  <si>
    <t xml:space="preserve">Fe removal rate </t>
  </si>
  <si>
    <t>mg/h</t>
  </si>
  <si>
    <t>Fe in precipitate* **</t>
  </si>
  <si>
    <t>** formed during experiment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</si>
</sst>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E+0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Lucida Sans Unicode"/>
      <family val="2"/>
    </font>
    <font>
      <vertAlign val="superscript"/>
      <sz val="11"/>
      <color theme="1"/>
      <name val="Lucida Sans Unicode"/>
      <family val="2"/>
    </font>
    <font>
      <sz val="8.5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11" fontId="0" fillId="0" borderId="0" xfId="0" applyNumberFormat="1"/>
    <xf numFmtId="2" fontId="0" fillId="0" borderId="0" xfId="0" applyNumberFormat="1"/>
    <xf numFmtId="0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164" fontId="0" fillId="0" borderId="0" xfId="0" applyNumberFormat="1" applyBorder="1"/>
    <xf numFmtId="0" fontId="3" fillId="0" borderId="0" xfId="0" applyFont="1" applyBorder="1" applyAlignment="1">
      <alignment horizontal="right"/>
    </xf>
    <xf numFmtId="165" fontId="0" fillId="0" borderId="0" xfId="0" applyNumberFormat="1" applyBorder="1"/>
    <xf numFmtId="165" fontId="0" fillId="0" borderId="0" xfId="0" applyNumberFormat="1" applyFill="1" applyBorder="1"/>
    <xf numFmtId="165" fontId="0" fillId="0" borderId="0" xfId="0" applyNumberFormat="1"/>
    <xf numFmtId="0" fontId="2" fillId="0" borderId="0" xfId="0" applyFont="1" applyAlignment="1">
      <alignment wrapText="1"/>
    </xf>
    <xf numFmtId="11" fontId="0" fillId="0" borderId="0" xfId="0" applyNumberFormat="1" applyBorder="1"/>
    <xf numFmtId="166" fontId="0" fillId="0" borderId="0" xfId="0" applyNumberFormat="1"/>
    <xf numFmtId="11" fontId="0" fillId="0" borderId="1" xfId="0" applyNumberFormat="1" applyBorder="1"/>
    <xf numFmtId="0" fontId="0" fillId="0" borderId="0" xfId="0" applyFill="1" applyBorder="1"/>
    <xf numFmtId="11" fontId="0" fillId="0" borderId="0" xfId="0" applyNumberFormat="1" applyFont="1"/>
    <xf numFmtId="0" fontId="0" fillId="0" borderId="0" xfId="0" applyFont="1"/>
    <xf numFmtId="10" fontId="0" fillId="0" borderId="0" xfId="0" applyNumberFormat="1" applyFont="1"/>
    <xf numFmtId="10" fontId="0" fillId="0" borderId="0" xfId="0" applyNumberFormat="1"/>
    <xf numFmtId="0" fontId="1" fillId="0" borderId="0" xfId="0" applyFont="1"/>
    <xf numFmtId="0" fontId="8" fillId="0" borderId="0" xfId="0" applyFont="1"/>
    <xf numFmtId="1" fontId="0" fillId="0" borderId="0" xfId="0" applyNumberFormat="1" applyBorder="1"/>
    <xf numFmtId="9" fontId="0" fillId="0" borderId="0" xfId="0" applyNumberFormat="1"/>
    <xf numFmtId="1" fontId="0" fillId="0" borderId="0" xfId="0" applyNumberFormat="1"/>
    <xf numFmtId="0" fontId="2" fillId="0" borderId="0" xfId="0" applyFont="1" applyBorder="1"/>
    <xf numFmtId="164" fontId="0" fillId="0" borderId="0" xfId="0" applyNumberFormat="1" applyFill="1" applyBorder="1"/>
    <xf numFmtId="1" fontId="0" fillId="0" borderId="1" xfId="0" applyNumberFormat="1" applyBorder="1"/>
    <xf numFmtId="0" fontId="9" fillId="0" borderId="0" xfId="0" applyFont="1" applyBorder="1"/>
    <xf numFmtId="0" fontId="8" fillId="0" borderId="0" xfId="0" applyFont="1" applyAlignment="1">
      <alignment wrapText="1"/>
    </xf>
    <xf numFmtId="11" fontId="1" fillId="0" borderId="0" xfId="0" applyNumberFormat="1" applyFont="1"/>
    <xf numFmtId="0" fontId="9" fillId="0" borderId="0" xfId="0" applyNumberFormat="1" applyFont="1" applyBorder="1"/>
    <xf numFmtId="2" fontId="9" fillId="0" borderId="0" xfId="0" applyNumberFormat="1" applyFont="1" applyBorder="1"/>
    <xf numFmtId="0" fontId="12" fillId="0" borderId="0" xfId="0" applyFont="1" applyAlignment="1">
      <alignment vertical="center"/>
    </xf>
    <xf numFmtId="164" fontId="0" fillId="0" borderId="0" xfId="0" applyNumberFormat="1"/>
    <xf numFmtId="0" fontId="10" fillId="0" borderId="0" xfId="0" applyFont="1" applyBorder="1"/>
    <xf numFmtId="1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model!$F$9</c:f>
              <c:strCache>
                <c:ptCount val="1"/>
                <c:pt idx="0">
                  <c:v>Conc. Fe²⁺ (mg/L)</c:v>
                </c:pt>
              </c:strCache>
            </c:strRef>
          </c:tx>
          <c:xVal>
            <c:numRef>
              <c:f>(model!$E$10:$E$32,model!$G$10:$G$32,model!$I$10:$I$32,model!$K$10:$K$32,model!$M$10:$M$32,model!$O$9:$O$10,model!$O$10,model!$O$10:$O$32,model!$O$9,model!$Q$10:$Q$32,model!$S$10:$S$18)</c:f>
              <c:numCache>
                <c:formatCode>General</c:formatCode>
                <c:ptCount val="17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6">
                  <c:v>116</c:v>
                </c:pt>
                <c:pt idx="117">
                  <c:v>116</c:v>
                </c:pt>
                <c:pt idx="118">
                  <c:v>116</c:v>
                </c:pt>
                <c:pt idx="119">
                  <c:v>117</c:v>
                </c:pt>
                <c:pt idx="120">
                  <c:v>118</c:v>
                </c:pt>
                <c:pt idx="121">
                  <c:v>119</c:v>
                </c:pt>
                <c:pt idx="122">
                  <c:v>120</c:v>
                </c:pt>
                <c:pt idx="123">
                  <c:v>121</c:v>
                </c:pt>
                <c:pt idx="124">
                  <c:v>122</c:v>
                </c:pt>
                <c:pt idx="125">
                  <c:v>123</c:v>
                </c:pt>
                <c:pt idx="126">
                  <c:v>124</c:v>
                </c:pt>
                <c:pt idx="127">
                  <c:v>125</c:v>
                </c:pt>
                <c:pt idx="128">
                  <c:v>126</c:v>
                </c:pt>
                <c:pt idx="129">
                  <c:v>127</c:v>
                </c:pt>
                <c:pt idx="130">
                  <c:v>128</c:v>
                </c:pt>
                <c:pt idx="131">
                  <c:v>129</c:v>
                </c:pt>
                <c:pt idx="132">
                  <c:v>130</c:v>
                </c:pt>
                <c:pt idx="133">
                  <c:v>131</c:v>
                </c:pt>
                <c:pt idx="134">
                  <c:v>132</c:v>
                </c:pt>
                <c:pt idx="135">
                  <c:v>133</c:v>
                </c:pt>
                <c:pt idx="136">
                  <c:v>134</c:v>
                </c:pt>
                <c:pt idx="137">
                  <c:v>135</c:v>
                </c:pt>
                <c:pt idx="138">
                  <c:v>136</c:v>
                </c:pt>
                <c:pt idx="139">
                  <c:v>137</c:v>
                </c:pt>
                <c:pt idx="140">
                  <c:v>138</c:v>
                </c:pt>
                <c:pt idx="142">
                  <c:v>139</c:v>
                </c:pt>
                <c:pt idx="143">
                  <c:v>140</c:v>
                </c:pt>
                <c:pt idx="144">
                  <c:v>141</c:v>
                </c:pt>
                <c:pt idx="145">
                  <c:v>142</c:v>
                </c:pt>
                <c:pt idx="146">
                  <c:v>143</c:v>
                </c:pt>
                <c:pt idx="147">
                  <c:v>144</c:v>
                </c:pt>
                <c:pt idx="148">
                  <c:v>145</c:v>
                </c:pt>
                <c:pt idx="149">
                  <c:v>146</c:v>
                </c:pt>
                <c:pt idx="150">
                  <c:v>147</c:v>
                </c:pt>
                <c:pt idx="151">
                  <c:v>148</c:v>
                </c:pt>
                <c:pt idx="152">
                  <c:v>149</c:v>
                </c:pt>
                <c:pt idx="153">
                  <c:v>150</c:v>
                </c:pt>
                <c:pt idx="154">
                  <c:v>151</c:v>
                </c:pt>
                <c:pt idx="155">
                  <c:v>152</c:v>
                </c:pt>
                <c:pt idx="156">
                  <c:v>153</c:v>
                </c:pt>
                <c:pt idx="157">
                  <c:v>154</c:v>
                </c:pt>
                <c:pt idx="158">
                  <c:v>155</c:v>
                </c:pt>
                <c:pt idx="159">
                  <c:v>156</c:v>
                </c:pt>
                <c:pt idx="160">
                  <c:v>157</c:v>
                </c:pt>
                <c:pt idx="161">
                  <c:v>158</c:v>
                </c:pt>
                <c:pt idx="162">
                  <c:v>159</c:v>
                </c:pt>
                <c:pt idx="163">
                  <c:v>160</c:v>
                </c:pt>
                <c:pt idx="164">
                  <c:v>161</c:v>
                </c:pt>
                <c:pt idx="165">
                  <c:v>162</c:v>
                </c:pt>
                <c:pt idx="166">
                  <c:v>163</c:v>
                </c:pt>
                <c:pt idx="167">
                  <c:v>164</c:v>
                </c:pt>
                <c:pt idx="168">
                  <c:v>165</c:v>
                </c:pt>
                <c:pt idx="169">
                  <c:v>166</c:v>
                </c:pt>
                <c:pt idx="170">
                  <c:v>167</c:v>
                </c:pt>
                <c:pt idx="171">
                  <c:v>168</c:v>
                </c:pt>
                <c:pt idx="172">
                  <c:v>169</c:v>
                </c:pt>
                <c:pt idx="173">
                  <c:v>170</c:v>
                </c:pt>
              </c:numCache>
            </c:numRef>
          </c:xVal>
          <c:yVal>
            <c:numRef>
              <c:f>(model!$F$10:$F$32,model!$H$10:$H$32,model!$J$10:$J$32,model!$L$10:$L$32,model!$N$10:$N$32,model!$P$10:$P$32,model!$R$10:$R$32,model!$T$10:$T$30,model!$T$30,model!$T$29,model!$T$28,model!$T$27,model!$T$26,model!$T$24,model!$T$24,model!$T$25,model!$T$24,model!$T$23,model!$T$22,model!$T$21,model!$T$20,model!$T$19)</c:f>
              <c:numCache>
                <c:formatCode>0.00</c:formatCode>
                <c:ptCount val="196"/>
                <c:pt idx="0">
                  <c:v>3.4694017114233335</c:v>
                </c:pt>
                <c:pt idx="1">
                  <c:v>6.8430075753717068</c:v>
                </c:pt>
                <c:pt idx="2">
                  <c:v>10.123462671647587</c:v>
                </c:pt>
                <c:pt idx="3">
                  <c:v>13.313339045080117</c:v>
                </c:pt>
                <c:pt idx="4">
                  <c:v>16.415137722140045</c:v>
                </c:pt>
                <c:pt idx="5">
                  <c:v>19.431290671872631</c:v>
                </c:pt>
                <c:pt idx="6">
                  <c:v>22.364162712685864</c:v>
                </c:pt>
                <c:pt idx="7">
                  <c:v>25.21605336648928</c:v>
                </c:pt>
                <c:pt idx="8">
                  <c:v>27.989198661636923</c:v>
                </c:pt>
                <c:pt idx="9">
                  <c:v>30.685772886088095</c:v>
                </c:pt>
                <c:pt idx="10">
                  <c:v>33.307890292160515</c:v>
                </c:pt>
                <c:pt idx="11">
                  <c:v>35.857606754212405</c:v>
                </c:pt>
                <c:pt idx="12">
                  <c:v>38.336921380553285</c:v>
                </c:pt>
                <c:pt idx="13">
                  <c:v>40.74777808084734</c:v>
                </c:pt>
                <c:pt idx="14">
                  <c:v>43.092067090238125</c:v>
                </c:pt>
                <c:pt idx="15">
                  <c:v>45.371626451389723</c:v>
                </c:pt>
                <c:pt idx="16">
                  <c:v>47.588243455606445</c:v>
                </c:pt>
                <c:pt idx="17">
                  <c:v>49.743656044160602</c:v>
                </c:pt>
                <c:pt idx="18">
                  <c:v>51.839554170927634</c:v>
                </c:pt>
                <c:pt idx="19">
                  <c:v>53.877581127396411</c:v>
                </c:pt>
                <c:pt idx="20">
                  <c:v>55.85933483109401</c:v>
                </c:pt>
                <c:pt idx="21">
                  <c:v>57.786369078434831</c:v>
                </c:pt>
                <c:pt idx="22">
                  <c:v>59.660194762976651</c:v>
                </c:pt>
                <c:pt idx="23">
                  <c:v>61.482281060038495</c:v>
                </c:pt>
                <c:pt idx="24">
                  <c:v>63.254056578609408</c:v>
                </c:pt>
                <c:pt idx="25">
                  <c:v>64.976910481450986</c:v>
                </c:pt>
                <c:pt idx="26">
                  <c:v>66.652193574272275</c:v>
                </c:pt>
                <c:pt idx="27">
                  <c:v>68.28121936483052</c:v>
                </c:pt>
                <c:pt idx="28">
                  <c:v>69.865265092788533</c:v>
                </c:pt>
                <c:pt idx="29">
                  <c:v>71.405572731136147</c:v>
                </c:pt>
                <c:pt idx="30">
                  <c:v>72.903349959960451</c:v>
                </c:pt>
                <c:pt idx="31">
                  <c:v>74.359771113329018</c:v>
                </c:pt>
                <c:pt idx="32">
                  <c:v>75.775978100027871</c:v>
                </c:pt>
                <c:pt idx="33">
                  <c:v>77.153081298876486</c:v>
                </c:pt>
                <c:pt idx="34">
                  <c:v>78.492160429321643</c:v>
                </c:pt>
                <c:pt idx="35">
                  <c:v>79.794265397992874</c:v>
                </c:pt>
                <c:pt idx="36">
                  <c:v>81.06041712188285</c:v>
                </c:pt>
                <c:pt idx="37">
                  <c:v>82.29160832879883</c:v>
                </c:pt>
                <c:pt idx="38">
                  <c:v>83.488804335711905</c:v>
                </c:pt>
                <c:pt idx="39">
                  <c:v>84.652943805615095</c:v>
                </c:pt>
                <c:pt idx="40">
                  <c:v>85.784939483483114</c:v>
                </c:pt>
                <c:pt idx="41">
                  <c:v>86.88567891191127</c:v>
                </c:pt>
                <c:pt idx="42">
                  <c:v>87.956025126994277</c:v>
                </c:pt>
                <c:pt idx="43">
                  <c:v>88.996817334990723</c:v>
                </c:pt>
                <c:pt idx="44">
                  <c:v>90.008871570303853</c:v>
                </c:pt>
                <c:pt idx="45">
                  <c:v>90.992981335294289</c:v>
                </c:pt>
                <c:pt idx="46">
                  <c:v>91.949918222426476</c:v>
                </c:pt>
                <c:pt idx="47">
                  <c:v>92.88043251923682</c:v>
                </c:pt>
                <c:pt idx="48">
                  <c:v>93.785253796597445</c:v>
                </c:pt>
                <c:pt idx="49">
                  <c:v>94.665091480737146</c:v>
                </c:pt>
                <c:pt idx="50">
                  <c:v>95.520635409467943</c:v>
                </c:pt>
                <c:pt idx="51">
                  <c:v>96.352556373053218</c:v>
                </c:pt>
                <c:pt idx="52">
                  <c:v>97.161506640141624</c:v>
                </c:pt>
                <c:pt idx="53">
                  <c:v>97.948120469179159</c:v>
                </c:pt>
                <c:pt idx="54">
                  <c:v>98.713014605700224</c:v>
                </c:pt>
                <c:pt idx="55">
                  <c:v>99.456788765887794</c:v>
                </c:pt>
                <c:pt idx="56">
                  <c:v>100.18002610678158</c:v>
                </c:pt>
                <c:pt idx="57">
                  <c:v>100.88329368350294</c:v>
                </c:pt>
                <c:pt idx="58">
                  <c:v>101.56714289385529</c:v>
                </c:pt>
                <c:pt idx="59">
                  <c:v>102.23210991064815</c:v>
                </c:pt>
                <c:pt idx="60">
                  <c:v>102.87871610208404</c:v>
                </c:pt>
                <c:pt idx="61">
                  <c:v>103.50746844053798</c:v>
                </c:pt>
                <c:pt idx="62">
                  <c:v>104.11885990004964</c:v>
                </c:pt>
                <c:pt idx="63">
                  <c:v>104.71336984284044</c:v>
                </c:pt>
                <c:pt idx="64">
                  <c:v>105.29146439515789</c:v>
                </c:pt>
                <c:pt idx="65">
                  <c:v>105.85359681274254</c:v>
                </c:pt>
                <c:pt idx="66">
                  <c:v>106.40020783620373</c:v>
                </c:pt>
                <c:pt idx="67">
                  <c:v>106.93172603658269</c:v>
                </c:pt>
                <c:pt idx="68">
                  <c:v>107.44856815137435</c:v>
                </c:pt>
                <c:pt idx="69">
                  <c:v>107.95113941127069</c:v>
                </c:pt>
                <c:pt idx="70">
                  <c:v>108.43983385788256</c:v>
                </c:pt>
                <c:pt idx="71">
                  <c:v>108.91503465268832</c:v>
                </c:pt>
                <c:pt idx="72">
                  <c:v>109.37711437745213</c:v>
                </c:pt>
                <c:pt idx="73">
                  <c:v>109.82643532634718</c:v>
                </c:pt>
                <c:pt idx="74">
                  <c:v>110.26334979001284</c:v>
                </c:pt>
                <c:pt idx="75">
                  <c:v>110.68820033176851</c:v>
                </c:pt>
                <c:pt idx="76">
                  <c:v>111.10132005620095</c:v>
                </c:pt>
                <c:pt idx="77">
                  <c:v>111.50303287033518</c:v>
                </c:pt>
                <c:pt idx="78">
                  <c:v>111.89365373759431</c:v>
                </c:pt>
                <c:pt idx="79">
                  <c:v>112.2734889247469</c:v>
                </c:pt>
                <c:pt idx="80">
                  <c:v>112.64283624203584</c:v>
                </c:pt>
                <c:pt idx="81">
                  <c:v>113.00198527667686</c:v>
                </c:pt>
                <c:pt idx="82">
                  <c:v>113.35121761990968</c:v>
                </c:pt>
                <c:pt idx="83">
                  <c:v>113.69080708778002</c:v>
                </c:pt>
                <c:pt idx="84">
                  <c:v>114.02101993582538</c:v>
                </c:pt>
                <c:pt idx="85">
                  <c:v>114.34211506783298</c:v>
                </c:pt>
                <c:pt idx="86">
                  <c:v>114.65434423883369</c:v>
                </c:pt>
                <c:pt idx="87">
                  <c:v>114.95795225249077</c:v>
                </c:pt>
                <c:pt idx="88">
                  <c:v>115.25317715303854</c:v>
                </c:pt>
                <c:pt idx="89">
                  <c:v>115.54025041192125</c:v>
                </c:pt>
                <c:pt idx="90">
                  <c:v>115.81939710927853</c:v>
                </c:pt>
                <c:pt idx="91">
                  <c:v>116.09083611041973</c:v>
                </c:pt>
                <c:pt idx="92">
                  <c:v>116.3547802374256</c:v>
                </c:pt>
                <c:pt idx="93">
                  <c:v>116.6114364360116</c:v>
                </c:pt>
                <c:pt idx="94">
                  <c:v>116.86100593778407</c:v>
                </c:pt>
                <c:pt idx="95">
                  <c:v>117.10368441801599</c:v>
                </c:pt>
                <c:pt idx="96">
                  <c:v>117.33966214906653</c:v>
                </c:pt>
                <c:pt idx="97">
                  <c:v>117.5691241495642</c:v>
                </c:pt>
                <c:pt idx="98">
                  <c:v>117.79225032947109</c:v>
                </c:pt>
                <c:pt idx="99">
                  <c:v>118.00921563114137</c:v>
                </c:pt>
                <c:pt idx="100">
                  <c:v>118.22019016648505</c:v>
                </c:pt>
                <c:pt idx="101">
                  <c:v>118.42533935034456</c:v>
                </c:pt>
                <c:pt idx="102">
                  <c:v>118.62482403018831</c:v>
                </c:pt>
                <c:pt idx="103">
                  <c:v>118.81880061222346</c:v>
                </c:pt>
                <c:pt idx="104">
                  <c:v>119.00742118402628</c:v>
                </c:pt>
                <c:pt idx="105">
                  <c:v>119.19083363378675</c:v>
                </c:pt>
                <c:pt idx="106">
                  <c:v>119.36918176626035</c:v>
                </c:pt>
                <c:pt idx="107">
                  <c:v>119.54260541551842</c:v>
                </c:pt>
                <c:pt idx="108">
                  <c:v>119.71124055458517</c:v>
                </c:pt>
                <c:pt idx="109">
                  <c:v>119.87521940204761</c:v>
                </c:pt>
                <c:pt idx="110">
                  <c:v>120.03467052572154</c:v>
                </c:pt>
                <c:pt idx="111">
                  <c:v>120.18971894345546</c:v>
                </c:pt>
                <c:pt idx="112">
                  <c:v>120.34048622115087</c:v>
                </c:pt>
                <c:pt idx="113">
                  <c:v>120.48709056807617</c:v>
                </c:pt>
                <c:pt idx="114">
                  <c:v>120.62964692954884</c:v>
                </c:pt>
                <c:pt idx="115">
                  <c:v>120.76826707705838</c:v>
                </c:pt>
                <c:pt idx="116">
                  <c:v>120.90305969590092</c:v>
                </c:pt>
                <c:pt idx="117">
                  <c:v>121.03413047039408</c:v>
                </c:pt>
                <c:pt idx="118">
                  <c:v>121.16158216673885</c:v>
                </c:pt>
                <c:pt idx="119">
                  <c:v>121.2855147135936</c:v>
                </c:pt>
                <c:pt idx="120">
                  <c:v>121.40602528042321</c:v>
                </c:pt>
                <c:pt idx="121">
                  <c:v>121.52320835368494</c:v>
                </c:pt>
                <c:pt idx="122">
                  <c:v>121.63715581091068</c:v>
                </c:pt>
                <c:pt idx="123">
                  <c:v>121.74795699274357</c:v>
                </c:pt>
                <c:pt idx="124">
                  <c:v>121.85569877298569</c:v>
                </c:pt>
                <c:pt idx="125">
                  <c:v>121.96046562671158</c:v>
                </c:pt>
                <c:pt idx="126">
                  <c:v>122.06233969650103</c:v>
                </c:pt>
                <c:pt idx="127">
                  <c:v>122.16140085684296</c:v>
                </c:pt>
                <c:pt idx="128">
                  <c:v>122.2577267767613</c:v>
                </c:pt>
                <c:pt idx="129">
                  <c:v>122.35139298071131</c:v>
                </c:pt>
                <c:pt idx="130">
                  <c:v>122.44247290779475</c:v>
                </c:pt>
                <c:pt idx="131">
                  <c:v>122.53103796933978</c:v>
                </c:pt>
                <c:pt idx="132">
                  <c:v>122.6171576048912</c:v>
                </c:pt>
                <c:pt idx="133">
                  <c:v>122.70089933665457</c:v>
                </c:pt>
                <c:pt idx="134">
                  <c:v>122.78232882243708</c:v>
                </c:pt>
                <c:pt idx="135">
                  <c:v>122.86150990712657</c:v>
                </c:pt>
                <c:pt idx="136">
                  <c:v>122.93850467274935</c:v>
                </c:pt>
                <c:pt idx="137">
                  <c:v>123.01337348714553</c:v>
                </c:pt>
                <c:pt idx="138">
                  <c:v>123.08617505130057</c:v>
                </c:pt>
                <c:pt idx="139">
                  <c:v>123.15696644536989</c:v>
                </c:pt>
                <c:pt idx="140">
                  <c:v>123.22580317343251</c:v>
                </c:pt>
                <c:pt idx="141">
                  <c:v>123.29273920700928</c:v>
                </c:pt>
                <c:pt idx="142">
                  <c:v>123.35782702737913</c:v>
                </c:pt>
                <c:pt idx="143">
                  <c:v>123.42111766672724</c:v>
                </c:pt>
                <c:pt idx="144">
                  <c:v>123.48266074815675</c:v>
                </c:pt>
                <c:pt idx="145">
                  <c:v>123.54250452459591</c:v>
                </c:pt>
                <c:pt idx="146">
                  <c:v>123.60069591663078</c:v>
                </c:pt>
                <c:pt idx="147">
                  <c:v>123.65728054929349</c:v>
                </c:pt>
                <c:pt idx="148">
                  <c:v>123.71230278783442</c:v>
                </c:pt>
                <c:pt idx="149">
                  <c:v>123.76580577250698</c:v>
                </c:pt>
                <c:pt idx="150">
                  <c:v>123.81783145239173</c:v>
                </c:pt>
                <c:pt idx="151">
                  <c:v>123.86842061828658</c:v>
                </c:pt>
                <c:pt idx="152">
                  <c:v>123.91761293468892</c:v>
                </c:pt>
                <c:pt idx="153">
                  <c:v>123.96544697089455</c:v>
                </c:pt>
                <c:pt idx="154">
                  <c:v>124.01196023123806</c:v>
                </c:pt>
                <c:pt idx="155">
                  <c:v>124.05718918449809</c:v>
                </c:pt>
                <c:pt idx="156">
                  <c:v>124.10116929249072</c:v>
                </c:pt>
                <c:pt idx="157">
                  <c:v>124.14393503787343</c:v>
                </c:pt>
                <c:pt idx="158">
                  <c:v>124.18551995118116</c:v>
                </c:pt>
                <c:pt idx="159">
                  <c:v>124.22595663711604</c:v>
                </c:pt>
                <c:pt idx="160">
                  <c:v>124.26527680011111</c:v>
                </c:pt>
                <c:pt idx="161">
                  <c:v>124.30351126918826</c:v>
                </c:pt>
                <c:pt idx="162">
                  <c:v>124.34069002212969</c:v>
                </c:pt>
                <c:pt idx="163">
                  <c:v>124.3768422089821</c:v>
                </c:pt>
                <c:pt idx="164">
                  <c:v>124.41199617491182</c:v>
                </c:pt>
                <c:pt idx="165">
                  <c:v>124.44617948242882</c:v>
                </c:pt>
                <c:pt idx="166">
                  <c:v>124.47941893299712</c:v>
                </c:pt>
                <c:pt idx="167">
                  <c:v>124.51174058804861</c:v>
                </c:pt>
                <c:pt idx="168">
                  <c:v>124.54316978941644</c:v>
                </c:pt>
                <c:pt idx="169">
                  <c:v>124.57373117920437</c:v>
                </c:pt>
                <c:pt idx="170">
                  <c:v>124.83657352380695</c:v>
                </c:pt>
                <c:pt idx="171">
                  <c:v>125.03522549442367</c:v>
                </c:pt>
                <c:pt idx="172">
                  <c:v>125.18536342402392</c:v>
                </c:pt>
                <c:pt idx="173">
                  <c:v>125.53542203102809</c:v>
                </c:pt>
                <c:pt idx="174">
                  <c:v>125.62174542071693</c:v>
                </c:pt>
                <c:pt idx="175">
                  <c:v>125.64828183726435</c:v>
                </c:pt>
                <c:pt idx="176">
                  <c:v>125.64989551841646</c:v>
                </c:pt>
                <c:pt idx="177">
                  <c:v>125.64999364646836</c:v>
                </c:pt>
                <c:pt idx="178">
                  <c:v>125.64999961364134</c:v>
                </c:pt>
                <c:pt idx="179">
                  <c:v>125.64999997650551</c:v>
                </c:pt>
                <c:pt idx="180">
                  <c:v>125.6499999985713</c:v>
                </c:pt>
                <c:pt idx="181">
                  <c:v>125.64999999991312</c:v>
                </c:pt>
                <c:pt idx="182">
                  <c:v>125.64999999991312</c:v>
                </c:pt>
                <c:pt idx="183">
                  <c:v>125.6499999985713</c:v>
                </c:pt>
                <c:pt idx="184">
                  <c:v>125.64999997650551</c:v>
                </c:pt>
                <c:pt idx="185">
                  <c:v>125.64999961364134</c:v>
                </c:pt>
                <c:pt idx="186">
                  <c:v>125.64999364646836</c:v>
                </c:pt>
                <c:pt idx="187">
                  <c:v>125.64828183726435</c:v>
                </c:pt>
                <c:pt idx="188">
                  <c:v>125.64828183726435</c:v>
                </c:pt>
                <c:pt idx="189">
                  <c:v>125.64989551841646</c:v>
                </c:pt>
                <c:pt idx="190">
                  <c:v>125.64828183726435</c:v>
                </c:pt>
                <c:pt idx="191">
                  <c:v>125.62174542071693</c:v>
                </c:pt>
                <c:pt idx="192">
                  <c:v>125.53542203102809</c:v>
                </c:pt>
                <c:pt idx="193">
                  <c:v>125.18536342402392</c:v>
                </c:pt>
                <c:pt idx="194">
                  <c:v>125.03522549442367</c:v>
                </c:pt>
                <c:pt idx="195">
                  <c:v>124.83657352380695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0E-4B6D-A907-520CD1383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95328"/>
        <c:axId val="105615744"/>
      </c:scatterChart>
      <c:valAx>
        <c:axId val="10379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615744"/>
        <c:crosses val="autoZero"/>
        <c:crossBetween val="midCat"/>
      </c:valAx>
      <c:valAx>
        <c:axId val="1056157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3795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model!$F$39</c:f>
              <c:strCache>
                <c:ptCount val="1"/>
                <c:pt idx="0">
                  <c:v>Conc. NO3- -N (mg/L)</c:v>
                </c:pt>
              </c:strCache>
            </c:strRef>
          </c:tx>
          <c:xVal>
            <c:numRef>
              <c:f>(model!$E$40:$E$60,model!$G$40:$G$60,model!$I$40:$I$60,model!$K$40:$K$60,model!$M$40:$M$60,model!$O$40:$O$60,model!$Q$40:$Q$60,model!$S$40:$S$41)</c:f>
              <c:numCache>
                <c:formatCode>General</c:formatCode>
                <c:ptCount val="14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150</c:v>
                </c:pt>
              </c:numCache>
            </c:numRef>
          </c:xVal>
          <c:yVal>
            <c:numRef>
              <c:f>(model!$F$40:$F$60,model!$H$40:$H$60,model!$J$40:$J$60,model!$L$40:$L$60,model!$N$40:$N$60,model!$P$40:$P$60,model!$R$40:$R$60,model!$T$40:$T$41)</c:f>
              <c:numCache>
                <c:formatCode>0.00</c:formatCode>
                <c:ptCount val="149"/>
                <c:pt idx="0">
                  <c:v>0.1546991450899903</c:v>
                </c:pt>
                <c:pt idx="1">
                  <c:v>0.30512679412959454</c:v>
                </c:pt>
                <c:pt idx="2">
                  <c:v>0.45140089010096701</c:v>
                </c:pt>
                <c:pt idx="3">
                  <c:v>0.59363611938789873</c:v>
                </c:pt>
                <c:pt idx="4">
                  <c:v>0.73194400169581841</c:v>
                </c:pt>
                <c:pt idx="5">
                  <c:v>0.8664329774889562</c:v>
                </c:pt>
                <c:pt idx="6">
                  <c:v>0.99720849301321801</c:v>
                </c:pt>
                <c:pt idx="7">
                  <c:v>1.1243730829714458</c:v>
                </c:pt>
                <c:pt idx="8">
                  <c:v>1.2480264509158769</c:v>
                </c:pt>
                <c:pt idx="9">
                  <c:v>1.3682655474208361</c:v>
                </c:pt>
                <c:pt idx="10">
                  <c:v>1.4851846460969509</c:v>
                </c:pt>
                <c:pt idx="11">
                  <c:v>1.5988754175064923</c:v>
                </c:pt>
                <c:pt idx="12">
                  <c:v>1.7094270010377897</c:v>
                </c:pt>
                <c:pt idx="13">
                  <c:v>1.8169260747950799</c:v>
                </c:pt>
                <c:pt idx="14">
                  <c:v>1.9214569235585779</c:v>
                </c:pt>
                <c:pt idx="15">
                  <c:v>2.0231015048680634</c:v>
                </c:pt>
                <c:pt idx="16">
                  <c:v>2.1219395132817915</c:v>
                </c:pt>
                <c:pt idx="17">
                  <c:v>2.2180484428611043</c:v>
                </c:pt>
                <c:pt idx="18">
                  <c:v>2.3115036479297482</c:v>
                </c:pt>
                <c:pt idx="19">
                  <c:v>2.4023784021555219</c:v>
                </c:pt>
                <c:pt idx="20">
                  <c:v>2.4907439560005873</c:v>
                </c:pt>
                <c:pt idx="21">
                  <c:v>2.5766695925854775</c:v>
                </c:pt>
                <c:pt idx="22">
                  <c:v>2.660222682010617</c:v>
                </c:pt>
                <c:pt idx="23">
                  <c:v>2.7414687341779267</c:v>
                </c:pt>
                <c:pt idx="24">
                  <c:v>2.8204714501539465</c:v>
                </c:pt>
                <c:pt idx="25">
                  <c:v>2.8972927721147297</c:v>
                </c:pt>
                <c:pt idx="26">
                  <c:v>2.9719929319116893</c:v>
                </c:pt>
                <c:pt idx="27">
                  <c:v>3.0446304982964474</c:v>
                </c:pt>
                <c:pt idx="28">
                  <c:v>3.1152624228417389</c:v>
                </c:pt>
                <c:pt idx="29">
                  <c:v>3.1839440845943643</c:v>
                </c:pt>
                <c:pt idx="30">
                  <c:v>3.2507293334951948</c:v>
                </c:pt>
                <c:pt idx="31">
                  <c:v>3.3156705326002882</c:v>
                </c:pt>
                <c:pt idx="32">
                  <c:v>3.378818599136205</c:v>
                </c:pt>
                <c:pt idx="33">
                  <c:v>3.4402230444217219</c:v>
                </c:pt>
                <c:pt idx="34">
                  <c:v>3.4999320126872409</c:v>
                </c:pt>
                <c:pt idx="35">
                  <c:v>3.5579923188223375</c:v>
                </c:pt>
                <c:pt idx="36">
                  <c:v>3.6144494850810238</c:v>
                </c:pt>
                <c:pt idx="37">
                  <c:v>3.669347776773535</c:v>
                </c:pt>
                <c:pt idx="38">
                  <c:v>3.7227302369725939</c:v>
                </c:pt>
                <c:pt idx="39">
                  <c:v>3.7746387202613896</c:v>
                </c:pt>
                <c:pt idx="40">
                  <c:v>3.8251139255497111</c:v>
                </c:pt>
                <c:pt idx="41">
                  <c:v>3.8741954279839801</c:v>
                </c:pt>
                <c:pt idx="42">
                  <c:v>3.9219217099761901</c:v>
                </c:pt>
                <c:pt idx="43">
                  <c:v>3.9683301913760909</c:v>
                </c:pt>
                <c:pt idx="44">
                  <c:v>4.0134572588102664</c:v>
                </c:pt>
                <c:pt idx="45">
                  <c:v>4.0573382942111147</c:v>
                </c:pt>
                <c:pt idx="46">
                  <c:v>4.1000077025580923</c:v>
                </c:pt>
                <c:pt idx="47">
                  <c:v>4.1414989388529868</c:v>
                </c:pt>
                <c:pt idx="48">
                  <c:v>4.1818445343503425</c:v>
                </c:pt>
                <c:pt idx="49">
                  <c:v>4.2210761220636401</c:v>
                </c:pt>
                <c:pt idx="50">
                  <c:v>4.2592244615671939</c:v>
                </c:pt>
                <c:pt idx="51">
                  <c:v>4.2963194631132335</c:v>
                </c:pt>
                <c:pt idx="52">
                  <c:v>4.3323902110830774</c:v>
                </c:pt>
                <c:pt idx="53">
                  <c:v>4.3674649867907736</c:v>
                </c:pt>
                <c:pt idx="54">
                  <c:v>4.401571290657099</c:v>
                </c:pt>
                <c:pt idx="55">
                  <c:v>4.4347358637713032</c:v>
                </c:pt>
                <c:pt idx="56">
                  <c:v>4.4669847088574848</c:v>
                </c:pt>
                <c:pt idx="57">
                  <c:v>4.4983431106620637</c:v>
                </c:pt>
                <c:pt idx="58">
                  <c:v>4.5288356557783143</c:v>
                </c:pt>
                <c:pt idx="59">
                  <c:v>4.5584862519235188</c:v>
                </c:pt>
                <c:pt idx="60">
                  <c:v>4.5873181466838382</c:v>
                </c:pt>
                <c:pt idx="61">
                  <c:v>4.6153539457416102</c:v>
                </c:pt>
                <c:pt idx="62">
                  <c:v>4.6426156305993649</c:v>
                </c:pt>
                <c:pt idx="63">
                  <c:v>4.6691245758144468</c:v>
                </c:pt>
                <c:pt idx="64">
                  <c:v>4.6949015657577657</c:v>
                </c:pt>
                <c:pt idx="65">
                  <c:v>4.7199668109098001</c:v>
                </c:pt>
                <c:pt idx="66">
                  <c:v>4.7443399637066603</c:v>
                </c:pt>
                <c:pt idx="67">
                  <c:v>4.7680401339485963</c:v>
                </c:pt>
                <c:pt idx="68">
                  <c:v>4.7910859037830642</c:v>
                </c:pt>
                <c:pt idx="69">
                  <c:v>4.8134953422740798</c:v>
                </c:pt>
                <c:pt idx="70">
                  <c:v>4.8352860195692919</c:v>
                </c:pt>
                <c:pt idx="71">
                  <c:v>4.8564750206758758</c:v>
                </c:pt>
                <c:pt idx="72">
                  <c:v>4.8770789588560568</c:v>
                </c:pt>
                <c:pt idx="73">
                  <c:v>4.8971139886527562</c:v>
                </c:pt>
                <c:pt idx="74">
                  <c:v>4.9165958185555843</c:v>
                </c:pt>
                <c:pt idx="75">
                  <c:v>4.9355397233170937</c:v>
                </c:pt>
                <c:pt idx="76">
                  <c:v>4.953960555928977</c:v>
                </c:pt>
                <c:pt idx="77">
                  <c:v>4.9718727592675647</c:v>
                </c:pt>
                <c:pt idx="78">
                  <c:v>4.9892903774177864</c:v>
                </c:pt>
                <c:pt idx="79">
                  <c:v>5.0062270666844482</c:v>
                </c:pt>
                <c:pt idx="80">
                  <c:v>5.0226961062994775</c:v>
                </c:pt>
                <c:pt idx="81">
                  <c:v>5.0387104088335208</c:v>
                </c:pt>
                <c:pt idx="82">
                  <c:v>5.0542825303200605</c:v>
                </c:pt>
                <c:pt idx="83">
                  <c:v>5.0694246800999867</c:v>
                </c:pt>
                <c:pt idx="84">
                  <c:v>5.0841487303943502</c:v>
                </c:pt>
                <c:pt idx="85">
                  <c:v>5.0984662256127855</c:v>
                </c:pt>
                <c:pt idx="86">
                  <c:v>5.1123883914049237</c:v>
                </c:pt>
                <c:pt idx="87">
                  <c:v>5.1259261434618777</c:v>
                </c:pt>
                <c:pt idx="88">
                  <c:v>5.1390900960746988</c:v>
                </c:pt>
                <c:pt idx="89">
                  <c:v>5.1518905704565299</c:v>
                </c:pt>
                <c:pt idx="90">
                  <c:v>5.1643376028349595</c:v>
                </c:pt>
                <c:pt idx="91">
                  <c:v>5.1764409523209425</c:v>
                </c:pt>
                <c:pt idx="92">
                  <c:v>5.1882101085604431</c:v>
                </c:pt>
                <c:pt idx="93">
                  <c:v>5.1996542991747985</c:v>
                </c:pt>
                <c:pt idx="94">
                  <c:v>5.2107824969956544</c:v>
                </c:pt>
                <c:pt idx="95">
                  <c:v>5.2216034271001179</c:v>
                </c:pt>
                <c:pt idx="96">
                  <c:v>5.2321255736516674</c:v>
                </c:pt>
                <c:pt idx="97">
                  <c:v>5.2423571865521721</c:v>
                </c:pt>
                <c:pt idx="98">
                  <c:v>5.252306287910236</c:v>
                </c:pt>
                <c:pt idx="99">
                  <c:v>5.2619806783309446</c:v>
                </c:pt>
                <c:pt idx="100">
                  <c:v>5.2713879430319341</c:v>
                </c:pt>
                <c:pt idx="101">
                  <c:v>5.280535457790597</c:v>
                </c:pt>
                <c:pt idx="102">
                  <c:v>5.2894303947270629</c:v>
                </c:pt>
                <c:pt idx="103">
                  <c:v>5.2980797279275142</c:v>
                </c:pt>
                <c:pt idx="104">
                  <c:v>5.306490238912219</c:v>
                </c:pt>
                <c:pt idx="105">
                  <c:v>5.3146685219526013</c:v>
                </c:pt>
                <c:pt idx="106">
                  <c:v>5.3226209892414769</c:v>
                </c:pt>
                <c:pt idx="107">
                  <c:v>5.3303538759205473</c:v>
                </c:pt>
                <c:pt idx="108">
                  <c:v>5.3378732449690665</c:v>
                </c:pt>
                <c:pt idx="109">
                  <c:v>5.3451849919575336</c:v>
                </c:pt>
                <c:pt idx="110">
                  <c:v>5.3522948496701117</c:v>
                </c:pt>
                <c:pt idx="111">
                  <c:v>5.3592083925994354</c:v>
                </c:pt>
                <c:pt idx="112">
                  <c:v>5.3659310413172907</c:v>
                </c:pt>
                <c:pt idx="113">
                  <c:v>5.3724680667246245</c:v>
                </c:pt>
                <c:pt idx="114">
                  <c:v>5.3788245941841994</c:v>
                </c:pt>
                <c:pt idx="115">
                  <c:v>5.3850056075391439</c:v>
                </c:pt>
                <c:pt idx="116">
                  <c:v>5.3910159530205348</c:v>
                </c:pt>
                <c:pt idx="117">
                  <c:v>5.3968603430470949</c:v>
                </c:pt>
                <c:pt idx="118">
                  <c:v>5.4025433599199717</c:v>
                </c:pt>
                <c:pt idx="119">
                  <c:v>5.4080694594154926</c:v>
                </c:pt>
                <c:pt idx="120">
                  <c:v>5.4134429742787225</c:v>
                </c:pt>
                <c:pt idx="121">
                  <c:v>5.4186681176205616</c:v>
                </c:pt>
                <c:pt idx="122">
                  <c:v>5.4237489862210353</c:v>
                </c:pt>
                <c:pt idx="123">
                  <c:v>5.428689563741381</c:v>
                </c:pt>
                <c:pt idx="124">
                  <c:v>5.4334937238474454</c:v>
                </c:pt>
                <c:pt idx="125">
                  <c:v>5.4381652332468322</c:v>
                </c:pt>
                <c:pt idx="126">
                  <c:v>5.4427077546421989</c:v>
                </c:pt>
                <c:pt idx="127">
                  <c:v>5.447124849603</c:v>
                </c:pt>
                <c:pt idx="128">
                  <c:v>5.4514199813579385</c:v>
                </c:pt>
                <c:pt idx="129">
                  <c:v>5.4555965175103198</c:v>
                </c:pt>
                <c:pt idx="130">
                  <c:v>5.4596577326784201</c:v>
                </c:pt>
                <c:pt idx="131">
                  <c:v>5.4636068110629576</c:v>
                </c:pt>
                <c:pt idx="132">
                  <c:v>5.4674468489436681</c:v>
                </c:pt>
                <c:pt idx="133">
                  <c:v>5.4711808571069467</c:v>
                </c:pt>
                <c:pt idx="134">
                  <c:v>5.4748117632064606</c:v>
                </c:pt>
                <c:pt idx="135">
                  <c:v>5.4783424140585746</c:v>
                </c:pt>
                <c:pt idx="136">
                  <c:v>5.4817755778744077</c:v>
                </c:pt>
                <c:pt idx="137">
                  <c:v>5.4851139464302472</c:v>
                </c:pt>
                <c:pt idx="138">
                  <c:v>5.4883601371780397</c:v>
                </c:pt>
                <c:pt idx="139">
                  <c:v>5.4915166952976122</c:v>
                </c:pt>
                <c:pt idx="140">
                  <c:v>5.494586095692215</c:v>
                </c:pt>
                <c:pt idx="141">
                  <c:v>5.497570744928983</c:v>
                </c:pt>
                <c:pt idx="142">
                  <c:v>5.5004729831257979</c:v>
                </c:pt>
                <c:pt idx="143">
                  <c:v>5.5032950857860676</c:v>
                </c:pt>
                <c:pt idx="144">
                  <c:v>5.5060392655828325</c:v>
                </c:pt>
                <c:pt idx="145">
                  <c:v>5.5087076740936176</c:v>
                </c:pt>
                <c:pt idx="146">
                  <c:v>5.5113024034873774</c:v>
                </c:pt>
                <c:pt idx="147">
                  <c:v>5.5138254881648674</c:v>
                </c:pt>
                <c:pt idx="148">
                  <c:v>5.5186645816594462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B9-4178-9DA8-4C7A173A3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48128"/>
        <c:axId val="105649664"/>
      </c:scatterChart>
      <c:valAx>
        <c:axId val="10564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649664"/>
        <c:crosses val="autoZero"/>
        <c:crossBetween val="midCat"/>
      </c:valAx>
      <c:valAx>
        <c:axId val="10564966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56481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model!$F$9</c:f>
              <c:strCache>
                <c:ptCount val="1"/>
                <c:pt idx="0">
                  <c:v>Conc. Fe²⁺ (mg/L)</c:v>
                </c:pt>
              </c:strCache>
            </c:strRef>
          </c:tx>
          <c:xVal>
            <c:numRef>
              <c:f>(model!$E$10:$E$32,model!$G$10:$G$32,model!$I$10:$I$32,model!$K$10:$K$32,model!$M$10:$M$32,model!$O$9:$O$10,model!$O$10,model!$O$10:$O$32,model!$O$9,model!$Q$10:$Q$32,model!$S$10:$S$18)</c:f>
              <c:numCache>
                <c:formatCode>General</c:formatCode>
                <c:ptCount val="17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6">
                  <c:v>116</c:v>
                </c:pt>
                <c:pt idx="117">
                  <c:v>116</c:v>
                </c:pt>
                <c:pt idx="118">
                  <c:v>116</c:v>
                </c:pt>
                <c:pt idx="119">
                  <c:v>117</c:v>
                </c:pt>
                <c:pt idx="120">
                  <c:v>118</c:v>
                </c:pt>
                <c:pt idx="121">
                  <c:v>119</c:v>
                </c:pt>
                <c:pt idx="122">
                  <c:v>120</c:v>
                </c:pt>
                <c:pt idx="123">
                  <c:v>121</c:v>
                </c:pt>
                <c:pt idx="124">
                  <c:v>122</c:v>
                </c:pt>
                <c:pt idx="125">
                  <c:v>123</c:v>
                </c:pt>
                <c:pt idx="126">
                  <c:v>124</c:v>
                </c:pt>
                <c:pt idx="127">
                  <c:v>125</c:v>
                </c:pt>
                <c:pt idx="128">
                  <c:v>126</c:v>
                </c:pt>
                <c:pt idx="129">
                  <c:v>127</c:v>
                </c:pt>
                <c:pt idx="130">
                  <c:v>128</c:v>
                </c:pt>
                <c:pt idx="131">
                  <c:v>129</c:v>
                </c:pt>
                <c:pt idx="132">
                  <c:v>130</c:v>
                </c:pt>
                <c:pt idx="133">
                  <c:v>131</c:v>
                </c:pt>
                <c:pt idx="134">
                  <c:v>132</c:v>
                </c:pt>
                <c:pt idx="135">
                  <c:v>133</c:v>
                </c:pt>
                <c:pt idx="136">
                  <c:v>134</c:v>
                </c:pt>
                <c:pt idx="137">
                  <c:v>135</c:v>
                </c:pt>
                <c:pt idx="138">
                  <c:v>136</c:v>
                </c:pt>
                <c:pt idx="139">
                  <c:v>137</c:v>
                </c:pt>
                <c:pt idx="140">
                  <c:v>138</c:v>
                </c:pt>
                <c:pt idx="142">
                  <c:v>139</c:v>
                </c:pt>
                <c:pt idx="143">
                  <c:v>140</c:v>
                </c:pt>
                <c:pt idx="144">
                  <c:v>141</c:v>
                </c:pt>
                <c:pt idx="145">
                  <c:v>142</c:v>
                </c:pt>
                <c:pt idx="146">
                  <c:v>143</c:v>
                </c:pt>
                <c:pt idx="147">
                  <c:v>144</c:v>
                </c:pt>
                <c:pt idx="148">
                  <c:v>145</c:v>
                </c:pt>
                <c:pt idx="149">
                  <c:v>146</c:v>
                </c:pt>
                <c:pt idx="150">
                  <c:v>147</c:v>
                </c:pt>
                <c:pt idx="151">
                  <c:v>148</c:v>
                </c:pt>
                <c:pt idx="152">
                  <c:v>149</c:v>
                </c:pt>
                <c:pt idx="153">
                  <c:v>150</c:v>
                </c:pt>
                <c:pt idx="154">
                  <c:v>151</c:v>
                </c:pt>
                <c:pt idx="155">
                  <c:v>152</c:v>
                </c:pt>
                <c:pt idx="156">
                  <c:v>153</c:v>
                </c:pt>
                <c:pt idx="157">
                  <c:v>154</c:v>
                </c:pt>
                <c:pt idx="158">
                  <c:v>155</c:v>
                </c:pt>
                <c:pt idx="159">
                  <c:v>156</c:v>
                </c:pt>
                <c:pt idx="160">
                  <c:v>157</c:v>
                </c:pt>
                <c:pt idx="161">
                  <c:v>158</c:v>
                </c:pt>
                <c:pt idx="162">
                  <c:v>159</c:v>
                </c:pt>
                <c:pt idx="163">
                  <c:v>160</c:v>
                </c:pt>
                <c:pt idx="164">
                  <c:v>161</c:v>
                </c:pt>
                <c:pt idx="165">
                  <c:v>162</c:v>
                </c:pt>
                <c:pt idx="166">
                  <c:v>163</c:v>
                </c:pt>
                <c:pt idx="167">
                  <c:v>164</c:v>
                </c:pt>
                <c:pt idx="168">
                  <c:v>165</c:v>
                </c:pt>
                <c:pt idx="169">
                  <c:v>166</c:v>
                </c:pt>
                <c:pt idx="170">
                  <c:v>167</c:v>
                </c:pt>
                <c:pt idx="171">
                  <c:v>168</c:v>
                </c:pt>
                <c:pt idx="172">
                  <c:v>169</c:v>
                </c:pt>
                <c:pt idx="173">
                  <c:v>170</c:v>
                </c:pt>
              </c:numCache>
            </c:numRef>
          </c:xVal>
          <c:yVal>
            <c:numRef>
              <c:f>(model!$F$10:$F$32,model!$H$10:$H$32,model!$J$10:$J$32,model!$L$10:$L$32,model!$N$10:$N$32,model!$P$10:$P$32,model!$R$10:$R$32,model!$T$10:$T$30,model!$T$30,model!$T$29,model!$T$28,model!$T$27,model!$T$26,model!$T$24,model!$T$24,model!$T$25,model!$T$24,model!$T$23,model!$T$22,model!$T$21,model!$T$20,model!$T$19)</c:f>
              <c:numCache>
                <c:formatCode>0.00</c:formatCode>
                <c:ptCount val="196"/>
                <c:pt idx="0">
                  <c:v>3.4694017114233335</c:v>
                </c:pt>
                <c:pt idx="1">
                  <c:v>6.8430075753717068</c:v>
                </c:pt>
                <c:pt idx="2">
                  <c:v>10.123462671647587</c:v>
                </c:pt>
                <c:pt idx="3">
                  <c:v>13.313339045080117</c:v>
                </c:pt>
                <c:pt idx="4">
                  <c:v>16.415137722140045</c:v>
                </c:pt>
                <c:pt idx="5">
                  <c:v>19.431290671872631</c:v>
                </c:pt>
                <c:pt idx="6">
                  <c:v>22.364162712685864</c:v>
                </c:pt>
                <c:pt idx="7">
                  <c:v>25.21605336648928</c:v>
                </c:pt>
                <c:pt idx="8">
                  <c:v>27.989198661636923</c:v>
                </c:pt>
                <c:pt idx="9">
                  <c:v>30.685772886088095</c:v>
                </c:pt>
                <c:pt idx="10">
                  <c:v>33.307890292160515</c:v>
                </c:pt>
                <c:pt idx="11">
                  <c:v>35.857606754212405</c:v>
                </c:pt>
                <c:pt idx="12">
                  <c:v>38.336921380553285</c:v>
                </c:pt>
                <c:pt idx="13">
                  <c:v>40.74777808084734</c:v>
                </c:pt>
                <c:pt idx="14">
                  <c:v>43.092067090238125</c:v>
                </c:pt>
                <c:pt idx="15">
                  <c:v>45.371626451389723</c:v>
                </c:pt>
                <c:pt idx="16">
                  <c:v>47.588243455606445</c:v>
                </c:pt>
                <c:pt idx="17">
                  <c:v>49.743656044160602</c:v>
                </c:pt>
                <c:pt idx="18">
                  <c:v>51.839554170927634</c:v>
                </c:pt>
                <c:pt idx="19">
                  <c:v>53.877581127396411</c:v>
                </c:pt>
                <c:pt idx="20">
                  <c:v>55.85933483109401</c:v>
                </c:pt>
                <c:pt idx="21">
                  <c:v>57.786369078434831</c:v>
                </c:pt>
                <c:pt idx="22">
                  <c:v>59.660194762976651</c:v>
                </c:pt>
                <c:pt idx="23">
                  <c:v>61.482281060038495</c:v>
                </c:pt>
                <c:pt idx="24">
                  <c:v>63.254056578609408</c:v>
                </c:pt>
                <c:pt idx="25">
                  <c:v>64.976910481450986</c:v>
                </c:pt>
                <c:pt idx="26">
                  <c:v>66.652193574272275</c:v>
                </c:pt>
                <c:pt idx="27">
                  <c:v>68.28121936483052</c:v>
                </c:pt>
                <c:pt idx="28">
                  <c:v>69.865265092788533</c:v>
                </c:pt>
                <c:pt idx="29">
                  <c:v>71.405572731136147</c:v>
                </c:pt>
                <c:pt idx="30">
                  <c:v>72.903349959960451</c:v>
                </c:pt>
                <c:pt idx="31">
                  <c:v>74.359771113329018</c:v>
                </c:pt>
                <c:pt idx="32">
                  <c:v>75.775978100027871</c:v>
                </c:pt>
                <c:pt idx="33">
                  <c:v>77.153081298876486</c:v>
                </c:pt>
                <c:pt idx="34">
                  <c:v>78.492160429321643</c:v>
                </c:pt>
                <c:pt idx="35">
                  <c:v>79.794265397992874</c:v>
                </c:pt>
                <c:pt idx="36">
                  <c:v>81.06041712188285</c:v>
                </c:pt>
                <c:pt idx="37">
                  <c:v>82.29160832879883</c:v>
                </c:pt>
                <c:pt idx="38">
                  <c:v>83.488804335711905</c:v>
                </c:pt>
                <c:pt idx="39">
                  <c:v>84.652943805615095</c:v>
                </c:pt>
                <c:pt idx="40">
                  <c:v>85.784939483483114</c:v>
                </c:pt>
                <c:pt idx="41">
                  <c:v>86.88567891191127</c:v>
                </c:pt>
                <c:pt idx="42">
                  <c:v>87.956025126994277</c:v>
                </c:pt>
                <c:pt idx="43">
                  <c:v>88.996817334990723</c:v>
                </c:pt>
                <c:pt idx="44">
                  <c:v>90.008871570303853</c:v>
                </c:pt>
                <c:pt idx="45">
                  <c:v>90.992981335294289</c:v>
                </c:pt>
                <c:pt idx="46">
                  <c:v>91.949918222426476</c:v>
                </c:pt>
                <c:pt idx="47">
                  <c:v>92.88043251923682</c:v>
                </c:pt>
                <c:pt idx="48">
                  <c:v>93.785253796597445</c:v>
                </c:pt>
                <c:pt idx="49">
                  <c:v>94.665091480737146</c:v>
                </c:pt>
                <c:pt idx="50">
                  <c:v>95.520635409467943</c:v>
                </c:pt>
                <c:pt idx="51">
                  <c:v>96.352556373053218</c:v>
                </c:pt>
                <c:pt idx="52">
                  <c:v>97.161506640141624</c:v>
                </c:pt>
                <c:pt idx="53">
                  <c:v>97.948120469179159</c:v>
                </c:pt>
                <c:pt idx="54">
                  <c:v>98.713014605700224</c:v>
                </c:pt>
                <c:pt idx="55">
                  <c:v>99.456788765887794</c:v>
                </c:pt>
                <c:pt idx="56">
                  <c:v>100.18002610678158</c:v>
                </c:pt>
                <c:pt idx="57">
                  <c:v>100.88329368350294</c:v>
                </c:pt>
                <c:pt idx="58">
                  <c:v>101.56714289385529</c:v>
                </c:pt>
                <c:pt idx="59">
                  <c:v>102.23210991064815</c:v>
                </c:pt>
                <c:pt idx="60">
                  <c:v>102.87871610208404</c:v>
                </c:pt>
                <c:pt idx="61">
                  <c:v>103.50746844053798</c:v>
                </c:pt>
                <c:pt idx="62">
                  <c:v>104.11885990004964</c:v>
                </c:pt>
                <c:pt idx="63">
                  <c:v>104.71336984284044</c:v>
                </c:pt>
                <c:pt idx="64">
                  <c:v>105.29146439515789</c:v>
                </c:pt>
                <c:pt idx="65">
                  <c:v>105.85359681274254</c:v>
                </c:pt>
                <c:pt idx="66">
                  <c:v>106.40020783620373</c:v>
                </c:pt>
                <c:pt idx="67">
                  <c:v>106.93172603658269</c:v>
                </c:pt>
                <c:pt idx="68">
                  <c:v>107.44856815137435</c:v>
                </c:pt>
                <c:pt idx="69">
                  <c:v>107.95113941127069</c:v>
                </c:pt>
                <c:pt idx="70">
                  <c:v>108.43983385788256</c:v>
                </c:pt>
                <c:pt idx="71">
                  <c:v>108.91503465268832</c:v>
                </c:pt>
                <c:pt idx="72">
                  <c:v>109.37711437745213</c:v>
                </c:pt>
                <c:pt idx="73">
                  <c:v>109.82643532634718</c:v>
                </c:pt>
                <c:pt idx="74">
                  <c:v>110.26334979001284</c:v>
                </c:pt>
                <c:pt idx="75">
                  <c:v>110.68820033176851</c:v>
                </c:pt>
                <c:pt idx="76">
                  <c:v>111.10132005620095</c:v>
                </c:pt>
                <c:pt idx="77">
                  <c:v>111.50303287033518</c:v>
                </c:pt>
                <c:pt idx="78">
                  <c:v>111.89365373759431</c:v>
                </c:pt>
                <c:pt idx="79">
                  <c:v>112.2734889247469</c:v>
                </c:pt>
                <c:pt idx="80">
                  <c:v>112.64283624203584</c:v>
                </c:pt>
                <c:pt idx="81">
                  <c:v>113.00198527667686</c:v>
                </c:pt>
                <c:pt idx="82">
                  <c:v>113.35121761990968</c:v>
                </c:pt>
                <c:pt idx="83">
                  <c:v>113.69080708778002</c:v>
                </c:pt>
                <c:pt idx="84">
                  <c:v>114.02101993582538</c:v>
                </c:pt>
                <c:pt idx="85">
                  <c:v>114.34211506783298</c:v>
                </c:pt>
                <c:pt idx="86">
                  <c:v>114.65434423883369</c:v>
                </c:pt>
                <c:pt idx="87">
                  <c:v>114.95795225249077</c:v>
                </c:pt>
                <c:pt idx="88">
                  <c:v>115.25317715303854</c:v>
                </c:pt>
                <c:pt idx="89">
                  <c:v>115.54025041192125</c:v>
                </c:pt>
                <c:pt idx="90">
                  <c:v>115.81939710927853</c:v>
                </c:pt>
                <c:pt idx="91">
                  <c:v>116.09083611041973</c:v>
                </c:pt>
                <c:pt idx="92">
                  <c:v>116.3547802374256</c:v>
                </c:pt>
                <c:pt idx="93">
                  <c:v>116.6114364360116</c:v>
                </c:pt>
                <c:pt idx="94">
                  <c:v>116.86100593778407</c:v>
                </c:pt>
                <c:pt idx="95">
                  <c:v>117.10368441801599</c:v>
                </c:pt>
                <c:pt idx="96">
                  <c:v>117.33966214906653</c:v>
                </c:pt>
                <c:pt idx="97">
                  <c:v>117.5691241495642</c:v>
                </c:pt>
                <c:pt idx="98">
                  <c:v>117.79225032947109</c:v>
                </c:pt>
                <c:pt idx="99">
                  <c:v>118.00921563114137</c:v>
                </c:pt>
                <c:pt idx="100">
                  <c:v>118.22019016648505</c:v>
                </c:pt>
                <c:pt idx="101">
                  <c:v>118.42533935034456</c:v>
                </c:pt>
                <c:pt idx="102">
                  <c:v>118.62482403018831</c:v>
                </c:pt>
                <c:pt idx="103">
                  <c:v>118.81880061222346</c:v>
                </c:pt>
                <c:pt idx="104">
                  <c:v>119.00742118402628</c:v>
                </c:pt>
                <c:pt idx="105">
                  <c:v>119.19083363378675</c:v>
                </c:pt>
                <c:pt idx="106">
                  <c:v>119.36918176626035</c:v>
                </c:pt>
                <c:pt idx="107">
                  <c:v>119.54260541551842</c:v>
                </c:pt>
                <c:pt idx="108">
                  <c:v>119.71124055458517</c:v>
                </c:pt>
                <c:pt idx="109">
                  <c:v>119.87521940204761</c:v>
                </c:pt>
                <c:pt idx="110">
                  <c:v>120.03467052572154</c:v>
                </c:pt>
                <c:pt idx="111">
                  <c:v>120.18971894345546</c:v>
                </c:pt>
                <c:pt idx="112">
                  <c:v>120.34048622115087</c:v>
                </c:pt>
                <c:pt idx="113">
                  <c:v>120.48709056807617</c:v>
                </c:pt>
                <c:pt idx="114">
                  <c:v>120.62964692954884</c:v>
                </c:pt>
                <c:pt idx="115">
                  <c:v>120.76826707705838</c:v>
                </c:pt>
                <c:pt idx="116">
                  <c:v>120.90305969590092</c:v>
                </c:pt>
                <c:pt idx="117">
                  <c:v>121.03413047039408</c:v>
                </c:pt>
                <c:pt idx="118">
                  <c:v>121.16158216673885</c:v>
                </c:pt>
                <c:pt idx="119">
                  <c:v>121.2855147135936</c:v>
                </c:pt>
                <c:pt idx="120">
                  <c:v>121.40602528042321</c:v>
                </c:pt>
                <c:pt idx="121">
                  <c:v>121.52320835368494</c:v>
                </c:pt>
                <c:pt idx="122">
                  <c:v>121.63715581091068</c:v>
                </c:pt>
                <c:pt idx="123">
                  <c:v>121.74795699274357</c:v>
                </c:pt>
                <c:pt idx="124">
                  <c:v>121.85569877298569</c:v>
                </c:pt>
                <c:pt idx="125">
                  <c:v>121.96046562671158</c:v>
                </c:pt>
                <c:pt idx="126">
                  <c:v>122.06233969650103</c:v>
                </c:pt>
                <c:pt idx="127">
                  <c:v>122.16140085684296</c:v>
                </c:pt>
                <c:pt idx="128">
                  <c:v>122.2577267767613</c:v>
                </c:pt>
                <c:pt idx="129">
                  <c:v>122.35139298071131</c:v>
                </c:pt>
                <c:pt idx="130">
                  <c:v>122.44247290779475</c:v>
                </c:pt>
                <c:pt idx="131">
                  <c:v>122.53103796933978</c:v>
                </c:pt>
                <c:pt idx="132">
                  <c:v>122.6171576048912</c:v>
                </c:pt>
                <c:pt idx="133">
                  <c:v>122.70089933665457</c:v>
                </c:pt>
                <c:pt idx="134">
                  <c:v>122.78232882243708</c:v>
                </c:pt>
                <c:pt idx="135">
                  <c:v>122.86150990712657</c:v>
                </c:pt>
                <c:pt idx="136">
                  <c:v>122.93850467274935</c:v>
                </c:pt>
                <c:pt idx="137">
                  <c:v>123.01337348714553</c:v>
                </c:pt>
                <c:pt idx="138">
                  <c:v>123.08617505130057</c:v>
                </c:pt>
                <c:pt idx="139">
                  <c:v>123.15696644536989</c:v>
                </c:pt>
                <c:pt idx="140">
                  <c:v>123.22580317343251</c:v>
                </c:pt>
                <c:pt idx="141">
                  <c:v>123.29273920700928</c:v>
                </c:pt>
                <c:pt idx="142">
                  <c:v>123.35782702737913</c:v>
                </c:pt>
                <c:pt idx="143">
                  <c:v>123.42111766672724</c:v>
                </c:pt>
                <c:pt idx="144">
                  <c:v>123.48266074815675</c:v>
                </c:pt>
                <c:pt idx="145">
                  <c:v>123.54250452459591</c:v>
                </c:pt>
                <c:pt idx="146">
                  <c:v>123.60069591663078</c:v>
                </c:pt>
                <c:pt idx="147">
                  <c:v>123.65728054929349</c:v>
                </c:pt>
                <c:pt idx="148">
                  <c:v>123.71230278783442</c:v>
                </c:pt>
                <c:pt idx="149">
                  <c:v>123.76580577250698</c:v>
                </c:pt>
                <c:pt idx="150">
                  <c:v>123.81783145239173</c:v>
                </c:pt>
                <c:pt idx="151">
                  <c:v>123.86842061828658</c:v>
                </c:pt>
                <c:pt idx="152">
                  <c:v>123.91761293468892</c:v>
                </c:pt>
                <c:pt idx="153">
                  <c:v>123.96544697089455</c:v>
                </c:pt>
                <c:pt idx="154">
                  <c:v>124.01196023123806</c:v>
                </c:pt>
                <c:pt idx="155">
                  <c:v>124.05718918449809</c:v>
                </c:pt>
                <c:pt idx="156">
                  <c:v>124.10116929249072</c:v>
                </c:pt>
                <c:pt idx="157">
                  <c:v>124.14393503787343</c:v>
                </c:pt>
                <c:pt idx="158">
                  <c:v>124.18551995118116</c:v>
                </c:pt>
                <c:pt idx="159">
                  <c:v>124.22595663711604</c:v>
                </c:pt>
                <c:pt idx="160">
                  <c:v>124.26527680011111</c:v>
                </c:pt>
                <c:pt idx="161">
                  <c:v>124.30351126918826</c:v>
                </c:pt>
                <c:pt idx="162">
                  <c:v>124.34069002212969</c:v>
                </c:pt>
                <c:pt idx="163">
                  <c:v>124.3768422089821</c:v>
                </c:pt>
                <c:pt idx="164">
                  <c:v>124.41199617491182</c:v>
                </c:pt>
                <c:pt idx="165">
                  <c:v>124.44617948242882</c:v>
                </c:pt>
                <c:pt idx="166">
                  <c:v>124.47941893299712</c:v>
                </c:pt>
                <c:pt idx="167">
                  <c:v>124.51174058804861</c:v>
                </c:pt>
                <c:pt idx="168">
                  <c:v>124.54316978941644</c:v>
                </c:pt>
                <c:pt idx="169">
                  <c:v>124.57373117920437</c:v>
                </c:pt>
                <c:pt idx="170">
                  <c:v>124.83657352380695</c:v>
                </c:pt>
                <c:pt idx="171">
                  <c:v>125.03522549442367</c:v>
                </c:pt>
                <c:pt idx="172">
                  <c:v>125.18536342402392</c:v>
                </c:pt>
                <c:pt idx="173">
                  <c:v>125.53542203102809</c:v>
                </c:pt>
                <c:pt idx="174">
                  <c:v>125.62174542071693</c:v>
                </c:pt>
                <c:pt idx="175">
                  <c:v>125.64828183726435</c:v>
                </c:pt>
                <c:pt idx="176">
                  <c:v>125.64989551841646</c:v>
                </c:pt>
                <c:pt idx="177">
                  <c:v>125.64999364646836</c:v>
                </c:pt>
                <c:pt idx="178">
                  <c:v>125.64999961364134</c:v>
                </c:pt>
                <c:pt idx="179">
                  <c:v>125.64999997650551</c:v>
                </c:pt>
                <c:pt idx="180">
                  <c:v>125.6499999985713</c:v>
                </c:pt>
                <c:pt idx="181">
                  <c:v>125.64999999991312</c:v>
                </c:pt>
                <c:pt idx="182">
                  <c:v>125.64999999991312</c:v>
                </c:pt>
                <c:pt idx="183">
                  <c:v>125.6499999985713</c:v>
                </c:pt>
                <c:pt idx="184">
                  <c:v>125.64999997650551</c:v>
                </c:pt>
                <c:pt idx="185">
                  <c:v>125.64999961364134</c:v>
                </c:pt>
                <c:pt idx="186">
                  <c:v>125.64999364646836</c:v>
                </c:pt>
                <c:pt idx="187">
                  <c:v>125.64828183726435</c:v>
                </c:pt>
                <c:pt idx="188">
                  <c:v>125.64828183726435</c:v>
                </c:pt>
                <c:pt idx="189">
                  <c:v>125.64989551841646</c:v>
                </c:pt>
                <c:pt idx="190">
                  <c:v>125.64828183726435</c:v>
                </c:pt>
                <c:pt idx="191">
                  <c:v>125.62174542071693</c:v>
                </c:pt>
                <c:pt idx="192">
                  <c:v>125.53542203102809</c:v>
                </c:pt>
                <c:pt idx="193">
                  <c:v>125.18536342402392</c:v>
                </c:pt>
                <c:pt idx="194">
                  <c:v>125.03522549442367</c:v>
                </c:pt>
                <c:pt idx="195">
                  <c:v>124.83657352380695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F7-4337-8353-D1477151C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91392"/>
        <c:axId val="105693184"/>
      </c:scatterChart>
      <c:valAx>
        <c:axId val="10569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693184"/>
        <c:crosses val="autoZero"/>
        <c:crossBetween val="midCat"/>
      </c:valAx>
      <c:valAx>
        <c:axId val="10569318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56913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'model exp. (h)'!$F$9</c:f>
              <c:strCache>
                <c:ptCount val="1"/>
                <c:pt idx="0">
                  <c:v>Conc. Fe2+</c:v>
                </c:pt>
              </c:strCache>
            </c:strRef>
          </c:tx>
          <c:xVal>
            <c:numRef>
              <c:f>('model exp. (h)'!$E$10:$E$32,'model exp. (h)'!$G$10:$G$32,'model exp. (h)'!$I$10:$I$32,'model exp. (h)'!$K$10:$K$12)</c:f>
              <c:numCache>
                <c:formatCode>General</c:formatCode>
                <c:ptCount val="7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</c:numCache>
            </c:numRef>
          </c:xVal>
          <c:yVal>
            <c:numRef>
              <c:f>('model exp. (h)'!$F$10:$F$32,'model exp. (h)'!$H$10:$H$32,'model exp. (h)'!$J$10:$J$32,'model exp. (h)'!$L$10:$L$12)</c:f>
              <c:numCache>
                <c:formatCode>0.00</c:formatCode>
                <c:ptCount val="72"/>
                <c:pt idx="0">
                  <c:v>3.4694017114233335</c:v>
                </c:pt>
                <c:pt idx="1">
                  <c:v>6.8430075753717068</c:v>
                </c:pt>
                <c:pt idx="2">
                  <c:v>10.123462671647587</c:v>
                </c:pt>
                <c:pt idx="3">
                  <c:v>13.313339045080117</c:v>
                </c:pt>
                <c:pt idx="4">
                  <c:v>16.415137722140045</c:v>
                </c:pt>
                <c:pt idx="5">
                  <c:v>19.431290671872631</c:v>
                </c:pt>
                <c:pt idx="6">
                  <c:v>22.364162712685864</c:v>
                </c:pt>
                <c:pt idx="7">
                  <c:v>25.21605336648928</c:v>
                </c:pt>
                <c:pt idx="8">
                  <c:v>27.989198661636923</c:v>
                </c:pt>
                <c:pt idx="9">
                  <c:v>30.685772886088095</c:v>
                </c:pt>
                <c:pt idx="10">
                  <c:v>33.307890292160515</c:v>
                </c:pt>
                <c:pt idx="11">
                  <c:v>35.857606754212405</c:v>
                </c:pt>
                <c:pt idx="12">
                  <c:v>38.336921380553285</c:v>
                </c:pt>
                <c:pt idx="13">
                  <c:v>40.74777808084734</c:v>
                </c:pt>
                <c:pt idx="14">
                  <c:v>43.092067090238125</c:v>
                </c:pt>
                <c:pt idx="15">
                  <c:v>45.371626451389723</c:v>
                </c:pt>
                <c:pt idx="16">
                  <c:v>47.588243455606445</c:v>
                </c:pt>
                <c:pt idx="17">
                  <c:v>49.743656044160602</c:v>
                </c:pt>
                <c:pt idx="18">
                  <c:v>51.839554170927634</c:v>
                </c:pt>
                <c:pt idx="19">
                  <c:v>53.877581127396411</c:v>
                </c:pt>
                <c:pt idx="20">
                  <c:v>55.85933483109401</c:v>
                </c:pt>
                <c:pt idx="21">
                  <c:v>57.786369078434831</c:v>
                </c:pt>
                <c:pt idx="22">
                  <c:v>59.660194762976651</c:v>
                </c:pt>
                <c:pt idx="23">
                  <c:v>61.482281060038495</c:v>
                </c:pt>
                <c:pt idx="24">
                  <c:v>61.482281060038495</c:v>
                </c:pt>
                <c:pt idx="25">
                  <c:v>61.482281060038495</c:v>
                </c:pt>
                <c:pt idx="26">
                  <c:v>61.482281060038495</c:v>
                </c:pt>
                <c:pt idx="27">
                  <c:v>61.482281060038495</c:v>
                </c:pt>
                <c:pt idx="28">
                  <c:v>61.482281060038495</c:v>
                </c:pt>
                <c:pt idx="29">
                  <c:v>61.482281060038495</c:v>
                </c:pt>
                <c:pt idx="30">
                  <c:v>61.482281060038495</c:v>
                </c:pt>
                <c:pt idx="31">
                  <c:v>61.482281060038495</c:v>
                </c:pt>
                <c:pt idx="32">
                  <c:v>61.482281060038495</c:v>
                </c:pt>
                <c:pt idx="33">
                  <c:v>61.482281060038495</c:v>
                </c:pt>
                <c:pt idx="34">
                  <c:v>61.482281060038495</c:v>
                </c:pt>
                <c:pt idx="35">
                  <c:v>61.482281060038495</c:v>
                </c:pt>
                <c:pt idx="36">
                  <c:v>61.482281060038495</c:v>
                </c:pt>
                <c:pt idx="37">
                  <c:v>61.482281060038495</c:v>
                </c:pt>
                <c:pt idx="38">
                  <c:v>61.482281060038495</c:v>
                </c:pt>
                <c:pt idx="39">
                  <c:v>61.482281060038495</c:v>
                </c:pt>
                <c:pt idx="40">
                  <c:v>61.482281060038495</c:v>
                </c:pt>
                <c:pt idx="41">
                  <c:v>61.482281060038495</c:v>
                </c:pt>
                <c:pt idx="42">
                  <c:v>61.482281060038495</c:v>
                </c:pt>
                <c:pt idx="43">
                  <c:v>61.482281060038495</c:v>
                </c:pt>
                <c:pt idx="44">
                  <c:v>61.482281060038495</c:v>
                </c:pt>
                <c:pt idx="45">
                  <c:v>61.482281060038495</c:v>
                </c:pt>
                <c:pt idx="46">
                  <c:v>61.482281060038495</c:v>
                </c:pt>
                <c:pt idx="47">
                  <c:v>61.482281060038495</c:v>
                </c:pt>
                <c:pt idx="48">
                  <c:v>64.951682771461833</c:v>
                </c:pt>
                <c:pt idx="49">
                  <c:v>68.325288635410203</c:v>
                </c:pt>
                <c:pt idx="50">
                  <c:v>71.60574373168609</c:v>
                </c:pt>
                <c:pt idx="51">
                  <c:v>74.795620105118616</c:v>
                </c:pt>
                <c:pt idx="52">
                  <c:v>77.897418782178534</c:v>
                </c:pt>
                <c:pt idx="53">
                  <c:v>80.913571731911134</c:v>
                </c:pt>
                <c:pt idx="54">
                  <c:v>83.846443772724356</c:v>
                </c:pt>
                <c:pt idx="55">
                  <c:v>86.698334426527779</c:v>
                </c:pt>
                <c:pt idx="56">
                  <c:v>89.471479721675422</c:v>
                </c:pt>
                <c:pt idx="57">
                  <c:v>92.168053946126591</c:v>
                </c:pt>
                <c:pt idx="58">
                  <c:v>94.79017135219901</c:v>
                </c:pt>
                <c:pt idx="59">
                  <c:v>97.339887814250901</c:v>
                </c:pt>
                <c:pt idx="60">
                  <c:v>99.819202440591781</c:v>
                </c:pt>
                <c:pt idx="61">
                  <c:v>102.23005914088583</c:v>
                </c:pt>
                <c:pt idx="62">
                  <c:v>104.57434815027662</c:v>
                </c:pt>
                <c:pt idx="63">
                  <c:v>106.85390751142822</c:v>
                </c:pt>
                <c:pt idx="64">
                  <c:v>109.07052451564493</c:v>
                </c:pt>
                <c:pt idx="65">
                  <c:v>111.22593710419909</c:v>
                </c:pt>
                <c:pt idx="66">
                  <c:v>113.32183523096613</c:v>
                </c:pt>
                <c:pt idx="67">
                  <c:v>115.35986218743491</c:v>
                </c:pt>
                <c:pt idx="68">
                  <c:v>117.34161589113251</c:v>
                </c:pt>
                <c:pt idx="69">
                  <c:v>119.26865013847333</c:v>
                </c:pt>
                <c:pt idx="70">
                  <c:v>121.14247582301515</c:v>
                </c:pt>
                <c:pt idx="71">
                  <c:v>122.96456212007699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DE-455D-A5A1-A0D033A05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885696"/>
        <c:axId val="105887232"/>
      </c:scatterChart>
      <c:valAx>
        <c:axId val="1058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5887232"/>
        <c:crosses val="autoZero"/>
        <c:crossBetween val="midCat"/>
      </c:valAx>
      <c:valAx>
        <c:axId val="10588723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058856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'mass balance iron oxidation'!$I$34</c:f>
              <c:strCache>
                <c:ptCount val="1"/>
                <c:pt idx="0">
                  <c:v>Fe²⁺ oxidized based on measured Fe²⁺ concentration in the reactor [mg L⁻¹]</c:v>
                </c:pt>
              </c:strCache>
            </c:strRef>
          </c:tx>
          <c:invertIfNegative val="0"/>
          <c:cat>
            <c:strLit>
              <c:ptCount val="1"/>
              <c:pt idx="0">
                <c:v> </c:v>
              </c:pt>
            </c:strLit>
          </c:cat>
          <c:val>
            <c:numRef>
              <c:f>'mass balance iron oxidation'!$J$34</c:f>
              <c:numCache>
                <c:formatCode>0.0</c:formatCode>
                <c:ptCount val="1"/>
                <c:pt idx="0">
                  <c:v>56.224824030188302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B8-478B-A593-9855CED1FDB1}"/>
            </c:ext>
          </c:extLst>
        </c:ser>
        <c:ser>
          <c:idx val="1"/>
          <c:order val="1"/>
          <c:tx>
            <c:strRef>
              <c:f>'mass balance iron oxidation'!$I$35</c:f>
              <c:strCache>
                <c:ptCount val="1"/>
                <c:pt idx="0">
                  <c:v>Fe²⁺ in Fe₃O₄  in reactor and effluent per liter of total inflow [mg L⁻¹]</c:v>
                </c:pt>
              </c:strCache>
            </c:strRef>
          </c:tx>
          <c:invertIfNegative val="0"/>
          <c:cat>
            <c:strLit>
              <c:ptCount val="1"/>
              <c:pt idx="0">
                <c:v> </c:v>
              </c:pt>
            </c:strLit>
          </c:cat>
          <c:val>
            <c:numRef>
              <c:f>('mass balance iron oxidation'!$L$34,'mass balance iron oxidation'!$J$35)</c:f>
              <c:numCache>
                <c:formatCode>0.0</c:formatCode>
                <c:ptCount val="2"/>
                <c:pt idx="1">
                  <c:v>17.755253801334842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B8-478B-A593-9855CED1FDB1}"/>
            </c:ext>
          </c:extLst>
        </c:ser>
        <c:ser>
          <c:idx val="2"/>
          <c:order val="2"/>
          <c:tx>
            <c:strRef>
              <c:f>'mass balance iron oxidation'!$I$36</c:f>
              <c:strCache>
                <c:ptCount val="1"/>
                <c:pt idx="0">
                  <c:v>Fe²⁺ oxidized based on formation of NO₂⁻ and NH₄⁺ in the reactor [mg L⁻¹]</c:v>
                </c:pt>
              </c:strCache>
            </c:strRef>
          </c:tx>
          <c:invertIfNegative val="0"/>
          <c:cat>
            <c:strLit>
              <c:ptCount val="1"/>
              <c:pt idx="0">
                <c:v> </c:v>
              </c:pt>
            </c:strLit>
          </c:cat>
          <c:val>
            <c:numRef>
              <c:f>('mass balance iron oxidation'!$L$34,'mass balance iron oxidation'!$J$36)</c:f>
              <c:numCache>
                <c:formatCode>0.0</c:formatCode>
                <c:ptCount val="2"/>
                <c:pt idx="1">
                  <c:v>12.974945269169076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B8-478B-A593-9855CED1FDB1}"/>
            </c:ext>
          </c:extLst>
        </c:ser>
        <c:ser>
          <c:idx val="3"/>
          <c:order val="3"/>
          <c:tx>
            <c:strRef>
              <c:f>'mass balance iron oxidation'!$I$37</c:f>
              <c:strCache>
                <c:ptCount val="1"/>
                <c:pt idx="0">
                  <c:v>Fe²⁺ presumably oxidized by O₂ diffused into reactor [mg L⁻¹]</c:v>
                </c:pt>
              </c:strCache>
            </c:strRef>
          </c:tx>
          <c:invertIfNegative val="0"/>
          <c:cat>
            <c:strLit>
              <c:ptCount val="1"/>
              <c:pt idx="0">
                <c:v> </c:v>
              </c:pt>
            </c:strLit>
          </c:cat>
          <c:val>
            <c:numRef>
              <c:f>('mass balance iron oxidation'!$L$34,'mass balance iron oxidation'!$J$37)</c:f>
              <c:numCache>
                <c:formatCode>0.0</c:formatCode>
                <c:ptCount val="2"/>
                <c:pt idx="1">
                  <c:v>18.10282937032823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B8-478B-A593-9855CED1F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06112128"/>
        <c:axId val="106113664"/>
      </c:barChart>
      <c:catAx>
        <c:axId val="106112128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one"/>
        <c:crossAx val="106113664"/>
        <c:crosses val="autoZero"/>
        <c:auto val="1"/>
        <c:lblAlgn val="ctr"/>
        <c:lblOffset val="0"/>
        <c:noMultiLvlLbl val="0"/>
      </c:catAx>
      <c:valAx>
        <c:axId val="106113664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1061121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graphics!$B$3</c:f>
              <c:strCache>
                <c:ptCount val="1"/>
                <c:pt idx="0">
                  <c:v>NO₂⁻ -N</c:v>
                </c:pt>
              </c:strCache>
            </c:strRef>
          </c:tx>
          <c:xVal>
            <c:numRef>
              <c:f>graphics!$A$4:$A$8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103</c:v>
                </c:pt>
              </c:numCache>
            </c:numRef>
          </c:xVal>
          <c:yVal>
            <c:numRef>
              <c:f>graphics!$B$4:$B$8</c:f>
              <c:numCache>
                <c:formatCode>General</c:formatCode>
                <c:ptCount val="5"/>
                <c:pt idx="0">
                  <c:v>0</c:v>
                </c:pt>
                <c:pt idx="1">
                  <c:v>2.5999999999999999E-2</c:v>
                </c:pt>
                <c:pt idx="2">
                  <c:v>6.8000000000000005E-2</c:v>
                </c:pt>
                <c:pt idx="3">
                  <c:v>0.17299999999999999</c:v>
                </c:pt>
                <c:pt idx="4">
                  <c:v>0.16200000000000001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9D-44E7-BC7F-526FB0CAF652}"/>
            </c:ext>
          </c:extLst>
        </c:ser>
        <c:ser>
          <c:idx val="1"/>
          <c:order val="1"/>
          <c:tx>
            <c:strRef>
              <c:f>graphics!$C$3</c:f>
              <c:strCache>
                <c:ptCount val="1"/>
                <c:pt idx="0">
                  <c:v>NH₄⁺ -N</c:v>
                </c:pt>
              </c:strCache>
            </c:strRef>
          </c:tx>
          <c:xVal>
            <c:numRef>
              <c:f>graphics!$A$4:$A$8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103</c:v>
                </c:pt>
              </c:numCache>
            </c:numRef>
          </c:xVal>
          <c:yVal>
            <c:numRef>
              <c:f>graphics!$C$4:$C$8</c:f>
              <c:numCache>
                <c:formatCode>General</c:formatCode>
                <c:ptCount val="5"/>
                <c:pt idx="0">
                  <c:v>7.1999999999999995E-2</c:v>
                </c:pt>
                <c:pt idx="1">
                  <c:v>0.22700000000000001</c:v>
                </c:pt>
                <c:pt idx="2">
                  <c:v>0.40200000000000002</c:v>
                </c:pt>
                <c:pt idx="3" formatCode="0.000">
                  <c:v>0.48</c:v>
                </c:pt>
                <c:pt idx="4">
                  <c:v>0.50800000000000001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9D-44E7-BC7F-526FB0CAF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05184"/>
        <c:axId val="106207104"/>
      </c:scatterChart>
      <c:valAx>
        <c:axId val="10620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[h]</a:t>
                </a:r>
              </a:p>
            </c:rich>
          </c:tx>
          <c:layout>
            <c:manualLayout>
              <c:xMode val="edge"/>
              <c:yMode val="edge"/>
              <c:x val="0.4860119807428443"/>
              <c:y val="0.7757870370370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6207104"/>
        <c:crosses val="autoZero"/>
        <c:crossBetween val="midCat"/>
      </c:valAx>
      <c:valAx>
        <c:axId val="106207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Concentration [mg/L]</a:t>
                </a:r>
              </a:p>
            </c:rich>
          </c:tx>
          <c:layout>
            <c:manualLayout>
              <c:xMode val="edge"/>
              <c:yMode val="edge"/>
              <c:x val="1.700060716454159E-2"/>
              <c:y val="0.16531058617672792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0620518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6375399796336935"/>
          <c:y val="0.87461614173228341"/>
          <c:w val="0.50649302716941802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80784050929805"/>
          <c:y val="6.630844221395403E-2"/>
          <c:w val="0.75407500030992414"/>
          <c:h val="0.5879636674629154"/>
        </c:manualLayout>
      </c:layout>
      <c:scatterChart>
        <c:scatterStyle val="lineMarker"/>
        <c:varyColors val="0"/>
        <c:ser>
          <c:idx val="4"/>
          <c:order val="0"/>
          <c:tx>
            <c:strRef>
              <c:f>graphics!$B$24</c:f>
              <c:strCache>
                <c:ptCount val="1"/>
                <c:pt idx="0">
                  <c:v>exp. (b)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diamond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xVal>
            <c:numRef>
              <c:f>graphics!$A$25:$A$29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103</c:v>
                </c:pt>
              </c:numCache>
            </c:numRef>
          </c:xVal>
          <c:yVal>
            <c:numRef>
              <c:f>graphics!$B$25:$B$29</c:f>
              <c:numCache>
                <c:formatCode>General</c:formatCode>
                <c:ptCount val="5"/>
                <c:pt idx="0">
                  <c:v>4.2999999999999997E-2</c:v>
                </c:pt>
                <c:pt idx="1">
                  <c:v>36</c:v>
                </c:pt>
                <c:pt idx="2">
                  <c:v>46.4</c:v>
                </c:pt>
                <c:pt idx="3">
                  <c:v>60.18</c:v>
                </c:pt>
                <c:pt idx="4">
                  <c:v>62.4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9-4952-9B13-3F196EF3D3B2}"/>
            </c:ext>
          </c:extLst>
        </c:ser>
        <c:ser>
          <c:idx val="6"/>
          <c:order val="1"/>
          <c:tx>
            <c:strRef>
              <c:f>graphics!$B$33</c:f>
              <c:strCache>
                <c:ptCount val="1"/>
                <c:pt idx="0">
                  <c:v>exp. (d)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triangle"/>
            <c:size val="7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xVal>
            <c:numRef>
              <c:f>graphics!$A$34:$A$37</c:f>
              <c:numCache>
                <c:formatCode>General</c:formatCode>
                <c:ptCount val="4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104</c:v>
                </c:pt>
              </c:numCache>
            </c:numRef>
          </c:xVal>
          <c:yVal>
            <c:numRef>
              <c:f>graphics!$B$34:$B$37</c:f>
              <c:numCache>
                <c:formatCode>General</c:formatCode>
                <c:ptCount val="4"/>
                <c:pt idx="0">
                  <c:v>5.0999999999999997E-2</c:v>
                </c:pt>
                <c:pt idx="1">
                  <c:v>0.56599999999999995</c:v>
                </c:pt>
                <c:pt idx="2">
                  <c:v>12.9</c:v>
                </c:pt>
                <c:pt idx="3">
                  <c:v>24.8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29-4952-9B13-3F196EF3D3B2}"/>
            </c:ext>
          </c:extLst>
        </c:ser>
        <c:ser>
          <c:idx val="7"/>
          <c:order val="2"/>
          <c:tx>
            <c:v>Model without precipitation</c:v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(model!$E$10:$E$32,model!$G$10:$G$32,model!$I$10:$I$32,model!$K$10:$K$32,model!$M$10:$M$32)</c:f>
              <c:numCache>
                <c:formatCode>General</c:formatCode>
                <c:ptCount val="1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</c:numCache>
            </c:numRef>
          </c:xVal>
          <c:yVal>
            <c:numRef>
              <c:f>(model!$F$10:$F$32,model!$H$10:$H$32,model!$J$10:$J$32,model!$L$10:$L$32,model!$N$10:$N$32)</c:f>
              <c:numCache>
                <c:formatCode>0.00</c:formatCode>
                <c:ptCount val="115"/>
                <c:pt idx="0">
                  <c:v>3.4694017114233335</c:v>
                </c:pt>
                <c:pt idx="1">
                  <c:v>6.8430075753717068</c:v>
                </c:pt>
                <c:pt idx="2">
                  <c:v>10.123462671647587</c:v>
                </c:pt>
                <c:pt idx="3">
                  <c:v>13.313339045080117</c:v>
                </c:pt>
                <c:pt idx="4">
                  <c:v>16.415137722140045</c:v>
                </c:pt>
                <c:pt idx="5">
                  <c:v>19.431290671872631</c:v>
                </c:pt>
                <c:pt idx="6">
                  <c:v>22.364162712685864</c:v>
                </c:pt>
                <c:pt idx="7">
                  <c:v>25.21605336648928</c:v>
                </c:pt>
                <c:pt idx="8">
                  <c:v>27.989198661636923</c:v>
                </c:pt>
                <c:pt idx="9">
                  <c:v>30.685772886088095</c:v>
                </c:pt>
                <c:pt idx="10">
                  <c:v>33.307890292160515</c:v>
                </c:pt>
                <c:pt idx="11">
                  <c:v>35.857606754212405</c:v>
                </c:pt>
                <c:pt idx="12">
                  <c:v>38.336921380553285</c:v>
                </c:pt>
                <c:pt idx="13">
                  <c:v>40.74777808084734</c:v>
                </c:pt>
                <c:pt idx="14">
                  <c:v>43.092067090238125</c:v>
                </c:pt>
                <c:pt idx="15">
                  <c:v>45.371626451389723</c:v>
                </c:pt>
                <c:pt idx="16">
                  <c:v>47.588243455606445</c:v>
                </c:pt>
                <c:pt idx="17">
                  <c:v>49.743656044160602</c:v>
                </c:pt>
                <c:pt idx="18">
                  <c:v>51.839554170927634</c:v>
                </c:pt>
                <c:pt idx="19">
                  <c:v>53.877581127396411</c:v>
                </c:pt>
                <c:pt idx="20">
                  <c:v>55.85933483109401</c:v>
                </c:pt>
                <c:pt idx="21">
                  <c:v>57.786369078434831</c:v>
                </c:pt>
                <c:pt idx="22">
                  <c:v>59.660194762976651</c:v>
                </c:pt>
                <c:pt idx="23">
                  <c:v>61.482281060038495</c:v>
                </c:pt>
                <c:pt idx="24">
                  <c:v>63.254056578609408</c:v>
                </c:pt>
                <c:pt idx="25">
                  <c:v>64.976910481450986</c:v>
                </c:pt>
                <c:pt idx="26">
                  <c:v>66.652193574272275</c:v>
                </c:pt>
                <c:pt idx="27">
                  <c:v>68.28121936483052</c:v>
                </c:pt>
                <c:pt idx="28">
                  <c:v>69.865265092788533</c:v>
                </c:pt>
                <c:pt idx="29">
                  <c:v>71.405572731136147</c:v>
                </c:pt>
                <c:pt idx="30">
                  <c:v>72.903349959960451</c:v>
                </c:pt>
                <c:pt idx="31">
                  <c:v>74.359771113329018</c:v>
                </c:pt>
                <c:pt idx="32">
                  <c:v>75.775978100027871</c:v>
                </c:pt>
                <c:pt idx="33">
                  <c:v>77.153081298876486</c:v>
                </c:pt>
                <c:pt idx="34">
                  <c:v>78.492160429321643</c:v>
                </c:pt>
                <c:pt idx="35">
                  <c:v>79.794265397992874</c:v>
                </c:pt>
                <c:pt idx="36">
                  <c:v>81.06041712188285</c:v>
                </c:pt>
                <c:pt idx="37">
                  <c:v>82.29160832879883</c:v>
                </c:pt>
                <c:pt idx="38">
                  <c:v>83.488804335711905</c:v>
                </c:pt>
                <c:pt idx="39">
                  <c:v>84.652943805615095</c:v>
                </c:pt>
                <c:pt idx="40">
                  <c:v>85.784939483483114</c:v>
                </c:pt>
                <c:pt idx="41">
                  <c:v>86.88567891191127</c:v>
                </c:pt>
                <c:pt idx="42">
                  <c:v>87.956025126994277</c:v>
                </c:pt>
                <c:pt idx="43">
                  <c:v>88.996817334990723</c:v>
                </c:pt>
                <c:pt idx="44">
                  <c:v>90.008871570303853</c:v>
                </c:pt>
                <c:pt idx="45">
                  <c:v>90.992981335294289</c:v>
                </c:pt>
                <c:pt idx="46">
                  <c:v>91.949918222426476</c:v>
                </c:pt>
                <c:pt idx="47">
                  <c:v>92.88043251923682</c:v>
                </c:pt>
                <c:pt idx="48">
                  <c:v>93.785253796597445</c:v>
                </c:pt>
                <c:pt idx="49">
                  <c:v>94.665091480737146</c:v>
                </c:pt>
                <c:pt idx="50">
                  <c:v>95.520635409467943</c:v>
                </c:pt>
                <c:pt idx="51">
                  <c:v>96.352556373053218</c:v>
                </c:pt>
                <c:pt idx="52">
                  <c:v>97.161506640141624</c:v>
                </c:pt>
                <c:pt idx="53">
                  <c:v>97.948120469179159</c:v>
                </c:pt>
                <c:pt idx="54">
                  <c:v>98.713014605700224</c:v>
                </c:pt>
                <c:pt idx="55">
                  <c:v>99.456788765887794</c:v>
                </c:pt>
                <c:pt idx="56">
                  <c:v>100.18002610678158</c:v>
                </c:pt>
                <c:pt idx="57">
                  <c:v>100.88329368350294</c:v>
                </c:pt>
                <c:pt idx="58">
                  <c:v>101.56714289385529</c:v>
                </c:pt>
                <c:pt idx="59">
                  <c:v>102.23210991064815</c:v>
                </c:pt>
                <c:pt idx="60">
                  <c:v>102.87871610208404</c:v>
                </c:pt>
                <c:pt idx="61">
                  <c:v>103.50746844053798</c:v>
                </c:pt>
                <c:pt idx="62">
                  <c:v>104.11885990004964</c:v>
                </c:pt>
                <c:pt idx="63">
                  <c:v>104.71336984284044</c:v>
                </c:pt>
                <c:pt idx="64">
                  <c:v>105.29146439515789</c:v>
                </c:pt>
                <c:pt idx="65">
                  <c:v>105.85359681274254</c:v>
                </c:pt>
                <c:pt idx="66">
                  <c:v>106.40020783620373</c:v>
                </c:pt>
                <c:pt idx="67">
                  <c:v>106.93172603658269</c:v>
                </c:pt>
                <c:pt idx="68">
                  <c:v>107.44856815137435</c:v>
                </c:pt>
                <c:pt idx="69">
                  <c:v>107.95113941127069</c:v>
                </c:pt>
                <c:pt idx="70">
                  <c:v>108.43983385788256</c:v>
                </c:pt>
                <c:pt idx="71">
                  <c:v>108.91503465268832</c:v>
                </c:pt>
                <c:pt idx="72">
                  <c:v>109.37711437745213</c:v>
                </c:pt>
                <c:pt idx="73">
                  <c:v>109.82643532634718</c:v>
                </c:pt>
                <c:pt idx="74">
                  <c:v>110.26334979001284</c:v>
                </c:pt>
                <c:pt idx="75">
                  <c:v>110.68820033176851</c:v>
                </c:pt>
                <c:pt idx="76">
                  <c:v>111.10132005620095</c:v>
                </c:pt>
                <c:pt idx="77">
                  <c:v>111.50303287033518</c:v>
                </c:pt>
                <c:pt idx="78">
                  <c:v>111.89365373759431</c:v>
                </c:pt>
                <c:pt idx="79">
                  <c:v>112.2734889247469</c:v>
                </c:pt>
                <c:pt idx="80">
                  <c:v>112.64283624203584</c:v>
                </c:pt>
                <c:pt idx="81">
                  <c:v>113.00198527667686</c:v>
                </c:pt>
                <c:pt idx="82">
                  <c:v>113.35121761990968</c:v>
                </c:pt>
                <c:pt idx="83">
                  <c:v>113.69080708778002</c:v>
                </c:pt>
                <c:pt idx="84">
                  <c:v>114.02101993582538</c:v>
                </c:pt>
                <c:pt idx="85">
                  <c:v>114.34211506783298</c:v>
                </c:pt>
                <c:pt idx="86">
                  <c:v>114.65434423883369</c:v>
                </c:pt>
                <c:pt idx="87">
                  <c:v>114.95795225249077</c:v>
                </c:pt>
                <c:pt idx="88">
                  <c:v>115.25317715303854</c:v>
                </c:pt>
                <c:pt idx="89">
                  <c:v>115.54025041192125</c:v>
                </c:pt>
                <c:pt idx="90">
                  <c:v>115.81939710927853</c:v>
                </c:pt>
                <c:pt idx="91">
                  <c:v>116.09083611041973</c:v>
                </c:pt>
                <c:pt idx="92">
                  <c:v>116.3547802374256</c:v>
                </c:pt>
                <c:pt idx="93">
                  <c:v>116.6114364360116</c:v>
                </c:pt>
                <c:pt idx="94">
                  <c:v>116.86100593778407</c:v>
                </c:pt>
                <c:pt idx="95">
                  <c:v>117.10368441801599</c:v>
                </c:pt>
                <c:pt idx="96">
                  <c:v>117.33966214906653</c:v>
                </c:pt>
                <c:pt idx="97">
                  <c:v>117.5691241495642</c:v>
                </c:pt>
                <c:pt idx="98">
                  <c:v>117.79225032947109</c:v>
                </c:pt>
                <c:pt idx="99">
                  <c:v>118.00921563114137</c:v>
                </c:pt>
                <c:pt idx="100">
                  <c:v>118.22019016648505</c:v>
                </c:pt>
                <c:pt idx="101">
                  <c:v>118.42533935034456</c:v>
                </c:pt>
                <c:pt idx="102">
                  <c:v>118.62482403018831</c:v>
                </c:pt>
                <c:pt idx="103">
                  <c:v>118.81880061222346</c:v>
                </c:pt>
                <c:pt idx="104">
                  <c:v>119.00742118402628</c:v>
                </c:pt>
                <c:pt idx="105">
                  <c:v>119.19083363378675</c:v>
                </c:pt>
                <c:pt idx="106">
                  <c:v>119.36918176626035</c:v>
                </c:pt>
                <c:pt idx="107">
                  <c:v>119.54260541551842</c:v>
                </c:pt>
                <c:pt idx="108">
                  <c:v>119.71124055458517</c:v>
                </c:pt>
                <c:pt idx="109">
                  <c:v>119.87521940204761</c:v>
                </c:pt>
                <c:pt idx="110">
                  <c:v>120.03467052572154</c:v>
                </c:pt>
                <c:pt idx="111">
                  <c:v>120.18971894345546</c:v>
                </c:pt>
                <c:pt idx="112">
                  <c:v>120.34048622115087</c:v>
                </c:pt>
                <c:pt idx="113">
                  <c:v>120.48709056807617</c:v>
                </c:pt>
                <c:pt idx="114">
                  <c:v>120.62964692954884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429-4952-9B13-3F196EF3D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27680"/>
        <c:axId val="108733952"/>
      </c:scatterChart>
      <c:valAx>
        <c:axId val="108727680"/>
        <c:scaling>
          <c:orientation val="minMax"/>
          <c:max val="120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100"/>
                  <a:t>Time (h)</a:t>
                </a:r>
              </a:p>
            </c:rich>
          </c:tx>
          <c:layout>
            <c:manualLayout>
              <c:xMode val="edge"/>
              <c:yMode val="edge"/>
              <c:x val="0.48322677165354333"/>
              <c:y val="0.7377522191748503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08733952"/>
        <c:crosses val="autoZero"/>
        <c:crossBetween val="midCat"/>
        <c:majorUnit val="20"/>
      </c:valAx>
      <c:valAx>
        <c:axId val="108733952"/>
        <c:scaling>
          <c:orientation val="minMax"/>
          <c:max val="12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1"/>
                </a:pPr>
                <a:r>
                  <a:rPr lang="en-GB" sz="1100" b="1"/>
                  <a:t>Concentration in (mg L</a:t>
                </a:r>
                <a:r>
                  <a:rPr lang="en-GB" sz="1100" b="1" baseline="30000"/>
                  <a:t>-1</a:t>
                </a:r>
                <a:r>
                  <a:rPr lang="en-GB" sz="1100" b="1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08727680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308981430797086"/>
          <c:y val="0.83441239788846622"/>
          <c:w val="0.84693297362025943"/>
          <c:h val="0.13937025548574106"/>
        </c:manualLayout>
      </c:layout>
      <c:overlay val="0"/>
      <c:txPr>
        <a:bodyPr/>
        <a:lstStyle/>
        <a:p>
          <a:pPr>
            <a:defRPr sz="11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9525</xdr:colOff>
      <xdr:row>9</xdr:row>
      <xdr:rowOff>33337</xdr:rowOff>
    </xdr:from>
    <xdr:to>
      <xdr:col>34</xdr:col>
      <xdr:colOff>123825</xdr:colOff>
      <xdr:row>31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28575</xdr:colOff>
      <xdr:row>39</xdr:row>
      <xdr:rowOff>19050</xdr:rowOff>
    </xdr:from>
    <xdr:to>
      <xdr:col>34</xdr:col>
      <xdr:colOff>142875</xdr:colOff>
      <xdr:row>61</xdr:row>
      <xdr:rowOff>147638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9525</xdr:colOff>
      <xdr:row>9</xdr:row>
      <xdr:rowOff>33337</xdr:rowOff>
    </xdr:from>
    <xdr:to>
      <xdr:col>34</xdr:col>
      <xdr:colOff>123825</xdr:colOff>
      <xdr:row>31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457199</xdr:colOff>
      <xdr:row>9</xdr:row>
      <xdr:rowOff>33337</xdr:rowOff>
    </xdr:from>
    <xdr:to>
      <xdr:col>24</xdr:col>
      <xdr:colOff>142874</xdr:colOff>
      <xdr:row>31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38100</xdr:colOff>
      <xdr:row>1</xdr:row>
      <xdr:rowOff>133350</xdr:rowOff>
    </xdr:from>
    <xdr:ext cx="8677276" cy="53860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6105525" y="323850"/>
              <a:ext cx="8677276" cy="5386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2</m:t>
                        </m:r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𝐹𝑒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2+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+</m:t>
                    </m:r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𝑁𝑂</m:t>
                        </m:r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₃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−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+2</m:t>
                    </m:r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𝐻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+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→2</m:t>
                    </m:r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𝐹𝑒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3+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+</m:t>
                    </m:r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𝑁𝑂</m:t>
                        </m:r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₂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−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+</m:t>
                    </m:r>
                    <m:sSub>
                      <m:sSub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b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𝐻</m:t>
                        </m:r>
                      </m:e>
                      <m:sub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2</m:t>
                        </m:r>
                      </m:sub>
                    </m:sSub>
                    <m:r>
                      <a:rPr lang="en-GB" sz="2800" b="0" i="1">
                        <a:latin typeface="Cambria Math"/>
                        <a:ea typeface="Cambria Math"/>
                      </a:rPr>
                      <m:t>𝑂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105525" y="323850"/>
              <a:ext cx="8677276" cy="5386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GB" sz="2800" b="0" i="0">
                  <a:latin typeface="Cambria Math"/>
                  <a:ea typeface="Cambria Math"/>
                </a:rPr>
                <a:t>〖2𝐹𝑒〗^(2+)+〖𝑁𝑂₃〗^−+2𝐻^+→2〖𝐹𝑒〗^(3+)+〖𝑁𝑂₂〗^−+𝐻_2 𝑂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76200</xdr:colOff>
      <xdr:row>11</xdr:row>
      <xdr:rowOff>123825</xdr:rowOff>
    </xdr:from>
    <xdr:ext cx="6219825" cy="53860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6143625" y="2219325"/>
              <a:ext cx="6219825" cy="5386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4</m:t>
                        </m:r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𝐹𝑒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2+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+</m:t>
                    </m:r>
                    <m:sSub>
                      <m:sSub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b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𝑂</m:t>
                        </m:r>
                      </m:e>
                      <m:sub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2</m:t>
                        </m:r>
                      </m:sub>
                    </m:sSub>
                    <m:r>
                      <a:rPr lang="en-GB" sz="2800" b="0" i="1">
                        <a:latin typeface="Cambria Math"/>
                        <a:ea typeface="Cambria Math"/>
                      </a:rPr>
                      <m:t>+4</m:t>
                    </m:r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𝐻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+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→4</m:t>
                    </m:r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𝐹𝑒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3+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+2</m:t>
                    </m:r>
                    <m:sSub>
                      <m:sSub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b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𝐻</m:t>
                        </m:r>
                      </m:e>
                      <m:sub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2</m:t>
                        </m:r>
                      </m:sub>
                    </m:sSub>
                    <m:r>
                      <a:rPr lang="en-GB" sz="2800" b="0" i="1">
                        <a:latin typeface="Cambria Math"/>
                        <a:ea typeface="Cambria Math"/>
                      </a:rPr>
                      <m:t>𝑂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6143625" y="2219325"/>
              <a:ext cx="6219825" cy="5386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GB" sz="2800" b="0" i="0">
                  <a:latin typeface="Cambria Math"/>
                  <a:ea typeface="Cambria Math"/>
                </a:rPr>
                <a:t>〖4𝐹𝑒〗^(2+)+𝑂_2+4𝐻^+→4〖𝐹𝑒〗^(3+)+2𝐻_2 𝑂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9525</xdr:colOff>
      <xdr:row>6</xdr:row>
      <xdr:rowOff>142875</xdr:rowOff>
    </xdr:from>
    <xdr:ext cx="8677276" cy="53860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6076950" y="1285875"/>
              <a:ext cx="8677276" cy="5386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8</m:t>
                        </m:r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𝐹𝑒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2+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+</m:t>
                    </m:r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𝑁𝑂</m:t>
                        </m:r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₃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−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+10</m:t>
                    </m:r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𝐻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+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→8</m:t>
                    </m:r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𝐹𝑒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3+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+</m:t>
                    </m:r>
                    <m:sSup>
                      <m:sSup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p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𝑁𝐻</m:t>
                        </m:r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₄</m:t>
                        </m:r>
                      </m:e>
                      <m:sup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+</m:t>
                        </m:r>
                      </m:sup>
                    </m:sSup>
                    <m:r>
                      <a:rPr lang="en-GB" sz="2800" b="0" i="1">
                        <a:latin typeface="Cambria Math"/>
                        <a:ea typeface="Cambria Math"/>
                      </a:rPr>
                      <m:t>+3</m:t>
                    </m:r>
                    <m:sSub>
                      <m:sSubPr>
                        <m:ctrlPr>
                          <a:rPr lang="en-GB" sz="2800" b="0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sSubPr>
                      <m:e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𝐻</m:t>
                        </m:r>
                      </m:e>
                      <m:sub>
                        <m:r>
                          <a:rPr lang="en-GB" sz="2800" b="0" i="1">
                            <a:latin typeface="Cambria Math"/>
                            <a:ea typeface="Cambria Math"/>
                          </a:rPr>
                          <m:t>2</m:t>
                        </m:r>
                      </m:sub>
                    </m:sSub>
                    <m:r>
                      <a:rPr lang="en-GB" sz="2800" b="0" i="1">
                        <a:latin typeface="Cambria Math"/>
                        <a:ea typeface="Cambria Math"/>
                      </a:rPr>
                      <m:t>𝑂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6076950" y="1285875"/>
              <a:ext cx="8677276" cy="5386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GB" sz="2800" b="0" i="0">
                  <a:latin typeface="Cambria Math"/>
                  <a:ea typeface="Cambria Math"/>
                </a:rPr>
                <a:t>〖8𝐹𝑒〗^(2+)+〖𝑁𝑂₃〗^−+10𝐻^+→8〖𝐹𝑒〗^(3+)+〖𝑁𝐻₄〗^++3𝐻_2 𝑂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11</xdr:col>
      <xdr:colOff>485775</xdr:colOff>
      <xdr:row>27</xdr:row>
      <xdr:rowOff>19050</xdr:rowOff>
    </xdr:from>
    <xdr:to>
      <xdr:col>18</xdr:col>
      <xdr:colOff>200025</xdr:colOff>
      <xdr:row>48</xdr:row>
      <xdr:rowOff>185738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2</xdr:row>
      <xdr:rowOff>85725</xdr:rowOff>
    </xdr:from>
    <xdr:to>
      <xdr:col>10</xdr:col>
      <xdr:colOff>457200</xdr:colOff>
      <xdr:row>16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352425</xdr:colOff>
      <xdr:row>21</xdr:row>
      <xdr:rowOff>66675</xdr:rowOff>
    </xdr:from>
    <xdr:to>
      <xdr:col>10</xdr:col>
      <xdr:colOff>504825</xdr:colOff>
      <xdr:row>39</xdr:row>
      <xdr:rowOff>28575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A20" workbookViewId="0">
      <selection activeCell="B50" sqref="B50"/>
    </sheetView>
  </sheetViews>
  <sheetFormatPr defaultRowHeight="15" x14ac:dyDescent="0.25"/>
  <cols>
    <col min="1" max="1" width="17.42578125" bestFit="1" customWidth="1"/>
    <col min="2" max="2" width="13.42578125" bestFit="1" customWidth="1"/>
    <col min="3" max="3" width="13.28515625" bestFit="1" customWidth="1"/>
    <col min="4" max="4" width="19.85546875" bestFit="1" customWidth="1"/>
    <col min="5" max="5" width="14.140625" bestFit="1" customWidth="1"/>
    <col min="6" max="7" width="11.5703125" bestFit="1" customWidth="1"/>
    <col min="8" max="8" width="11.42578125" bestFit="1" customWidth="1"/>
    <col min="11" max="11" width="10" bestFit="1" customWidth="1"/>
    <col min="12" max="12" width="8.5703125" bestFit="1" customWidth="1"/>
    <col min="13" max="13" width="4.42578125" bestFit="1" customWidth="1"/>
  </cols>
  <sheetData>
    <row r="1" spans="1:13" x14ac:dyDescent="0.25">
      <c r="A1" t="s">
        <v>56</v>
      </c>
      <c r="B1">
        <v>55.844999999999999</v>
      </c>
    </row>
    <row r="2" spans="1:13" x14ac:dyDescent="0.25">
      <c r="A2" t="s">
        <v>57</v>
      </c>
      <c r="B2">
        <v>62.004899999999999</v>
      </c>
    </row>
    <row r="3" spans="1:13" x14ac:dyDescent="0.25">
      <c r="A3" t="s">
        <v>58</v>
      </c>
      <c r="B3">
        <v>231.5326</v>
      </c>
    </row>
    <row r="4" spans="1:13" x14ac:dyDescent="0.25">
      <c r="A4" t="s">
        <v>10</v>
      </c>
      <c r="B4">
        <v>103</v>
      </c>
      <c r="C4" t="s">
        <v>11</v>
      </c>
    </row>
    <row r="5" spans="1:13" x14ac:dyDescent="0.25">
      <c r="A5" t="s">
        <v>54</v>
      </c>
      <c r="B5">
        <v>2</v>
      </c>
      <c r="C5" t="s">
        <v>14</v>
      </c>
    </row>
    <row r="9" spans="1:13" x14ac:dyDescent="0.25">
      <c r="A9" s="1" t="s">
        <v>5</v>
      </c>
      <c r="F9" s="1" t="s">
        <v>6</v>
      </c>
      <c r="K9" s="1" t="s">
        <v>9</v>
      </c>
    </row>
    <row r="10" spans="1:13" x14ac:dyDescent="0.25">
      <c r="A10" t="s">
        <v>0</v>
      </c>
      <c r="B10">
        <v>125.65</v>
      </c>
      <c r="C10" t="s">
        <v>1</v>
      </c>
      <c r="F10" t="s">
        <v>7</v>
      </c>
      <c r="G10" s="3">
        <v>5.6</v>
      </c>
      <c r="H10" t="s">
        <v>1</v>
      </c>
      <c r="K10" t="s">
        <v>3</v>
      </c>
      <c r="L10" s="2">
        <f>B12+G12</f>
        <v>5.6000000000000001E-2</v>
      </c>
      <c r="M10" t="s">
        <v>4</v>
      </c>
    </row>
    <row r="11" spans="1:13" x14ac:dyDescent="0.25">
      <c r="A11" t="s">
        <v>0</v>
      </c>
      <c r="B11" s="2">
        <f>B10/B1/1000</f>
        <v>2.2499776166174231E-3</v>
      </c>
      <c r="C11" t="s">
        <v>2</v>
      </c>
      <c r="F11" t="s">
        <v>7</v>
      </c>
      <c r="G11" s="2">
        <f>G10/B2/1000</f>
        <v>9.0315442811777783E-5</v>
      </c>
      <c r="H11" t="s">
        <v>2</v>
      </c>
      <c r="K11" t="s">
        <v>8</v>
      </c>
      <c r="L11" s="3">
        <f>L10*B4</f>
        <v>5.7679999999999998</v>
      </c>
      <c r="M11" t="s">
        <v>14</v>
      </c>
    </row>
    <row r="12" spans="1:13" x14ac:dyDescent="0.25">
      <c r="A12" t="s">
        <v>3</v>
      </c>
      <c r="B12" s="2">
        <v>2.8000000000000001E-2</v>
      </c>
      <c r="C12" t="s">
        <v>4</v>
      </c>
      <c r="F12" t="s">
        <v>3</v>
      </c>
      <c r="G12" s="2">
        <v>2.8000000000000001E-2</v>
      </c>
      <c r="H12" t="s">
        <v>4</v>
      </c>
      <c r="K12" t="s">
        <v>12</v>
      </c>
      <c r="L12" s="2">
        <f>B11*L11</f>
        <v>1.2977870892649295E-2</v>
      </c>
      <c r="M12" t="s">
        <v>15</v>
      </c>
    </row>
    <row r="13" spans="1:13" x14ac:dyDescent="0.25">
      <c r="K13" t="s">
        <v>13</v>
      </c>
      <c r="L13" s="2">
        <f>G11*L11</f>
        <v>5.2093947413833427E-4</v>
      </c>
      <c r="M13" t="s">
        <v>15</v>
      </c>
    </row>
    <row r="16" spans="1:13" x14ac:dyDescent="0.25">
      <c r="A16" s="1" t="s">
        <v>16</v>
      </c>
    </row>
    <row r="17" spans="1:8" x14ac:dyDescent="0.25">
      <c r="A17" s="1"/>
    </row>
    <row r="18" spans="1:8" x14ac:dyDescent="0.25">
      <c r="A18" s="1" t="s">
        <v>23</v>
      </c>
    </row>
    <row r="19" spans="1:8" s="1" customFormat="1" x14ac:dyDescent="0.25">
      <c r="A19" s="26" t="s">
        <v>17</v>
      </c>
      <c r="B19" s="1" t="s">
        <v>25</v>
      </c>
      <c r="C19" s="1" t="s">
        <v>20</v>
      </c>
      <c r="D19" s="1" t="s">
        <v>21</v>
      </c>
      <c r="E19" s="1" t="s">
        <v>18</v>
      </c>
      <c r="F19" s="1" t="s">
        <v>124</v>
      </c>
      <c r="G19" s="1" t="s">
        <v>125</v>
      </c>
      <c r="H19" s="1" t="s">
        <v>126</v>
      </c>
    </row>
    <row r="20" spans="1:8" x14ac:dyDescent="0.25">
      <c r="A20" s="4">
        <v>0</v>
      </c>
      <c r="B20" s="9">
        <v>5.5</v>
      </c>
      <c r="C20" s="5">
        <v>4.2999999999999997E-2</v>
      </c>
      <c r="D20" s="5">
        <v>6.0000000000000001E-3</v>
      </c>
      <c r="E20" s="5">
        <f>D20+C20</f>
        <v>4.8999999999999995E-2</v>
      </c>
      <c r="F20" s="5">
        <v>8.1000000000000003E-2</v>
      </c>
      <c r="G20" s="8" t="s">
        <v>19</v>
      </c>
      <c r="H20" s="5">
        <v>7.1999999999999995E-2</v>
      </c>
    </row>
    <row r="21" spans="1:8" x14ac:dyDescent="0.25">
      <c r="A21" s="4">
        <v>27</v>
      </c>
      <c r="B21" s="9">
        <v>5.5</v>
      </c>
      <c r="C21" s="5">
        <f>1.29*20</f>
        <v>25.8</v>
      </c>
      <c r="D21" s="5">
        <f>0.052*20</f>
        <v>1.04</v>
      </c>
      <c r="E21" s="6">
        <f>D21+C21</f>
        <v>26.84</v>
      </c>
      <c r="F21" s="5">
        <v>2.78</v>
      </c>
      <c r="G21" s="5">
        <v>5.2999999999999999E-2</v>
      </c>
      <c r="H21" s="5">
        <v>0.22600000000000001</v>
      </c>
    </row>
    <row r="22" spans="1:8" x14ac:dyDescent="0.25">
      <c r="A22" s="4">
        <v>51</v>
      </c>
      <c r="B22" s="9">
        <v>7.5</v>
      </c>
      <c r="C22" s="5">
        <f>1.63*20</f>
        <v>32.599999999999994</v>
      </c>
      <c r="D22" s="6">
        <f>0.06*20</f>
        <v>1.2</v>
      </c>
      <c r="E22" s="6">
        <f>D22+C22</f>
        <v>33.799999999999997</v>
      </c>
      <c r="F22" s="5">
        <v>4.4800000000000004</v>
      </c>
      <c r="G22" s="5">
        <v>0.10299999999999999</v>
      </c>
      <c r="H22" s="5">
        <v>0.51400000000000001</v>
      </c>
    </row>
    <row r="23" spans="1:8" x14ac:dyDescent="0.25">
      <c r="A23" s="4">
        <v>74</v>
      </c>
      <c r="B23" s="10">
        <v>7.5</v>
      </c>
      <c r="C23" s="5">
        <f>2.07*20</f>
        <v>41.4</v>
      </c>
      <c r="D23" s="5">
        <f>0.086*20</f>
        <v>1.7199999999999998</v>
      </c>
      <c r="E23" s="6">
        <f>D23+C23</f>
        <v>43.12</v>
      </c>
      <c r="F23" s="5">
        <v>5.0599999999999996</v>
      </c>
      <c r="G23" s="5">
        <v>0.10299999999999999</v>
      </c>
      <c r="H23" s="5">
        <v>0.39300000000000002</v>
      </c>
    </row>
    <row r="24" spans="1:8" x14ac:dyDescent="0.25">
      <c r="A24" s="4">
        <v>103</v>
      </c>
      <c r="B24" s="10">
        <v>7.5</v>
      </c>
      <c r="C24" s="5">
        <f>2.22*20</f>
        <v>44.400000000000006</v>
      </c>
      <c r="D24" s="5">
        <f>0.104*20</f>
        <v>2.08</v>
      </c>
      <c r="E24" s="6">
        <f>D24+C24</f>
        <v>46.480000000000004</v>
      </c>
      <c r="F24" s="5">
        <v>5.22</v>
      </c>
      <c r="G24" s="5">
        <v>0.13700000000000001</v>
      </c>
      <c r="H24" s="5">
        <v>0.44900000000000001</v>
      </c>
    </row>
    <row r="25" spans="1:8" x14ac:dyDescent="0.25">
      <c r="A25" s="4"/>
      <c r="B25" s="10"/>
      <c r="C25" s="6"/>
      <c r="D25" s="5"/>
      <c r="E25" s="6"/>
      <c r="F25" s="7"/>
      <c r="G25" s="5"/>
      <c r="H25" s="5"/>
    </row>
    <row r="26" spans="1:8" x14ac:dyDescent="0.25">
      <c r="B26" s="11"/>
    </row>
    <row r="27" spans="1:8" x14ac:dyDescent="0.25">
      <c r="A27" s="1" t="s">
        <v>24</v>
      </c>
    </row>
    <row r="28" spans="1:8" x14ac:dyDescent="0.25">
      <c r="A28" s="1" t="s">
        <v>17</v>
      </c>
      <c r="B28" s="1" t="s">
        <v>20</v>
      </c>
      <c r="C28" s="1" t="s">
        <v>21</v>
      </c>
      <c r="D28" s="1" t="s">
        <v>18</v>
      </c>
      <c r="E28" s="1" t="s">
        <v>124</v>
      </c>
      <c r="F28" s="1" t="s">
        <v>125</v>
      </c>
      <c r="G28" s="1" t="s">
        <v>126</v>
      </c>
    </row>
    <row r="29" spans="1:8" x14ac:dyDescent="0.25">
      <c r="A29">
        <v>103</v>
      </c>
      <c r="B29" s="9">
        <f>1.9*20</f>
        <v>38</v>
      </c>
      <c r="C29" s="5">
        <f>0.045*20</f>
        <v>0.89999999999999991</v>
      </c>
      <c r="D29" s="9">
        <f>C29+B29</f>
        <v>38.9</v>
      </c>
      <c r="E29" s="5">
        <v>3.11</v>
      </c>
      <c r="F29" s="5">
        <v>0.10199999999999999</v>
      </c>
      <c r="G29" s="5">
        <v>0.35199999999999998</v>
      </c>
    </row>
    <row r="32" spans="1:8" x14ac:dyDescent="0.25">
      <c r="A32" s="1" t="s">
        <v>26</v>
      </c>
    </row>
    <row r="33" spans="1:6" ht="30" customHeight="1" x14ac:dyDescent="0.25">
      <c r="B33" s="12" t="s">
        <v>27</v>
      </c>
      <c r="C33" s="12" t="s">
        <v>28</v>
      </c>
      <c r="D33" s="12" t="s">
        <v>29</v>
      </c>
    </row>
    <row r="34" spans="1:6" x14ac:dyDescent="0.25">
      <c r="A34" t="s">
        <v>30</v>
      </c>
      <c r="B34" s="5">
        <v>1.0568</v>
      </c>
      <c r="C34" s="5">
        <v>1.2784</v>
      </c>
      <c r="D34" s="13">
        <f>(C34-B34)</f>
        <v>0.22160000000000002</v>
      </c>
    </row>
    <row r="35" spans="1:6" x14ac:dyDescent="0.25">
      <c r="A35" t="s">
        <v>31</v>
      </c>
      <c r="B35" s="5">
        <v>1.0475000000000001</v>
      </c>
      <c r="C35" s="5">
        <v>1.3159000000000001</v>
      </c>
      <c r="D35" s="15">
        <f>(C35-B35)</f>
        <v>0.26839999999999997</v>
      </c>
    </row>
    <row r="36" spans="1:6" x14ac:dyDescent="0.25">
      <c r="A36" t="s">
        <v>32</v>
      </c>
      <c r="B36" s="5"/>
      <c r="C36" s="5"/>
      <c r="D36" s="13">
        <f>D35+D34</f>
        <v>0.49</v>
      </c>
    </row>
    <row r="40" spans="1:6" x14ac:dyDescent="0.25">
      <c r="A40" s="1" t="s">
        <v>35</v>
      </c>
    </row>
    <row r="42" spans="1:6" x14ac:dyDescent="0.25">
      <c r="A42" s="1" t="s">
        <v>22</v>
      </c>
    </row>
    <row r="43" spans="1:6" s="1" customFormat="1" ht="17.25" x14ac:dyDescent="0.25">
      <c r="A43" s="16" t="s">
        <v>55</v>
      </c>
      <c r="B43" s="17">
        <f>L12</f>
        <v>1.2977870892649295E-2</v>
      </c>
      <c r="C43" s="18" t="s">
        <v>15</v>
      </c>
    </row>
    <row r="44" spans="1:6" x14ac:dyDescent="0.25">
      <c r="A44" s="5" t="s">
        <v>50</v>
      </c>
      <c r="B44" s="17">
        <f>((C24+D24)*B5)/B1/1000</f>
        <v>1.6646073954696035E-3</v>
      </c>
      <c r="C44" s="18" t="s">
        <v>15</v>
      </c>
      <c r="D44" s="1"/>
    </row>
    <row r="45" spans="1:6" x14ac:dyDescent="0.25">
      <c r="A45" s="5" t="s">
        <v>51</v>
      </c>
      <c r="B45" s="17">
        <f>(B29+C29)*L11/B1/1000</f>
        <v>4.0178207538723249E-3</v>
      </c>
      <c r="C45" s="17" t="s">
        <v>15</v>
      </c>
      <c r="D45" s="2"/>
    </row>
    <row r="46" spans="1:6" x14ac:dyDescent="0.25">
      <c r="A46" s="16" t="s">
        <v>52</v>
      </c>
      <c r="B46" s="17">
        <f>D36/B3*(3*B1)/B1</f>
        <v>6.3489979380873356E-3</v>
      </c>
      <c r="C46" s="18" t="s">
        <v>15</v>
      </c>
      <c r="D46" t="s">
        <v>59</v>
      </c>
    </row>
    <row r="47" spans="1:6" x14ac:dyDescent="0.25">
      <c r="A47" s="16" t="s">
        <v>53</v>
      </c>
      <c r="B47" s="17">
        <f>B43-SUM(B44:B46)</f>
        <v>9.4644480522003242E-4</v>
      </c>
      <c r="C47" s="18" t="s">
        <v>15</v>
      </c>
    </row>
    <row r="48" spans="1:6" x14ac:dyDescent="0.25">
      <c r="A48" s="16" t="s">
        <v>53</v>
      </c>
      <c r="B48" s="19">
        <f>B47/B43</f>
        <v>7.2927586739678654E-2</v>
      </c>
      <c r="C48" s="18"/>
      <c r="F48" s="19"/>
    </row>
    <row r="49" spans="1:6" x14ac:dyDescent="0.25">
      <c r="A49" s="16" t="s">
        <v>81</v>
      </c>
      <c r="B49" s="19">
        <f>B46/B43</f>
        <v>0.4892172214229244</v>
      </c>
      <c r="C49" s="18"/>
      <c r="F49" s="19"/>
    </row>
    <row r="50" spans="1:6" x14ac:dyDescent="0.25">
      <c r="A50" s="16" t="s">
        <v>136</v>
      </c>
      <c r="B50" s="3">
        <f>(B46*55.845*1000)/A24</f>
        <v>3.4423280568202648</v>
      </c>
      <c r="C50" s="18" t="s">
        <v>137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workbookViewId="0">
      <selection activeCell="F10" sqref="F10"/>
    </sheetView>
  </sheetViews>
  <sheetFormatPr defaultRowHeight="15" x14ac:dyDescent="0.25"/>
  <sheetData>
    <row r="1" spans="1:20" x14ac:dyDescent="0.25">
      <c r="A1" s="1" t="s">
        <v>36</v>
      </c>
      <c r="G1" s="22" t="s">
        <v>60</v>
      </c>
    </row>
    <row r="2" spans="1:20" x14ac:dyDescent="0.25">
      <c r="A2" s="1" t="s">
        <v>37</v>
      </c>
    </row>
    <row r="4" spans="1:20" x14ac:dyDescent="0.25">
      <c r="A4" s="1" t="s">
        <v>46</v>
      </c>
    </row>
    <row r="7" spans="1:20" x14ac:dyDescent="0.25">
      <c r="A7" s="1" t="s">
        <v>38</v>
      </c>
    </row>
    <row r="9" spans="1:20" x14ac:dyDescent="0.25">
      <c r="A9" t="s">
        <v>39</v>
      </c>
      <c r="B9" s="3">
        <f>55.845/2</f>
        <v>27.922499999999999</v>
      </c>
      <c r="C9" t="s">
        <v>1</v>
      </c>
      <c r="E9" t="s">
        <v>43</v>
      </c>
      <c r="F9" t="s">
        <v>49</v>
      </c>
    </row>
    <row r="10" spans="1:20" x14ac:dyDescent="0.25">
      <c r="A10" t="s">
        <v>3</v>
      </c>
      <c r="B10" s="14">
        <f>0.028*2</f>
        <v>5.6000000000000001E-2</v>
      </c>
      <c r="C10" t="s">
        <v>4</v>
      </c>
      <c r="E10">
        <v>1</v>
      </c>
      <c r="F10" s="3">
        <f>(1-EXP(-($B$10/$B$11)*E10))*$B$9</f>
        <v>0.77098582799218485</v>
      </c>
      <c r="G10">
        <v>24</v>
      </c>
      <c r="H10" s="3">
        <f>(1-EXP(-($B$10/$B$11)*G10))*$B$9</f>
        <v>13.662865044957618</v>
      </c>
      <c r="I10">
        <v>47</v>
      </c>
      <c r="J10" s="3">
        <f>(1-EXP(-($B$10/$B$11)*I10))*$B$9</f>
        <v>20.433518436655017</v>
      </c>
      <c r="K10">
        <v>70</v>
      </c>
      <c r="L10" s="3">
        <f>(1-EXP(-($B$10/$B$11)*K10))*$B$9</f>
        <v>23.989380741832118</v>
      </c>
      <c r="M10">
        <v>93</v>
      </c>
      <c r="N10" s="3">
        <f>(1-EXP(-($B$10/$B$11)*M10))*$B$9</f>
        <v>25.856875059128658</v>
      </c>
      <c r="O10">
        <v>116</v>
      </c>
      <c r="P10" s="3">
        <f>(1-EXP(-($B$10/$B$11)*O10))*$B$9</f>
        <v>26.837659669392458</v>
      </c>
      <c r="Q10">
        <v>139</v>
      </c>
      <c r="R10" s="3">
        <f>(1-EXP(-($B$10/$B$11)*Q10))*$B$9</f>
        <v>27.352755454595624</v>
      </c>
      <c r="S10">
        <v>162</v>
      </c>
      <c r="T10" s="3">
        <f>(1-EXP(-($B$10/$B$11)*S10))*$B$9</f>
        <v>27.62327730532359</v>
      </c>
    </row>
    <row r="11" spans="1:20" x14ac:dyDescent="0.25">
      <c r="A11" t="s">
        <v>40</v>
      </c>
      <c r="B11">
        <v>2</v>
      </c>
      <c r="C11" t="s">
        <v>14</v>
      </c>
      <c r="E11">
        <v>2</v>
      </c>
      <c r="F11" s="3">
        <f t="shared" ref="F11:H26" si="0">(1-EXP(-($B$10/$B$11)*E11))*$B$9</f>
        <v>1.5206834781004097</v>
      </c>
      <c r="G11">
        <v>25</v>
      </c>
      <c r="H11" s="3">
        <f t="shared" si="0"/>
        <v>14.05659685488437</v>
      </c>
      <c r="I11">
        <v>48</v>
      </c>
      <c r="J11" s="3">
        <f t="shared" ref="J11:J32" si="1">(1-EXP(-($B$10/$B$11)*I11))*$B$9</f>
        <v>20.640301448614323</v>
      </c>
      <c r="K11">
        <v>71</v>
      </c>
      <c r="L11" s="3">
        <f t="shared" ref="L11:L32" si="2">(1-EXP(-($B$10/$B$11)*K11))*$B$9</f>
        <v>24.097980588115604</v>
      </c>
      <c r="M11">
        <v>94</v>
      </c>
      <c r="N11" s="3">
        <f t="shared" ref="N11:N32" si="3">(1-EXP(-($B$10/$B$11)*M11))*$B$9</f>
        <v>25.913910337322193</v>
      </c>
      <c r="O11">
        <v>117</v>
      </c>
      <c r="P11" s="3">
        <f t="shared" ref="P11:P32" si="4">(1-EXP(-($B$10/$B$11)*O11))*$B$9</f>
        <v>26.867613882680406</v>
      </c>
      <c r="Q11">
        <v>140</v>
      </c>
      <c r="R11" s="3">
        <f t="shared" ref="R11:R32" si="5">(1-EXP(-($B$10/$B$11)*Q11))*$B$9</f>
        <v>27.368487032000321</v>
      </c>
      <c r="S11">
        <f>S10+1</f>
        <v>163</v>
      </c>
      <c r="T11" s="3">
        <f t="shared" ref="T11:T30" si="6">(1-EXP(-($B$10/$B$11)*S11))*$B$9</f>
        <v>27.631539332613738</v>
      </c>
    </row>
    <row r="12" spans="1:20" x14ac:dyDescent="0.25">
      <c r="A12" t="s">
        <v>41</v>
      </c>
      <c r="B12" s="11">
        <f>B11/B10</f>
        <v>35.714285714285715</v>
      </c>
      <c r="C12" t="s">
        <v>42</v>
      </c>
      <c r="E12">
        <v>3</v>
      </c>
      <c r="F12" s="3">
        <f t="shared" si="0"/>
        <v>2.2496807516838815</v>
      </c>
      <c r="G12">
        <v>26</v>
      </c>
      <c r="H12" s="3">
        <f t="shared" si="0"/>
        <v>14.439457086496736</v>
      </c>
      <c r="I12">
        <v>49</v>
      </c>
      <c r="J12" s="3">
        <f t="shared" si="1"/>
        <v>20.841374843895679</v>
      </c>
      <c r="K12">
        <v>72</v>
      </c>
      <c r="L12" s="3">
        <f t="shared" si="2"/>
        <v>24.203581815278067</v>
      </c>
      <c r="M12">
        <v>95</v>
      </c>
      <c r="N12" s="3">
        <f t="shared" si="3"/>
        <v>25.969370778334863</v>
      </c>
      <c r="O12">
        <v>118</v>
      </c>
      <c r="P12" s="3">
        <f t="shared" si="4"/>
        <v>26.896741011218293</v>
      </c>
      <c r="Q12">
        <v>141</v>
      </c>
      <c r="R12" s="3">
        <f t="shared" si="5"/>
        <v>27.38378423486008</v>
      </c>
      <c r="S12">
        <f t="shared" ref="S12:S18" si="7">S11+1</f>
        <v>164</v>
      </c>
      <c r="T12" s="3">
        <f t="shared" si="6"/>
        <v>27.639573231836867</v>
      </c>
    </row>
    <row r="13" spans="1:20" x14ac:dyDescent="0.25">
      <c r="E13">
        <v>4</v>
      </c>
      <c r="F13" s="3">
        <f t="shared" si="0"/>
        <v>2.958549219946276</v>
      </c>
      <c r="G13">
        <v>27</v>
      </c>
      <c r="H13" s="3">
        <f t="shared" si="0"/>
        <v>14.811745921827436</v>
      </c>
      <c r="I13">
        <v>50</v>
      </c>
      <c r="J13" s="3">
        <f t="shared" si="1"/>
        <v>21.036896274340492</v>
      </c>
      <c r="K13">
        <v>73</v>
      </c>
      <c r="L13" s="3">
        <f t="shared" si="2"/>
        <v>24.306267220090785</v>
      </c>
      <c r="M13">
        <v>96</v>
      </c>
      <c r="N13" s="3">
        <f t="shared" si="3"/>
        <v>26.023299865993245</v>
      </c>
      <c r="O13">
        <v>119</v>
      </c>
      <c r="P13" s="3">
        <f t="shared" si="4"/>
        <v>26.925063892166857</v>
      </c>
      <c r="Q13">
        <v>142</v>
      </c>
      <c r="R13" s="3">
        <f t="shared" si="5"/>
        <v>27.39865905696551</v>
      </c>
      <c r="S13">
        <f t="shared" si="7"/>
        <v>165</v>
      </c>
      <c r="T13" s="3">
        <f t="shared" si="6"/>
        <v>27.647385301981497</v>
      </c>
    </row>
    <row r="14" spans="1:20" x14ac:dyDescent="0.25">
      <c r="E14">
        <v>5</v>
      </c>
      <c r="F14" s="3">
        <f t="shared" si="0"/>
        <v>3.6478446720768436</v>
      </c>
      <c r="G14">
        <v>28</v>
      </c>
      <c r="H14" s="3">
        <f t="shared" si="0"/>
        <v>15.173755254392995</v>
      </c>
      <c r="I14">
        <v>51</v>
      </c>
      <c r="J14" s="3">
        <f t="shared" si="1"/>
        <v>21.22701903876537</v>
      </c>
      <c r="K14">
        <v>74</v>
      </c>
      <c r="L14" s="3">
        <f t="shared" si="2"/>
        <v>24.406117313170942</v>
      </c>
      <c r="M14">
        <v>97</v>
      </c>
      <c r="N14" s="3">
        <f t="shared" si="3"/>
        <v>26.075739883464465</v>
      </c>
      <c r="O14">
        <v>120</v>
      </c>
      <c r="P14" s="3">
        <f t="shared" si="4"/>
        <v>26.952604732115535</v>
      </c>
      <c r="Q14">
        <v>143</v>
      </c>
      <c r="R14" s="3">
        <f t="shared" si="5"/>
        <v>27.413123160939065</v>
      </c>
      <c r="S14">
        <f t="shared" si="7"/>
        <v>166</v>
      </c>
      <c r="T14" s="3">
        <f t="shared" si="6"/>
        <v>27.654981668110771</v>
      </c>
    </row>
    <row r="15" spans="1:20" x14ac:dyDescent="0.25">
      <c r="E15">
        <v>6</v>
      </c>
      <c r="F15" s="3">
        <f t="shared" si="0"/>
        <v>4.3181075510176159</v>
      </c>
      <c r="G15">
        <v>29</v>
      </c>
      <c r="H15" s="3">
        <f t="shared" si="0"/>
        <v>15.525768918053226</v>
      </c>
      <c r="I15">
        <v>52</v>
      </c>
      <c r="J15" s="3">
        <f t="shared" si="1"/>
        <v>21.411892203156217</v>
      </c>
      <c r="K15">
        <v>75</v>
      </c>
      <c r="L15" s="3">
        <f t="shared" si="2"/>
        <v>24.503210382106115</v>
      </c>
      <c r="M15">
        <v>98</v>
      </c>
      <c r="N15" s="3">
        <f t="shared" si="3"/>
        <v>26.126731946408327</v>
      </c>
      <c r="O15">
        <v>121</v>
      </c>
      <c r="P15" s="3">
        <f t="shared" si="4"/>
        <v>26.979385124493568</v>
      </c>
      <c r="Q15">
        <v>144</v>
      </c>
      <c r="R15" s="3">
        <f t="shared" si="5"/>
        <v>27.427187887379155</v>
      </c>
      <c r="S15">
        <f t="shared" si="7"/>
        <v>167</v>
      </c>
      <c r="T15" s="3">
        <f t="shared" si="6"/>
        <v>27.662368286164838</v>
      </c>
    </row>
    <row r="16" spans="1:20" x14ac:dyDescent="0.25">
      <c r="E16">
        <v>7</v>
      </c>
      <c r="F16" s="3">
        <f t="shared" si="0"/>
        <v>4.9698633771983367</v>
      </c>
      <c r="G16">
        <v>30</v>
      </c>
      <c r="H16" s="3">
        <f t="shared" si="0"/>
        <v>15.868062909551522</v>
      </c>
      <c r="I16">
        <v>53</v>
      </c>
      <c r="J16" s="3">
        <f t="shared" si="1"/>
        <v>21.591660717543608</v>
      </c>
      <c r="K16">
        <v>76</v>
      </c>
      <c r="L16" s="3">
        <f t="shared" si="2"/>
        <v>24.597622552835706</v>
      </c>
      <c r="M16">
        <v>99</v>
      </c>
      <c r="N16" s="3">
        <f t="shared" si="3"/>
        <v>26.176316035214139</v>
      </c>
      <c r="O16">
        <v>122</v>
      </c>
      <c r="P16" s="3">
        <f t="shared" si="4"/>
        <v>27.005426066500338</v>
      </c>
      <c r="Q16">
        <v>145</v>
      </c>
      <c r="R16" s="3">
        <f t="shared" si="5"/>
        <v>27.440864263751742</v>
      </c>
      <c r="S16">
        <f t="shared" si="7"/>
        <v>168</v>
      </c>
      <c r="T16" s="3">
        <f t="shared" si="6"/>
        <v>27.669550947630619</v>
      </c>
    </row>
    <row r="17" spans="5:20" x14ac:dyDescent="0.25">
      <c r="E17">
        <v>8</v>
      </c>
      <c r="F17" s="3">
        <f t="shared" si="0"/>
        <v>5.603623160571404</v>
      </c>
      <c r="G17">
        <v>31</v>
      </c>
      <c r="H17" s="3">
        <f t="shared" si="0"/>
        <v>16.200905604910428</v>
      </c>
      <c r="I17">
        <v>54</v>
      </c>
      <c r="J17" s="3">
        <f t="shared" si="1"/>
        <v>21.766465529651054</v>
      </c>
      <c r="K17">
        <v>77</v>
      </c>
      <c r="L17" s="3">
        <f t="shared" si="2"/>
        <v>24.689427849337608</v>
      </c>
      <c r="M17">
        <v>100</v>
      </c>
      <c r="N17" s="3">
        <f t="shared" si="3"/>
        <v>26.224531026347353</v>
      </c>
      <c r="O17">
        <v>123</v>
      </c>
      <c r="P17" s="3">
        <f t="shared" si="4"/>
        <v>27.030747975568271</v>
      </c>
      <c r="Q17">
        <v>146</v>
      </c>
      <c r="R17" s="3">
        <f t="shared" si="5"/>
        <v>27.454163013036442</v>
      </c>
      <c r="S17">
        <f t="shared" si="7"/>
        <v>169</v>
      </c>
      <c r="T17" s="3">
        <f t="shared" si="6"/>
        <v>27.676535284082615</v>
      </c>
    </row>
    <row r="18" spans="5:20" x14ac:dyDescent="0.25">
      <c r="E18">
        <v>9</v>
      </c>
      <c r="F18" s="3">
        <f t="shared" si="0"/>
        <v>6.2198838012698516</v>
      </c>
      <c r="G18">
        <v>32</v>
      </c>
      <c r="H18" s="3">
        <f t="shared" si="0"/>
        <v>16.524557969852204</v>
      </c>
      <c r="I18">
        <v>55</v>
      </c>
      <c r="J18" s="3">
        <f t="shared" si="1"/>
        <v>21.936443695405206</v>
      </c>
      <c r="K18">
        <v>78</v>
      </c>
      <c r="L18" s="3">
        <f t="shared" si="2"/>
        <v>24.778698251666803</v>
      </c>
      <c r="M18">
        <v>101</v>
      </c>
      <c r="N18" s="3">
        <f t="shared" si="3"/>
        <v>26.271414722830709</v>
      </c>
      <c r="O18">
        <v>124</v>
      </c>
      <c r="P18" s="3">
        <f t="shared" si="4"/>
        <v>27.055370705371125</v>
      </c>
      <c r="Q18">
        <v>147</v>
      </c>
      <c r="R18" s="3">
        <f t="shared" si="5"/>
        <v>27.467094562133887</v>
      </c>
      <c r="S18">
        <f t="shared" si="7"/>
        <v>170</v>
      </c>
      <c r="T18" s="3">
        <f t="shared" si="6"/>
        <v>27.68332677159836</v>
      </c>
    </row>
    <row r="19" spans="5:20" x14ac:dyDescent="0.25">
      <c r="E19">
        <v>10</v>
      </c>
      <c r="F19" s="3">
        <f t="shared" si="0"/>
        <v>6.8191284792025053</v>
      </c>
      <c r="G19">
        <v>33</v>
      </c>
      <c r="H19" s="3">
        <f t="shared" si="0"/>
        <v>16.839273764409295</v>
      </c>
      <c r="I19">
        <v>56</v>
      </c>
      <c r="J19" s="3">
        <f t="shared" si="1"/>
        <v>22.101728486394762</v>
      </c>
      <c r="K19">
        <v>79</v>
      </c>
      <c r="L19" s="3">
        <f t="shared" si="2"/>
        <v>24.86550375239138</v>
      </c>
      <c r="M19">
        <v>102</v>
      </c>
      <c r="N19" s="3">
        <f t="shared" si="3"/>
        <v>26.317003883883771</v>
      </c>
      <c r="O19">
        <v>125</v>
      </c>
      <c r="P19" s="3">
        <f t="shared" si="4"/>
        <v>27.079313561390311</v>
      </c>
      <c r="Q19">
        <v>148</v>
      </c>
      <c r="R19" s="3">
        <f t="shared" si="5"/>
        <v>27.479669050040965</v>
      </c>
      <c r="S19">
        <v>180</v>
      </c>
      <c r="T19" s="3">
        <f t="shared" si="6"/>
        <v>27.741736762582565</v>
      </c>
    </row>
    <row r="20" spans="5:20" x14ac:dyDescent="0.25">
      <c r="E20">
        <v>11</v>
      </c>
      <c r="F20" s="3">
        <f t="shared" si="0"/>
        <v>7.4018270328917781</v>
      </c>
      <c r="G20">
        <v>34</v>
      </c>
      <c r="H20" s="3">
        <f t="shared" si="0"/>
        <v>17.145299741885225</v>
      </c>
      <c r="I20">
        <v>57</v>
      </c>
      <c r="J20" s="3">
        <f t="shared" si="1"/>
        <v>22.262449494362183</v>
      </c>
      <c r="K20">
        <v>80</v>
      </c>
      <c r="L20" s="3">
        <f t="shared" si="2"/>
        <v>24.949912411470315</v>
      </c>
      <c r="M20">
        <v>103</v>
      </c>
      <c r="N20" s="3">
        <f t="shared" si="3"/>
        <v>26.361334253743994</v>
      </c>
      <c r="O20">
        <v>126</v>
      </c>
      <c r="P20" s="3">
        <f t="shared" si="4"/>
        <v>27.102595316051364</v>
      </c>
      <c r="Q20">
        <v>149</v>
      </c>
      <c r="R20" s="3">
        <f t="shared" si="5"/>
        <v>27.491896335800288</v>
      </c>
      <c r="S20">
        <v>190</v>
      </c>
      <c r="T20" s="3">
        <f t="shared" si="6"/>
        <v>27.785882084107001</v>
      </c>
    </row>
    <row r="21" spans="5:20" x14ac:dyDescent="0.25">
      <c r="E21">
        <v>12</v>
      </c>
      <c r="F21" s="3">
        <f t="shared" si="0"/>
        <v>7.9684363278511414</v>
      </c>
      <c r="G21">
        <v>35</v>
      </c>
      <c r="H21" s="3">
        <f t="shared" si="0"/>
        <v>17.442875842321794</v>
      </c>
      <c r="I21">
        <v>58</v>
      </c>
      <c r="J21" s="3">
        <f t="shared" si="1"/>
        <v>22.418732732810273</v>
      </c>
      <c r="K21">
        <v>81</v>
      </c>
      <c r="L21" s="3">
        <f t="shared" si="2"/>
        <v>25.031990409615961</v>
      </c>
      <c r="M21">
        <v>104</v>
      </c>
      <c r="N21" s="3">
        <f t="shared" si="3"/>
        <v>26.404440589692076</v>
      </c>
      <c r="O21">
        <v>127</v>
      </c>
      <c r="P21" s="3">
        <f t="shared" si="4"/>
        <v>27.125234223442494</v>
      </c>
      <c r="Q21">
        <v>150</v>
      </c>
      <c r="R21" s="3">
        <f t="shared" si="5"/>
        <v>27.503786006230211</v>
      </c>
      <c r="S21">
        <v>200</v>
      </c>
      <c r="T21" s="3">
        <f t="shared" si="6"/>
        <v>27.819246400376503</v>
      </c>
    </row>
    <row r="22" spans="5:20" x14ac:dyDescent="0.25">
      <c r="E22">
        <v>13</v>
      </c>
      <c r="F22" s="3">
        <f t="shared" si="0"/>
        <v>8.5194006147910777</v>
      </c>
      <c r="G22">
        <v>36</v>
      </c>
      <c r="H22" s="3">
        <f t="shared" si="0"/>
        <v>17.732235380624399</v>
      </c>
      <c r="I22">
        <v>59</v>
      </c>
      <c r="J22" s="3">
        <f t="shared" si="1"/>
        <v>22.570700735803218</v>
      </c>
      <c r="K22">
        <v>82</v>
      </c>
      <c r="L22" s="3">
        <f t="shared" si="2"/>
        <v>25.111802100183123</v>
      </c>
      <c r="M22">
        <v>105</v>
      </c>
      <c r="N22" s="3">
        <f t="shared" si="3"/>
        <v>26.446356689303411</v>
      </c>
      <c r="O22">
        <v>128</v>
      </c>
      <c r="P22" s="3">
        <f t="shared" si="4"/>
        <v>27.14724803362672</v>
      </c>
      <c r="Q22">
        <v>151</v>
      </c>
      <c r="R22" s="3">
        <f t="shared" si="5"/>
        <v>27.515347383441366</v>
      </c>
      <c r="S22">
        <v>250</v>
      </c>
      <c r="T22" s="3">
        <f t="shared" si="6"/>
        <v>27.897037975816804</v>
      </c>
    </row>
    <row r="23" spans="5:20" x14ac:dyDescent="0.25">
      <c r="E23">
        <v>14</v>
      </c>
      <c r="F23" s="3">
        <f t="shared" si="0"/>
        <v>9.0551518779344207</v>
      </c>
      <c r="G23">
        <v>37</v>
      </c>
      <c r="H23" s="3">
        <f t="shared" si="0"/>
        <v>18.013605229492828</v>
      </c>
      <c r="I23">
        <v>60</v>
      </c>
      <c r="J23" s="3">
        <f t="shared" si="1"/>
        <v>22.718472654039573</v>
      </c>
      <c r="K23">
        <v>83</v>
      </c>
      <c r="L23" s="3">
        <f t="shared" si="2"/>
        <v>25.18941005962537</v>
      </c>
      <c r="M23">
        <v>106</v>
      </c>
      <c r="N23" s="3">
        <f t="shared" si="3"/>
        <v>26.487115416947159</v>
      </c>
      <c r="O23">
        <v>129</v>
      </c>
      <c r="P23" s="3">
        <f t="shared" si="4"/>
        <v>27.168654006558832</v>
      </c>
      <c r="Q23">
        <v>152</v>
      </c>
      <c r="R23" s="3">
        <f t="shared" si="5"/>
        <v>27.526589532145696</v>
      </c>
      <c r="S23">
        <v>300</v>
      </c>
      <c r="T23" s="3">
        <f t="shared" si="6"/>
        <v>27.916221142140618</v>
      </c>
    </row>
    <row r="24" spans="5:20" x14ac:dyDescent="0.25">
      <c r="E24">
        <v>15</v>
      </c>
      <c r="F24" s="3">
        <f t="shared" si="0"/>
        <v>9.5761101737140777</v>
      </c>
      <c r="G24">
        <v>38</v>
      </c>
      <c r="H24" s="3">
        <f t="shared" si="0"/>
        <v>18.287205997301118</v>
      </c>
      <c r="I24">
        <v>61</v>
      </c>
      <c r="J24" s="3">
        <f t="shared" si="1"/>
        <v>22.862164348272515</v>
      </c>
      <c r="K24">
        <v>84</v>
      </c>
      <c r="L24" s="3">
        <f t="shared" si="2"/>
        <v>25.264875136558196</v>
      </c>
      <c r="M24">
        <v>107</v>
      </c>
      <c r="N24" s="3">
        <f t="shared" si="3"/>
        <v>26.526748729553557</v>
      </c>
      <c r="O24">
        <v>130</v>
      </c>
      <c r="P24" s="3">
        <f t="shared" si="4"/>
        <v>27.189468925618076</v>
      </c>
      <c r="Q24">
        <v>153</v>
      </c>
      <c r="R24" s="3">
        <f t="shared" si="5"/>
        <v>27.537521266763637</v>
      </c>
      <c r="S24">
        <v>400</v>
      </c>
      <c r="T24" s="3">
        <f t="shared" si="6"/>
        <v>27.922118182260355</v>
      </c>
    </row>
    <row r="25" spans="5:20" x14ac:dyDescent="0.25">
      <c r="E25">
        <v>16</v>
      </c>
      <c r="F25" s="3">
        <f t="shared" si="0"/>
        <v>10.082683960118818</v>
      </c>
      <c r="G25">
        <v>39</v>
      </c>
      <c r="H25" s="3">
        <f t="shared" si="0"/>
        <v>18.553252201065785</v>
      </c>
      <c r="I25">
        <v>62</v>
      </c>
      <c r="J25" s="3">
        <f t="shared" si="1"/>
        <v>23.001888480150591</v>
      </c>
      <c r="K25">
        <v>85</v>
      </c>
      <c r="L25" s="3">
        <f t="shared" si="2"/>
        <v>25.338256499467441</v>
      </c>
      <c r="M25">
        <v>108</v>
      </c>
      <c r="N25" s="3">
        <f t="shared" si="3"/>
        <v>26.565287701669821</v>
      </c>
      <c r="O25">
        <v>131</v>
      </c>
      <c r="P25" s="3">
        <f t="shared" si="4"/>
        <v>27.2097091107672</v>
      </c>
      <c r="Q25">
        <f>Q24+1</f>
        <v>154</v>
      </c>
      <c r="R25" s="3">
        <f t="shared" si="5"/>
        <v>27.548151158335077</v>
      </c>
      <c r="S25">
        <v>500</v>
      </c>
      <c r="T25" s="3">
        <f t="shared" si="6"/>
        <v>27.92247678163934</v>
      </c>
    </row>
    <row r="26" spans="5:20" x14ac:dyDescent="0.25">
      <c r="E26">
        <v>17</v>
      </c>
      <c r="F26" s="3">
        <f t="shared" si="0"/>
        <v>10.575270416945251</v>
      </c>
      <c r="G26">
        <v>40</v>
      </c>
      <c r="H26" s="3">
        <f t="shared" si="0"/>
        <v>18.811952434638179</v>
      </c>
      <c r="I26">
        <v>63</v>
      </c>
      <c r="J26" s="3">
        <f t="shared" si="1"/>
        <v>23.137754600550227</v>
      </c>
      <c r="K26">
        <v>86</v>
      </c>
      <c r="L26" s="3">
        <f t="shared" si="2"/>
        <v>25.409611683100408</v>
      </c>
      <c r="M26">
        <v>109</v>
      </c>
      <c r="N26" s="3">
        <f t="shared" si="3"/>
        <v>26.602762549824149</v>
      </c>
      <c r="O26">
        <v>132</v>
      </c>
      <c r="P26" s="3">
        <f t="shared" si="4"/>
        <v>27.229390431348108</v>
      </c>
      <c r="Q26">
        <f t="shared" ref="Q26:Q32" si="8">Q25+1</f>
        <v>155</v>
      </c>
      <c r="R26" s="3">
        <f t="shared" si="5"/>
        <v>27.558487541239511</v>
      </c>
      <c r="S26">
        <v>600</v>
      </c>
      <c r="T26" s="3">
        <f t="shared" si="6"/>
        <v>27.922498588090033</v>
      </c>
    </row>
    <row r="27" spans="5:20" x14ac:dyDescent="0.25">
      <c r="E27">
        <v>18</v>
      </c>
      <c r="F27" s="3">
        <f t="shared" ref="F27:H32" si="9">(1-EXP(-($B$10/$B$11)*E27))*$B$9</f>
        <v>11.054255757207118</v>
      </c>
      <c r="G27">
        <v>41</v>
      </c>
      <c r="H27" s="3">
        <f t="shared" si="9"/>
        <v>19.063509532252741</v>
      </c>
      <c r="I27">
        <v>64</v>
      </c>
      <c r="J27" s="3">
        <f t="shared" si="1"/>
        <v>23.269869235469255</v>
      </c>
      <c r="K27">
        <v>87</v>
      </c>
      <c r="L27" s="3">
        <f t="shared" si="2"/>
        <v>25.47899663357607</v>
      </c>
      <c r="M27">
        <v>110</v>
      </c>
      <c r="N27" s="3">
        <f t="shared" si="3"/>
        <v>26.639202656217062</v>
      </c>
      <c r="O27">
        <v>133</v>
      </c>
      <c r="P27" s="3">
        <f t="shared" si="4"/>
        <v>27.248528318524272</v>
      </c>
      <c r="Q27">
        <f t="shared" si="8"/>
        <v>156</v>
      </c>
      <c r="R27" s="3">
        <f t="shared" si="5"/>
        <v>27.568538519730581</v>
      </c>
      <c r="S27">
        <v>700</v>
      </c>
      <c r="T27" s="3">
        <f t="shared" si="6"/>
        <v>27.922499914141664</v>
      </c>
    </row>
    <row r="28" spans="5:20" x14ac:dyDescent="0.25">
      <c r="E28">
        <v>19</v>
      </c>
      <c r="F28" s="3">
        <f t="shared" si="9"/>
        <v>11.520015529946095</v>
      </c>
      <c r="G28">
        <v>42</v>
      </c>
      <c r="H28" s="3">
        <f t="shared" si="9"/>
        <v>19.30812072755943</v>
      </c>
      <c r="I28">
        <v>65</v>
      </c>
      <c r="J28" s="3">
        <f t="shared" si="1"/>
        <v>23.398335969548715</v>
      </c>
      <c r="K28">
        <v>88</v>
      </c>
      <c r="L28" s="3">
        <f t="shared" si="2"/>
        <v>25.546465752249688</v>
      </c>
      <c r="M28">
        <v>111</v>
      </c>
      <c r="N28" s="3">
        <f t="shared" si="3"/>
        <v>26.674636591758532</v>
      </c>
      <c r="O28">
        <v>134</v>
      </c>
      <c r="P28" s="3">
        <f t="shared" si="4"/>
        <v>27.267137777379524</v>
      </c>
      <c r="Q28">
        <f t="shared" si="8"/>
        <v>157</v>
      </c>
      <c r="R28" s="3">
        <f t="shared" si="5"/>
        <v>27.578311974290266</v>
      </c>
      <c r="S28">
        <v>800</v>
      </c>
      <c r="T28" s="3">
        <f t="shared" si="6"/>
        <v>27.922499994778949</v>
      </c>
    </row>
    <row r="29" spans="5:20" x14ac:dyDescent="0.25">
      <c r="E29">
        <v>20</v>
      </c>
      <c r="F29" s="3">
        <f t="shared" si="9"/>
        <v>11.972914914681466</v>
      </c>
      <c r="G29">
        <v>43</v>
      </c>
      <c r="H29" s="3">
        <f t="shared" si="9"/>
        <v>19.545977808265</v>
      </c>
      <c r="I29">
        <v>66</v>
      </c>
      <c r="J29" s="3">
        <f t="shared" si="1"/>
        <v>23.523255527288526</v>
      </c>
      <c r="K29">
        <v>89</v>
      </c>
      <c r="L29" s="3">
        <f t="shared" si="2"/>
        <v>25.612071938366242</v>
      </c>
      <c r="M29">
        <v>112</v>
      </c>
      <c r="N29" s="3">
        <f t="shared" si="3"/>
        <v>26.709092138469043</v>
      </c>
      <c r="O29">
        <v>135</v>
      </c>
      <c r="P29" s="3">
        <f t="shared" si="4"/>
        <v>27.285233398682841</v>
      </c>
      <c r="Q29">
        <f t="shared" si="8"/>
        <v>158</v>
      </c>
      <c r="R29" s="3">
        <f t="shared" si="5"/>
        <v>27.587815567807567</v>
      </c>
      <c r="S29">
        <v>900</v>
      </c>
      <c r="T29" s="3">
        <f t="shared" si="6"/>
        <v>27.922499999682508</v>
      </c>
    </row>
    <row r="30" spans="5:20" x14ac:dyDescent="0.25">
      <c r="E30">
        <v>21</v>
      </c>
      <c r="F30" s="3">
        <f t="shared" si="9"/>
        <v>12.413309007729586</v>
      </c>
      <c r="G30">
        <v>44</v>
      </c>
      <c r="H30" s="3">
        <f t="shared" si="9"/>
        <v>19.777267266504403</v>
      </c>
      <c r="I30">
        <v>67</v>
      </c>
      <c r="J30" s="3">
        <f t="shared" si="1"/>
        <v>23.644725852020681</v>
      </c>
      <c r="K30">
        <v>90</v>
      </c>
      <c r="L30" s="3">
        <f t="shared" si="2"/>
        <v>25.675866630536181</v>
      </c>
      <c r="M30">
        <v>113</v>
      </c>
      <c r="N30" s="3">
        <f t="shared" si="3"/>
        <v>26.742596311262115</v>
      </c>
      <c r="O30">
        <v>136</v>
      </c>
      <c r="P30" s="3">
        <f t="shared" si="4"/>
        <v>27.302829370328226</v>
      </c>
      <c r="Q30">
        <f t="shared" si="8"/>
        <v>159</v>
      </c>
      <c r="R30" s="3">
        <f t="shared" si="5"/>
        <v>27.597056751586596</v>
      </c>
      <c r="S30">
        <v>1000</v>
      </c>
      <c r="T30" s="3">
        <f t="shared" si="6"/>
        <v>27.922499999980694</v>
      </c>
    </row>
    <row r="31" spans="5:20" x14ac:dyDescent="0.25">
      <c r="E31">
        <v>22</v>
      </c>
      <c r="F31" s="3">
        <f t="shared" si="9"/>
        <v>12.84154310061756</v>
      </c>
      <c r="G31">
        <v>45</v>
      </c>
      <c r="H31" s="3">
        <f t="shared" si="9"/>
        <v>20.002170445060159</v>
      </c>
      <c r="I31">
        <v>68</v>
      </c>
      <c r="J31" s="3">
        <f t="shared" si="1"/>
        <v>23.762842182701792</v>
      </c>
      <c r="K31">
        <v>91</v>
      </c>
      <c r="L31" s="3">
        <f t="shared" si="2"/>
        <v>25.737899847065894</v>
      </c>
      <c r="M31">
        <v>114</v>
      </c>
      <c r="N31" s="3">
        <f t="shared" si="3"/>
        <v>26.775175379125404</v>
      </c>
      <c r="O31">
        <v>137</v>
      </c>
      <c r="P31" s="3">
        <f t="shared" si="4"/>
        <v>27.319939488458761</v>
      </c>
      <c r="Q31">
        <f t="shared" si="8"/>
        <v>160</v>
      </c>
      <c r="R31" s="3">
        <f t="shared" si="5"/>
        <v>27.6060427711888</v>
      </c>
      <c r="T31" s="3"/>
    </row>
    <row r="32" spans="5:20" x14ac:dyDescent="0.25">
      <c r="E32">
        <v>23</v>
      </c>
      <c r="F32" s="3">
        <f t="shared" si="9"/>
        <v>13.257952950809514</v>
      </c>
      <c r="G32">
        <v>46</v>
      </c>
      <c r="H32" s="3">
        <f t="shared" si="9"/>
        <v>20.220863679544404</v>
      </c>
      <c r="I32">
        <v>69</v>
      </c>
      <c r="J32" s="3">
        <f t="shared" si="1"/>
        <v>23.877697128585357</v>
      </c>
      <c r="K32">
        <v>92</v>
      </c>
      <c r="L32" s="3">
        <f t="shared" si="2"/>
        <v>25.798220225174649</v>
      </c>
      <c r="M32">
        <v>115</v>
      </c>
      <c r="N32" s="3">
        <f t="shared" si="3"/>
        <v>26.806854885716891</v>
      </c>
      <c r="O32">
        <v>138</v>
      </c>
      <c r="P32" s="3">
        <f t="shared" si="4"/>
        <v>27.33657716828349</v>
      </c>
      <c r="Q32">
        <f t="shared" si="8"/>
        <v>161</v>
      </c>
      <c r="R32" s="3">
        <f t="shared" si="5"/>
        <v>27.614780672113827</v>
      </c>
      <c r="T32" s="3"/>
    </row>
    <row r="37" spans="1:20" x14ac:dyDescent="0.25">
      <c r="A37" s="1"/>
    </row>
    <row r="39" spans="1:20" ht="15.75" customHeight="1" x14ac:dyDescent="0.25">
      <c r="B39" s="3"/>
    </row>
    <row r="40" spans="1:20" x14ac:dyDescent="0.25">
      <c r="B40" s="14"/>
      <c r="F40" s="3"/>
      <c r="H40" s="3"/>
      <c r="J40" s="3"/>
      <c r="L40" s="3"/>
      <c r="N40" s="3"/>
      <c r="P40" s="3"/>
      <c r="R40" s="3"/>
      <c r="T40" s="3"/>
    </row>
    <row r="41" spans="1:20" x14ac:dyDescent="0.25">
      <c r="F41" s="3"/>
      <c r="H41" s="3"/>
      <c r="J41" s="3"/>
      <c r="L41" s="3"/>
      <c r="N41" s="3"/>
      <c r="P41" s="3"/>
      <c r="R41" s="3"/>
      <c r="T41" s="3"/>
    </row>
    <row r="42" spans="1:20" x14ac:dyDescent="0.25">
      <c r="B42" s="11"/>
      <c r="F42" s="3"/>
      <c r="H42" s="3"/>
      <c r="J42" s="3"/>
      <c r="L42" s="3"/>
      <c r="N42" s="3"/>
      <c r="P42" s="3"/>
      <c r="R42" s="3"/>
      <c r="T42" s="3"/>
    </row>
    <row r="43" spans="1:20" x14ac:dyDescent="0.25">
      <c r="F43" s="3"/>
      <c r="H43" s="3"/>
      <c r="J43" s="3"/>
      <c r="L43" s="3"/>
      <c r="N43" s="3"/>
      <c r="P43" s="3"/>
      <c r="R43" s="3"/>
      <c r="T43" s="3"/>
    </row>
    <row r="44" spans="1:20" x14ac:dyDescent="0.25">
      <c r="F44" s="3"/>
      <c r="H44" s="3"/>
      <c r="J44" s="3"/>
      <c r="L44" s="3"/>
      <c r="N44" s="3"/>
      <c r="P44" s="3"/>
      <c r="R44" s="3"/>
      <c r="T44" s="3"/>
    </row>
    <row r="45" spans="1:20" x14ac:dyDescent="0.25">
      <c r="F45" s="3"/>
      <c r="H45" s="3"/>
      <c r="J45" s="3"/>
      <c r="L45" s="3"/>
      <c r="N45" s="3"/>
      <c r="P45" s="3"/>
      <c r="R45" s="3"/>
      <c r="T45" s="3"/>
    </row>
    <row r="46" spans="1:20" x14ac:dyDescent="0.25">
      <c r="F46" s="3"/>
      <c r="H46" s="3"/>
      <c r="J46" s="3"/>
      <c r="L46" s="3"/>
      <c r="N46" s="3"/>
      <c r="P46" s="3"/>
      <c r="R46" s="3"/>
      <c r="T46" s="3"/>
    </row>
    <row r="47" spans="1:20" x14ac:dyDescent="0.25">
      <c r="F47" s="3"/>
      <c r="H47" s="3"/>
      <c r="J47" s="3"/>
      <c r="L47" s="3"/>
      <c r="N47" s="3"/>
      <c r="P47" s="3"/>
      <c r="R47" s="3"/>
      <c r="T47" s="3"/>
    </row>
    <row r="48" spans="1:20" x14ac:dyDescent="0.25">
      <c r="F48" s="3"/>
      <c r="H48" s="3"/>
      <c r="J48" s="3"/>
      <c r="L48" s="3"/>
      <c r="N48" s="3"/>
      <c r="P48" s="3"/>
      <c r="R48" s="3"/>
      <c r="T48" s="3"/>
    </row>
    <row r="49" spans="6:20" x14ac:dyDescent="0.25">
      <c r="F49" s="3"/>
      <c r="H49" s="3"/>
      <c r="J49" s="3"/>
      <c r="L49" s="3"/>
      <c r="N49" s="3"/>
      <c r="P49" s="3"/>
      <c r="R49" s="3"/>
      <c r="T49" s="3"/>
    </row>
    <row r="50" spans="6:20" x14ac:dyDescent="0.25">
      <c r="F50" s="3"/>
      <c r="H50" s="3"/>
      <c r="J50" s="3"/>
      <c r="L50" s="3"/>
      <c r="N50" s="3"/>
      <c r="P50" s="3"/>
      <c r="R50" s="3"/>
      <c r="T50" s="3"/>
    </row>
    <row r="51" spans="6:20" x14ac:dyDescent="0.25">
      <c r="F51" s="3"/>
      <c r="H51" s="3"/>
      <c r="J51" s="3"/>
      <c r="L51" s="3"/>
      <c r="N51" s="3"/>
      <c r="P51" s="3"/>
      <c r="R51" s="3"/>
      <c r="T51" s="3"/>
    </row>
    <row r="52" spans="6:20" x14ac:dyDescent="0.25">
      <c r="F52" s="3"/>
      <c r="H52" s="3"/>
      <c r="J52" s="3"/>
      <c r="L52" s="3"/>
      <c r="N52" s="3"/>
      <c r="P52" s="3"/>
      <c r="R52" s="3"/>
      <c r="T52" s="3"/>
    </row>
    <row r="53" spans="6:20" x14ac:dyDescent="0.25">
      <c r="F53" s="3"/>
      <c r="H53" s="3"/>
      <c r="J53" s="3"/>
      <c r="L53" s="3"/>
      <c r="N53" s="3"/>
      <c r="P53" s="3"/>
      <c r="R53" s="3"/>
      <c r="T53" s="3"/>
    </row>
    <row r="54" spans="6:20" x14ac:dyDescent="0.25">
      <c r="F54" s="3"/>
      <c r="H54" s="3"/>
      <c r="J54" s="3"/>
      <c r="L54" s="3"/>
      <c r="N54" s="3"/>
      <c r="P54" s="3"/>
      <c r="R54" s="3"/>
      <c r="T54" s="3"/>
    </row>
    <row r="55" spans="6:20" x14ac:dyDescent="0.25">
      <c r="F55" s="3"/>
      <c r="H55" s="3"/>
      <c r="J55" s="3"/>
      <c r="L55" s="3"/>
      <c r="N55" s="3"/>
      <c r="P55" s="3"/>
      <c r="R55" s="3"/>
      <c r="T55" s="3"/>
    </row>
    <row r="56" spans="6:20" x14ac:dyDescent="0.25">
      <c r="F56" s="3"/>
      <c r="H56" s="3"/>
      <c r="J56" s="3"/>
      <c r="L56" s="3"/>
      <c r="N56" s="3"/>
      <c r="P56" s="3"/>
      <c r="R56" s="3"/>
      <c r="T56" s="3"/>
    </row>
    <row r="57" spans="6:20" x14ac:dyDescent="0.25">
      <c r="F57" s="3"/>
      <c r="H57" s="3"/>
      <c r="J57" s="3"/>
      <c r="L57" s="3"/>
      <c r="N57" s="3"/>
      <c r="P57" s="3"/>
      <c r="R57" s="3"/>
      <c r="T57" s="3"/>
    </row>
    <row r="58" spans="6:20" x14ac:dyDescent="0.25">
      <c r="F58" s="3"/>
      <c r="H58" s="3"/>
      <c r="J58" s="3"/>
      <c r="L58" s="3"/>
      <c r="N58" s="3"/>
      <c r="P58" s="3"/>
      <c r="R58" s="3"/>
      <c r="T58" s="3"/>
    </row>
    <row r="59" spans="6:20" x14ac:dyDescent="0.25">
      <c r="F59" s="3"/>
      <c r="H59" s="3"/>
      <c r="J59" s="3"/>
      <c r="L59" s="3"/>
      <c r="N59" s="3"/>
      <c r="P59" s="3"/>
      <c r="R59" s="3"/>
      <c r="T59" s="3"/>
    </row>
    <row r="60" spans="6:20" x14ac:dyDescent="0.25">
      <c r="F60" s="3"/>
      <c r="H60" s="3"/>
      <c r="J60" s="3"/>
      <c r="L60" s="3"/>
      <c r="N60" s="3"/>
      <c r="P60" s="3"/>
      <c r="R60" s="3"/>
      <c r="T60" s="3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workbookViewId="0">
      <selection activeCell="J36" sqref="J36"/>
    </sheetView>
  </sheetViews>
  <sheetFormatPr defaultRowHeight="15" x14ac:dyDescent="0.25"/>
  <sheetData>
    <row r="1" spans="1:20" x14ac:dyDescent="0.25">
      <c r="A1" s="1" t="s">
        <v>36</v>
      </c>
      <c r="G1" s="22" t="s">
        <v>115</v>
      </c>
    </row>
    <row r="2" spans="1:20" x14ac:dyDescent="0.25">
      <c r="A2" s="1" t="s">
        <v>37</v>
      </c>
    </row>
    <row r="4" spans="1:20" x14ac:dyDescent="0.25">
      <c r="A4" s="1" t="s">
        <v>46</v>
      </c>
    </row>
    <row r="7" spans="1:20" x14ac:dyDescent="0.25">
      <c r="A7" s="1" t="s">
        <v>38</v>
      </c>
    </row>
    <row r="9" spans="1:20" ht="17.25" x14ac:dyDescent="0.25">
      <c r="A9" t="s">
        <v>39</v>
      </c>
      <c r="B9">
        <f>251.3/2</f>
        <v>125.65</v>
      </c>
      <c r="C9" t="s">
        <v>1</v>
      </c>
      <c r="E9" t="s">
        <v>43</v>
      </c>
      <c r="F9" t="s">
        <v>44</v>
      </c>
    </row>
    <row r="10" spans="1:20" x14ac:dyDescent="0.25">
      <c r="A10" t="s">
        <v>3</v>
      </c>
      <c r="B10" s="14">
        <f>0.028*2</f>
        <v>5.6000000000000001E-2</v>
      </c>
      <c r="C10" t="s">
        <v>4</v>
      </c>
      <c r="E10">
        <v>1</v>
      </c>
      <c r="F10" s="3">
        <f>(1-EXP(-($B$10/$B$11)*E10))*$B$9</f>
        <v>3.4694017114233335</v>
      </c>
      <c r="G10">
        <v>24</v>
      </c>
      <c r="H10" s="3">
        <f>(1-EXP(-($B$10/$B$11)*G10))*$B$9</f>
        <v>61.482281060038495</v>
      </c>
      <c r="I10">
        <v>47</v>
      </c>
      <c r="J10" s="3">
        <f t="shared" ref="H10:J32" si="0">$H$10</f>
        <v>61.482281060038495</v>
      </c>
      <c r="K10">
        <v>70</v>
      </c>
      <c r="L10" s="3">
        <f t="shared" ref="L10:L12" si="1">$J$11+(1-EXP(-($B$10/$B$11)*(K10-$I$11)))*$B$9</f>
        <v>119.26865013847333</v>
      </c>
      <c r="N10" s="3"/>
      <c r="P10" s="3"/>
      <c r="R10" s="3"/>
      <c r="T10" s="3"/>
    </row>
    <row r="11" spans="1:20" x14ac:dyDescent="0.25">
      <c r="A11" t="s">
        <v>40</v>
      </c>
      <c r="B11">
        <v>2</v>
      </c>
      <c r="C11" t="s">
        <v>14</v>
      </c>
      <c r="E11">
        <v>2</v>
      </c>
      <c r="F11" s="3">
        <f t="shared" ref="F11:F32" si="2">(1-EXP(-($B$10/$B$11)*E11))*$B$9</f>
        <v>6.8430075753717068</v>
      </c>
      <c r="G11">
        <v>25</v>
      </c>
      <c r="H11" s="3">
        <f>$H$10</f>
        <v>61.482281060038495</v>
      </c>
      <c r="I11">
        <v>48</v>
      </c>
      <c r="J11" s="3">
        <f t="shared" si="0"/>
        <v>61.482281060038495</v>
      </c>
      <c r="K11">
        <v>71</v>
      </c>
      <c r="L11" s="3">
        <f t="shared" si="1"/>
        <v>121.14247582301515</v>
      </c>
      <c r="N11" s="3"/>
      <c r="P11" s="3"/>
      <c r="R11" s="3"/>
      <c r="T11" s="3"/>
    </row>
    <row r="12" spans="1:20" x14ac:dyDescent="0.25">
      <c r="A12" t="s">
        <v>41</v>
      </c>
      <c r="B12" s="11">
        <f>B11/B10</f>
        <v>35.714285714285715</v>
      </c>
      <c r="C12" t="s">
        <v>42</v>
      </c>
      <c r="E12">
        <v>3</v>
      </c>
      <c r="F12" s="3">
        <f t="shared" si="2"/>
        <v>10.123462671647587</v>
      </c>
      <c r="G12">
        <v>26</v>
      </c>
      <c r="H12" s="3">
        <f t="shared" si="0"/>
        <v>61.482281060038495</v>
      </c>
      <c r="I12">
        <v>49</v>
      </c>
      <c r="J12" s="3">
        <f>$J$11+(1-EXP(-($B$10/$B$11)*(I12-$I$11)))*$B$9</f>
        <v>64.951682771461833</v>
      </c>
      <c r="K12">
        <v>72</v>
      </c>
      <c r="L12" s="3">
        <f t="shared" si="1"/>
        <v>122.96456212007699</v>
      </c>
      <c r="N12" s="3"/>
      <c r="P12" s="3"/>
      <c r="R12" s="3"/>
      <c r="T12" s="3"/>
    </row>
    <row r="13" spans="1:20" x14ac:dyDescent="0.25">
      <c r="E13">
        <v>4</v>
      </c>
      <c r="F13" s="3">
        <f t="shared" si="2"/>
        <v>13.313339045080117</v>
      </c>
      <c r="G13">
        <v>27</v>
      </c>
      <c r="H13" s="3">
        <f t="shared" si="0"/>
        <v>61.482281060038495</v>
      </c>
      <c r="I13">
        <v>50</v>
      </c>
      <c r="J13" s="3">
        <f t="shared" ref="J13:J32" si="3">$J$11+(1-EXP(-($B$10/$B$11)*(I13-$I$11)))*$B$9</f>
        <v>68.325288635410203</v>
      </c>
      <c r="L13" s="3"/>
      <c r="N13" s="3"/>
      <c r="P13" s="3"/>
      <c r="R13" s="3"/>
      <c r="T13" s="3"/>
    </row>
    <row r="14" spans="1:20" x14ac:dyDescent="0.25">
      <c r="E14">
        <v>5</v>
      </c>
      <c r="F14" s="3">
        <f t="shared" si="2"/>
        <v>16.415137722140045</v>
      </c>
      <c r="G14">
        <v>28</v>
      </c>
      <c r="H14" s="3">
        <f t="shared" si="0"/>
        <v>61.482281060038495</v>
      </c>
      <c r="I14">
        <v>51</v>
      </c>
      <c r="J14" s="3">
        <f t="shared" si="3"/>
        <v>71.60574373168609</v>
      </c>
      <c r="L14" s="3"/>
      <c r="N14" s="3"/>
      <c r="P14" s="3"/>
      <c r="R14" s="3"/>
      <c r="T14" s="3"/>
    </row>
    <row r="15" spans="1:20" x14ac:dyDescent="0.25">
      <c r="E15">
        <v>6</v>
      </c>
      <c r="F15" s="3">
        <f t="shared" si="2"/>
        <v>19.431290671872631</v>
      </c>
      <c r="G15">
        <v>29</v>
      </c>
      <c r="H15" s="3">
        <f t="shared" si="0"/>
        <v>61.482281060038495</v>
      </c>
      <c r="I15">
        <v>52</v>
      </c>
      <c r="J15" s="3">
        <f t="shared" si="3"/>
        <v>74.795620105118616</v>
      </c>
      <c r="L15" s="3"/>
      <c r="N15" s="3"/>
      <c r="P15" s="3"/>
      <c r="R15" s="3"/>
      <c r="T15" s="3"/>
    </row>
    <row r="16" spans="1:20" x14ac:dyDescent="0.25">
      <c r="E16">
        <v>7</v>
      </c>
      <c r="F16" s="3">
        <f t="shared" si="2"/>
        <v>22.364162712685864</v>
      </c>
      <c r="G16">
        <v>30</v>
      </c>
      <c r="H16" s="3">
        <f t="shared" si="0"/>
        <v>61.482281060038495</v>
      </c>
      <c r="I16">
        <v>53</v>
      </c>
      <c r="J16" s="3">
        <f t="shared" si="3"/>
        <v>77.897418782178534</v>
      </c>
      <c r="L16" s="3"/>
      <c r="N16" s="3"/>
      <c r="P16" s="3"/>
      <c r="R16" s="3"/>
      <c r="T16" s="3"/>
    </row>
    <row r="17" spans="5:20" x14ac:dyDescent="0.25">
      <c r="E17">
        <v>8</v>
      </c>
      <c r="F17" s="3">
        <f t="shared" si="2"/>
        <v>25.21605336648928</v>
      </c>
      <c r="G17">
        <v>31</v>
      </c>
      <c r="H17" s="3">
        <f t="shared" si="0"/>
        <v>61.482281060038495</v>
      </c>
      <c r="I17">
        <v>54</v>
      </c>
      <c r="J17" s="3">
        <f t="shared" si="3"/>
        <v>80.913571731911134</v>
      </c>
      <c r="L17" s="3"/>
      <c r="N17" s="3"/>
      <c r="P17" s="3"/>
      <c r="R17" s="3"/>
      <c r="T17" s="3"/>
    </row>
    <row r="18" spans="5:20" x14ac:dyDescent="0.25">
      <c r="E18">
        <v>9</v>
      </c>
      <c r="F18" s="3">
        <f t="shared" si="2"/>
        <v>27.989198661636923</v>
      </c>
      <c r="G18">
        <v>32</v>
      </c>
      <c r="H18" s="3">
        <f t="shared" si="0"/>
        <v>61.482281060038495</v>
      </c>
      <c r="I18">
        <v>55</v>
      </c>
      <c r="J18" s="3">
        <f t="shared" si="3"/>
        <v>83.846443772724356</v>
      </c>
      <c r="L18" s="3"/>
      <c r="N18" s="3"/>
      <c r="P18" s="3"/>
      <c r="R18" s="3"/>
      <c r="T18" s="3"/>
    </row>
    <row r="19" spans="5:20" x14ac:dyDescent="0.25">
      <c r="E19">
        <v>10</v>
      </c>
      <c r="F19" s="3">
        <f t="shared" si="2"/>
        <v>30.685772886088095</v>
      </c>
      <c r="G19">
        <v>33</v>
      </c>
      <c r="H19" s="3">
        <f t="shared" si="0"/>
        <v>61.482281060038495</v>
      </c>
      <c r="I19">
        <v>56</v>
      </c>
      <c r="J19" s="3">
        <f t="shared" si="3"/>
        <v>86.698334426527779</v>
      </c>
      <c r="L19" s="3"/>
      <c r="N19" s="3"/>
      <c r="P19" s="3"/>
      <c r="R19" s="3"/>
      <c r="T19" s="3"/>
    </row>
    <row r="20" spans="5:20" x14ac:dyDescent="0.25">
      <c r="E20">
        <v>11</v>
      </c>
      <c r="F20" s="3">
        <f t="shared" si="2"/>
        <v>33.307890292160515</v>
      </c>
      <c r="G20">
        <v>34</v>
      </c>
      <c r="H20" s="3">
        <f t="shared" si="0"/>
        <v>61.482281060038495</v>
      </c>
      <c r="I20">
        <v>57</v>
      </c>
      <c r="J20" s="3">
        <f t="shared" si="3"/>
        <v>89.471479721675422</v>
      </c>
      <c r="L20" s="3"/>
      <c r="N20" s="3"/>
      <c r="P20" s="3"/>
      <c r="R20" s="3"/>
      <c r="T20" s="3"/>
    </row>
    <row r="21" spans="5:20" x14ac:dyDescent="0.25">
      <c r="E21">
        <v>12</v>
      </c>
      <c r="F21" s="3">
        <f t="shared" si="2"/>
        <v>35.857606754212405</v>
      </c>
      <c r="G21">
        <v>35</v>
      </c>
      <c r="H21" s="3">
        <f t="shared" si="0"/>
        <v>61.482281060038495</v>
      </c>
      <c r="I21">
        <v>58</v>
      </c>
      <c r="J21" s="3">
        <f t="shared" si="3"/>
        <v>92.168053946126591</v>
      </c>
      <c r="L21" s="3"/>
      <c r="N21" s="3"/>
      <c r="P21" s="3"/>
      <c r="R21" s="3"/>
      <c r="T21" s="3"/>
    </row>
    <row r="22" spans="5:20" x14ac:dyDescent="0.25">
      <c r="E22">
        <v>13</v>
      </c>
      <c r="F22" s="3">
        <f t="shared" si="2"/>
        <v>38.336921380553285</v>
      </c>
      <c r="G22">
        <v>36</v>
      </c>
      <c r="H22" s="3">
        <f t="shared" si="0"/>
        <v>61.482281060038495</v>
      </c>
      <c r="I22">
        <v>59</v>
      </c>
      <c r="J22" s="3">
        <f t="shared" si="3"/>
        <v>94.79017135219901</v>
      </c>
      <c r="L22" s="3"/>
      <c r="N22" s="3"/>
      <c r="P22" s="3"/>
      <c r="R22" s="3"/>
      <c r="T22" s="3"/>
    </row>
    <row r="23" spans="5:20" x14ac:dyDescent="0.25">
      <c r="E23">
        <v>14</v>
      </c>
      <c r="F23" s="3">
        <f t="shared" si="2"/>
        <v>40.74777808084734</v>
      </c>
      <c r="G23">
        <v>37</v>
      </c>
      <c r="H23" s="3">
        <f t="shared" si="0"/>
        <v>61.482281060038495</v>
      </c>
      <c r="I23">
        <v>60</v>
      </c>
      <c r="J23" s="3">
        <f t="shared" si="3"/>
        <v>97.339887814250901</v>
      </c>
      <c r="L23" s="3"/>
      <c r="N23" s="3"/>
      <c r="P23" s="3"/>
      <c r="R23" s="3"/>
      <c r="T23" s="3"/>
    </row>
    <row r="24" spans="5:20" x14ac:dyDescent="0.25">
      <c r="E24">
        <v>15</v>
      </c>
      <c r="F24" s="3">
        <f t="shared" si="2"/>
        <v>43.092067090238125</v>
      </c>
      <c r="G24">
        <v>38</v>
      </c>
      <c r="H24" s="3">
        <f t="shared" si="0"/>
        <v>61.482281060038495</v>
      </c>
      <c r="I24">
        <v>61</v>
      </c>
      <c r="J24" s="3">
        <f t="shared" si="3"/>
        <v>99.819202440591781</v>
      </c>
      <c r="L24" s="3"/>
      <c r="N24" s="3"/>
      <c r="P24" s="3"/>
      <c r="R24" s="3"/>
      <c r="T24" s="3"/>
    </row>
    <row r="25" spans="5:20" x14ac:dyDescent="0.25">
      <c r="E25">
        <v>16</v>
      </c>
      <c r="F25" s="3">
        <f t="shared" si="2"/>
        <v>45.371626451389723</v>
      </c>
      <c r="G25">
        <v>39</v>
      </c>
      <c r="H25" s="3">
        <f t="shared" si="0"/>
        <v>61.482281060038495</v>
      </c>
      <c r="I25">
        <v>62</v>
      </c>
      <c r="J25" s="3">
        <f t="shared" si="3"/>
        <v>102.23005914088583</v>
      </c>
      <c r="L25" s="3"/>
      <c r="N25" s="3"/>
      <c r="P25" s="3"/>
      <c r="R25" s="3"/>
      <c r="T25" s="3"/>
    </row>
    <row r="26" spans="5:20" x14ac:dyDescent="0.25">
      <c r="E26">
        <v>17</v>
      </c>
      <c r="F26" s="3">
        <f t="shared" si="2"/>
        <v>47.588243455606445</v>
      </c>
      <c r="G26">
        <v>40</v>
      </c>
      <c r="H26" s="3">
        <f t="shared" si="0"/>
        <v>61.482281060038495</v>
      </c>
      <c r="I26">
        <v>63</v>
      </c>
      <c r="J26" s="3">
        <f t="shared" si="3"/>
        <v>104.57434815027662</v>
      </c>
      <c r="L26" s="3"/>
      <c r="N26" s="3"/>
      <c r="P26" s="3"/>
      <c r="R26" s="3"/>
      <c r="T26" s="3"/>
    </row>
    <row r="27" spans="5:20" x14ac:dyDescent="0.25">
      <c r="E27">
        <v>18</v>
      </c>
      <c r="F27" s="3">
        <f t="shared" si="2"/>
        <v>49.743656044160602</v>
      </c>
      <c r="G27">
        <v>41</v>
      </c>
      <c r="H27" s="3">
        <f t="shared" si="0"/>
        <v>61.482281060038495</v>
      </c>
      <c r="I27">
        <v>64</v>
      </c>
      <c r="J27" s="3">
        <f t="shared" si="3"/>
        <v>106.85390751142822</v>
      </c>
      <c r="L27" s="3"/>
      <c r="N27" s="3"/>
      <c r="P27" s="3"/>
      <c r="R27" s="3"/>
      <c r="T27" s="3"/>
    </row>
    <row r="28" spans="5:20" x14ac:dyDescent="0.25">
      <c r="E28">
        <v>19</v>
      </c>
      <c r="F28" s="3">
        <f t="shared" si="2"/>
        <v>51.839554170927634</v>
      </c>
      <c r="G28">
        <v>42</v>
      </c>
      <c r="H28" s="3">
        <f t="shared" si="0"/>
        <v>61.482281060038495</v>
      </c>
      <c r="I28">
        <v>65</v>
      </c>
      <c r="J28" s="3">
        <f t="shared" si="3"/>
        <v>109.07052451564493</v>
      </c>
      <c r="L28" s="3"/>
      <c r="N28" s="3"/>
      <c r="P28" s="3"/>
      <c r="R28" s="3"/>
      <c r="T28" s="3"/>
    </row>
    <row r="29" spans="5:20" x14ac:dyDescent="0.25">
      <c r="E29">
        <v>20</v>
      </c>
      <c r="F29" s="3">
        <f t="shared" si="2"/>
        <v>53.877581127396411</v>
      </c>
      <c r="G29">
        <v>43</v>
      </c>
      <c r="H29" s="3">
        <f t="shared" si="0"/>
        <v>61.482281060038495</v>
      </c>
      <c r="I29">
        <v>66</v>
      </c>
      <c r="J29" s="3">
        <f t="shared" si="3"/>
        <v>111.22593710419909</v>
      </c>
      <c r="L29" s="3"/>
      <c r="N29" s="3"/>
      <c r="P29" s="3"/>
      <c r="R29" s="3"/>
      <c r="T29" s="3"/>
    </row>
    <row r="30" spans="5:20" x14ac:dyDescent="0.25">
      <c r="E30">
        <v>21</v>
      </c>
      <c r="F30" s="3">
        <f t="shared" si="2"/>
        <v>55.85933483109401</v>
      </c>
      <c r="G30">
        <v>44</v>
      </c>
      <c r="H30" s="3">
        <f t="shared" si="0"/>
        <v>61.482281060038495</v>
      </c>
      <c r="I30">
        <v>67</v>
      </c>
      <c r="J30" s="3">
        <f t="shared" si="3"/>
        <v>113.32183523096613</v>
      </c>
      <c r="L30" s="3"/>
      <c r="N30" s="3"/>
      <c r="P30" s="3"/>
      <c r="R30" s="3"/>
      <c r="T30" s="3"/>
    </row>
    <row r="31" spans="5:20" x14ac:dyDescent="0.25">
      <c r="E31">
        <v>22</v>
      </c>
      <c r="F31" s="3">
        <f t="shared" si="2"/>
        <v>57.786369078434831</v>
      </c>
      <c r="G31">
        <v>45</v>
      </c>
      <c r="H31" s="3">
        <f t="shared" si="0"/>
        <v>61.482281060038495</v>
      </c>
      <c r="I31">
        <v>68</v>
      </c>
      <c r="J31" s="3">
        <f t="shared" si="3"/>
        <v>115.35986218743491</v>
      </c>
      <c r="L31" s="3"/>
      <c r="N31" s="3"/>
      <c r="P31" s="3"/>
      <c r="R31" s="3"/>
      <c r="T31" s="3"/>
    </row>
    <row r="32" spans="5:20" x14ac:dyDescent="0.25">
      <c r="E32">
        <v>23</v>
      </c>
      <c r="F32" s="3">
        <f t="shared" si="2"/>
        <v>59.660194762976651</v>
      </c>
      <c r="G32">
        <v>46</v>
      </c>
      <c r="H32" s="3">
        <f t="shared" si="0"/>
        <v>61.482281060038495</v>
      </c>
      <c r="I32">
        <v>69</v>
      </c>
      <c r="J32" s="3">
        <f t="shared" si="3"/>
        <v>117.34161589113251</v>
      </c>
      <c r="L32" s="3"/>
      <c r="N32" s="3"/>
      <c r="P32" s="3"/>
      <c r="R32" s="3"/>
      <c r="T32" s="3"/>
    </row>
    <row r="37" spans="1:20" x14ac:dyDescent="0.25">
      <c r="A37" s="1"/>
    </row>
    <row r="39" spans="1:20" ht="15.75" customHeight="1" x14ac:dyDescent="0.25">
      <c r="B39" s="3"/>
    </row>
    <row r="40" spans="1:20" x14ac:dyDescent="0.25">
      <c r="B40" s="14"/>
      <c r="F40" s="3"/>
      <c r="H40" s="3"/>
      <c r="J40" s="3"/>
      <c r="L40" s="3"/>
      <c r="N40" s="3"/>
      <c r="P40" s="3"/>
      <c r="R40" s="3"/>
      <c r="T40" s="3"/>
    </row>
    <row r="41" spans="1:20" x14ac:dyDescent="0.25">
      <c r="F41" s="3"/>
      <c r="H41" s="3"/>
      <c r="J41" s="3"/>
      <c r="L41" s="3"/>
      <c r="N41" s="3"/>
      <c r="P41" s="3"/>
      <c r="R41" s="3"/>
      <c r="T41" s="3"/>
    </row>
    <row r="42" spans="1:20" x14ac:dyDescent="0.25">
      <c r="B42" s="11"/>
      <c r="F42" s="3"/>
      <c r="H42" s="3"/>
      <c r="J42" s="3"/>
      <c r="L42" s="3"/>
      <c r="N42" s="3"/>
      <c r="P42" s="3"/>
      <c r="R42" s="3"/>
      <c r="T42" s="3"/>
    </row>
    <row r="43" spans="1:20" x14ac:dyDescent="0.25">
      <c r="F43" s="3"/>
      <c r="H43" s="3"/>
      <c r="J43" s="3"/>
      <c r="L43" s="3"/>
      <c r="N43" s="3"/>
      <c r="P43" s="3"/>
      <c r="R43" s="3"/>
      <c r="T43" s="3"/>
    </row>
    <row r="44" spans="1:20" x14ac:dyDescent="0.25">
      <c r="F44" s="3"/>
      <c r="H44" s="3"/>
      <c r="J44" s="3"/>
      <c r="L44" s="3"/>
      <c r="N44" s="3"/>
      <c r="P44" s="3"/>
      <c r="R44" s="3"/>
      <c r="T44" s="3"/>
    </row>
    <row r="45" spans="1:20" x14ac:dyDescent="0.25">
      <c r="F45" s="3"/>
      <c r="H45" s="3"/>
      <c r="J45" s="3"/>
      <c r="L45" s="3"/>
      <c r="N45" s="3"/>
      <c r="P45" s="3"/>
      <c r="R45" s="3"/>
      <c r="T45" s="3"/>
    </row>
    <row r="46" spans="1:20" x14ac:dyDescent="0.25">
      <c r="F46" s="3"/>
      <c r="H46" s="3"/>
      <c r="J46" s="3"/>
      <c r="L46" s="3"/>
      <c r="N46" s="3"/>
      <c r="P46" s="3"/>
      <c r="R46" s="3"/>
      <c r="T46" s="3"/>
    </row>
    <row r="47" spans="1:20" x14ac:dyDescent="0.25">
      <c r="F47" s="3"/>
      <c r="H47" s="3"/>
      <c r="J47" s="3"/>
      <c r="L47" s="3"/>
      <c r="N47" s="3"/>
      <c r="P47" s="3"/>
      <c r="R47" s="3"/>
      <c r="T47" s="3"/>
    </row>
    <row r="48" spans="1:20" x14ac:dyDescent="0.25">
      <c r="F48" s="3"/>
      <c r="H48" s="3"/>
      <c r="J48" s="3"/>
      <c r="L48" s="3"/>
      <c r="N48" s="3"/>
      <c r="P48" s="3"/>
      <c r="R48" s="3"/>
      <c r="T48" s="3"/>
    </row>
    <row r="49" spans="6:20" x14ac:dyDescent="0.25">
      <c r="F49" s="3"/>
      <c r="H49" s="3"/>
      <c r="J49" s="3"/>
      <c r="L49" s="3"/>
      <c r="N49" s="3"/>
      <c r="P49" s="3"/>
      <c r="R49" s="3"/>
      <c r="T49" s="3"/>
    </row>
    <row r="50" spans="6:20" x14ac:dyDescent="0.25">
      <c r="F50" s="3"/>
      <c r="H50" s="3"/>
      <c r="J50" s="3"/>
      <c r="L50" s="3"/>
      <c r="N50" s="3"/>
      <c r="P50" s="3"/>
      <c r="R50" s="3"/>
      <c r="T50" s="3"/>
    </row>
    <row r="51" spans="6:20" x14ac:dyDescent="0.25">
      <c r="F51" s="3"/>
      <c r="H51" s="3"/>
      <c r="J51" s="3"/>
      <c r="L51" s="3"/>
      <c r="N51" s="3"/>
      <c r="P51" s="3"/>
      <c r="R51" s="3"/>
      <c r="T51" s="3"/>
    </row>
    <row r="52" spans="6:20" x14ac:dyDescent="0.25">
      <c r="F52" s="3"/>
      <c r="H52" s="3"/>
      <c r="J52" s="3"/>
      <c r="L52" s="3"/>
      <c r="N52" s="3"/>
      <c r="P52" s="3"/>
      <c r="R52" s="3"/>
      <c r="T52" s="3"/>
    </row>
    <row r="53" spans="6:20" x14ac:dyDescent="0.25">
      <c r="F53" s="3"/>
      <c r="H53" s="3"/>
      <c r="J53" s="3"/>
      <c r="L53" s="3"/>
      <c r="N53" s="3"/>
      <c r="P53" s="3"/>
      <c r="R53" s="3"/>
      <c r="T53" s="3"/>
    </row>
    <row r="54" spans="6:20" x14ac:dyDescent="0.25">
      <c r="F54" s="3"/>
      <c r="H54" s="3"/>
      <c r="J54" s="3"/>
      <c r="L54" s="3"/>
      <c r="N54" s="3"/>
      <c r="P54" s="3"/>
      <c r="R54" s="3"/>
      <c r="T54" s="3"/>
    </row>
    <row r="55" spans="6:20" x14ac:dyDescent="0.25">
      <c r="F55" s="3"/>
      <c r="H55" s="3"/>
      <c r="J55" s="3"/>
      <c r="L55" s="3"/>
      <c r="N55" s="3"/>
      <c r="P55" s="3"/>
      <c r="R55" s="3"/>
      <c r="T55" s="3"/>
    </row>
    <row r="56" spans="6:20" x14ac:dyDescent="0.25">
      <c r="F56" s="3"/>
      <c r="H56" s="3"/>
      <c r="J56" s="3"/>
      <c r="L56" s="3"/>
      <c r="N56" s="3"/>
      <c r="P56" s="3"/>
      <c r="R56" s="3"/>
      <c r="T56" s="3"/>
    </row>
    <row r="57" spans="6:20" x14ac:dyDescent="0.25">
      <c r="F57" s="3"/>
      <c r="H57" s="3"/>
      <c r="J57" s="3"/>
      <c r="L57" s="3"/>
      <c r="N57" s="3"/>
      <c r="P57" s="3"/>
      <c r="R57" s="3"/>
      <c r="T57" s="3"/>
    </row>
    <row r="58" spans="6:20" x14ac:dyDescent="0.25">
      <c r="F58" s="3"/>
      <c r="H58" s="3"/>
      <c r="J58" s="3"/>
      <c r="L58" s="3"/>
      <c r="N58" s="3"/>
      <c r="P58" s="3"/>
      <c r="R58" s="3"/>
      <c r="T58" s="3"/>
    </row>
    <row r="59" spans="6:20" x14ac:dyDescent="0.25">
      <c r="F59" s="3"/>
      <c r="H59" s="3"/>
      <c r="J59" s="3"/>
      <c r="L59" s="3"/>
      <c r="N59" s="3"/>
      <c r="P59" s="3"/>
      <c r="R59" s="3"/>
      <c r="T59" s="3"/>
    </row>
    <row r="60" spans="6:20" x14ac:dyDescent="0.25">
      <c r="F60" s="3"/>
      <c r="H60" s="3"/>
      <c r="J60" s="3"/>
      <c r="L60" s="3"/>
      <c r="N60" s="3"/>
      <c r="P60" s="3"/>
      <c r="R60" s="3"/>
      <c r="T60" s="3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topLeftCell="A9" workbookViewId="0">
      <selection activeCell="I43" sqref="I43"/>
    </sheetView>
  </sheetViews>
  <sheetFormatPr defaultRowHeight="15" x14ac:dyDescent="0.25"/>
  <cols>
    <col min="1" max="1" width="18.42578125" customWidth="1"/>
    <col min="2" max="2" width="11.5703125" customWidth="1"/>
    <col min="3" max="4" width="10.85546875" bestFit="1" customWidth="1"/>
    <col min="5" max="5" width="14.140625" bestFit="1" customWidth="1"/>
    <col min="6" max="7" width="11.5703125" bestFit="1" customWidth="1"/>
    <col min="8" max="8" width="2" bestFit="1" customWidth="1"/>
    <col min="9" max="9" width="68.28515625" bestFit="1" customWidth="1"/>
    <col min="10" max="10" width="8.5703125" bestFit="1" customWidth="1"/>
    <col min="11" max="11" width="5.5703125" bestFit="1" customWidth="1"/>
    <col min="12" max="12" width="60.85546875" bestFit="1" customWidth="1"/>
    <col min="13" max="13" width="4.7109375" bestFit="1" customWidth="1"/>
    <col min="14" max="14" width="3.5703125" bestFit="1" customWidth="1"/>
  </cols>
  <sheetData>
    <row r="1" spans="1:13" x14ac:dyDescent="0.25">
      <c r="A1" s="1" t="s">
        <v>72</v>
      </c>
    </row>
    <row r="2" spans="1:13" x14ac:dyDescent="0.25">
      <c r="A2" t="s">
        <v>56</v>
      </c>
      <c r="B2">
        <v>55.844999999999999</v>
      </c>
    </row>
    <row r="3" spans="1:13" x14ac:dyDescent="0.25">
      <c r="A3" t="s">
        <v>57</v>
      </c>
      <c r="B3">
        <v>62.004899999999999</v>
      </c>
    </row>
    <row r="4" spans="1:13" x14ac:dyDescent="0.25">
      <c r="A4" t="s">
        <v>58</v>
      </c>
      <c r="B4">
        <v>231.5326</v>
      </c>
    </row>
    <row r="5" spans="1:13" x14ac:dyDescent="0.25">
      <c r="A5" t="s">
        <v>67</v>
      </c>
      <c r="B5">
        <v>46.005499999999998</v>
      </c>
    </row>
    <row r="6" spans="1:13" x14ac:dyDescent="0.25">
      <c r="A6" t="s">
        <v>68</v>
      </c>
      <c r="B6">
        <v>18.038499999999999</v>
      </c>
    </row>
    <row r="9" spans="1:13" x14ac:dyDescent="0.25">
      <c r="A9" s="1" t="s">
        <v>62</v>
      </c>
    </row>
    <row r="10" spans="1:13" s="1" customFormat="1" x14ac:dyDescent="0.25">
      <c r="A10" s="18" t="s">
        <v>63</v>
      </c>
      <c r="B10" s="4">
        <f>'exp. (b)'!A24</f>
        <v>103</v>
      </c>
      <c r="C10" s="18" t="s">
        <v>69</v>
      </c>
      <c r="L10"/>
      <c r="M10"/>
    </row>
    <row r="11" spans="1:13" x14ac:dyDescent="0.25">
      <c r="A11" s="18" t="s">
        <v>64</v>
      </c>
      <c r="B11" s="13">
        <f>'exp. (b)'!C24/B2/1000</f>
        <v>1.1173784582326081E-3</v>
      </c>
      <c r="C11" t="s">
        <v>2</v>
      </c>
      <c r="D11" s="5"/>
      <c r="E11" s="13"/>
      <c r="G11" s="5"/>
    </row>
    <row r="12" spans="1:13" x14ac:dyDescent="0.25">
      <c r="A12" s="18" t="s">
        <v>65</v>
      </c>
      <c r="B12" s="2">
        <f>'exp. (b)'!G24/B5/1000</f>
        <v>3.5213181032702617E-6</v>
      </c>
      <c r="C12" t="s">
        <v>2</v>
      </c>
    </row>
    <row r="13" spans="1:13" x14ac:dyDescent="0.25">
      <c r="A13" s="18" t="s">
        <v>66</v>
      </c>
      <c r="B13" s="2">
        <f>'exp. (b)'!H24/B6/1000</f>
        <v>2.8161986861435266E-5</v>
      </c>
      <c r="C13" t="s">
        <v>2</v>
      </c>
    </row>
    <row r="15" spans="1:13" x14ac:dyDescent="0.25">
      <c r="A15" s="1" t="s">
        <v>70</v>
      </c>
    </row>
    <row r="16" spans="1:13" x14ac:dyDescent="0.25">
      <c r="A16" t="s">
        <v>63</v>
      </c>
      <c r="B16">
        <f>'exp. (b)'!B4</f>
        <v>103</v>
      </c>
      <c r="C16" t="s">
        <v>69</v>
      </c>
    </row>
    <row r="17" spans="1:5" x14ac:dyDescent="0.25">
      <c r="A17" s="18" t="s">
        <v>64</v>
      </c>
      <c r="B17" s="2">
        <f>model!N20/1000/B2</f>
        <v>2.124179855496254E-3</v>
      </c>
      <c r="C17" t="s">
        <v>2</v>
      </c>
      <c r="E17" s="13"/>
    </row>
    <row r="20" spans="1:5" x14ac:dyDescent="0.25">
      <c r="A20" s="1" t="s">
        <v>71</v>
      </c>
    </row>
    <row r="21" spans="1:5" x14ac:dyDescent="0.25">
      <c r="A21" t="s">
        <v>63</v>
      </c>
      <c r="B21" s="25">
        <f>'exp. (f)'!A24</f>
        <v>136</v>
      </c>
      <c r="C21" t="s">
        <v>69</v>
      </c>
    </row>
    <row r="22" spans="1:5" x14ac:dyDescent="0.25">
      <c r="A22" s="5" t="s">
        <v>73</v>
      </c>
      <c r="B22" s="17">
        <f>'exp. (f)'!C24/1000/B2</f>
        <v>1.6474169576506401E-4</v>
      </c>
      <c r="C22" s="18" t="s">
        <v>2</v>
      </c>
    </row>
    <row r="23" spans="1:5" x14ac:dyDescent="0.25">
      <c r="A23" s="5"/>
      <c r="B23" s="17"/>
      <c r="C23" s="18"/>
    </row>
    <row r="24" spans="1:5" x14ac:dyDescent="0.25">
      <c r="A24" s="1" t="s">
        <v>78</v>
      </c>
    </row>
    <row r="25" spans="1:5" x14ac:dyDescent="0.25">
      <c r="A25" t="s">
        <v>63</v>
      </c>
      <c r="B25" s="25">
        <f>'exp. (f)'!A24</f>
        <v>136</v>
      </c>
      <c r="C25" t="s">
        <v>69</v>
      </c>
    </row>
    <row r="26" spans="1:5" x14ac:dyDescent="0.25">
      <c r="A26" s="18" t="s">
        <v>64</v>
      </c>
      <c r="B26" s="2">
        <f>'model exp. (f)'!P30/B2/1000</f>
        <v>4.8890374017957253E-4</v>
      </c>
      <c r="C26" t="s">
        <v>2</v>
      </c>
    </row>
    <row r="29" spans="1:5" x14ac:dyDescent="0.25">
      <c r="A29" s="1" t="s">
        <v>35</v>
      </c>
    </row>
    <row r="30" spans="1:5" x14ac:dyDescent="0.25">
      <c r="A30" t="s">
        <v>77</v>
      </c>
      <c r="B30" s="2">
        <f>B17-B11</f>
        <v>1.0068013972636459E-3</v>
      </c>
      <c r="C30" t="s">
        <v>2</v>
      </c>
      <c r="E30" s="2"/>
    </row>
    <row r="31" spans="1:5" x14ac:dyDescent="0.25">
      <c r="A31" t="s">
        <v>77</v>
      </c>
      <c r="B31" s="2">
        <f>B30*B2*1000</f>
        <v>56.224824030188302</v>
      </c>
      <c r="C31" t="s">
        <v>1</v>
      </c>
      <c r="E31" s="2"/>
    </row>
    <row r="32" spans="1:5" x14ac:dyDescent="0.25">
      <c r="A32" s="1"/>
    </row>
    <row r="33" spans="1:11" x14ac:dyDescent="0.25">
      <c r="A33" t="s">
        <v>79</v>
      </c>
    </row>
    <row r="34" spans="1:11" x14ac:dyDescent="0.25">
      <c r="A34" t="s">
        <v>74</v>
      </c>
      <c r="B34" s="2">
        <f>B12*2</f>
        <v>7.0426362065405235E-6</v>
      </c>
      <c r="C34" t="s">
        <v>2</v>
      </c>
      <c r="I34" t="s">
        <v>128</v>
      </c>
      <c r="J34" s="11">
        <f>B31</f>
        <v>56.224824030188302</v>
      </c>
      <c r="K34" s="24">
        <f>J34/$J$34</f>
        <v>1</v>
      </c>
    </row>
    <row r="35" spans="1:11" x14ac:dyDescent="0.25">
      <c r="A35" s="1" t="s">
        <v>132</v>
      </c>
      <c r="B35" s="37">
        <f>B34*B2*1000</f>
        <v>0.39329601895425553</v>
      </c>
      <c r="C35" s="1" t="s">
        <v>1</v>
      </c>
      <c r="I35" t="s">
        <v>129</v>
      </c>
      <c r="J35" s="11">
        <f>B42</f>
        <v>17.755253801334842</v>
      </c>
      <c r="K35" s="24">
        <f>J35/$J$34</f>
        <v>0.31579029561393857</v>
      </c>
    </row>
    <row r="36" spans="1:11" x14ac:dyDescent="0.25">
      <c r="A36" t="s">
        <v>75</v>
      </c>
      <c r="B36" s="2">
        <f>B13*8</f>
        <v>2.2529589489148213E-4</v>
      </c>
      <c r="C36" t="s">
        <v>2</v>
      </c>
      <c r="E36" s="2"/>
      <c r="I36" t="s">
        <v>130</v>
      </c>
      <c r="J36" s="11">
        <f>B35+B37</f>
        <v>12.974945269169076</v>
      </c>
      <c r="K36" s="24">
        <f>J36/$J$34</f>
        <v>0.2307689795916934</v>
      </c>
    </row>
    <row r="37" spans="1:11" x14ac:dyDescent="0.25">
      <c r="A37" s="1" t="s">
        <v>133</v>
      </c>
      <c r="B37" s="37">
        <f>B36*B2*1000</f>
        <v>12.58164925021482</v>
      </c>
      <c r="C37" s="1" t="s">
        <v>1</v>
      </c>
      <c r="I37" t="s">
        <v>131</v>
      </c>
      <c r="J37" s="11">
        <f>B39</f>
        <v>18.10282937032823</v>
      </c>
      <c r="K37" s="24">
        <f>J37/$J$34</f>
        <v>0.32197218368542047</v>
      </c>
    </row>
    <row r="38" spans="1:11" x14ac:dyDescent="0.25">
      <c r="A38" t="s">
        <v>76</v>
      </c>
      <c r="B38" s="2">
        <f>(B26-B22)</f>
        <v>3.2416204441450855E-4</v>
      </c>
      <c r="C38" t="s">
        <v>2</v>
      </c>
      <c r="I38" s="2"/>
      <c r="J38" t="s">
        <v>61</v>
      </c>
      <c r="K38" s="24">
        <f>SUM(K35:K37)</f>
        <v>0.86853145889105243</v>
      </c>
    </row>
    <row r="39" spans="1:11" x14ac:dyDescent="0.25">
      <c r="A39" s="1" t="s">
        <v>134</v>
      </c>
      <c r="B39" s="37">
        <f>B38*B2*1000</f>
        <v>18.10282937032823</v>
      </c>
      <c r="C39" s="1" t="s">
        <v>1</v>
      </c>
      <c r="E39" s="20"/>
    </row>
    <row r="41" spans="1:11" x14ac:dyDescent="0.25">
      <c r="A41" t="s">
        <v>80</v>
      </c>
      <c r="B41" s="2">
        <f>('exp. (b)'!B46/3)/'exp. (b)'!L11</f>
        <v>3.1793811086641314E-4</v>
      </c>
      <c r="C41" t="s">
        <v>2</v>
      </c>
    </row>
    <row r="42" spans="1:11" x14ac:dyDescent="0.25">
      <c r="A42" t="s">
        <v>80</v>
      </c>
      <c r="B42" s="2">
        <f>B41*B2*1000</f>
        <v>17.755253801334842</v>
      </c>
      <c r="C42" t="s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H33" sqref="H33"/>
    </sheetView>
  </sheetViews>
  <sheetFormatPr defaultRowHeight="15" x14ac:dyDescent="0.25"/>
  <cols>
    <col min="1" max="1" width="20.5703125" bestFit="1" customWidth="1"/>
    <col min="2" max="2" width="9.140625" bestFit="1" customWidth="1"/>
    <col min="3" max="3" width="15.85546875" bestFit="1" customWidth="1"/>
    <col min="5" max="5" width="5" bestFit="1" customWidth="1"/>
    <col min="6" max="6" width="12.5703125" bestFit="1" customWidth="1"/>
    <col min="7" max="7" width="8.28515625" bestFit="1" customWidth="1"/>
    <col min="8" max="8" width="12" bestFit="1" customWidth="1"/>
  </cols>
  <sheetData>
    <row r="1" spans="1:8" x14ac:dyDescent="0.25">
      <c r="A1" s="1" t="s">
        <v>82</v>
      </c>
    </row>
    <row r="2" spans="1:8" x14ac:dyDescent="0.25">
      <c r="A2" t="s">
        <v>83</v>
      </c>
      <c r="B2">
        <v>5</v>
      </c>
      <c r="C2" t="s">
        <v>84</v>
      </c>
    </row>
    <row r="3" spans="1:8" x14ac:dyDescent="0.25">
      <c r="A3" t="s">
        <v>85</v>
      </c>
      <c r="B3">
        <v>120</v>
      </c>
      <c r="C3" t="s">
        <v>86</v>
      </c>
      <c r="E3">
        <f>B3/1000*60</f>
        <v>7.1999999999999993</v>
      </c>
      <c r="F3" t="s">
        <v>87</v>
      </c>
    </row>
    <row r="4" spans="1:8" x14ac:dyDescent="0.25">
      <c r="A4" t="s">
        <v>88</v>
      </c>
      <c r="B4">
        <v>60</v>
      </c>
      <c r="C4" t="s">
        <v>86</v>
      </c>
      <c r="E4">
        <f>B4/1000*60</f>
        <v>3.5999999999999996</v>
      </c>
      <c r="F4" t="s">
        <v>87</v>
      </c>
    </row>
    <row r="5" spans="1:8" x14ac:dyDescent="0.25">
      <c r="E5">
        <f>E4+E3</f>
        <v>10.799999999999999</v>
      </c>
      <c r="F5" t="s">
        <v>89</v>
      </c>
    </row>
    <row r="6" spans="1:8" x14ac:dyDescent="0.25">
      <c r="A6" t="s">
        <v>90</v>
      </c>
      <c r="B6">
        <v>1</v>
      </c>
      <c r="C6" t="s">
        <v>91</v>
      </c>
    </row>
    <row r="7" spans="1:8" x14ac:dyDescent="0.25">
      <c r="A7" t="s">
        <v>92</v>
      </c>
      <c r="B7">
        <v>32</v>
      </c>
      <c r="C7" t="s">
        <v>93</v>
      </c>
    </row>
    <row r="8" spans="1:8" x14ac:dyDescent="0.25">
      <c r="A8" t="s">
        <v>94</v>
      </c>
      <c r="B8" s="3">
        <f>22.4/298*305</f>
        <v>22.926174496644293</v>
      </c>
      <c r="C8" t="s">
        <v>95</v>
      </c>
    </row>
    <row r="11" spans="1:8" x14ac:dyDescent="0.25">
      <c r="A11" t="s">
        <v>88</v>
      </c>
      <c r="B11">
        <f>60/1000</f>
        <v>0.06</v>
      </c>
      <c r="C11" t="s">
        <v>96</v>
      </c>
      <c r="F11" t="s">
        <v>85</v>
      </c>
      <c r="G11">
        <f>120/1000</f>
        <v>0.12</v>
      </c>
      <c r="H11" t="s">
        <v>96</v>
      </c>
    </row>
    <row r="12" spans="1:8" x14ac:dyDescent="0.25">
      <c r="A12" t="s">
        <v>97</v>
      </c>
      <c r="B12" s="2">
        <f>B11/5000000</f>
        <v>1.2E-8</v>
      </c>
      <c r="C12" t="s">
        <v>98</v>
      </c>
      <c r="F12" t="s">
        <v>97</v>
      </c>
      <c r="G12" s="2">
        <f>G11/5000000</f>
        <v>2.4E-8</v>
      </c>
      <c r="H12" t="s">
        <v>98</v>
      </c>
    </row>
    <row r="14" spans="1:8" x14ac:dyDescent="0.25">
      <c r="A14" t="s">
        <v>99</v>
      </c>
      <c r="B14" s="2">
        <f>B12/B8</f>
        <v>5.2341920374707264E-10</v>
      </c>
      <c r="C14" t="s">
        <v>100</v>
      </c>
      <c r="G14" s="2"/>
    </row>
    <row r="15" spans="1:8" x14ac:dyDescent="0.25">
      <c r="A15" t="s">
        <v>99</v>
      </c>
      <c r="B15" s="2">
        <f>B14*60</f>
        <v>3.140515222482436E-8</v>
      </c>
      <c r="C15" t="s">
        <v>101</v>
      </c>
      <c r="G15" s="2"/>
    </row>
    <row r="17" spans="1:3" x14ac:dyDescent="0.25">
      <c r="A17" t="s">
        <v>102</v>
      </c>
      <c r="B17" s="2">
        <f>B15*4</f>
        <v>1.2562060889929744E-7</v>
      </c>
      <c r="C17" t="s">
        <v>101</v>
      </c>
    </row>
    <row r="18" spans="1:3" x14ac:dyDescent="0.25">
      <c r="A18" t="s">
        <v>102</v>
      </c>
      <c r="B18" s="2">
        <f>B17*103</f>
        <v>1.2938922716627637E-5</v>
      </c>
      <c r="C18" t="s">
        <v>103</v>
      </c>
    </row>
    <row r="19" spans="1:3" x14ac:dyDescent="0.25">
      <c r="A19" t="s">
        <v>102</v>
      </c>
      <c r="B19" s="2">
        <f>B18/55.845/1000</f>
        <v>2.3169348583808106E-10</v>
      </c>
      <c r="C19" t="s">
        <v>127</v>
      </c>
    </row>
    <row r="20" spans="1:3" x14ac:dyDescent="0.25">
      <c r="A20" t="s">
        <v>102</v>
      </c>
      <c r="B20" s="20">
        <f>B18/B22</f>
        <v>9.969988778325944E-4</v>
      </c>
    </row>
    <row r="22" spans="1:3" x14ac:dyDescent="0.25">
      <c r="A22" t="s">
        <v>104</v>
      </c>
      <c r="B22" s="2">
        <f>'exp. (b)'!L12</f>
        <v>1.2977870892649295E-2</v>
      </c>
      <c r="C22" t="s">
        <v>103</v>
      </c>
    </row>
    <row r="23" spans="1:3" x14ac:dyDescent="0.25">
      <c r="A23" t="s">
        <v>104</v>
      </c>
      <c r="B23" s="2">
        <f>B22/55.845/1000</f>
        <v>2.3239091937772934E-7</v>
      </c>
      <c r="C23" t="s">
        <v>127</v>
      </c>
    </row>
    <row r="26" spans="1:3" x14ac:dyDescent="0.25">
      <c r="B26" s="2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"/>
  <sheetViews>
    <sheetView workbookViewId="0">
      <selection activeCell="N23" sqref="N23"/>
    </sheetView>
  </sheetViews>
  <sheetFormatPr defaultRowHeight="15" x14ac:dyDescent="0.25"/>
  <cols>
    <col min="2" max="2" width="12.42578125" bestFit="1" customWidth="1"/>
    <col min="3" max="3" width="12.28515625" bestFit="1" customWidth="1"/>
  </cols>
  <sheetData>
    <row r="2" spans="1:6" x14ac:dyDescent="0.25">
      <c r="A2" s="1" t="s">
        <v>120</v>
      </c>
    </row>
    <row r="3" spans="1:6" ht="17.25" x14ac:dyDescent="0.25">
      <c r="A3" s="5" t="s">
        <v>117</v>
      </c>
      <c r="B3" s="36" t="s">
        <v>118</v>
      </c>
      <c r="C3" s="36" t="s">
        <v>119</v>
      </c>
      <c r="D3" s="34"/>
    </row>
    <row r="4" spans="1:6" x14ac:dyDescent="0.25">
      <c r="A4" s="4">
        <v>0</v>
      </c>
      <c r="B4" s="8" t="s">
        <v>19</v>
      </c>
      <c r="C4" s="5">
        <v>7.1999999999999995E-2</v>
      </c>
      <c r="D4" s="35"/>
    </row>
    <row r="5" spans="1:6" x14ac:dyDescent="0.25">
      <c r="A5" s="4">
        <v>24</v>
      </c>
      <c r="B5" s="5">
        <v>2.5999999999999999E-2</v>
      </c>
      <c r="C5" s="5">
        <v>0.22700000000000001</v>
      </c>
      <c r="D5" s="35"/>
    </row>
    <row r="6" spans="1:6" x14ac:dyDescent="0.25">
      <c r="A6" s="4">
        <v>48</v>
      </c>
      <c r="B6" s="5">
        <v>6.8000000000000005E-2</v>
      </c>
      <c r="C6" s="5">
        <v>0.40200000000000002</v>
      </c>
      <c r="D6" s="35"/>
    </row>
    <row r="7" spans="1:6" x14ac:dyDescent="0.25">
      <c r="A7" s="4">
        <v>72</v>
      </c>
      <c r="B7" s="5">
        <v>0.17299999999999999</v>
      </c>
      <c r="C7" s="7">
        <v>0.48</v>
      </c>
      <c r="D7" s="35"/>
    </row>
    <row r="8" spans="1:6" x14ac:dyDescent="0.25">
      <c r="A8" s="4">
        <v>103</v>
      </c>
      <c r="B8" s="5">
        <v>0.16200000000000001</v>
      </c>
      <c r="C8" s="5">
        <v>0.50800000000000001</v>
      </c>
      <c r="D8" s="35"/>
    </row>
    <row r="9" spans="1:6" x14ac:dyDescent="0.25">
      <c r="D9" s="5"/>
      <c r="E9" s="5"/>
      <c r="F9" s="5"/>
    </row>
    <row r="22" spans="1:2" x14ac:dyDescent="0.25">
      <c r="A22" s="1" t="s">
        <v>121</v>
      </c>
    </row>
    <row r="23" spans="1:2" x14ac:dyDescent="0.25">
      <c r="A23" s="1"/>
      <c r="B23" s="1" t="s">
        <v>122</v>
      </c>
    </row>
    <row r="24" spans="1:2" x14ac:dyDescent="0.25">
      <c r="A24" s="1" t="s">
        <v>117</v>
      </c>
      <c r="B24" s="1" t="s">
        <v>116</v>
      </c>
    </row>
    <row r="25" spans="1:2" x14ac:dyDescent="0.25">
      <c r="A25">
        <f>'exp. (b)'!A20</f>
        <v>0</v>
      </c>
      <c r="B25">
        <f>'exp. (b)'!C20</f>
        <v>4.2999999999999997E-2</v>
      </c>
    </row>
    <row r="26" spans="1:2" x14ac:dyDescent="0.25">
      <c r="A26">
        <f>'exp. (b)'!A21</f>
        <v>24</v>
      </c>
      <c r="B26">
        <f>'exp. (b)'!C21</f>
        <v>36</v>
      </c>
    </row>
    <row r="27" spans="1:2" x14ac:dyDescent="0.25">
      <c r="A27">
        <f>'exp. (b)'!A22</f>
        <v>48</v>
      </c>
      <c r="B27">
        <f>'exp. (b)'!C22</f>
        <v>46.4</v>
      </c>
    </row>
    <row r="28" spans="1:2" x14ac:dyDescent="0.25">
      <c r="A28">
        <f>'exp. (b)'!A23</f>
        <v>72</v>
      </c>
      <c r="B28">
        <f>'exp. (b)'!C23</f>
        <v>60.18</v>
      </c>
    </row>
    <row r="29" spans="1:2" x14ac:dyDescent="0.25">
      <c r="A29">
        <f>'exp. (b)'!A24</f>
        <v>103</v>
      </c>
      <c r="B29">
        <f>'exp. (b)'!C24</f>
        <v>62.4</v>
      </c>
    </row>
    <row r="32" spans="1:2" x14ac:dyDescent="0.25">
      <c r="A32" s="1"/>
      <c r="B32" s="1" t="s">
        <v>122</v>
      </c>
    </row>
    <row r="33" spans="1:2" x14ac:dyDescent="0.25">
      <c r="A33" s="1" t="s">
        <v>117</v>
      </c>
      <c r="B33" s="1" t="s">
        <v>123</v>
      </c>
    </row>
    <row r="34" spans="1:2" x14ac:dyDescent="0.25">
      <c r="A34">
        <f>'exp. (d)'!A20</f>
        <v>0</v>
      </c>
      <c r="B34">
        <f>'exp. (d)'!C20</f>
        <v>5.0999999999999997E-2</v>
      </c>
    </row>
    <row r="35" spans="1:2" x14ac:dyDescent="0.25">
      <c r="A35">
        <f>'exp. (d)'!A21</f>
        <v>25</v>
      </c>
      <c r="B35">
        <f>'exp. (d)'!C21</f>
        <v>0.56599999999999995</v>
      </c>
    </row>
    <row r="36" spans="1:2" x14ac:dyDescent="0.25">
      <c r="A36">
        <f>'exp. (d)'!A22</f>
        <v>50</v>
      </c>
      <c r="B36">
        <f>'exp. (d)'!C22</f>
        <v>12.9</v>
      </c>
    </row>
    <row r="37" spans="1:2" x14ac:dyDescent="0.25">
      <c r="A37">
        <f>'exp. (d)'!A24</f>
        <v>104</v>
      </c>
      <c r="B37">
        <f>'exp. (d)'!C24</f>
        <v>24.8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opLeftCell="A24" workbookViewId="0">
      <selection activeCell="B50" sqref="B50"/>
    </sheetView>
  </sheetViews>
  <sheetFormatPr defaultRowHeight="15" x14ac:dyDescent="0.25"/>
  <cols>
    <col min="1" max="1" width="17.42578125" bestFit="1" customWidth="1"/>
    <col min="2" max="2" width="13.42578125" bestFit="1" customWidth="1"/>
    <col min="3" max="3" width="13.28515625" bestFit="1" customWidth="1"/>
    <col min="4" max="4" width="25.85546875" bestFit="1" customWidth="1"/>
    <col min="5" max="5" width="14.140625" bestFit="1" customWidth="1"/>
    <col min="6" max="7" width="13.85546875" bestFit="1" customWidth="1"/>
    <col min="8" max="8" width="13.7109375" bestFit="1" customWidth="1"/>
    <col min="11" max="11" width="10" bestFit="1" customWidth="1"/>
    <col min="12" max="12" width="8.28515625" bestFit="1" customWidth="1"/>
    <col min="13" max="13" width="4.42578125" bestFit="1" customWidth="1"/>
  </cols>
  <sheetData>
    <row r="1" spans="1:14" x14ac:dyDescent="0.25">
      <c r="A1" t="s">
        <v>56</v>
      </c>
      <c r="B1">
        <v>55.844999999999999</v>
      </c>
    </row>
    <row r="2" spans="1:14" x14ac:dyDescent="0.25">
      <c r="A2" t="s">
        <v>57</v>
      </c>
      <c r="B2">
        <v>62.004899999999999</v>
      </c>
    </row>
    <row r="3" spans="1:14" x14ac:dyDescent="0.25">
      <c r="A3" t="s">
        <v>58</v>
      </c>
      <c r="B3">
        <v>231.5326</v>
      </c>
    </row>
    <row r="4" spans="1:14" x14ac:dyDescent="0.25">
      <c r="A4" t="s">
        <v>10</v>
      </c>
      <c r="B4">
        <v>103</v>
      </c>
      <c r="C4" t="s">
        <v>11</v>
      </c>
    </row>
    <row r="5" spans="1:14" x14ac:dyDescent="0.25">
      <c r="A5" t="s">
        <v>54</v>
      </c>
      <c r="B5">
        <v>2</v>
      </c>
      <c r="C5" t="s">
        <v>14</v>
      </c>
    </row>
    <row r="9" spans="1:14" x14ac:dyDescent="0.25">
      <c r="A9" s="1" t="s">
        <v>5</v>
      </c>
      <c r="F9" s="1" t="s">
        <v>6</v>
      </c>
      <c r="K9" s="1" t="s">
        <v>9</v>
      </c>
    </row>
    <row r="10" spans="1:14" x14ac:dyDescent="0.25">
      <c r="A10" t="s">
        <v>0</v>
      </c>
      <c r="B10">
        <v>125.65</v>
      </c>
      <c r="C10" t="s">
        <v>1</v>
      </c>
      <c r="F10" t="s">
        <v>7</v>
      </c>
      <c r="G10" s="3">
        <v>5.6</v>
      </c>
      <c r="H10" t="s">
        <v>1</v>
      </c>
      <c r="K10" t="s">
        <v>3</v>
      </c>
      <c r="L10" s="2">
        <f>B12+G12</f>
        <v>5.6000000000000001E-2</v>
      </c>
      <c r="M10" t="s">
        <v>4</v>
      </c>
    </row>
    <row r="11" spans="1:14" x14ac:dyDescent="0.25">
      <c r="A11" t="s">
        <v>0</v>
      </c>
      <c r="B11" s="2">
        <f>B10/B1/1000</f>
        <v>2.2499776166174231E-3</v>
      </c>
      <c r="C11" t="s">
        <v>2</v>
      </c>
      <c r="F11" t="s">
        <v>7</v>
      </c>
      <c r="G11" s="2">
        <f>G10/B2/1000</f>
        <v>9.0315442811777783E-5</v>
      </c>
      <c r="H11" t="s">
        <v>2</v>
      </c>
      <c r="K11" t="s">
        <v>8</v>
      </c>
      <c r="L11" s="3">
        <f>L10*B4</f>
        <v>5.7679999999999998</v>
      </c>
      <c r="M11" t="s">
        <v>14</v>
      </c>
    </row>
    <row r="12" spans="1:14" x14ac:dyDescent="0.25">
      <c r="A12" t="s">
        <v>3</v>
      </c>
      <c r="B12" s="2">
        <v>2.8000000000000001E-2</v>
      </c>
      <c r="C12" t="s">
        <v>4</v>
      </c>
      <c r="F12" t="s">
        <v>3</v>
      </c>
      <c r="G12" s="2">
        <v>2.8000000000000001E-2</v>
      </c>
      <c r="H12" t="s">
        <v>4</v>
      </c>
      <c r="K12" t="s">
        <v>12</v>
      </c>
      <c r="L12" s="2">
        <f>B11*L11</f>
        <v>1.2977870892649295E-2</v>
      </c>
      <c r="M12" t="s">
        <v>15</v>
      </c>
      <c r="N12" s="2"/>
    </row>
    <row r="13" spans="1:14" x14ac:dyDescent="0.25">
      <c r="K13" t="s">
        <v>13</v>
      </c>
      <c r="L13" s="2">
        <f>G11*L11</f>
        <v>5.2093947413833427E-4</v>
      </c>
      <c r="M13" t="s">
        <v>15</v>
      </c>
    </row>
    <row r="16" spans="1:14" x14ac:dyDescent="0.25">
      <c r="A16" s="1" t="s">
        <v>16</v>
      </c>
    </row>
    <row r="17" spans="1:8" x14ac:dyDescent="0.25">
      <c r="A17" s="1"/>
    </row>
    <row r="18" spans="1:8" x14ac:dyDescent="0.25">
      <c r="A18" s="1" t="s">
        <v>23</v>
      </c>
    </row>
    <row r="19" spans="1:8" s="1" customFormat="1" x14ac:dyDescent="0.25">
      <c r="A19" s="1" t="s">
        <v>17</v>
      </c>
      <c r="B19" s="1" t="s">
        <v>25</v>
      </c>
      <c r="C19" s="1" t="s">
        <v>20</v>
      </c>
      <c r="D19" s="1" t="s">
        <v>21</v>
      </c>
      <c r="E19" s="1" t="s">
        <v>18</v>
      </c>
      <c r="F19" s="1" t="s">
        <v>124</v>
      </c>
      <c r="G19" s="1" t="s">
        <v>125</v>
      </c>
      <c r="H19" s="1" t="s">
        <v>126</v>
      </c>
    </row>
    <row r="20" spans="1:8" x14ac:dyDescent="0.25">
      <c r="A20" s="4">
        <v>0</v>
      </c>
      <c r="B20" s="9">
        <v>5.5</v>
      </c>
      <c r="C20" s="5">
        <v>4.2999999999999997E-2</v>
      </c>
      <c r="D20" s="5">
        <v>6.0000000000000001E-3</v>
      </c>
      <c r="E20" s="6">
        <f>D20+C20</f>
        <v>4.8999999999999995E-2</v>
      </c>
      <c r="F20" s="5">
        <f>0.081</f>
        <v>8.1000000000000003E-2</v>
      </c>
      <c r="G20" s="8" t="s">
        <v>19</v>
      </c>
      <c r="H20" s="5">
        <v>7.1999999999999995E-2</v>
      </c>
    </row>
    <row r="21" spans="1:8" x14ac:dyDescent="0.25">
      <c r="A21" s="4">
        <v>24</v>
      </c>
      <c r="B21" s="9">
        <v>5.5</v>
      </c>
      <c r="C21" s="6">
        <v>36</v>
      </c>
      <c r="D21" s="6">
        <v>1.38</v>
      </c>
      <c r="E21" s="6">
        <f>D21+C21</f>
        <v>37.380000000000003</v>
      </c>
      <c r="F21" s="7">
        <v>2.72</v>
      </c>
      <c r="G21" s="5">
        <v>2.5999999999999999E-2</v>
      </c>
      <c r="H21" s="5">
        <v>0.22700000000000001</v>
      </c>
    </row>
    <row r="22" spans="1:8" x14ac:dyDescent="0.25">
      <c r="A22" s="4">
        <v>48</v>
      </c>
      <c r="B22" s="9">
        <v>7</v>
      </c>
      <c r="C22" s="6">
        <v>46.4</v>
      </c>
      <c r="D22" s="6">
        <v>2.2599999999999998</v>
      </c>
      <c r="E22" s="6">
        <f>D22+C22</f>
        <v>48.66</v>
      </c>
      <c r="F22" s="7">
        <v>3.9</v>
      </c>
      <c r="G22" s="5">
        <v>6.8000000000000005E-2</v>
      </c>
      <c r="H22" s="5">
        <v>0.40200000000000002</v>
      </c>
    </row>
    <row r="23" spans="1:8" x14ac:dyDescent="0.25">
      <c r="A23" s="4">
        <v>72</v>
      </c>
      <c r="B23" s="10">
        <v>7</v>
      </c>
      <c r="C23" s="6">
        <v>60.18</v>
      </c>
      <c r="D23" s="6">
        <v>1.6</v>
      </c>
      <c r="E23" s="6">
        <f>D23+C23</f>
        <v>61.78</v>
      </c>
      <c r="F23" s="7">
        <v>4.91</v>
      </c>
      <c r="G23" s="5">
        <v>0.17299999999999999</v>
      </c>
      <c r="H23" s="7">
        <v>0.48</v>
      </c>
    </row>
    <row r="24" spans="1:8" x14ac:dyDescent="0.25">
      <c r="A24" s="4">
        <v>103</v>
      </c>
      <c r="B24" s="10">
        <v>7</v>
      </c>
      <c r="C24" s="6">
        <v>62.4</v>
      </c>
      <c r="D24" s="5">
        <v>2.08</v>
      </c>
      <c r="E24" s="6">
        <f>D24+C24</f>
        <v>64.48</v>
      </c>
      <c r="F24" s="7">
        <v>5.4</v>
      </c>
      <c r="G24" s="5">
        <v>0.16200000000000001</v>
      </c>
      <c r="H24" s="5">
        <v>0.50800000000000001</v>
      </c>
    </row>
    <row r="25" spans="1:8" x14ac:dyDescent="0.25">
      <c r="A25" s="4"/>
      <c r="B25" s="10"/>
      <c r="C25" s="6"/>
      <c r="D25" s="5"/>
      <c r="E25" s="6"/>
      <c r="F25" s="7"/>
      <c r="G25" s="5"/>
      <c r="H25" s="5"/>
    </row>
    <row r="26" spans="1:8" x14ac:dyDescent="0.25">
      <c r="B26" s="11"/>
    </row>
    <row r="27" spans="1:8" x14ac:dyDescent="0.25">
      <c r="A27" s="1" t="s">
        <v>24</v>
      </c>
    </row>
    <row r="28" spans="1:8" x14ac:dyDescent="0.25">
      <c r="A28" s="1" t="s">
        <v>17</v>
      </c>
      <c r="B28" s="1" t="s">
        <v>20</v>
      </c>
      <c r="C28" s="1" t="s">
        <v>21</v>
      </c>
      <c r="D28" s="1" t="s">
        <v>18</v>
      </c>
      <c r="E28" s="1" t="s">
        <v>124</v>
      </c>
      <c r="F28" s="1" t="s">
        <v>125</v>
      </c>
      <c r="G28" s="1" t="s">
        <v>126</v>
      </c>
    </row>
    <row r="29" spans="1:8" x14ac:dyDescent="0.25">
      <c r="A29">
        <v>103</v>
      </c>
      <c r="B29" s="11">
        <v>44</v>
      </c>
      <c r="C29">
        <v>3.48</v>
      </c>
      <c r="D29">
        <f>C29+B29</f>
        <v>47.48</v>
      </c>
      <c r="E29">
        <v>3.22</v>
      </c>
      <c r="F29">
        <v>0.113</v>
      </c>
      <c r="G29">
        <v>0.30099999999999999</v>
      </c>
    </row>
    <row r="32" spans="1:8" x14ac:dyDescent="0.25">
      <c r="A32" s="1" t="s">
        <v>26</v>
      </c>
    </row>
    <row r="33" spans="1:6" ht="30" customHeight="1" x14ac:dyDescent="0.25">
      <c r="B33" s="12" t="s">
        <v>27</v>
      </c>
      <c r="C33" s="12" t="s">
        <v>28</v>
      </c>
      <c r="D33" s="12" t="s">
        <v>29</v>
      </c>
    </row>
    <row r="34" spans="1:6" x14ac:dyDescent="0.25">
      <c r="A34" t="s">
        <v>30</v>
      </c>
      <c r="B34" s="5">
        <v>1.0566</v>
      </c>
      <c r="C34" s="5">
        <v>1.2283999999999999</v>
      </c>
      <c r="D34" s="13">
        <f>(C34-B34)</f>
        <v>0.17179999999999995</v>
      </c>
    </row>
    <row r="35" spans="1:6" x14ac:dyDescent="0.25">
      <c r="A35" t="s">
        <v>31</v>
      </c>
      <c r="B35" s="5">
        <v>1.0382</v>
      </c>
      <c r="C35" s="5">
        <v>1.2909999999999999</v>
      </c>
      <c r="D35" s="15">
        <f>(C35-B35)</f>
        <v>0.25279999999999991</v>
      </c>
    </row>
    <row r="36" spans="1:6" x14ac:dyDescent="0.25">
      <c r="A36" t="s">
        <v>32</v>
      </c>
      <c r="B36" s="5"/>
      <c r="C36" s="5"/>
      <c r="D36" s="13">
        <f>D35+D34</f>
        <v>0.42459999999999987</v>
      </c>
    </row>
    <row r="40" spans="1:6" x14ac:dyDescent="0.25">
      <c r="A40" s="1" t="s">
        <v>35</v>
      </c>
    </row>
    <row r="42" spans="1:6" x14ac:dyDescent="0.25">
      <c r="A42" s="1" t="s">
        <v>22</v>
      </c>
    </row>
    <row r="43" spans="1:6" s="1" customFormat="1" ht="17.25" x14ac:dyDescent="0.25">
      <c r="A43" s="16" t="s">
        <v>55</v>
      </c>
      <c r="B43" s="17">
        <f>L12</f>
        <v>1.2977870892649295E-2</v>
      </c>
      <c r="C43" s="18" t="s">
        <v>15</v>
      </c>
    </row>
    <row r="44" spans="1:6" x14ac:dyDescent="0.25">
      <c r="A44" s="5" t="s">
        <v>50</v>
      </c>
      <c r="B44" s="17">
        <f>((C24+D24)*B5)/B1/1000</f>
        <v>2.3092488136807234E-3</v>
      </c>
      <c r="C44" s="18" t="s">
        <v>15</v>
      </c>
      <c r="D44" s="1"/>
    </row>
    <row r="45" spans="1:6" x14ac:dyDescent="0.25">
      <c r="A45" s="5" t="s">
        <v>51</v>
      </c>
      <c r="B45" s="17">
        <f>(B29+C29)*L11/B1/1000</f>
        <v>4.9040136090966061E-3</v>
      </c>
      <c r="C45" s="17" t="s">
        <v>15</v>
      </c>
      <c r="D45" s="2"/>
    </row>
    <row r="46" spans="1:6" x14ac:dyDescent="0.25">
      <c r="A46" s="16" t="s">
        <v>52</v>
      </c>
      <c r="B46" s="17">
        <f>D36/B3*(3*B1)/B1</f>
        <v>5.5016010704324126E-3</v>
      </c>
      <c r="C46" s="18" t="s">
        <v>15</v>
      </c>
      <c r="D46" t="s">
        <v>59</v>
      </c>
    </row>
    <row r="47" spans="1:6" x14ac:dyDescent="0.25">
      <c r="A47" s="16" t="s">
        <v>53</v>
      </c>
      <c r="B47" s="17">
        <f>B43-SUM(B44:B46)</f>
        <v>2.6300739943955348E-4</v>
      </c>
      <c r="C47" s="18" t="s">
        <v>15</v>
      </c>
    </row>
    <row r="48" spans="1:6" x14ac:dyDescent="0.25">
      <c r="A48" s="16" t="s">
        <v>53</v>
      </c>
      <c r="B48" s="19">
        <f>B47/B43</f>
        <v>2.0265835714895396E-2</v>
      </c>
      <c r="C48" s="18"/>
      <c r="F48" s="19"/>
    </row>
    <row r="49" spans="1:6" x14ac:dyDescent="0.25">
      <c r="A49" s="16" t="s">
        <v>81</v>
      </c>
      <c r="B49" s="19">
        <f>B46/B43</f>
        <v>0.42392169840035437</v>
      </c>
      <c r="C49" s="18"/>
      <c r="F49" s="19"/>
    </row>
    <row r="50" spans="1:6" x14ac:dyDescent="0.25">
      <c r="A50" s="16" t="s">
        <v>136</v>
      </c>
      <c r="B50" s="3">
        <f>(B46*55.845*1000)/A24</f>
        <v>2.9828826386242535</v>
      </c>
      <c r="C50" s="18" t="s">
        <v>137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A16" workbookViewId="0">
      <selection activeCell="B50" sqref="B50"/>
    </sheetView>
  </sheetViews>
  <sheetFormatPr defaultRowHeight="15" x14ac:dyDescent="0.25"/>
  <cols>
    <col min="1" max="1" width="17.42578125" bestFit="1" customWidth="1"/>
    <col min="2" max="2" width="13.42578125" bestFit="1" customWidth="1"/>
    <col min="3" max="3" width="13.28515625" bestFit="1" customWidth="1"/>
    <col min="4" max="4" width="19.85546875" bestFit="1" customWidth="1"/>
    <col min="5" max="5" width="14.140625" bestFit="1" customWidth="1"/>
    <col min="6" max="7" width="11.5703125" bestFit="1" customWidth="1"/>
    <col min="8" max="8" width="11.42578125" bestFit="1" customWidth="1"/>
    <col min="11" max="11" width="10" bestFit="1" customWidth="1"/>
    <col min="12" max="12" width="8.5703125" bestFit="1" customWidth="1"/>
    <col min="13" max="13" width="4.42578125" bestFit="1" customWidth="1"/>
  </cols>
  <sheetData>
    <row r="1" spans="1:13" x14ac:dyDescent="0.25">
      <c r="A1" t="s">
        <v>56</v>
      </c>
      <c r="B1">
        <v>55.844999999999999</v>
      </c>
    </row>
    <row r="2" spans="1:13" x14ac:dyDescent="0.25">
      <c r="A2" t="s">
        <v>57</v>
      </c>
      <c r="B2">
        <v>62.004899999999999</v>
      </c>
    </row>
    <row r="3" spans="1:13" x14ac:dyDescent="0.25">
      <c r="A3" t="s">
        <v>58</v>
      </c>
      <c r="B3">
        <v>231.5326</v>
      </c>
    </row>
    <row r="4" spans="1:13" x14ac:dyDescent="0.25">
      <c r="A4" t="s">
        <v>10</v>
      </c>
      <c r="B4">
        <v>103</v>
      </c>
      <c r="C4" t="s">
        <v>11</v>
      </c>
    </row>
    <row r="5" spans="1:13" x14ac:dyDescent="0.25">
      <c r="A5" t="s">
        <v>54</v>
      </c>
      <c r="B5">
        <v>2</v>
      </c>
      <c r="C5" t="s">
        <v>14</v>
      </c>
    </row>
    <row r="9" spans="1:13" x14ac:dyDescent="0.25">
      <c r="A9" s="1" t="s">
        <v>5</v>
      </c>
      <c r="F9" s="1" t="s">
        <v>6</v>
      </c>
      <c r="K9" s="1" t="s">
        <v>9</v>
      </c>
    </row>
    <row r="10" spans="1:13" x14ac:dyDescent="0.25">
      <c r="A10" t="s">
        <v>0</v>
      </c>
      <c r="B10">
        <v>125.65</v>
      </c>
      <c r="C10" t="s">
        <v>1</v>
      </c>
      <c r="F10" t="s">
        <v>7</v>
      </c>
      <c r="G10" s="3">
        <v>5.6</v>
      </c>
      <c r="H10" t="s">
        <v>1</v>
      </c>
      <c r="K10" t="s">
        <v>3</v>
      </c>
      <c r="L10" s="2">
        <f>B12+G12</f>
        <v>5.6000000000000001E-2</v>
      </c>
      <c r="M10" t="s">
        <v>4</v>
      </c>
    </row>
    <row r="11" spans="1:13" x14ac:dyDescent="0.25">
      <c r="A11" t="s">
        <v>0</v>
      </c>
      <c r="B11" s="2">
        <f>B10/B1/1000</f>
        <v>2.2499776166174231E-3</v>
      </c>
      <c r="C11" t="s">
        <v>2</v>
      </c>
      <c r="F11" t="s">
        <v>7</v>
      </c>
      <c r="G11" s="2">
        <f>G10/B2/1000</f>
        <v>9.0315442811777783E-5</v>
      </c>
      <c r="H11" t="s">
        <v>2</v>
      </c>
      <c r="K11" t="s">
        <v>8</v>
      </c>
      <c r="L11" s="3">
        <f>L10*B4</f>
        <v>5.7679999999999998</v>
      </c>
      <c r="M11" t="s">
        <v>14</v>
      </c>
    </row>
    <row r="12" spans="1:13" x14ac:dyDescent="0.25">
      <c r="A12" t="s">
        <v>3</v>
      </c>
      <c r="B12" s="2">
        <v>2.8000000000000001E-2</v>
      </c>
      <c r="C12" t="s">
        <v>4</v>
      </c>
      <c r="F12" t="s">
        <v>3</v>
      </c>
      <c r="G12" s="2">
        <v>2.8000000000000001E-2</v>
      </c>
      <c r="H12" t="s">
        <v>4</v>
      </c>
      <c r="K12" t="s">
        <v>12</v>
      </c>
      <c r="L12" s="2">
        <f>B11*L11</f>
        <v>1.2977870892649295E-2</v>
      </c>
      <c r="M12" t="s">
        <v>15</v>
      </c>
    </row>
    <row r="13" spans="1:13" x14ac:dyDescent="0.25">
      <c r="K13" t="s">
        <v>13</v>
      </c>
      <c r="L13" s="2">
        <f>G11*L11</f>
        <v>5.2093947413833427E-4</v>
      </c>
      <c r="M13" t="s">
        <v>15</v>
      </c>
    </row>
    <row r="16" spans="1:13" x14ac:dyDescent="0.25">
      <c r="A16" s="1" t="s">
        <v>16</v>
      </c>
    </row>
    <row r="17" spans="1:8" x14ac:dyDescent="0.25">
      <c r="A17" s="1"/>
    </row>
    <row r="18" spans="1:8" x14ac:dyDescent="0.25">
      <c r="A18" s="1" t="s">
        <v>23</v>
      </c>
    </row>
    <row r="19" spans="1:8" s="1" customFormat="1" x14ac:dyDescent="0.25">
      <c r="A19" s="1" t="s">
        <v>17</v>
      </c>
      <c r="B19" s="1" t="s">
        <v>25</v>
      </c>
      <c r="C19" s="1" t="s">
        <v>20</v>
      </c>
      <c r="D19" s="1" t="s">
        <v>21</v>
      </c>
      <c r="E19" s="1" t="s">
        <v>18</v>
      </c>
      <c r="F19" s="1" t="s">
        <v>124</v>
      </c>
      <c r="G19" s="1" t="s">
        <v>125</v>
      </c>
      <c r="H19" s="1" t="s">
        <v>126</v>
      </c>
    </row>
    <row r="20" spans="1:8" x14ac:dyDescent="0.25">
      <c r="A20" s="4">
        <v>0</v>
      </c>
      <c r="B20" s="9">
        <v>5.5</v>
      </c>
      <c r="C20" s="5">
        <v>5.0999999999999997E-2</v>
      </c>
      <c r="D20" s="5">
        <v>6.0000000000000001E-3</v>
      </c>
      <c r="E20" s="5"/>
      <c r="F20" s="5">
        <v>7.5999999999999998E-2</v>
      </c>
      <c r="G20" s="8" t="s">
        <v>19</v>
      </c>
      <c r="H20" s="5">
        <v>7.8E-2</v>
      </c>
    </row>
    <row r="21" spans="1:8" x14ac:dyDescent="0.25">
      <c r="A21" s="4">
        <v>24</v>
      </c>
      <c r="B21" s="9">
        <v>5.5</v>
      </c>
      <c r="C21" s="6">
        <v>50.2</v>
      </c>
      <c r="D21" s="6">
        <v>0.2</v>
      </c>
      <c r="E21" s="6">
        <f>D21+C21</f>
        <v>50.400000000000006</v>
      </c>
      <c r="F21" s="7">
        <v>2.94</v>
      </c>
      <c r="G21" s="5">
        <v>2.1999999999999999E-2</v>
      </c>
      <c r="H21" s="5">
        <v>0.13500000000000001</v>
      </c>
    </row>
    <row r="22" spans="1:8" x14ac:dyDescent="0.25">
      <c r="A22" s="4">
        <v>54</v>
      </c>
      <c r="B22" s="9">
        <v>6.5</v>
      </c>
      <c r="C22" s="6">
        <v>78.2</v>
      </c>
      <c r="D22" s="6">
        <v>5.08</v>
      </c>
      <c r="E22" s="6">
        <f>D22+C22</f>
        <v>83.28</v>
      </c>
      <c r="F22" s="7">
        <v>4.21</v>
      </c>
      <c r="G22" s="5">
        <v>2.3E-2</v>
      </c>
      <c r="H22" s="5">
        <v>0.159</v>
      </c>
    </row>
    <row r="23" spans="1:8" x14ac:dyDescent="0.25">
      <c r="A23" s="4">
        <v>74</v>
      </c>
      <c r="B23" s="10">
        <v>6.5</v>
      </c>
      <c r="C23" s="6">
        <v>76.2</v>
      </c>
      <c r="D23" s="6">
        <v>2.78</v>
      </c>
      <c r="E23" s="6">
        <f>D23+C23</f>
        <v>78.98</v>
      </c>
      <c r="F23" s="7">
        <v>4.8499999999999996</v>
      </c>
      <c r="G23" s="5">
        <v>2.3E-2</v>
      </c>
      <c r="H23" s="7">
        <v>0.185</v>
      </c>
    </row>
    <row r="24" spans="1:8" x14ac:dyDescent="0.25">
      <c r="A24" s="4">
        <v>103</v>
      </c>
      <c r="B24" s="10">
        <v>6.8</v>
      </c>
      <c r="C24" s="5">
        <v>70.3</v>
      </c>
      <c r="D24" s="5">
        <v>4.18</v>
      </c>
      <c r="E24" s="6">
        <f>D24+C24</f>
        <v>74.47999999999999</v>
      </c>
      <c r="F24" s="7">
        <v>4.87</v>
      </c>
      <c r="G24" s="5">
        <v>9.5000000000000001E-2</v>
      </c>
      <c r="H24" s="5">
        <v>0.21299999999999999</v>
      </c>
    </row>
    <row r="25" spans="1:8" x14ac:dyDescent="0.25">
      <c r="A25" s="4"/>
      <c r="B25" s="10"/>
      <c r="C25" s="6"/>
      <c r="D25" s="5"/>
      <c r="E25" s="6"/>
      <c r="F25" s="7"/>
      <c r="G25" s="5"/>
      <c r="H25" s="5"/>
    </row>
    <row r="26" spans="1:8" x14ac:dyDescent="0.25">
      <c r="B26" s="11"/>
    </row>
    <row r="27" spans="1:8" x14ac:dyDescent="0.25">
      <c r="A27" s="1" t="s">
        <v>24</v>
      </c>
    </row>
    <row r="28" spans="1:8" x14ac:dyDescent="0.25">
      <c r="A28" s="1" t="s">
        <v>17</v>
      </c>
      <c r="B28" s="1" t="s">
        <v>20</v>
      </c>
      <c r="C28" s="1" t="s">
        <v>21</v>
      </c>
      <c r="D28" s="1" t="s">
        <v>18</v>
      </c>
      <c r="E28" s="1" t="s">
        <v>124</v>
      </c>
      <c r="F28" s="1" t="s">
        <v>125</v>
      </c>
      <c r="G28" s="1" t="s">
        <v>126</v>
      </c>
    </row>
    <row r="29" spans="1:8" x14ac:dyDescent="0.25">
      <c r="A29">
        <v>103</v>
      </c>
      <c r="B29" s="9">
        <f>2.78*20</f>
        <v>55.599999999999994</v>
      </c>
      <c r="C29" s="5">
        <f>0.047*20</f>
        <v>0.94</v>
      </c>
      <c r="D29" s="9">
        <f>C29+B29</f>
        <v>56.539999999999992</v>
      </c>
      <c r="E29" s="5">
        <v>3.27</v>
      </c>
      <c r="F29" s="5">
        <v>0.23</v>
      </c>
      <c r="G29" s="5">
        <v>0.20200000000000001</v>
      </c>
    </row>
    <row r="32" spans="1:8" x14ac:dyDescent="0.25">
      <c r="A32" s="1" t="s">
        <v>26</v>
      </c>
    </row>
    <row r="33" spans="1:6" ht="30" customHeight="1" x14ac:dyDescent="0.25">
      <c r="B33" s="12" t="s">
        <v>27</v>
      </c>
      <c r="C33" s="12" t="s">
        <v>28</v>
      </c>
      <c r="D33" s="12" t="s">
        <v>29</v>
      </c>
    </row>
    <row r="34" spans="1:6" x14ac:dyDescent="0.25">
      <c r="A34" t="s">
        <v>30</v>
      </c>
      <c r="B34" s="5">
        <v>1.0469999999999999</v>
      </c>
      <c r="C34" s="5">
        <v>1.1839999999999999</v>
      </c>
      <c r="D34" s="13">
        <f>(C34-B34)</f>
        <v>0.13700000000000001</v>
      </c>
    </row>
    <row r="35" spans="1:6" x14ac:dyDescent="0.25">
      <c r="A35" t="s">
        <v>31</v>
      </c>
      <c r="B35" s="5">
        <v>1.0449999999999999</v>
      </c>
      <c r="C35" s="7">
        <v>1.2</v>
      </c>
      <c r="D35" s="15">
        <f>(C35-B35)</f>
        <v>0.15500000000000003</v>
      </c>
    </row>
    <row r="36" spans="1:6" x14ac:dyDescent="0.25">
      <c r="A36" t="s">
        <v>32</v>
      </c>
      <c r="B36" s="5"/>
      <c r="C36" s="5"/>
      <c r="D36" s="13">
        <f>D35+D34</f>
        <v>0.29200000000000004</v>
      </c>
    </row>
    <row r="40" spans="1:6" x14ac:dyDescent="0.25">
      <c r="A40" s="1" t="s">
        <v>35</v>
      </c>
    </row>
    <row r="42" spans="1:6" x14ac:dyDescent="0.25">
      <c r="A42" s="1" t="s">
        <v>22</v>
      </c>
    </row>
    <row r="43" spans="1:6" s="1" customFormat="1" ht="17.25" x14ac:dyDescent="0.25">
      <c r="A43" s="16" t="s">
        <v>55</v>
      </c>
      <c r="B43" s="17">
        <f>L12</f>
        <v>1.2977870892649295E-2</v>
      </c>
      <c r="C43" s="18" t="s">
        <v>15</v>
      </c>
    </row>
    <row r="44" spans="1:6" x14ac:dyDescent="0.25">
      <c r="A44" s="5" t="s">
        <v>50</v>
      </c>
      <c r="B44" s="17">
        <f>((C24+D24)*B5)/B1/1000</f>
        <v>2.6673829349091235E-3</v>
      </c>
      <c r="C44" s="18" t="s">
        <v>15</v>
      </c>
      <c r="D44" s="1"/>
    </row>
    <row r="45" spans="1:6" x14ac:dyDescent="0.25">
      <c r="A45" s="5" t="s">
        <v>51</v>
      </c>
      <c r="B45" s="17">
        <f>(B29+C29)*L11/B1/1000</f>
        <v>5.8397836869907779E-3</v>
      </c>
      <c r="C45" s="17" t="s">
        <v>15</v>
      </c>
      <c r="D45" s="2"/>
    </row>
    <row r="46" spans="1:6" x14ac:dyDescent="0.25">
      <c r="A46" s="16" t="s">
        <v>52</v>
      </c>
      <c r="B46" s="17">
        <f>D36/B3*(3*B1)/B1</f>
        <v>3.7834844855540867E-3</v>
      </c>
      <c r="C46" s="18" t="s">
        <v>15</v>
      </c>
      <c r="D46" t="s">
        <v>59</v>
      </c>
    </row>
    <row r="47" spans="1:6" x14ac:dyDescent="0.25">
      <c r="A47" s="16" t="s">
        <v>53</v>
      </c>
      <c r="B47" s="17">
        <f>B43-SUM(B44:B46)</f>
        <v>6.8721978519530741E-4</v>
      </c>
      <c r="C47" s="18" t="s">
        <v>15</v>
      </c>
    </row>
    <row r="48" spans="1:6" x14ac:dyDescent="0.25">
      <c r="A48" s="16" t="s">
        <v>53</v>
      </c>
      <c r="B48" s="19">
        <f>B47/B43</f>
        <v>5.2953199402264874E-2</v>
      </c>
      <c r="C48" s="18"/>
      <c r="F48" s="19"/>
    </row>
    <row r="49" spans="1:6" x14ac:dyDescent="0.25">
      <c r="A49" s="16" t="s">
        <v>81</v>
      </c>
      <c r="B49" s="19">
        <f>B46/B43</f>
        <v>0.29153352786835501</v>
      </c>
      <c r="C49" s="18"/>
      <c r="F49" s="19"/>
    </row>
    <row r="50" spans="1:6" x14ac:dyDescent="0.25">
      <c r="A50" s="16" t="s">
        <v>136</v>
      </c>
      <c r="B50" s="3">
        <f>(B46*55.845*1000)/A24</f>
        <v>2.0513465154928929</v>
      </c>
      <c r="C50" s="18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A14" workbookViewId="0">
      <selection activeCell="B50" sqref="B50"/>
    </sheetView>
  </sheetViews>
  <sheetFormatPr defaultRowHeight="15" x14ac:dyDescent="0.25"/>
  <cols>
    <col min="1" max="1" width="17.42578125" bestFit="1" customWidth="1"/>
    <col min="2" max="2" width="13.42578125" bestFit="1" customWidth="1"/>
    <col min="3" max="3" width="13.28515625" bestFit="1" customWidth="1"/>
    <col min="4" max="4" width="19.85546875" bestFit="1" customWidth="1"/>
    <col min="5" max="5" width="14.140625" bestFit="1" customWidth="1"/>
    <col min="6" max="7" width="11.5703125" bestFit="1" customWidth="1"/>
    <col min="8" max="8" width="11.42578125" bestFit="1" customWidth="1"/>
    <col min="11" max="11" width="10" bestFit="1" customWidth="1"/>
    <col min="12" max="12" width="8.5703125" bestFit="1" customWidth="1"/>
    <col min="13" max="13" width="4.42578125" bestFit="1" customWidth="1"/>
  </cols>
  <sheetData>
    <row r="1" spans="1:13" x14ac:dyDescent="0.25">
      <c r="A1" t="s">
        <v>56</v>
      </c>
      <c r="B1">
        <v>55.844999999999999</v>
      </c>
    </row>
    <row r="2" spans="1:13" x14ac:dyDescent="0.25">
      <c r="A2" t="s">
        <v>57</v>
      </c>
      <c r="B2">
        <v>62.004899999999999</v>
      </c>
    </row>
    <row r="3" spans="1:13" x14ac:dyDescent="0.25">
      <c r="A3" t="s">
        <v>58</v>
      </c>
      <c r="B3">
        <v>231.5326</v>
      </c>
    </row>
    <row r="4" spans="1:13" x14ac:dyDescent="0.25">
      <c r="A4" t="s">
        <v>10</v>
      </c>
      <c r="B4">
        <v>104</v>
      </c>
      <c r="C4" t="s">
        <v>11</v>
      </c>
    </row>
    <row r="5" spans="1:13" x14ac:dyDescent="0.25">
      <c r="A5" t="s">
        <v>54</v>
      </c>
      <c r="B5">
        <v>2</v>
      </c>
      <c r="C5" t="s">
        <v>14</v>
      </c>
    </row>
    <row r="9" spans="1:13" x14ac:dyDescent="0.25">
      <c r="A9" s="1" t="s">
        <v>5</v>
      </c>
      <c r="F9" s="1" t="s">
        <v>6</v>
      </c>
      <c r="K9" s="1" t="s">
        <v>9</v>
      </c>
    </row>
    <row r="10" spans="1:13" x14ac:dyDescent="0.25">
      <c r="A10" t="s">
        <v>0</v>
      </c>
      <c r="B10">
        <v>125.65</v>
      </c>
      <c r="C10" t="s">
        <v>1</v>
      </c>
      <c r="F10" t="s">
        <v>7</v>
      </c>
      <c r="G10" s="3">
        <v>5.6</v>
      </c>
      <c r="H10" t="s">
        <v>1</v>
      </c>
      <c r="K10" t="s">
        <v>3</v>
      </c>
      <c r="L10" s="2">
        <f>B12+G12</f>
        <v>5.6000000000000001E-2</v>
      </c>
      <c r="M10" t="s">
        <v>4</v>
      </c>
    </row>
    <row r="11" spans="1:13" x14ac:dyDescent="0.25">
      <c r="A11" t="s">
        <v>0</v>
      </c>
      <c r="B11" s="2">
        <f>B10/B1/1000</f>
        <v>2.2499776166174231E-3</v>
      </c>
      <c r="C11" t="s">
        <v>2</v>
      </c>
      <c r="F11" t="s">
        <v>7</v>
      </c>
      <c r="G11" s="2">
        <f>G10/B2/1000</f>
        <v>9.0315442811777783E-5</v>
      </c>
      <c r="H11" t="s">
        <v>2</v>
      </c>
      <c r="K11" t="s">
        <v>8</v>
      </c>
      <c r="L11" s="3">
        <f>L10*B4</f>
        <v>5.8239999999999998</v>
      </c>
      <c r="M11" t="s">
        <v>14</v>
      </c>
    </row>
    <row r="12" spans="1:13" x14ac:dyDescent="0.25">
      <c r="A12" t="s">
        <v>3</v>
      </c>
      <c r="B12" s="2">
        <v>2.8000000000000001E-2</v>
      </c>
      <c r="C12" t="s">
        <v>4</v>
      </c>
      <c r="F12" t="s">
        <v>3</v>
      </c>
      <c r="G12" s="2">
        <v>2.8000000000000001E-2</v>
      </c>
      <c r="H12" t="s">
        <v>4</v>
      </c>
      <c r="K12" t="s">
        <v>12</v>
      </c>
      <c r="L12" s="2">
        <f>B11*L11</f>
        <v>1.3103869639179873E-2</v>
      </c>
      <c r="M12" t="s">
        <v>15</v>
      </c>
    </row>
    <row r="13" spans="1:13" x14ac:dyDescent="0.25">
      <c r="K13" t="s">
        <v>13</v>
      </c>
      <c r="L13" s="2">
        <f>G11*L11</f>
        <v>5.259971389357938E-4</v>
      </c>
      <c r="M13" t="s">
        <v>15</v>
      </c>
    </row>
    <row r="16" spans="1:13" x14ac:dyDescent="0.25">
      <c r="A16" s="1" t="s">
        <v>16</v>
      </c>
    </row>
    <row r="17" spans="1:8" x14ac:dyDescent="0.25">
      <c r="A17" s="1"/>
    </row>
    <row r="18" spans="1:8" x14ac:dyDescent="0.25">
      <c r="A18" s="1" t="s">
        <v>23</v>
      </c>
    </row>
    <row r="19" spans="1:8" s="1" customFormat="1" x14ac:dyDescent="0.25">
      <c r="A19" s="1" t="s">
        <v>17</v>
      </c>
      <c r="B19" s="1" t="s">
        <v>25</v>
      </c>
      <c r="C19" s="1" t="s">
        <v>20</v>
      </c>
      <c r="D19" s="1" t="s">
        <v>21</v>
      </c>
      <c r="E19" s="1" t="s">
        <v>18</v>
      </c>
      <c r="F19" s="1" t="s">
        <v>124</v>
      </c>
      <c r="G19" s="1" t="s">
        <v>125</v>
      </c>
      <c r="H19" s="1" t="s">
        <v>126</v>
      </c>
    </row>
    <row r="20" spans="1:8" x14ac:dyDescent="0.25">
      <c r="A20" s="4">
        <v>0</v>
      </c>
      <c r="B20" s="9">
        <v>6</v>
      </c>
      <c r="C20" s="5">
        <v>5.0999999999999997E-2</v>
      </c>
      <c r="D20" s="5">
        <v>6.0000000000000001E-3</v>
      </c>
      <c r="E20" s="5">
        <f>D20+C20</f>
        <v>5.6999999999999995E-2</v>
      </c>
      <c r="F20" s="5">
        <v>7.5999999999999998E-2</v>
      </c>
      <c r="G20" s="8" t="s">
        <v>19</v>
      </c>
      <c r="H20" s="5">
        <v>7.8E-2</v>
      </c>
    </row>
    <row r="21" spans="1:8" x14ac:dyDescent="0.25">
      <c r="A21" s="4">
        <v>25</v>
      </c>
      <c r="B21" s="9">
        <v>6</v>
      </c>
      <c r="C21" s="6">
        <v>0.56599999999999995</v>
      </c>
      <c r="D21" s="6">
        <v>0.13600000000000001</v>
      </c>
      <c r="E21" s="6">
        <f>D21+C21</f>
        <v>0.70199999999999996</v>
      </c>
      <c r="F21" s="7">
        <v>3.21</v>
      </c>
      <c r="G21" s="5">
        <v>0.27200000000000002</v>
      </c>
      <c r="H21" s="5">
        <v>0.42199999999999999</v>
      </c>
    </row>
    <row r="22" spans="1:8" x14ac:dyDescent="0.25">
      <c r="A22" s="4">
        <v>50</v>
      </c>
      <c r="B22" s="9">
        <v>7.5</v>
      </c>
      <c r="C22" s="6">
        <v>12.9</v>
      </c>
      <c r="D22" s="6">
        <v>0.82</v>
      </c>
      <c r="E22" s="6">
        <f>D22+C22</f>
        <v>13.72</v>
      </c>
      <c r="F22" s="7">
        <v>4.45</v>
      </c>
      <c r="G22" s="5">
        <v>0.219</v>
      </c>
      <c r="H22" s="5">
        <v>0.54100000000000004</v>
      </c>
    </row>
    <row r="23" spans="1:8" x14ac:dyDescent="0.25">
      <c r="A23" s="4">
        <v>74</v>
      </c>
      <c r="B23" s="10">
        <v>7.5</v>
      </c>
      <c r="C23" s="5"/>
      <c r="D23" s="5"/>
      <c r="E23" s="5"/>
      <c r="F23" s="7">
        <v>4.7699999999999996</v>
      </c>
      <c r="G23" s="16">
        <v>0.05</v>
      </c>
      <c r="H23" s="27">
        <v>0.19500000000000001</v>
      </c>
    </row>
    <row r="24" spans="1:8" x14ac:dyDescent="0.25">
      <c r="A24" s="4">
        <v>104</v>
      </c>
      <c r="B24" s="10">
        <v>7.5</v>
      </c>
      <c r="C24" s="5">
        <v>24.8</v>
      </c>
      <c r="D24" s="5">
        <v>1.22</v>
      </c>
      <c r="E24" s="6">
        <f>D24+C24</f>
        <v>26.02</v>
      </c>
      <c r="F24" s="7">
        <v>5.22</v>
      </c>
      <c r="G24" s="5">
        <v>0.11700000000000001</v>
      </c>
      <c r="H24" s="5">
        <v>0.44</v>
      </c>
    </row>
    <row r="25" spans="1:8" x14ac:dyDescent="0.25">
      <c r="A25" s="4"/>
      <c r="B25" s="10"/>
      <c r="C25" s="6"/>
      <c r="D25" s="5"/>
      <c r="E25" s="6"/>
      <c r="F25" s="7"/>
      <c r="G25" s="5"/>
      <c r="H25" s="5"/>
    </row>
    <row r="26" spans="1:8" x14ac:dyDescent="0.25">
      <c r="B26" s="11"/>
    </row>
    <row r="27" spans="1:8" x14ac:dyDescent="0.25">
      <c r="A27" s="1" t="s">
        <v>24</v>
      </c>
    </row>
    <row r="28" spans="1:8" x14ac:dyDescent="0.25">
      <c r="A28" s="1" t="s">
        <v>17</v>
      </c>
      <c r="B28" s="1" t="s">
        <v>20</v>
      </c>
      <c r="C28" s="1" t="s">
        <v>21</v>
      </c>
      <c r="D28" s="1" t="s">
        <v>18</v>
      </c>
      <c r="E28" s="1" t="s">
        <v>124</v>
      </c>
      <c r="F28" s="1" t="s">
        <v>125</v>
      </c>
      <c r="G28" s="1" t="s">
        <v>126</v>
      </c>
    </row>
    <row r="29" spans="1:8" x14ac:dyDescent="0.25">
      <c r="A29">
        <v>104</v>
      </c>
      <c r="B29" s="9">
        <v>9.7799999999999994</v>
      </c>
      <c r="C29" s="5">
        <v>0.06</v>
      </c>
      <c r="D29" s="9">
        <f>C29+B29</f>
        <v>9.84</v>
      </c>
      <c r="E29" s="5">
        <v>4.0199999999999996</v>
      </c>
      <c r="F29" s="5">
        <v>0.23300000000000001</v>
      </c>
      <c r="G29" s="5">
        <v>0.49199999999999999</v>
      </c>
    </row>
    <row r="32" spans="1:8" x14ac:dyDescent="0.25">
      <c r="A32" s="1" t="s">
        <v>26</v>
      </c>
    </row>
    <row r="33" spans="1:6" ht="30" customHeight="1" x14ac:dyDescent="0.25">
      <c r="B33" s="12" t="s">
        <v>27</v>
      </c>
      <c r="C33" s="12" t="s">
        <v>28</v>
      </c>
      <c r="D33" s="12" t="s">
        <v>29</v>
      </c>
    </row>
    <row r="34" spans="1:6" x14ac:dyDescent="0.25">
      <c r="A34" t="s">
        <v>30</v>
      </c>
      <c r="B34" s="5">
        <v>1.0568</v>
      </c>
      <c r="C34" s="5">
        <v>1.3786</v>
      </c>
      <c r="D34" s="13">
        <f>(C34-B34)</f>
        <v>0.32180000000000009</v>
      </c>
    </row>
    <row r="35" spans="1:6" x14ac:dyDescent="0.25">
      <c r="A35" t="s">
        <v>31</v>
      </c>
      <c r="B35" s="5">
        <v>1.0395000000000001</v>
      </c>
      <c r="C35" s="5">
        <v>1.5365</v>
      </c>
      <c r="D35" s="15">
        <f>(C35-B35)</f>
        <v>0.49699999999999989</v>
      </c>
    </row>
    <row r="36" spans="1:6" x14ac:dyDescent="0.25">
      <c r="A36" t="s">
        <v>32</v>
      </c>
      <c r="B36" s="5"/>
      <c r="C36" s="5"/>
      <c r="D36" s="13">
        <f>D35+D34</f>
        <v>0.81879999999999997</v>
      </c>
    </row>
    <row r="40" spans="1:6" x14ac:dyDescent="0.25">
      <c r="A40" s="1" t="s">
        <v>35</v>
      </c>
    </row>
    <row r="42" spans="1:6" x14ac:dyDescent="0.25">
      <c r="A42" s="1" t="s">
        <v>22</v>
      </c>
    </row>
    <row r="43" spans="1:6" s="1" customFormat="1" ht="17.25" x14ac:dyDescent="0.25">
      <c r="A43" s="16" t="s">
        <v>55</v>
      </c>
      <c r="B43" s="17">
        <f>L12</f>
        <v>1.3103869639179873E-2</v>
      </c>
      <c r="C43" s="18" t="s">
        <v>15</v>
      </c>
    </row>
    <row r="44" spans="1:6" x14ac:dyDescent="0.25">
      <c r="A44" s="5" t="s">
        <v>50</v>
      </c>
      <c r="B44" s="17">
        <f>((C24+D24)*B5)/B1/1000</f>
        <v>9.3186498343629683E-4</v>
      </c>
      <c r="C44" s="18" t="s">
        <v>15</v>
      </c>
      <c r="D44" s="1"/>
    </row>
    <row r="45" spans="1:6" x14ac:dyDescent="0.25">
      <c r="A45" s="5" t="s">
        <v>51</v>
      </c>
      <c r="B45" s="17">
        <f>(B29+C29)*L11/B1/1000</f>
        <v>1.0262003760408273E-3</v>
      </c>
      <c r="C45" s="17" t="s">
        <v>15</v>
      </c>
      <c r="D45" s="2"/>
    </row>
    <row r="46" spans="1:6" x14ac:dyDescent="0.25">
      <c r="A46" s="16" t="s">
        <v>52</v>
      </c>
      <c r="B46" s="17">
        <f>D36/B3*(3*B1)/B1</f>
        <v>1.060930512593043E-2</v>
      </c>
      <c r="C46" s="18" t="s">
        <v>15</v>
      </c>
      <c r="D46" t="s">
        <v>59</v>
      </c>
    </row>
    <row r="47" spans="1:6" x14ac:dyDescent="0.25">
      <c r="A47" s="16" t="s">
        <v>53</v>
      </c>
      <c r="B47" s="17">
        <f>B43-SUM(B44:B46)</f>
        <v>5.3649915377231884E-4</v>
      </c>
      <c r="C47" s="18" t="s">
        <v>15</v>
      </c>
    </row>
    <row r="48" spans="1:6" x14ac:dyDescent="0.25">
      <c r="A48" s="16" t="s">
        <v>53</v>
      </c>
      <c r="B48" s="19">
        <f>B47/B43</f>
        <v>4.0942039912257283E-2</v>
      </c>
      <c r="C48" s="18"/>
      <c r="F48" s="19"/>
    </row>
    <row r="49" spans="1:6" x14ac:dyDescent="0.25">
      <c r="A49" s="16" t="s">
        <v>81</v>
      </c>
      <c r="B49" s="19">
        <f>B46/B43</f>
        <v>0.80963146139741593</v>
      </c>
      <c r="C49" s="18"/>
      <c r="F49" s="19"/>
    </row>
    <row r="50" spans="1:6" x14ac:dyDescent="0.25">
      <c r="A50" s="16" t="s">
        <v>136</v>
      </c>
      <c r="B50" s="3">
        <f>(B46*55.845*1000)/A24</f>
        <v>5.6968908149767774</v>
      </c>
      <c r="C50" s="18" t="s">
        <v>137</v>
      </c>
    </row>
    <row r="51" spans="1:6" x14ac:dyDescent="0.25">
      <c r="B51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A21" workbookViewId="0">
      <selection activeCell="F52" sqref="F52"/>
    </sheetView>
  </sheetViews>
  <sheetFormatPr defaultRowHeight="15" x14ac:dyDescent="0.25"/>
  <cols>
    <col min="1" max="1" width="17.42578125" bestFit="1" customWidth="1"/>
    <col min="2" max="2" width="13.42578125" bestFit="1" customWidth="1"/>
    <col min="3" max="3" width="13.28515625" bestFit="1" customWidth="1"/>
    <col min="4" max="4" width="19.85546875" bestFit="1" customWidth="1"/>
    <col min="5" max="5" width="14.140625" bestFit="1" customWidth="1"/>
    <col min="6" max="7" width="11.5703125" bestFit="1" customWidth="1"/>
    <col min="8" max="8" width="11.42578125" bestFit="1" customWidth="1"/>
    <col min="11" max="11" width="10" bestFit="1" customWidth="1"/>
    <col min="12" max="12" width="8.5703125" bestFit="1" customWidth="1"/>
    <col min="13" max="13" width="4.42578125" bestFit="1" customWidth="1"/>
  </cols>
  <sheetData>
    <row r="1" spans="1:13" x14ac:dyDescent="0.25">
      <c r="A1" t="s">
        <v>56</v>
      </c>
      <c r="B1">
        <v>55.844999999999999</v>
      </c>
    </row>
    <row r="2" spans="1:13" x14ac:dyDescent="0.25">
      <c r="A2" t="s">
        <v>57</v>
      </c>
      <c r="B2">
        <v>62.004899999999999</v>
      </c>
    </row>
    <row r="3" spans="1:13" x14ac:dyDescent="0.25">
      <c r="A3" t="s">
        <v>58</v>
      </c>
      <c r="B3">
        <v>231.5326</v>
      </c>
    </row>
    <row r="4" spans="1:13" x14ac:dyDescent="0.25">
      <c r="A4" t="s">
        <v>10</v>
      </c>
      <c r="B4">
        <v>103</v>
      </c>
      <c r="C4" t="s">
        <v>11</v>
      </c>
    </row>
    <row r="5" spans="1:13" x14ac:dyDescent="0.25">
      <c r="A5" t="s">
        <v>54</v>
      </c>
      <c r="B5">
        <v>2</v>
      </c>
      <c r="C5" t="s">
        <v>14</v>
      </c>
    </row>
    <row r="9" spans="1:13" x14ac:dyDescent="0.25">
      <c r="A9" s="1" t="s">
        <v>5</v>
      </c>
      <c r="F9" s="1" t="s">
        <v>6</v>
      </c>
      <c r="K9" s="1" t="s">
        <v>9</v>
      </c>
    </row>
    <row r="10" spans="1:13" x14ac:dyDescent="0.25">
      <c r="A10" t="s">
        <v>0</v>
      </c>
      <c r="B10">
        <v>125.65</v>
      </c>
      <c r="C10" t="s">
        <v>1</v>
      </c>
      <c r="F10" t="s">
        <v>7</v>
      </c>
      <c r="G10" s="3"/>
      <c r="H10" t="s">
        <v>1</v>
      </c>
      <c r="K10" t="s">
        <v>3</v>
      </c>
      <c r="L10" s="2">
        <f>B12+G12</f>
        <v>5.6000000000000001E-2</v>
      </c>
      <c r="M10" t="s">
        <v>4</v>
      </c>
    </row>
    <row r="11" spans="1:13" x14ac:dyDescent="0.25">
      <c r="A11" t="s">
        <v>0</v>
      </c>
      <c r="B11" s="2">
        <f>B10/B1/1000</f>
        <v>2.2499776166174231E-3</v>
      </c>
      <c r="C11" t="s">
        <v>2</v>
      </c>
      <c r="F11" t="s">
        <v>7</v>
      </c>
      <c r="G11" s="2"/>
      <c r="H11" t="s">
        <v>2</v>
      </c>
      <c r="K11" t="s">
        <v>8</v>
      </c>
      <c r="L11" s="3">
        <f>L10*B4</f>
        <v>5.7679999999999998</v>
      </c>
      <c r="M11" t="s">
        <v>14</v>
      </c>
    </row>
    <row r="12" spans="1:13" x14ac:dyDescent="0.25">
      <c r="A12" t="s">
        <v>3</v>
      </c>
      <c r="B12" s="2">
        <v>2.8000000000000001E-2</v>
      </c>
      <c r="C12" t="s">
        <v>4</v>
      </c>
      <c r="F12" t="s">
        <v>3</v>
      </c>
      <c r="G12" s="2">
        <v>2.8000000000000001E-2</v>
      </c>
      <c r="H12" t="s">
        <v>4</v>
      </c>
      <c r="K12" t="s">
        <v>12</v>
      </c>
      <c r="L12" s="2">
        <f>B11*L11</f>
        <v>1.2977870892649295E-2</v>
      </c>
      <c r="M12" t="s">
        <v>15</v>
      </c>
    </row>
    <row r="13" spans="1:13" x14ac:dyDescent="0.25">
      <c r="K13" t="s">
        <v>13</v>
      </c>
      <c r="L13" s="2"/>
      <c r="M13" t="s">
        <v>15</v>
      </c>
    </row>
    <row r="16" spans="1:13" x14ac:dyDescent="0.25">
      <c r="A16" s="1" t="s">
        <v>16</v>
      </c>
    </row>
    <row r="17" spans="1:8" x14ac:dyDescent="0.25">
      <c r="A17" s="1"/>
    </row>
    <row r="18" spans="1:8" x14ac:dyDescent="0.25">
      <c r="A18" s="1" t="s">
        <v>23</v>
      </c>
    </row>
    <row r="19" spans="1:8" s="1" customFormat="1" x14ac:dyDescent="0.25">
      <c r="A19" s="1" t="s">
        <v>17</v>
      </c>
      <c r="B19" s="1" t="s">
        <v>25</v>
      </c>
      <c r="C19" s="1" t="s">
        <v>20</v>
      </c>
      <c r="D19" s="1" t="s">
        <v>21</v>
      </c>
      <c r="E19" s="1" t="s">
        <v>18</v>
      </c>
      <c r="F19" s="1" t="s">
        <v>124</v>
      </c>
      <c r="G19" s="1" t="s">
        <v>125</v>
      </c>
      <c r="H19" s="1" t="s">
        <v>126</v>
      </c>
    </row>
    <row r="20" spans="1:8" x14ac:dyDescent="0.25">
      <c r="A20" s="4">
        <v>0</v>
      </c>
      <c r="B20" s="5">
        <v>5.5</v>
      </c>
      <c r="C20" s="5">
        <v>5.0999999999999997E-2</v>
      </c>
      <c r="D20" s="5">
        <v>6.0000000000000001E-3</v>
      </c>
      <c r="E20" s="5">
        <f>SUM(C20:D20)</f>
        <v>5.6999999999999995E-2</v>
      </c>
      <c r="F20" s="5">
        <v>7.5999999999999998E-2</v>
      </c>
      <c r="G20" s="8" t="s">
        <v>19</v>
      </c>
      <c r="H20" s="5">
        <v>7.8E-2</v>
      </c>
    </row>
    <row r="21" spans="1:8" x14ac:dyDescent="0.25">
      <c r="A21" s="4">
        <v>27</v>
      </c>
      <c r="B21" s="5">
        <v>5.5</v>
      </c>
      <c r="C21" s="6">
        <v>32.4</v>
      </c>
      <c r="D21" s="6">
        <v>1.52</v>
      </c>
      <c r="E21" s="5">
        <f t="shared" ref="E21:E24" si="0">SUM(C21:D21)</f>
        <v>33.92</v>
      </c>
      <c r="F21" s="7">
        <v>5.0999999999999997E-2</v>
      </c>
      <c r="G21" s="5">
        <v>2.7E-2</v>
      </c>
      <c r="H21" s="5">
        <v>0.08</v>
      </c>
    </row>
    <row r="22" spans="1:8" x14ac:dyDescent="0.25">
      <c r="A22" s="4">
        <v>50</v>
      </c>
      <c r="B22" s="5">
        <v>7.5</v>
      </c>
      <c r="C22" s="6">
        <v>33.6</v>
      </c>
      <c r="D22" s="6">
        <v>1.56</v>
      </c>
      <c r="E22" s="5">
        <f t="shared" si="0"/>
        <v>35.160000000000004</v>
      </c>
      <c r="F22" s="7">
        <v>8.9999999999999993E-3</v>
      </c>
      <c r="G22" s="5">
        <v>8.0000000000000002E-3</v>
      </c>
      <c r="H22" s="5">
        <v>2E-3</v>
      </c>
    </row>
    <row r="23" spans="1:8" x14ac:dyDescent="0.25">
      <c r="A23" s="4">
        <v>75</v>
      </c>
      <c r="B23" s="5">
        <v>7.5</v>
      </c>
      <c r="C23" s="6">
        <v>33.119999999999997</v>
      </c>
      <c r="D23" s="6">
        <v>1.48</v>
      </c>
      <c r="E23" s="5">
        <f t="shared" si="0"/>
        <v>34.599999999999994</v>
      </c>
      <c r="F23" s="7"/>
      <c r="G23" s="7"/>
      <c r="H23" s="7"/>
    </row>
    <row r="24" spans="1:8" x14ac:dyDescent="0.25">
      <c r="A24" s="4">
        <v>103</v>
      </c>
      <c r="B24" s="5">
        <v>7.5</v>
      </c>
      <c r="C24" s="5">
        <v>32.200000000000003</v>
      </c>
      <c r="D24" s="5">
        <v>0.72</v>
      </c>
      <c r="E24" s="5">
        <f t="shared" si="0"/>
        <v>32.92</v>
      </c>
      <c r="F24" s="7"/>
      <c r="G24" s="7"/>
      <c r="H24" s="7"/>
    </row>
    <row r="25" spans="1:8" x14ac:dyDescent="0.25">
      <c r="A25" s="4"/>
      <c r="B25" s="10"/>
      <c r="C25" s="6"/>
      <c r="D25" s="5"/>
      <c r="E25" s="6"/>
      <c r="F25" s="7"/>
      <c r="G25" s="5"/>
      <c r="H25" s="5"/>
    </row>
    <row r="26" spans="1:8" x14ac:dyDescent="0.25">
      <c r="B26" s="11"/>
    </row>
    <row r="27" spans="1:8" x14ac:dyDescent="0.25">
      <c r="A27" s="1" t="s">
        <v>24</v>
      </c>
    </row>
    <row r="28" spans="1:8" x14ac:dyDescent="0.25">
      <c r="A28" s="1" t="s">
        <v>17</v>
      </c>
      <c r="B28" s="1" t="s">
        <v>20</v>
      </c>
      <c r="C28" s="1" t="s">
        <v>21</v>
      </c>
      <c r="D28" s="1" t="s">
        <v>18</v>
      </c>
      <c r="E28" s="1" t="s">
        <v>124</v>
      </c>
      <c r="F28" s="1" t="s">
        <v>125</v>
      </c>
      <c r="G28" s="1" t="s">
        <v>126</v>
      </c>
    </row>
    <row r="29" spans="1:8" x14ac:dyDescent="0.25">
      <c r="A29">
        <v>103</v>
      </c>
      <c r="B29" s="9">
        <f>1.5*20</f>
        <v>30</v>
      </c>
      <c r="C29" s="5">
        <f>0.046*20</f>
        <v>0.91999999999999993</v>
      </c>
      <c r="D29" s="9">
        <f>C29+B29</f>
        <v>30.92</v>
      </c>
      <c r="E29" s="5">
        <v>3.22</v>
      </c>
      <c r="F29" s="5">
        <v>0.113</v>
      </c>
      <c r="G29" s="5">
        <v>0.30099999999999999</v>
      </c>
    </row>
    <row r="32" spans="1:8" x14ac:dyDescent="0.25">
      <c r="A32" s="1" t="s">
        <v>26</v>
      </c>
    </row>
    <row r="33" spans="1:6" ht="30" customHeight="1" x14ac:dyDescent="0.25">
      <c r="B33" s="12" t="s">
        <v>27</v>
      </c>
      <c r="C33" s="12" t="s">
        <v>28</v>
      </c>
      <c r="D33" s="12" t="s">
        <v>29</v>
      </c>
    </row>
    <row r="34" spans="1:6" x14ac:dyDescent="0.25">
      <c r="A34" t="s">
        <v>30</v>
      </c>
      <c r="B34" s="5">
        <v>1.0404</v>
      </c>
      <c r="C34" s="5">
        <v>1.3083</v>
      </c>
      <c r="D34" s="13">
        <f>(C34-B34)</f>
        <v>0.26790000000000003</v>
      </c>
    </row>
    <row r="35" spans="1:6" x14ac:dyDescent="0.25">
      <c r="A35" t="s">
        <v>31</v>
      </c>
      <c r="B35" s="5">
        <v>1.0563</v>
      </c>
      <c r="C35" s="5">
        <v>1.3771</v>
      </c>
      <c r="D35" s="15">
        <f>(C35-B35)</f>
        <v>0.32079999999999997</v>
      </c>
    </row>
    <row r="36" spans="1:6" x14ac:dyDescent="0.25">
      <c r="A36" t="s">
        <v>32</v>
      </c>
      <c r="B36" s="5"/>
      <c r="C36" s="5"/>
      <c r="D36" s="13">
        <f>D35+D34</f>
        <v>0.5887</v>
      </c>
    </row>
    <row r="40" spans="1:6" x14ac:dyDescent="0.25">
      <c r="A40" s="1" t="s">
        <v>35</v>
      </c>
    </row>
    <row r="42" spans="1:6" x14ac:dyDescent="0.25">
      <c r="A42" s="1" t="s">
        <v>22</v>
      </c>
    </row>
    <row r="43" spans="1:6" s="1" customFormat="1" ht="17.25" x14ac:dyDescent="0.25">
      <c r="A43" s="16" t="s">
        <v>55</v>
      </c>
      <c r="B43" s="17">
        <f>L12</f>
        <v>1.2977870892649295E-2</v>
      </c>
      <c r="C43" s="18" t="s">
        <v>15</v>
      </c>
    </row>
    <row r="44" spans="1:6" x14ac:dyDescent="0.25">
      <c r="A44" s="5" t="s">
        <v>50</v>
      </c>
      <c r="B44" s="17">
        <f>((C24+D24)*B5)/B1/1000</f>
        <v>1.1789775270838929E-3</v>
      </c>
      <c r="C44" s="18" t="s">
        <v>15</v>
      </c>
      <c r="D44" s="1"/>
    </row>
    <row r="45" spans="1:6" x14ac:dyDescent="0.25">
      <c r="A45" s="5" t="s">
        <v>51</v>
      </c>
      <c r="B45" s="17">
        <f>(B29+C29)*L11/B1/1000</f>
        <v>3.1935994269854063E-3</v>
      </c>
      <c r="C45" s="17" t="s">
        <v>15</v>
      </c>
      <c r="D45" s="2"/>
    </row>
    <row r="46" spans="1:6" x14ac:dyDescent="0.25">
      <c r="A46" s="16" t="s">
        <v>52</v>
      </c>
      <c r="B46" s="17">
        <f>D36/B3*(3*B1)/B1</f>
        <v>7.6278675227592144E-3</v>
      </c>
      <c r="C46" s="18" t="s">
        <v>15</v>
      </c>
      <c r="D46" t="s">
        <v>59</v>
      </c>
    </row>
    <row r="47" spans="1:6" x14ac:dyDescent="0.25">
      <c r="A47" s="16" t="s">
        <v>53</v>
      </c>
      <c r="B47" s="17">
        <f>B43-SUM(B44:B46)</f>
        <v>9.7742641582078231E-4</v>
      </c>
      <c r="C47" s="18" t="s">
        <v>15</v>
      </c>
    </row>
    <row r="48" spans="1:6" x14ac:dyDescent="0.25">
      <c r="A48" s="16" t="s">
        <v>53</v>
      </c>
      <c r="B48" s="19">
        <f>B47/B43</f>
        <v>7.5314851249938045E-2</v>
      </c>
      <c r="C48" s="18"/>
      <c r="F48" s="19"/>
    </row>
    <row r="49" spans="1:6" x14ac:dyDescent="0.25">
      <c r="A49" s="16" t="s">
        <v>81</v>
      </c>
      <c r="B49" s="19">
        <f>B46/B43</f>
        <v>0.58775954745239922</v>
      </c>
      <c r="C49" s="18"/>
      <c r="F49" s="19"/>
    </row>
    <row r="50" spans="1:6" x14ac:dyDescent="0.25">
      <c r="A50" s="16" t="s">
        <v>136</v>
      </c>
      <c r="B50" s="3">
        <f>(B46*55.845*1000)/A24</f>
        <v>4.1357112796940614</v>
      </c>
      <c r="C50" s="18" t="s">
        <v>137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opLeftCell="A34" workbookViewId="0">
      <selection activeCell="J51" sqref="J51"/>
    </sheetView>
  </sheetViews>
  <sheetFormatPr defaultRowHeight="15" x14ac:dyDescent="0.25"/>
  <cols>
    <col min="1" max="1" width="17.42578125" bestFit="1" customWidth="1"/>
    <col min="2" max="2" width="16.7109375" bestFit="1" customWidth="1"/>
    <col min="3" max="3" width="16" bestFit="1" customWidth="1"/>
    <col min="4" max="4" width="25.85546875" bestFit="1" customWidth="1"/>
    <col min="5" max="5" width="20.5703125" bestFit="1" customWidth="1"/>
    <col min="6" max="6" width="19.85546875" bestFit="1" customWidth="1"/>
    <col min="7" max="7" width="13.85546875" bestFit="1" customWidth="1"/>
    <col min="8" max="8" width="13.7109375" bestFit="1" customWidth="1"/>
    <col min="11" max="11" width="10" bestFit="1" customWidth="1"/>
    <col min="12" max="12" width="8.28515625" bestFit="1" customWidth="1"/>
    <col min="13" max="13" width="4.42578125" bestFit="1" customWidth="1"/>
  </cols>
  <sheetData>
    <row r="1" spans="1:13" x14ac:dyDescent="0.25">
      <c r="A1" t="s">
        <v>56</v>
      </c>
      <c r="B1">
        <v>55.844999999999999</v>
      </c>
    </row>
    <row r="2" spans="1:13" x14ac:dyDescent="0.25">
      <c r="A2" t="s">
        <v>57</v>
      </c>
      <c r="B2">
        <v>62.004899999999999</v>
      </c>
    </row>
    <row r="3" spans="1:13" x14ac:dyDescent="0.25">
      <c r="A3" t="s">
        <v>58</v>
      </c>
      <c r="B3">
        <v>231.5326</v>
      </c>
    </row>
    <row r="4" spans="1:13" x14ac:dyDescent="0.25">
      <c r="A4" t="s">
        <v>10</v>
      </c>
      <c r="B4">
        <v>136</v>
      </c>
      <c r="C4" t="s">
        <v>11</v>
      </c>
    </row>
    <row r="5" spans="1:13" x14ac:dyDescent="0.25">
      <c r="A5" t="s">
        <v>54</v>
      </c>
      <c r="B5">
        <v>2</v>
      </c>
      <c r="C5" t="s">
        <v>14</v>
      </c>
    </row>
    <row r="9" spans="1:13" x14ac:dyDescent="0.25">
      <c r="A9" s="1" t="s">
        <v>5</v>
      </c>
      <c r="F9" s="1" t="s">
        <v>6</v>
      </c>
      <c r="K9" s="1" t="s">
        <v>9</v>
      </c>
    </row>
    <row r="10" spans="1:13" x14ac:dyDescent="0.25">
      <c r="A10" t="s">
        <v>0</v>
      </c>
      <c r="B10">
        <v>55.844999999999999</v>
      </c>
      <c r="C10" t="s">
        <v>1</v>
      </c>
      <c r="F10" t="s">
        <v>7</v>
      </c>
      <c r="G10" s="3"/>
      <c r="H10" t="s">
        <v>1</v>
      </c>
      <c r="K10" t="s">
        <v>3</v>
      </c>
      <c r="L10" s="2">
        <f>B12+G12</f>
        <v>5.6000000000000001E-2</v>
      </c>
      <c r="M10" t="s">
        <v>4</v>
      </c>
    </row>
    <row r="11" spans="1:13" x14ac:dyDescent="0.25">
      <c r="A11" t="s">
        <v>0</v>
      </c>
      <c r="B11" s="2">
        <f>B10/B1/1000</f>
        <v>1E-3</v>
      </c>
      <c r="C11" t="s">
        <v>2</v>
      </c>
      <c r="F11" t="s">
        <v>7</v>
      </c>
      <c r="G11" s="2"/>
      <c r="H11" t="s">
        <v>2</v>
      </c>
      <c r="K11" t="s">
        <v>8</v>
      </c>
      <c r="L11" s="3">
        <f>L10*B4</f>
        <v>7.6160000000000005</v>
      </c>
      <c r="M11" t="s">
        <v>14</v>
      </c>
    </row>
    <row r="12" spans="1:13" x14ac:dyDescent="0.25">
      <c r="A12" t="s">
        <v>3</v>
      </c>
      <c r="B12" s="2">
        <v>2.8000000000000001E-2</v>
      </c>
      <c r="C12" t="s">
        <v>4</v>
      </c>
      <c r="F12" t="s">
        <v>3</v>
      </c>
      <c r="G12" s="2">
        <v>2.8000000000000001E-2</v>
      </c>
      <c r="H12" t="s">
        <v>4</v>
      </c>
      <c r="K12" t="s">
        <v>12</v>
      </c>
      <c r="L12" s="2">
        <f>B11*L11</f>
        <v>7.6160000000000004E-3</v>
      </c>
      <c r="M12" t="s">
        <v>15</v>
      </c>
    </row>
    <row r="13" spans="1:13" x14ac:dyDescent="0.25">
      <c r="K13" t="s">
        <v>13</v>
      </c>
      <c r="L13" s="2"/>
      <c r="M13" t="s">
        <v>15</v>
      </c>
    </row>
    <row r="16" spans="1:13" x14ac:dyDescent="0.25">
      <c r="A16" s="1" t="s">
        <v>16</v>
      </c>
    </row>
    <row r="17" spans="1:8" x14ac:dyDescent="0.25">
      <c r="A17" s="1"/>
    </row>
    <row r="18" spans="1:8" x14ac:dyDescent="0.25">
      <c r="A18" s="1" t="s">
        <v>23</v>
      </c>
    </row>
    <row r="19" spans="1:8" s="1" customFormat="1" x14ac:dyDescent="0.25">
      <c r="A19" s="1" t="s">
        <v>17</v>
      </c>
      <c r="B19" s="1" t="s">
        <v>25</v>
      </c>
      <c r="C19" s="1" t="s">
        <v>20</v>
      </c>
      <c r="D19" s="1" t="s">
        <v>21</v>
      </c>
      <c r="E19" s="1" t="s">
        <v>18</v>
      </c>
      <c r="F19" s="1" t="s">
        <v>124</v>
      </c>
      <c r="G19" s="1" t="s">
        <v>125</v>
      </c>
      <c r="H19" s="1" t="s">
        <v>126</v>
      </c>
    </row>
    <row r="20" spans="1:8" x14ac:dyDescent="0.25">
      <c r="A20" s="4">
        <v>0</v>
      </c>
      <c r="B20" s="9">
        <v>6</v>
      </c>
      <c r="C20" s="5">
        <v>0</v>
      </c>
      <c r="D20" s="5">
        <v>0</v>
      </c>
      <c r="E20" s="5">
        <f>SUM(C20:D20)</f>
        <v>0</v>
      </c>
      <c r="F20" s="5"/>
      <c r="G20" s="8"/>
      <c r="H20" s="5"/>
    </row>
    <row r="21" spans="1:8" x14ac:dyDescent="0.25">
      <c r="A21" s="4">
        <v>46</v>
      </c>
      <c r="B21" s="9">
        <v>6</v>
      </c>
      <c r="C21" s="6">
        <f>3.4*4</f>
        <v>13.6</v>
      </c>
      <c r="D21" s="6">
        <f>E21-C21</f>
        <v>3.3600000000000012</v>
      </c>
      <c r="E21" s="5">
        <f>4.24*4</f>
        <v>16.96</v>
      </c>
      <c r="F21" s="7"/>
      <c r="G21" s="5"/>
      <c r="H21" s="5"/>
    </row>
    <row r="22" spans="1:8" x14ac:dyDescent="0.25">
      <c r="A22" s="4">
        <v>69</v>
      </c>
      <c r="B22" s="9">
        <v>6</v>
      </c>
      <c r="C22" s="6">
        <f>3.34*4</f>
        <v>13.36</v>
      </c>
      <c r="D22" s="6">
        <f t="shared" ref="D22:D24" si="0">E22-C22</f>
        <v>4.0399999999999991</v>
      </c>
      <c r="E22" s="5">
        <f>4.35*4</f>
        <v>17.399999999999999</v>
      </c>
      <c r="F22" s="7"/>
      <c r="G22" s="5"/>
      <c r="H22" s="5"/>
    </row>
    <row r="23" spans="1:8" x14ac:dyDescent="0.25">
      <c r="A23" s="4">
        <v>134</v>
      </c>
      <c r="B23" s="9">
        <v>6</v>
      </c>
      <c r="C23" s="6">
        <f>2.53*4</f>
        <v>10.119999999999999</v>
      </c>
      <c r="D23" s="6">
        <f t="shared" si="0"/>
        <v>2.6000000000000014</v>
      </c>
      <c r="E23" s="5">
        <f>3.18*4</f>
        <v>12.72</v>
      </c>
      <c r="F23" s="7"/>
      <c r="G23" s="5"/>
      <c r="H23" s="7"/>
    </row>
    <row r="24" spans="1:8" x14ac:dyDescent="0.25">
      <c r="A24" s="23">
        <v>136</v>
      </c>
      <c r="B24" s="9">
        <v>6</v>
      </c>
      <c r="C24" s="6">
        <f>2.3*4</f>
        <v>9.1999999999999993</v>
      </c>
      <c r="D24" s="6">
        <f t="shared" si="0"/>
        <v>2.7200000000000006</v>
      </c>
      <c r="E24" s="6">
        <f>2.98*4</f>
        <v>11.92</v>
      </c>
      <c r="F24" s="7"/>
      <c r="G24" s="5"/>
      <c r="H24" s="5"/>
    </row>
    <row r="25" spans="1:8" x14ac:dyDescent="0.25">
      <c r="A25" s="4"/>
      <c r="B25" s="10"/>
      <c r="C25" s="6"/>
      <c r="D25" s="5"/>
      <c r="E25" s="6"/>
      <c r="F25" s="7"/>
      <c r="G25" s="5"/>
      <c r="H25" s="5"/>
    </row>
    <row r="26" spans="1:8" x14ac:dyDescent="0.25">
      <c r="B26" s="11"/>
    </row>
    <row r="27" spans="1:8" x14ac:dyDescent="0.25">
      <c r="A27" s="1" t="s">
        <v>24</v>
      </c>
    </row>
    <row r="28" spans="1:8" x14ac:dyDescent="0.25">
      <c r="A28" s="1" t="s">
        <v>17</v>
      </c>
      <c r="B28" s="1" t="s">
        <v>20</v>
      </c>
      <c r="C28" s="1" t="s">
        <v>21</v>
      </c>
      <c r="D28" s="1" t="s">
        <v>18</v>
      </c>
      <c r="E28" s="1" t="s">
        <v>124</v>
      </c>
      <c r="F28" s="1" t="s">
        <v>125</v>
      </c>
      <c r="G28" s="1" t="s">
        <v>126</v>
      </c>
    </row>
    <row r="29" spans="1:8" x14ac:dyDescent="0.25">
      <c r="B29" s="11"/>
    </row>
    <row r="32" spans="1:8" x14ac:dyDescent="0.25">
      <c r="A32" s="1" t="s">
        <v>26</v>
      </c>
    </row>
    <row r="33" spans="1:6" ht="30" customHeight="1" x14ac:dyDescent="0.25">
      <c r="B33" s="12" t="s">
        <v>27</v>
      </c>
      <c r="C33" s="12" t="s">
        <v>28</v>
      </c>
      <c r="D33" s="12" t="s">
        <v>29</v>
      </c>
    </row>
    <row r="34" spans="1:6" x14ac:dyDescent="0.25">
      <c r="A34" t="s">
        <v>30</v>
      </c>
      <c r="B34" s="5"/>
      <c r="C34" s="5"/>
      <c r="D34" s="13"/>
    </row>
    <row r="35" spans="1:6" x14ac:dyDescent="0.25">
      <c r="A35" t="s">
        <v>31</v>
      </c>
      <c r="B35" s="5"/>
      <c r="C35" s="5"/>
      <c r="D35" s="15"/>
    </row>
    <row r="36" spans="1:6" x14ac:dyDescent="0.25">
      <c r="A36" t="s">
        <v>32</v>
      </c>
      <c r="B36" s="5"/>
      <c r="C36" s="5"/>
      <c r="D36" s="13"/>
    </row>
    <row r="40" spans="1:6" x14ac:dyDescent="0.25">
      <c r="A40" s="1" t="s">
        <v>35</v>
      </c>
    </row>
    <row r="42" spans="1:6" x14ac:dyDescent="0.25">
      <c r="A42" s="1" t="s">
        <v>22</v>
      </c>
    </row>
    <row r="43" spans="1:6" s="1" customFormat="1" ht="17.25" x14ac:dyDescent="0.25">
      <c r="A43" s="16" t="s">
        <v>55</v>
      </c>
      <c r="B43" s="17">
        <f>L12</f>
        <v>7.6160000000000004E-3</v>
      </c>
      <c r="C43" s="18" t="s">
        <v>15</v>
      </c>
    </row>
    <row r="44" spans="1:6" x14ac:dyDescent="0.25">
      <c r="A44" s="5" t="s">
        <v>50</v>
      </c>
      <c r="B44" s="17">
        <f>((C24+D24)*B5)/B1/1000</f>
        <v>4.2689587250425287E-4</v>
      </c>
      <c r="C44" s="18" t="s">
        <v>15</v>
      </c>
      <c r="D44" s="1"/>
    </row>
    <row r="45" spans="1:6" x14ac:dyDescent="0.25">
      <c r="A45" s="5" t="s">
        <v>51</v>
      </c>
      <c r="B45" s="17"/>
      <c r="C45" s="17" t="s">
        <v>15</v>
      </c>
      <c r="D45" s="2"/>
    </row>
    <row r="46" spans="1:6" x14ac:dyDescent="0.25">
      <c r="A46" s="16" t="s">
        <v>52</v>
      </c>
      <c r="B46" s="17"/>
      <c r="C46" s="18" t="s">
        <v>15</v>
      </c>
      <c r="D46" t="s">
        <v>59</v>
      </c>
    </row>
    <row r="47" spans="1:6" x14ac:dyDescent="0.25">
      <c r="A47" s="16" t="s">
        <v>53</v>
      </c>
      <c r="B47" s="17"/>
      <c r="C47" s="18" t="s">
        <v>15</v>
      </c>
    </row>
    <row r="48" spans="1:6" x14ac:dyDescent="0.25">
      <c r="A48" s="16" t="s">
        <v>53</v>
      </c>
      <c r="B48" s="19"/>
      <c r="C48" s="18"/>
      <c r="F48" s="19"/>
    </row>
    <row r="49" spans="1:6" x14ac:dyDescent="0.25">
      <c r="A49" s="16" t="s">
        <v>81</v>
      </c>
      <c r="B49" s="19">
        <f>B46/B43</f>
        <v>0</v>
      </c>
      <c r="C49" s="18"/>
      <c r="F49" s="19"/>
    </row>
    <row r="50" spans="1:6" x14ac:dyDescent="0.25">
      <c r="A50" s="16" t="s">
        <v>136</v>
      </c>
      <c r="B50" s="3">
        <f>(B46*55.845*1000)/A24</f>
        <v>0</v>
      </c>
      <c r="C50" s="18" t="s">
        <v>137</v>
      </c>
    </row>
    <row r="52" spans="1:6" x14ac:dyDescent="0.25">
      <c r="A52" s="1" t="s">
        <v>105</v>
      </c>
    </row>
    <row r="53" spans="1:6" x14ac:dyDescent="0.25">
      <c r="A53" s="1" t="s">
        <v>17</v>
      </c>
      <c r="B53" s="1" t="s">
        <v>106</v>
      </c>
      <c r="C53" s="1" t="s">
        <v>107</v>
      </c>
      <c r="D53" s="1" t="s">
        <v>108</v>
      </c>
      <c r="E53" s="1" t="s">
        <v>109</v>
      </c>
      <c r="F53" s="1" t="s">
        <v>135</v>
      </c>
    </row>
    <row r="54" spans="1:6" x14ac:dyDescent="0.25">
      <c r="A54" s="4">
        <v>134</v>
      </c>
      <c r="B54" s="6">
        <f>2.53*4</f>
        <v>10.119999999999999</v>
      </c>
      <c r="C54" s="3">
        <f>'model exp. (f)'!P28</f>
        <v>27.267137777379524</v>
      </c>
      <c r="D54" s="3">
        <f>C54-B54</f>
        <v>17.147137777379527</v>
      </c>
      <c r="E54" s="2">
        <f>D54*$B$5/$A$54/1000/$B$1</f>
        <v>4.5828172533463562E-6</v>
      </c>
      <c r="F54" s="2">
        <f>E54/$B$1/1000</f>
        <v>8.2063161488877359E-11</v>
      </c>
    </row>
    <row r="55" spans="1:6" x14ac:dyDescent="0.25">
      <c r="A55" s="28">
        <v>136</v>
      </c>
      <c r="B55" s="6">
        <f>2.3*4</f>
        <v>9.1999999999999993</v>
      </c>
      <c r="C55" s="3">
        <f>'model exp. (f)'!P30</f>
        <v>27.302829370328226</v>
      </c>
      <c r="D55" s="3">
        <f>C55-B55</f>
        <v>18.102829370328227</v>
      </c>
      <c r="E55" s="15">
        <f>D55*$B$5/$A$54/1000/$B$1</f>
        <v>4.8382394688732615E-6</v>
      </c>
      <c r="F55" s="15">
        <f t="shared" ref="F55" si="1">E55/$B$1/1000</f>
        <v>8.663693202387433E-11</v>
      </c>
    </row>
    <row r="56" spans="1:6" x14ac:dyDescent="0.25">
      <c r="A56" t="s">
        <v>110</v>
      </c>
      <c r="E56" s="2">
        <f>AVERAGE(E54:E55)</f>
        <v>4.7105283611098084E-6</v>
      </c>
      <c r="F56" s="2">
        <f>E56/$B$1/1000</f>
        <v>8.4350046756375838E-11</v>
      </c>
    </row>
    <row r="57" spans="1:6" x14ac:dyDescent="0.25">
      <c r="A57" t="s">
        <v>111</v>
      </c>
      <c r="E57" s="2">
        <f>_xlfn.STDEV.P(E54:E55)</f>
        <v>1.2771110776345262E-7</v>
      </c>
      <c r="F57" s="2">
        <f>_xlfn.STDEV.P(F54:F55)</f>
        <v>2.2868852674984851E-12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opLeftCell="A26" workbookViewId="0">
      <selection activeCell="E49" sqref="E49"/>
    </sheetView>
  </sheetViews>
  <sheetFormatPr defaultRowHeight="15" x14ac:dyDescent="0.25"/>
  <cols>
    <col min="1" max="1" width="17.42578125" bestFit="1" customWidth="1"/>
    <col min="2" max="2" width="13.42578125" bestFit="1" customWidth="1"/>
    <col min="3" max="3" width="13.28515625" bestFit="1" customWidth="1"/>
    <col min="4" max="4" width="25.85546875" bestFit="1" customWidth="1"/>
    <col min="5" max="5" width="14.140625" bestFit="1" customWidth="1"/>
    <col min="6" max="7" width="13.85546875" bestFit="1" customWidth="1"/>
    <col min="8" max="8" width="13.7109375" bestFit="1" customWidth="1"/>
    <col min="11" max="11" width="10" bestFit="1" customWidth="1"/>
    <col min="12" max="12" width="8.28515625" bestFit="1" customWidth="1"/>
    <col min="13" max="13" width="4.42578125" bestFit="1" customWidth="1"/>
  </cols>
  <sheetData>
    <row r="1" spans="1:13" x14ac:dyDescent="0.25">
      <c r="A1" t="s">
        <v>56</v>
      </c>
      <c r="B1">
        <v>55.844999999999999</v>
      </c>
    </row>
    <row r="2" spans="1:13" x14ac:dyDescent="0.25">
      <c r="A2" t="s">
        <v>57</v>
      </c>
      <c r="B2">
        <v>62.004899999999999</v>
      </c>
    </row>
    <row r="3" spans="1:13" x14ac:dyDescent="0.25">
      <c r="A3" t="s">
        <v>58</v>
      </c>
      <c r="B3">
        <v>231.5326</v>
      </c>
    </row>
    <row r="4" spans="1:13" x14ac:dyDescent="0.25">
      <c r="A4" t="s">
        <v>10</v>
      </c>
      <c r="B4">
        <v>168</v>
      </c>
      <c r="C4" t="s">
        <v>11</v>
      </c>
    </row>
    <row r="5" spans="1:13" x14ac:dyDescent="0.25">
      <c r="A5" t="s">
        <v>54</v>
      </c>
      <c r="B5">
        <v>2</v>
      </c>
      <c r="C5" t="s">
        <v>14</v>
      </c>
    </row>
    <row r="9" spans="1:13" x14ac:dyDescent="0.25">
      <c r="A9" s="1" t="s">
        <v>5</v>
      </c>
      <c r="F9" s="1" t="s">
        <v>6</v>
      </c>
      <c r="K9" s="1" t="s">
        <v>9</v>
      </c>
    </row>
    <row r="10" spans="1:13" x14ac:dyDescent="0.25">
      <c r="A10" t="s">
        <v>0</v>
      </c>
      <c r="B10">
        <v>125.65</v>
      </c>
      <c r="C10" t="s">
        <v>1</v>
      </c>
      <c r="F10" t="s">
        <v>7</v>
      </c>
      <c r="G10" s="3"/>
      <c r="H10" t="s">
        <v>1</v>
      </c>
      <c r="K10" t="s">
        <v>3</v>
      </c>
      <c r="L10" s="2">
        <f>B12+G12</f>
        <v>5.6000000000000001E-2</v>
      </c>
      <c r="M10" t="s">
        <v>4</v>
      </c>
    </row>
    <row r="11" spans="1:13" x14ac:dyDescent="0.25">
      <c r="A11" t="s">
        <v>0</v>
      </c>
      <c r="B11" s="2">
        <f>B10/B1/1000</f>
        <v>2.2499776166174231E-3</v>
      </c>
      <c r="C11" t="s">
        <v>2</v>
      </c>
      <c r="F11" t="s">
        <v>7</v>
      </c>
      <c r="G11" s="2"/>
      <c r="H11" t="s">
        <v>2</v>
      </c>
      <c r="K11" t="s">
        <v>8</v>
      </c>
      <c r="L11" s="3">
        <f>L10*B4</f>
        <v>9.4079999999999995</v>
      </c>
      <c r="M11" t="s">
        <v>14</v>
      </c>
    </row>
    <row r="12" spans="1:13" x14ac:dyDescent="0.25">
      <c r="A12" t="s">
        <v>3</v>
      </c>
      <c r="B12" s="2">
        <v>2.8000000000000001E-2</v>
      </c>
      <c r="C12" t="s">
        <v>4</v>
      </c>
      <c r="F12" t="s">
        <v>3</v>
      </c>
      <c r="G12" s="2">
        <v>2.8000000000000001E-2</v>
      </c>
      <c r="H12" t="s">
        <v>4</v>
      </c>
      <c r="K12" t="s">
        <v>12</v>
      </c>
      <c r="L12" s="2">
        <f>B11*L11</f>
        <v>2.1167789417136717E-2</v>
      </c>
      <c r="M12" t="s">
        <v>15</v>
      </c>
    </row>
    <row r="13" spans="1:13" x14ac:dyDescent="0.25">
      <c r="K13" t="s">
        <v>13</v>
      </c>
      <c r="L13" s="2"/>
      <c r="M13" t="s">
        <v>15</v>
      </c>
    </row>
    <row r="16" spans="1:13" x14ac:dyDescent="0.25">
      <c r="A16" s="1" t="s">
        <v>16</v>
      </c>
    </row>
    <row r="17" spans="1:8" x14ac:dyDescent="0.25">
      <c r="A17" s="1"/>
    </row>
    <row r="18" spans="1:8" x14ac:dyDescent="0.25">
      <c r="A18" s="1" t="s">
        <v>23</v>
      </c>
    </row>
    <row r="19" spans="1:8" s="1" customFormat="1" x14ac:dyDescent="0.25">
      <c r="A19" s="1" t="s">
        <v>17</v>
      </c>
      <c r="B19" s="1" t="s">
        <v>25</v>
      </c>
      <c r="C19" s="1" t="s">
        <v>20</v>
      </c>
      <c r="D19" s="1" t="s">
        <v>21</v>
      </c>
      <c r="E19" s="1" t="s">
        <v>18</v>
      </c>
      <c r="F19" s="1" t="s">
        <v>124</v>
      </c>
      <c r="G19" s="1" t="s">
        <v>125</v>
      </c>
      <c r="H19" s="1" t="s">
        <v>126</v>
      </c>
    </row>
    <row r="20" spans="1:8" x14ac:dyDescent="0.25">
      <c r="A20" s="4">
        <v>0</v>
      </c>
      <c r="B20" s="5">
        <v>7</v>
      </c>
      <c r="C20" s="29">
        <v>5.0999999999999997E-2</v>
      </c>
      <c r="D20" s="29">
        <v>6.0000000000000001E-3</v>
      </c>
      <c r="E20" s="5">
        <f>D20+C20</f>
        <v>5.6999999999999995E-2</v>
      </c>
      <c r="F20" s="5"/>
      <c r="G20" s="8"/>
      <c r="H20" s="5"/>
    </row>
    <row r="21" spans="1:8" x14ac:dyDescent="0.25">
      <c r="A21" s="4">
        <v>24</v>
      </c>
      <c r="B21" s="5">
        <v>7</v>
      </c>
      <c r="C21" s="5">
        <f>3.57*10</f>
        <v>35.699999999999996</v>
      </c>
      <c r="D21" s="5">
        <f>E21-C21</f>
        <v>1.1000000000000085</v>
      </c>
      <c r="E21" s="5">
        <f>3.68*10</f>
        <v>36.800000000000004</v>
      </c>
      <c r="F21" s="7"/>
      <c r="G21" s="5"/>
      <c r="H21" s="5"/>
    </row>
    <row r="22" spans="1:8" x14ac:dyDescent="0.25">
      <c r="A22" s="4">
        <v>48</v>
      </c>
      <c r="B22" s="5">
        <v>7</v>
      </c>
      <c r="C22" s="6">
        <f>5.43*10</f>
        <v>54.3</v>
      </c>
      <c r="D22" s="5">
        <f t="shared" ref="D22:D25" si="0">E22-C22</f>
        <v>1.7000000000000028</v>
      </c>
      <c r="E22" s="5">
        <f>5.6*10</f>
        <v>56</v>
      </c>
      <c r="F22" s="7"/>
      <c r="G22" s="5"/>
      <c r="H22" s="5"/>
    </row>
    <row r="23" spans="1:8" x14ac:dyDescent="0.25">
      <c r="A23" s="4">
        <v>72</v>
      </c>
      <c r="B23" s="5">
        <v>7</v>
      </c>
      <c r="C23" s="6">
        <f>3.22*20</f>
        <v>64.400000000000006</v>
      </c>
      <c r="D23" s="5">
        <f t="shared" si="0"/>
        <v>2.3999999999999915</v>
      </c>
      <c r="E23" s="5">
        <f>3.34*20</f>
        <v>66.8</v>
      </c>
      <c r="F23" s="7"/>
      <c r="G23" s="5"/>
      <c r="H23" s="7"/>
    </row>
    <row r="24" spans="1:8" x14ac:dyDescent="0.25">
      <c r="A24" s="4">
        <v>96</v>
      </c>
      <c r="B24" s="5">
        <v>7</v>
      </c>
      <c r="C24" s="9">
        <f>3.5*20</f>
        <v>70</v>
      </c>
      <c r="D24" s="5">
        <f t="shared" si="0"/>
        <v>2.2000000000000028</v>
      </c>
      <c r="E24" s="5">
        <f>3.61*20</f>
        <v>72.2</v>
      </c>
      <c r="F24" s="7"/>
      <c r="G24" s="5"/>
      <c r="H24" s="5"/>
    </row>
    <row r="25" spans="1:8" x14ac:dyDescent="0.25">
      <c r="A25" s="4">
        <f>A24+(3*24)</f>
        <v>168</v>
      </c>
      <c r="B25" s="5">
        <v>7</v>
      </c>
      <c r="C25" s="9">
        <f>3.7*20</f>
        <v>74</v>
      </c>
      <c r="D25" s="5">
        <f t="shared" si="0"/>
        <v>2.2000000000000028</v>
      </c>
      <c r="E25" s="5">
        <f>3.81*20</f>
        <v>76.2</v>
      </c>
      <c r="F25" s="7"/>
      <c r="G25" s="5"/>
      <c r="H25" s="5"/>
    </row>
    <row r="26" spans="1:8" x14ac:dyDescent="0.25">
      <c r="A26" s="4"/>
      <c r="B26" s="10"/>
      <c r="C26" s="6"/>
      <c r="D26" s="5"/>
      <c r="E26" s="6"/>
      <c r="F26" s="7"/>
      <c r="G26" s="5"/>
      <c r="H26" s="5"/>
    </row>
    <row r="27" spans="1:8" x14ac:dyDescent="0.25">
      <c r="B27" s="11"/>
    </row>
    <row r="28" spans="1:8" x14ac:dyDescent="0.25">
      <c r="A28" s="1" t="s">
        <v>24</v>
      </c>
    </row>
    <row r="29" spans="1:8" x14ac:dyDescent="0.25">
      <c r="A29" s="1" t="s">
        <v>17</v>
      </c>
      <c r="B29" s="1" t="s">
        <v>20</v>
      </c>
      <c r="C29" s="1" t="s">
        <v>21</v>
      </c>
      <c r="D29" s="1" t="s">
        <v>18</v>
      </c>
      <c r="E29" s="1" t="s">
        <v>124</v>
      </c>
      <c r="F29" s="1" t="s">
        <v>125</v>
      </c>
      <c r="G29" s="1" t="s">
        <v>126</v>
      </c>
    </row>
    <row r="30" spans="1:8" x14ac:dyDescent="0.25">
      <c r="A30">
        <v>168</v>
      </c>
      <c r="B30" s="9">
        <f>2.9*20</f>
        <v>58</v>
      </c>
      <c r="C30" s="5">
        <f>(2.99*20)-(2.9*20)</f>
        <v>1.8000000000000043</v>
      </c>
      <c r="D30" s="11">
        <f>C30+B30</f>
        <v>59.800000000000004</v>
      </c>
    </row>
    <row r="33" spans="1:5" x14ac:dyDescent="0.25">
      <c r="A33" s="1" t="s">
        <v>26</v>
      </c>
    </row>
    <row r="34" spans="1:5" ht="30" customHeight="1" x14ac:dyDescent="0.25">
      <c r="B34" s="12" t="s">
        <v>27</v>
      </c>
      <c r="C34" s="12" t="s">
        <v>28</v>
      </c>
      <c r="D34" s="12" t="s">
        <v>29</v>
      </c>
    </row>
    <row r="35" spans="1:5" s="22" customFormat="1" ht="15" customHeight="1" x14ac:dyDescent="0.25">
      <c r="A35" s="22" t="s">
        <v>112</v>
      </c>
      <c r="B35" s="30"/>
      <c r="C35" s="30"/>
      <c r="D35" s="30">
        <f>55.4/1000</f>
        <v>5.5399999999999998E-2</v>
      </c>
    </row>
    <row r="36" spans="1:5" x14ac:dyDescent="0.25">
      <c r="A36" t="s">
        <v>30</v>
      </c>
      <c r="B36" s="5">
        <v>19.654599999999999</v>
      </c>
      <c r="C36" s="5">
        <v>19.93731</v>
      </c>
      <c r="D36" s="13">
        <f>(C36-B36)</f>
        <v>0.28271000000000157</v>
      </c>
    </row>
    <row r="37" spans="1:5" x14ac:dyDescent="0.25">
      <c r="A37" t="s">
        <v>31</v>
      </c>
      <c r="B37" s="5">
        <v>19.4222</v>
      </c>
      <c r="C37" s="5">
        <v>19.622869999999999</v>
      </c>
      <c r="D37" s="15">
        <f>(C37-B37)</f>
        <v>0.20066999999999879</v>
      </c>
    </row>
    <row r="38" spans="1:5" x14ac:dyDescent="0.25">
      <c r="A38" t="s">
        <v>32</v>
      </c>
      <c r="B38" s="5"/>
      <c r="C38" s="5"/>
      <c r="D38" s="13">
        <f>D37+D36</f>
        <v>0.48338000000000036</v>
      </c>
    </row>
    <row r="39" spans="1:5" x14ac:dyDescent="0.25">
      <c r="A39" s="21" t="s">
        <v>113</v>
      </c>
      <c r="B39" s="21"/>
      <c r="C39" s="21"/>
      <c r="D39" s="31">
        <f>D38-D35</f>
        <v>0.42798000000000036</v>
      </c>
    </row>
    <row r="42" spans="1:5" x14ac:dyDescent="0.25">
      <c r="A42" s="1" t="s">
        <v>35</v>
      </c>
    </row>
    <row r="44" spans="1:5" x14ac:dyDescent="0.25">
      <c r="A44" s="1" t="s">
        <v>22</v>
      </c>
    </row>
    <row r="45" spans="1:5" s="1" customFormat="1" ht="17.25" x14ac:dyDescent="0.25">
      <c r="A45" s="16" t="s">
        <v>55</v>
      </c>
      <c r="B45" s="17">
        <f>L12</f>
        <v>2.1167789417136717E-2</v>
      </c>
      <c r="C45" s="18" t="s">
        <v>15</v>
      </c>
    </row>
    <row r="46" spans="1:5" x14ac:dyDescent="0.25">
      <c r="A46" s="5" t="s">
        <v>50</v>
      </c>
      <c r="B46" s="17">
        <f>((C25+D25)*B5)/B1/1000</f>
        <v>2.7289820037604082E-3</v>
      </c>
      <c r="C46" s="18" t="s">
        <v>15</v>
      </c>
      <c r="D46" s="1"/>
    </row>
    <row r="47" spans="1:5" x14ac:dyDescent="0.25">
      <c r="A47" s="5" t="s">
        <v>51</v>
      </c>
      <c r="B47" s="17">
        <f>(B30+C30)*L11/B1/1000</f>
        <v>1.0074284179425195E-2</v>
      </c>
      <c r="C47" s="17" t="s">
        <v>15</v>
      </c>
      <c r="D47" s="2"/>
    </row>
    <row r="48" spans="1:5" x14ac:dyDescent="0.25">
      <c r="A48" s="16" t="s">
        <v>138</v>
      </c>
      <c r="B48" s="17">
        <f>D39/B3*(3*B1)/B1</f>
        <v>5.5453961990665724E-3</v>
      </c>
      <c r="C48" s="18" t="s">
        <v>15</v>
      </c>
      <c r="D48" t="s">
        <v>59</v>
      </c>
      <c r="E48" t="s">
        <v>139</v>
      </c>
    </row>
    <row r="49" spans="1:6" x14ac:dyDescent="0.25">
      <c r="A49" s="16" t="s">
        <v>53</v>
      </c>
      <c r="B49" s="17">
        <f>B45-SUM(B46:B48)</f>
        <v>2.8191270348845408E-3</v>
      </c>
      <c r="C49" s="18" t="s">
        <v>15</v>
      </c>
    </row>
    <row r="50" spans="1:6" x14ac:dyDescent="0.25">
      <c r="A50" s="16" t="s">
        <v>53</v>
      </c>
      <c r="B50" s="19">
        <f>B49/B45</f>
        <v>0.13318003969759223</v>
      </c>
      <c r="C50" s="18"/>
      <c r="F50" s="19"/>
    </row>
    <row r="51" spans="1:6" x14ac:dyDescent="0.25">
      <c r="A51" s="16" t="s">
        <v>81</v>
      </c>
      <c r="B51" s="19">
        <f>B48/B45</f>
        <v>0.26197332606574447</v>
      </c>
      <c r="C51" s="18"/>
      <c r="F51" s="19"/>
    </row>
    <row r="52" spans="1:6" x14ac:dyDescent="0.25">
      <c r="A52" s="16" t="s">
        <v>136</v>
      </c>
      <c r="B52" s="3">
        <f>(B48*55.845*1000)/A25</f>
        <v>1.8433491115290044</v>
      </c>
      <c r="C52" s="18" t="s">
        <v>137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A21" workbookViewId="0">
      <selection activeCell="G52" sqref="G52"/>
    </sheetView>
  </sheetViews>
  <sheetFormatPr defaultRowHeight="15" x14ac:dyDescent="0.25"/>
  <cols>
    <col min="1" max="1" width="17.42578125" bestFit="1" customWidth="1"/>
    <col min="2" max="2" width="13.42578125" bestFit="1" customWidth="1"/>
    <col min="3" max="3" width="13.28515625" bestFit="1" customWidth="1"/>
    <col min="4" max="4" width="19.85546875" bestFit="1" customWidth="1"/>
    <col min="5" max="5" width="14.140625" bestFit="1" customWidth="1"/>
    <col min="6" max="7" width="13.85546875" bestFit="1" customWidth="1"/>
    <col min="8" max="8" width="13.7109375" bestFit="1" customWidth="1"/>
    <col min="11" max="11" width="10" bestFit="1" customWidth="1"/>
    <col min="12" max="12" width="8.5703125" bestFit="1" customWidth="1"/>
    <col min="13" max="13" width="4.42578125" bestFit="1" customWidth="1"/>
  </cols>
  <sheetData>
    <row r="1" spans="1:13" x14ac:dyDescent="0.25">
      <c r="A1" t="s">
        <v>56</v>
      </c>
      <c r="B1">
        <v>55.844999999999999</v>
      </c>
    </row>
    <row r="2" spans="1:13" x14ac:dyDescent="0.25">
      <c r="A2" t="s">
        <v>57</v>
      </c>
      <c r="B2">
        <v>62.004899999999999</v>
      </c>
    </row>
    <row r="3" spans="1:13" x14ac:dyDescent="0.25">
      <c r="A3" t="s">
        <v>58</v>
      </c>
      <c r="B3">
        <v>231.5326</v>
      </c>
    </row>
    <row r="4" spans="1:13" x14ac:dyDescent="0.25">
      <c r="A4" t="s">
        <v>10</v>
      </c>
      <c r="B4">
        <v>71</v>
      </c>
      <c r="C4" t="s">
        <v>11</v>
      </c>
    </row>
    <row r="5" spans="1:13" x14ac:dyDescent="0.25">
      <c r="A5" t="s">
        <v>54</v>
      </c>
      <c r="B5">
        <v>2</v>
      </c>
      <c r="C5" t="s">
        <v>14</v>
      </c>
    </row>
    <row r="9" spans="1:13" x14ac:dyDescent="0.25">
      <c r="A9" s="1" t="s">
        <v>5</v>
      </c>
      <c r="F9" s="1" t="s">
        <v>6</v>
      </c>
      <c r="K9" s="1" t="s">
        <v>9</v>
      </c>
    </row>
    <row r="10" spans="1:13" x14ac:dyDescent="0.25">
      <c r="A10" t="s">
        <v>0</v>
      </c>
      <c r="B10">
        <v>125.65</v>
      </c>
      <c r="C10" t="s">
        <v>1</v>
      </c>
      <c r="F10" t="s">
        <v>7</v>
      </c>
      <c r="G10" s="3"/>
      <c r="H10" t="s">
        <v>1</v>
      </c>
      <c r="K10" t="s">
        <v>3</v>
      </c>
      <c r="L10" s="2">
        <f>B12+G12</f>
        <v>5.6000000000000001E-2</v>
      </c>
      <c r="M10" t="s">
        <v>4</v>
      </c>
    </row>
    <row r="11" spans="1:13" x14ac:dyDescent="0.25">
      <c r="A11" t="s">
        <v>0</v>
      </c>
      <c r="B11" s="2">
        <f>B10/B1/1000</f>
        <v>2.2499776166174231E-3</v>
      </c>
      <c r="C11" t="s">
        <v>2</v>
      </c>
      <c r="F11" t="s">
        <v>7</v>
      </c>
      <c r="G11" s="2"/>
      <c r="H11" t="s">
        <v>2</v>
      </c>
      <c r="K11" t="s">
        <v>8</v>
      </c>
      <c r="L11" s="3">
        <f>L10*(B4-24)</f>
        <v>2.6320000000000001</v>
      </c>
      <c r="M11" t="s">
        <v>14</v>
      </c>
    </row>
    <row r="12" spans="1:13" x14ac:dyDescent="0.25">
      <c r="A12" t="s">
        <v>3</v>
      </c>
      <c r="B12" s="2">
        <v>2.8000000000000001E-2</v>
      </c>
      <c r="C12" t="s">
        <v>4</v>
      </c>
      <c r="F12" t="s">
        <v>3</v>
      </c>
      <c r="G12" s="2">
        <v>2.8000000000000001E-2</v>
      </c>
      <c r="H12" t="s">
        <v>4</v>
      </c>
      <c r="K12" t="s">
        <v>12</v>
      </c>
      <c r="L12" s="2">
        <f>B11*L11</f>
        <v>5.9219410869370583E-3</v>
      </c>
      <c r="M12" t="s">
        <v>15</v>
      </c>
    </row>
    <row r="13" spans="1:13" x14ac:dyDescent="0.25">
      <c r="K13" t="s">
        <v>13</v>
      </c>
      <c r="L13" s="2"/>
      <c r="M13" t="s">
        <v>15</v>
      </c>
    </row>
    <row r="16" spans="1:13" x14ac:dyDescent="0.25">
      <c r="A16" s="1" t="s">
        <v>16</v>
      </c>
    </row>
    <row r="17" spans="1:8" x14ac:dyDescent="0.25">
      <c r="A17" s="1"/>
    </row>
    <row r="18" spans="1:8" x14ac:dyDescent="0.25">
      <c r="A18" s="1" t="s">
        <v>23</v>
      </c>
    </row>
    <row r="19" spans="1:8" s="1" customFormat="1" x14ac:dyDescent="0.25">
      <c r="A19" s="1" t="s">
        <v>17</v>
      </c>
      <c r="B19" s="1" t="s">
        <v>25</v>
      </c>
      <c r="C19" s="1" t="s">
        <v>20</v>
      </c>
      <c r="D19" s="1" t="s">
        <v>21</v>
      </c>
      <c r="E19" s="1" t="s">
        <v>18</v>
      </c>
      <c r="F19" s="1" t="s">
        <v>124</v>
      </c>
      <c r="G19" s="1" t="s">
        <v>125</v>
      </c>
      <c r="H19" s="1" t="s">
        <v>126</v>
      </c>
    </row>
    <row r="20" spans="1:8" x14ac:dyDescent="0.25">
      <c r="A20" s="32">
        <v>0</v>
      </c>
      <c r="B20" s="29">
        <v>5.5</v>
      </c>
      <c r="C20" s="29">
        <v>5.0999999999999997E-2</v>
      </c>
      <c r="D20" s="29">
        <v>6.0000000000000001E-3</v>
      </c>
      <c r="E20" s="29">
        <f>D20+C20</f>
        <v>5.6999999999999995E-2</v>
      </c>
      <c r="F20" s="5"/>
      <c r="G20" s="8"/>
      <c r="H20" s="5"/>
    </row>
    <row r="21" spans="1:8" x14ac:dyDescent="0.25">
      <c r="A21" s="32">
        <v>23</v>
      </c>
      <c r="B21" s="29">
        <v>5.5</v>
      </c>
      <c r="C21" s="29">
        <f>4.13*10</f>
        <v>41.3</v>
      </c>
      <c r="D21" s="29">
        <f>(4.28*10)-C21</f>
        <v>1.5000000000000071</v>
      </c>
      <c r="E21" s="29">
        <f t="shared" ref="E21:E23" si="0">D21+C21</f>
        <v>42.800000000000004</v>
      </c>
      <c r="F21" s="7"/>
      <c r="G21" s="5"/>
      <c r="H21" s="5"/>
    </row>
    <row r="22" spans="1:8" x14ac:dyDescent="0.25">
      <c r="A22" s="32">
        <v>47</v>
      </c>
      <c r="B22" s="29">
        <v>7</v>
      </c>
      <c r="C22" s="33">
        <f>2.38*10</f>
        <v>23.799999999999997</v>
      </c>
      <c r="D22" s="33">
        <f>(2.44*10)-C22</f>
        <v>0.60000000000000142</v>
      </c>
      <c r="E22" s="29">
        <f t="shared" si="0"/>
        <v>24.4</v>
      </c>
      <c r="F22" s="7"/>
      <c r="G22" s="5"/>
      <c r="H22" s="5"/>
    </row>
    <row r="23" spans="1:8" x14ac:dyDescent="0.25">
      <c r="A23" s="32">
        <v>71</v>
      </c>
      <c r="B23" s="29">
        <v>7</v>
      </c>
      <c r="C23" s="33">
        <f>3.95*10</f>
        <v>39.5</v>
      </c>
      <c r="D23" s="33">
        <f>(4.05*10)-C23</f>
        <v>1</v>
      </c>
      <c r="E23" s="29">
        <f t="shared" si="0"/>
        <v>40.5</v>
      </c>
      <c r="F23" s="7"/>
      <c r="G23" s="5"/>
      <c r="H23" s="7"/>
    </row>
    <row r="24" spans="1:8" x14ac:dyDescent="0.25">
      <c r="A24" s="4"/>
      <c r="B24" s="10"/>
      <c r="C24" s="6"/>
      <c r="D24" s="5"/>
      <c r="E24" s="6"/>
      <c r="F24" s="7"/>
      <c r="G24" s="5"/>
      <c r="H24" s="5"/>
    </row>
    <row r="25" spans="1:8" x14ac:dyDescent="0.25">
      <c r="A25" s="4"/>
      <c r="B25" s="10"/>
      <c r="C25" s="6"/>
      <c r="D25" s="5"/>
      <c r="E25" s="6"/>
      <c r="F25" s="7"/>
      <c r="G25" s="5"/>
      <c r="H25" s="5"/>
    </row>
    <row r="26" spans="1:8" x14ac:dyDescent="0.25">
      <c r="B26" s="11"/>
    </row>
    <row r="27" spans="1:8" x14ac:dyDescent="0.25">
      <c r="A27" s="1" t="s">
        <v>24</v>
      </c>
    </row>
    <row r="28" spans="1:8" x14ac:dyDescent="0.25">
      <c r="A28" s="1" t="s">
        <v>17</v>
      </c>
      <c r="B28" s="1" t="s">
        <v>20</v>
      </c>
      <c r="C28" s="1" t="s">
        <v>21</v>
      </c>
      <c r="D28" s="1" t="s">
        <v>18</v>
      </c>
      <c r="E28" s="1" t="s">
        <v>124</v>
      </c>
      <c r="F28" s="1" t="s">
        <v>125</v>
      </c>
      <c r="G28" s="1" t="s">
        <v>126</v>
      </c>
    </row>
    <row r="29" spans="1:8" x14ac:dyDescent="0.25">
      <c r="A29">
        <v>71</v>
      </c>
      <c r="B29" s="9">
        <f>2.4*10</f>
        <v>24</v>
      </c>
      <c r="C29" s="5">
        <f>(2.47-2.4)*10</f>
        <v>0.70000000000000284</v>
      </c>
      <c r="D29" s="11">
        <f>C29+B29</f>
        <v>24.700000000000003</v>
      </c>
    </row>
    <row r="32" spans="1:8" x14ac:dyDescent="0.25">
      <c r="A32" s="1" t="s">
        <v>26</v>
      </c>
    </row>
    <row r="33" spans="1:6" ht="30" customHeight="1" x14ac:dyDescent="0.25">
      <c r="B33" s="12" t="s">
        <v>33</v>
      </c>
      <c r="C33" s="12" t="s">
        <v>34</v>
      </c>
      <c r="D33" s="12" t="s">
        <v>29</v>
      </c>
    </row>
    <row r="34" spans="1:6" x14ac:dyDescent="0.25">
      <c r="A34" t="s">
        <v>30</v>
      </c>
      <c r="B34" s="5">
        <v>19.422599999999999</v>
      </c>
      <c r="C34" s="5">
        <v>19.478000000000002</v>
      </c>
      <c r="D34" s="13">
        <f>(C34-B34)</f>
        <v>5.5400000000002336E-2</v>
      </c>
    </row>
    <row r="35" spans="1:6" x14ac:dyDescent="0.25">
      <c r="A35" t="s">
        <v>31</v>
      </c>
      <c r="B35" s="5">
        <v>19.654699999999998</v>
      </c>
      <c r="C35" s="5">
        <f>19.7936+0.0073</f>
        <v>19.800900000000002</v>
      </c>
      <c r="D35" s="15">
        <f>(C35-B35)</f>
        <v>0.14620000000000388</v>
      </c>
    </row>
    <row r="36" spans="1:6" x14ac:dyDescent="0.25">
      <c r="A36" t="s">
        <v>32</v>
      </c>
      <c r="B36" s="5"/>
      <c r="C36" s="5"/>
      <c r="D36" s="13">
        <f>D35+D34</f>
        <v>0.20160000000000622</v>
      </c>
    </row>
    <row r="40" spans="1:6" x14ac:dyDescent="0.25">
      <c r="A40" s="1" t="s">
        <v>35</v>
      </c>
    </row>
    <row r="42" spans="1:6" x14ac:dyDescent="0.25">
      <c r="A42" s="1" t="s">
        <v>22</v>
      </c>
    </row>
    <row r="43" spans="1:6" s="1" customFormat="1" ht="17.25" x14ac:dyDescent="0.25">
      <c r="A43" s="16" t="s">
        <v>55</v>
      </c>
      <c r="B43" s="17">
        <f>L12</f>
        <v>5.9219410869370583E-3</v>
      </c>
      <c r="C43" s="18" t="s">
        <v>15</v>
      </c>
    </row>
    <row r="44" spans="1:6" x14ac:dyDescent="0.25">
      <c r="A44" s="5" t="s">
        <v>50</v>
      </c>
      <c r="B44" s="17">
        <f>((C23+D23)*B5)/B1/1000</f>
        <v>1.4504431909750201E-3</v>
      </c>
      <c r="C44" s="18" t="s">
        <v>15</v>
      </c>
      <c r="D44" s="1"/>
    </row>
    <row r="45" spans="1:6" x14ac:dyDescent="0.25">
      <c r="A45" s="5" t="s">
        <v>51</v>
      </c>
      <c r="B45" s="17">
        <f>(B29+C29)*L11/B1/1000</f>
        <v>1.1641221237353389E-3</v>
      </c>
      <c r="C45" s="17" t="s">
        <v>15</v>
      </c>
      <c r="D45" s="2"/>
    </row>
    <row r="46" spans="1:6" x14ac:dyDescent="0.25">
      <c r="A46" s="16" t="s">
        <v>52</v>
      </c>
      <c r="B46" s="17">
        <f>D36/B3*(3*B1)/B1</f>
        <v>2.6121591516702989E-3</v>
      </c>
      <c r="C46" s="18" t="s">
        <v>15</v>
      </c>
      <c r="D46" t="s">
        <v>59</v>
      </c>
    </row>
    <row r="47" spans="1:6" x14ac:dyDescent="0.25">
      <c r="A47" s="16" t="s">
        <v>53</v>
      </c>
      <c r="B47" s="17">
        <f>B43-SUM(B44:B46)</f>
        <v>6.9521662055639991E-4</v>
      </c>
      <c r="C47" s="18" t="s">
        <v>15</v>
      </c>
    </row>
    <row r="48" spans="1:6" x14ac:dyDescent="0.25">
      <c r="A48" s="16" t="s">
        <v>53</v>
      </c>
      <c r="B48" s="19">
        <f>B47/B43</f>
        <v>0.11739674717297455</v>
      </c>
      <c r="C48" s="18"/>
      <c r="F48" s="19"/>
    </row>
    <row r="49" spans="1:6" x14ac:dyDescent="0.25">
      <c r="A49" s="16" t="s">
        <v>81</v>
      </c>
      <c r="B49" s="19">
        <f>B46/B43</f>
        <v>0.44109846979605088</v>
      </c>
      <c r="C49" s="18"/>
      <c r="F49" s="19"/>
    </row>
    <row r="50" spans="1:6" x14ac:dyDescent="0.25">
      <c r="A50" s="16" t="s">
        <v>136</v>
      </c>
      <c r="B50" s="3">
        <f>(B46*55.845*1000)/A23</f>
        <v>2.0545919411975753</v>
      </c>
      <c r="C50" s="18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opLeftCell="A16" workbookViewId="0">
      <selection activeCell="B9" sqref="B9"/>
    </sheetView>
  </sheetViews>
  <sheetFormatPr defaultRowHeight="15" x14ac:dyDescent="0.25"/>
  <sheetData>
    <row r="1" spans="1:20" x14ac:dyDescent="0.25">
      <c r="A1" s="1" t="s">
        <v>36</v>
      </c>
      <c r="G1" s="22" t="s">
        <v>114</v>
      </c>
    </row>
    <row r="2" spans="1:20" x14ac:dyDescent="0.25">
      <c r="A2" s="1" t="s">
        <v>37</v>
      </c>
    </row>
    <row r="4" spans="1:20" x14ac:dyDescent="0.25">
      <c r="A4" s="1" t="s">
        <v>46</v>
      </c>
    </row>
    <row r="7" spans="1:20" x14ac:dyDescent="0.25">
      <c r="A7" s="1" t="s">
        <v>38</v>
      </c>
    </row>
    <row r="9" spans="1:20" x14ac:dyDescent="0.25">
      <c r="A9" t="s">
        <v>39</v>
      </c>
      <c r="B9">
        <f>251.3/2</f>
        <v>125.65</v>
      </c>
      <c r="C9" t="s">
        <v>1</v>
      </c>
      <c r="E9" t="s">
        <v>43</v>
      </c>
      <c r="F9" t="s">
        <v>49</v>
      </c>
    </row>
    <row r="10" spans="1:20" x14ac:dyDescent="0.25">
      <c r="A10" t="s">
        <v>3</v>
      </c>
      <c r="B10" s="14">
        <f>0.028*2</f>
        <v>5.6000000000000001E-2</v>
      </c>
      <c r="C10" t="s">
        <v>4</v>
      </c>
      <c r="E10">
        <v>1</v>
      </c>
      <c r="F10" s="3">
        <f>(1-EXP(-($B$10/$B$11)*E10))*$B$9</f>
        <v>3.4694017114233335</v>
      </c>
      <c r="G10">
        <v>24</v>
      </c>
      <c r="H10" s="3">
        <f>(1-EXP(-($B$10/$B$11)*G10))*$B$9</f>
        <v>61.482281060038495</v>
      </c>
      <c r="I10">
        <v>47</v>
      </c>
      <c r="J10" s="3">
        <f>(1-EXP(-($B$10/$B$11)*I10))*$B$9</f>
        <v>91.949918222426476</v>
      </c>
      <c r="K10">
        <v>70</v>
      </c>
      <c r="L10" s="3">
        <f>(1-EXP(-($B$10/$B$11)*K10))*$B$9</f>
        <v>107.95113941127069</v>
      </c>
      <c r="M10">
        <v>93</v>
      </c>
      <c r="N10" s="3">
        <f>(1-EXP(-($B$10/$B$11)*M10))*$B$9</f>
        <v>116.3547802374256</v>
      </c>
      <c r="O10">
        <v>116</v>
      </c>
      <c r="P10" s="3">
        <f>(1-EXP(-($B$10/$B$11)*O10))*$B$9</f>
        <v>120.76826707705838</v>
      </c>
      <c r="Q10">
        <v>139</v>
      </c>
      <c r="R10" s="3">
        <f>(1-EXP(-($B$10/$B$11)*Q10))*$B$9</f>
        <v>123.08617505130057</v>
      </c>
      <c r="S10">
        <v>162</v>
      </c>
      <c r="T10" s="3">
        <f>(1-EXP(-($B$10/$B$11)*S10))*$B$9</f>
        <v>124.30351126918826</v>
      </c>
    </row>
    <row r="11" spans="1:20" x14ac:dyDescent="0.25">
      <c r="A11" t="s">
        <v>40</v>
      </c>
      <c r="B11">
        <v>2</v>
      </c>
      <c r="C11" t="s">
        <v>14</v>
      </c>
      <c r="E11">
        <v>2</v>
      </c>
      <c r="F11" s="3">
        <f t="shared" ref="F11:H32" si="0">(1-EXP(-($B$10/$B$11)*E11))*$B$9</f>
        <v>6.8430075753717068</v>
      </c>
      <c r="G11">
        <v>25</v>
      </c>
      <c r="H11" s="3">
        <f t="shared" si="0"/>
        <v>63.254056578609408</v>
      </c>
      <c r="I11">
        <v>48</v>
      </c>
      <c r="J11" s="3">
        <f t="shared" ref="J11" si="1">(1-EXP(-($B$10/$B$11)*I11))*$B$9</f>
        <v>92.88043251923682</v>
      </c>
      <c r="K11">
        <v>71</v>
      </c>
      <c r="L11" s="3">
        <f t="shared" ref="L11" si="2">(1-EXP(-($B$10/$B$11)*K11))*$B$9</f>
        <v>108.43983385788256</v>
      </c>
      <c r="M11">
        <v>94</v>
      </c>
      <c r="N11" s="3">
        <f t="shared" ref="N11" si="3">(1-EXP(-($B$10/$B$11)*M11))*$B$9</f>
        <v>116.6114364360116</v>
      </c>
      <c r="O11">
        <v>117</v>
      </c>
      <c r="P11" s="3">
        <f t="shared" ref="P11" si="4">(1-EXP(-($B$10/$B$11)*O11))*$B$9</f>
        <v>120.90305969590092</v>
      </c>
      <c r="Q11">
        <v>140</v>
      </c>
      <c r="R11" s="3">
        <f t="shared" ref="R11" si="5">(1-EXP(-($B$10/$B$11)*Q11))*$B$9</f>
        <v>123.15696644536989</v>
      </c>
      <c r="S11">
        <f>S10+1</f>
        <v>163</v>
      </c>
      <c r="T11" s="3">
        <f t="shared" ref="T11" si="6">(1-EXP(-($B$10/$B$11)*S11))*$B$9</f>
        <v>124.34069002212969</v>
      </c>
    </row>
    <row r="12" spans="1:20" x14ac:dyDescent="0.25">
      <c r="A12" t="s">
        <v>41</v>
      </c>
      <c r="B12" s="11">
        <f>B11/B10</f>
        <v>35.714285714285715</v>
      </c>
      <c r="C12" t="s">
        <v>42</v>
      </c>
      <c r="E12">
        <v>3</v>
      </c>
      <c r="F12" s="3">
        <f t="shared" si="0"/>
        <v>10.123462671647587</v>
      </c>
      <c r="G12">
        <v>26</v>
      </c>
      <c r="H12" s="3">
        <f t="shared" si="0"/>
        <v>64.976910481450986</v>
      </c>
      <c r="I12">
        <v>49</v>
      </c>
      <c r="J12" s="3">
        <f t="shared" ref="J12" si="7">(1-EXP(-($B$10/$B$11)*I12))*$B$9</f>
        <v>93.785253796597445</v>
      </c>
      <c r="K12">
        <v>72</v>
      </c>
      <c r="L12" s="3">
        <f t="shared" ref="L12" si="8">(1-EXP(-($B$10/$B$11)*K12))*$B$9</f>
        <v>108.91503465268832</v>
      </c>
      <c r="M12">
        <v>95</v>
      </c>
      <c r="N12" s="3">
        <f t="shared" ref="N12" si="9">(1-EXP(-($B$10/$B$11)*M12))*$B$9</f>
        <v>116.86100593778407</v>
      </c>
      <c r="O12">
        <v>118</v>
      </c>
      <c r="P12" s="3">
        <f t="shared" ref="P12" si="10">(1-EXP(-($B$10/$B$11)*O12))*$B$9</f>
        <v>121.03413047039408</v>
      </c>
      <c r="Q12">
        <v>141</v>
      </c>
      <c r="R12" s="3">
        <f t="shared" ref="R12" si="11">(1-EXP(-($B$10/$B$11)*Q12))*$B$9</f>
        <v>123.22580317343251</v>
      </c>
      <c r="S12">
        <f t="shared" ref="S12:S18" si="12">S11+1</f>
        <v>164</v>
      </c>
      <c r="T12" s="3">
        <f t="shared" ref="T12" si="13">(1-EXP(-($B$10/$B$11)*S12))*$B$9</f>
        <v>124.3768422089821</v>
      </c>
    </row>
    <row r="13" spans="1:20" x14ac:dyDescent="0.25">
      <c r="E13">
        <v>4</v>
      </c>
      <c r="F13" s="3">
        <f t="shared" si="0"/>
        <v>13.313339045080117</v>
      </c>
      <c r="G13">
        <v>27</v>
      </c>
      <c r="H13" s="3">
        <f t="shared" si="0"/>
        <v>66.652193574272275</v>
      </c>
      <c r="I13">
        <v>50</v>
      </c>
      <c r="J13" s="3">
        <f t="shared" ref="J13" si="14">(1-EXP(-($B$10/$B$11)*I13))*$B$9</f>
        <v>94.665091480737146</v>
      </c>
      <c r="K13">
        <v>73</v>
      </c>
      <c r="L13" s="3">
        <f t="shared" ref="L13" si="15">(1-EXP(-($B$10/$B$11)*K13))*$B$9</f>
        <v>109.37711437745213</v>
      </c>
      <c r="M13">
        <v>96</v>
      </c>
      <c r="N13" s="3">
        <f t="shared" ref="N13" si="16">(1-EXP(-($B$10/$B$11)*M13))*$B$9</f>
        <v>117.10368441801599</v>
      </c>
      <c r="O13">
        <v>119</v>
      </c>
      <c r="P13" s="3">
        <f t="shared" ref="P13" si="17">(1-EXP(-($B$10/$B$11)*O13))*$B$9</f>
        <v>121.16158216673885</v>
      </c>
      <c r="Q13">
        <v>142</v>
      </c>
      <c r="R13" s="3">
        <f t="shared" ref="R13" si="18">(1-EXP(-($B$10/$B$11)*Q13))*$B$9</f>
        <v>123.29273920700928</v>
      </c>
      <c r="S13">
        <f t="shared" si="12"/>
        <v>165</v>
      </c>
      <c r="T13" s="3">
        <f t="shared" ref="T13" si="19">(1-EXP(-($B$10/$B$11)*S13))*$B$9</f>
        <v>124.41199617491182</v>
      </c>
    </row>
    <row r="14" spans="1:20" x14ac:dyDescent="0.25">
      <c r="E14">
        <v>5</v>
      </c>
      <c r="F14" s="3">
        <f t="shared" si="0"/>
        <v>16.415137722140045</v>
      </c>
      <c r="G14">
        <v>28</v>
      </c>
      <c r="H14" s="3">
        <f t="shared" si="0"/>
        <v>68.28121936483052</v>
      </c>
      <c r="I14">
        <v>51</v>
      </c>
      <c r="J14" s="3">
        <f t="shared" ref="J14" si="20">(1-EXP(-($B$10/$B$11)*I14))*$B$9</f>
        <v>95.520635409467943</v>
      </c>
      <c r="K14">
        <v>74</v>
      </c>
      <c r="L14" s="3">
        <f t="shared" ref="L14" si="21">(1-EXP(-($B$10/$B$11)*K14))*$B$9</f>
        <v>109.82643532634718</v>
      </c>
      <c r="M14">
        <v>97</v>
      </c>
      <c r="N14" s="3">
        <f t="shared" ref="N14" si="22">(1-EXP(-($B$10/$B$11)*M14))*$B$9</f>
        <v>117.33966214906653</v>
      </c>
      <c r="O14">
        <v>120</v>
      </c>
      <c r="P14" s="3">
        <f t="shared" ref="P14" si="23">(1-EXP(-($B$10/$B$11)*O14))*$B$9</f>
        <v>121.2855147135936</v>
      </c>
      <c r="Q14">
        <v>143</v>
      </c>
      <c r="R14" s="3">
        <f t="shared" ref="R14" si="24">(1-EXP(-($B$10/$B$11)*Q14))*$B$9</f>
        <v>123.35782702737913</v>
      </c>
      <c r="S14">
        <f t="shared" si="12"/>
        <v>166</v>
      </c>
      <c r="T14" s="3">
        <f t="shared" ref="T14" si="25">(1-EXP(-($B$10/$B$11)*S14))*$B$9</f>
        <v>124.44617948242882</v>
      </c>
    </row>
    <row r="15" spans="1:20" x14ac:dyDescent="0.25">
      <c r="E15">
        <v>6</v>
      </c>
      <c r="F15" s="3">
        <f t="shared" si="0"/>
        <v>19.431290671872631</v>
      </c>
      <c r="G15">
        <v>29</v>
      </c>
      <c r="H15" s="3">
        <f t="shared" si="0"/>
        <v>69.865265092788533</v>
      </c>
      <c r="I15">
        <v>52</v>
      </c>
      <c r="J15" s="3">
        <f t="shared" ref="J15" si="26">(1-EXP(-($B$10/$B$11)*I15))*$B$9</f>
        <v>96.352556373053218</v>
      </c>
      <c r="K15">
        <v>75</v>
      </c>
      <c r="L15" s="3">
        <f t="shared" ref="L15" si="27">(1-EXP(-($B$10/$B$11)*K15))*$B$9</f>
        <v>110.26334979001284</v>
      </c>
      <c r="M15">
        <v>98</v>
      </c>
      <c r="N15" s="3">
        <f t="shared" ref="N15" si="28">(1-EXP(-($B$10/$B$11)*M15))*$B$9</f>
        <v>117.5691241495642</v>
      </c>
      <c r="O15">
        <v>121</v>
      </c>
      <c r="P15" s="3">
        <f t="shared" ref="P15" si="29">(1-EXP(-($B$10/$B$11)*O15))*$B$9</f>
        <v>121.40602528042321</v>
      </c>
      <c r="Q15">
        <v>144</v>
      </c>
      <c r="R15" s="3">
        <f t="shared" ref="R15" si="30">(1-EXP(-($B$10/$B$11)*Q15))*$B$9</f>
        <v>123.42111766672724</v>
      </c>
      <c r="S15">
        <f t="shared" si="12"/>
        <v>167</v>
      </c>
      <c r="T15" s="3">
        <f t="shared" ref="T15" si="31">(1-EXP(-($B$10/$B$11)*S15))*$B$9</f>
        <v>124.47941893299712</v>
      </c>
    </row>
    <row r="16" spans="1:20" x14ac:dyDescent="0.25">
      <c r="E16">
        <v>7</v>
      </c>
      <c r="F16" s="3">
        <f t="shared" si="0"/>
        <v>22.364162712685864</v>
      </c>
      <c r="G16">
        <v>30</v>
      </c>
      <c r="H16" s="3">
        <f t="shared" si="0"/>
        <v>71.405572731136147</v>
      </c>
      <c r="I16">
        <v>53</v>
      </c>
      <c r="J16" s="3">
        <f t="shared" ref="J16" si="32">(1-EXP(-($B$10/$B$11)*I16))*$B$9</f>
        <v>97.161506640141624</v>
      </c>
      <c r="K16">
        <v>76</v>
      </c>
      <c r="L16" s="3">
        <f t="shared" ref="L16" si="33">(1-EXP(-($B$10/$B$11)*K16))*$B$9</f>
        <v>110.68820033176851</v>
      </c>
      <c r="M16">
        <v>99</v>
      </c>
      <c r="N16" s="3">
        <f t="shared" ref="N16" si="34">(1-EXP(-($B$10/$B$11)*M16))*$B$9</f>
        <v>117.79225032947109</v>
      </c>
      <c r="O16">
        <v>122</v>
      </c>
      <c r="P16" s="3">
        <f t="shared" ref="P16" si="35">(1-EXP(-($B$10/$B$11)*O16))*$B$9</f>
        <v>121.52320835368494</v>
      </c>
      <c r="Q16">
        <v>145</v>
      </c>
      <c r="R16" s="3">
        <f t="shared" ref="R16" si="36">(1-EXP(-($B$10/$B$11)*Q16))*$B$9</f>
        <v>123.48266074815675</v>
      </c>
      <c r="S16">
        <f t="shared" si="12"/>
        <v>168</v>
      </c>
      <c r="T16" s="3">
        <f t="shared" ref="T16" si="37">(1-EXP(-($B$10/$B$11)*S16))*$B$9</f>
        <v>124.51174058804861</v>
      </c>
    </row>
    <row r="17" spans="5:20" x14ac:dyDescent="0.25">
      <c r="E17">
        <v>8</v>
      </c>
      <c r="F17" s="3">
        <f t="shared" si="0"/>
        <v>25.21605336648928</v>
      </c>
      <c r="G17">
        <v>31</v>
      </c>
      <c r="H17" s="3">
        <f t="shared" si="0"/>
        <v>72.903349959960451</v>
      </c>
      <c r="I17">
        <v>54</v>
      </c>
      <c r="J17" s="3">
        <f t="shared" ref="J17" si="38">(1-EXP(-($B$10/$B$11)*I17))*$B$9</f>
        <v>97.948120469179159</v>
      </c>
      <c r="K17">
        <v>77</v>
      </c>
      <c r="L17" s="3">
        <f t="shared" ref="L17" si="39">(1-EXP(-($B$10/$B$11)*K17))*$B$9</f>
        <v>111.10132005620095</v>
      </c>
      <c r="M17">
        <v>100</v>
      </c>
      <c r="N17" s="3">
        <f t="shared" ref="N17" si="40">(1-EXP(-($B$10/$B$11)*M17))*$B$9</f>
        <v>118.00921563114137</v>
      </c>
      <c r="O17">
        <v>123</v>
      </c>
      <c r="P17" s="3">
        <f t="shared" ref="P17" si="41">(1-EXP(-($B$10/$B$11)*O17))*$B$9</f>
        <v>121.63715581091068</v>
      </c>
      <c r="Q17">
        <v>146</v>
      </c>
      <c r="R17" s="3">
        <f t="shared" ref="R17" si="42">(1-EXP(-($B$10/$B$11)*Q17))*$B$9</f>
        <v>123.54250452459591</v>
      </c>
      <c r="S17">
        <f t="shared" si="12"/>
        <v>169</v>
      </c>
      <c r="T17" s="3">
        <f t="shared" ref="T17" si="43">(1-EXP(-($B$10/$B$11)*S17))*$B$9</f>
        <v>124.54316978941644</v>
      </c>
    </row>
    <row r="18" spans="5:20" x14ac:dyDescent="0.25">
      <c r="E18">
        <v>9</v>
      </c>
      <c r="F18" s="3">
        <f t="shared" si="0"/>
        <v>27.989198661636923</v>
      </c>
      <c r="G18">
        <v>32</v>
      </c>
      <c r="H18" s="3">
        <f t="shared" si="0"/>
        <v>74.359771113329018</v>
      </c>
      <c r="I18">
        <v>55</v>
      </c>
      <c r="J18" s="3">
        <f t="shared" ref="J18" si="44">(1-EXP(-($B$10/$B$11)*I18))*$B$9</f>
        <v>98.713014605700224</v>
      </c>
      <c r="K18">
        <v>78</v>
      </c>
      <c r="L18" s="3">
        <f t="shared" ref="L18" si="45">(1-EXP(-($B$10/$B$11)*K18))*$B$9</f>
        <v>111.50303287033518</v>
      </c>
      <c r="M18">
        <v>101</v>
      </c>
      <c r="N18" s="3">
        <f t="shared" ref="N18" si="46">(1-EXP(-($B$10/$B$11)*M18))*$B$9</f>
        <v>118.22019016648505</v>
      </c>
      <c r="O18">
        <v>124</v>
      </c>
      <c r="P18" s="3">
        <f t="shared" ref="P18" si="47">(1-EXP(-($B$10/$B$11)*O18))*$B$9</f>
        <v>121.74795699274357</v>
      </c>
      <c r="Q18">
        <v>147</v>
      </c>
      <c r="R18" s="3">
        <f t="shared" ref="R18" si="48">(1-EXP(-($B$10/$B$11)*Q18))*$B$9</f>
        <v>123.60069591663078</v>
      </c>
      <c r="S18">
        <f t="shared" si="12"/>
        <v>170</v>
      </c>
      <c r="T18" s="3">
        <f t="shared" ref="T18" si="49">(1-EXP(-($B$10/$B$11)*S18))*$B$9</f>
        <v>124.57373117920437</v>
      </c>
    </row>
    <row r="19" spans="5:20" x14ac:dyDescent="0.25">
      <c r="E19">
        <v>10</v>
      </c>
      <c r="F19" s="3">
        <f t="shared" si="0"/>
        <v>30.685772886088095</v>
      </c>
      <c r="G19">
        <v>33</v>
      </c>
      <c r="H19" s="3">
        <f t="shared" si="0"/>
        <v>75.775978100027871</v>
      </c>
      <c r="I19">
        <v>56</v>
      </c>
      <c r="J19" s="3">
        <f t="shared" ref="J19" si="50">(1-EXP(-($B$10/$B$11)*I19))*$B$9</f>
        <v>99.456788765887794</v>
      </c>
      <c r="K19">
        <v>79</v>
      </c>
      <c r="L19" s="3">
        <f t="shared" ref="L19" si="51">(1-EXP(-($B$10/$B$11)*K19))*$B$9</f>
        <v>111.89365373759431</v>
      </c>
      <c r="M19">
        <v>102</v>
      </c>
      <c r="N19" s="3">
        <f t="shared" ref="N19" si="52">(1-EXP(-($B$10/$B$11)*M19))*$B$9</f>
        <v>118.42533935034456</v>
      </c>
      <c r="O19">
        <v>125</v>
      </c>
      <c r="P19" s="3">
        <f t="shared" ref="P19" si="53">(1-EXP(-($B$10/$B$11)*O19))*$B$9</f>
        <v>121.85569877298569</v>
      </c>
      <c r="Q19">
        <v>148</v>
      </c>
      <c r="R19" s="3">
        <f t="shared" ref="R19" si="54">(1-EXP(-($B$10/$B$11)*Q19))*$B$9</f>
        <v>123.65728054929349</v>
      </c>
      <c r="S19">
        <v>180</v>
      </c>
      <c r="T19" s="3">
        <f t="shared" ref="T19" si="55">(1-EXP(-($B$10/$B$11)*S19))*$B$9</f>
        <v>124.83657352380695</v>
      </c>
    </row>
    <row r="20" spans="5:20" x14ac:dyDescent="0.25">
      <c r="E20">
        <v>11</v>
      </c>
      <c r="F20" s="3">
        <f t="shared" si="0"/>
        <v>33.307890292160515</v>
      </c>
      <c r="G20">
        <v>34</v>
      </c>
      <c r="H20" s="3">
        <f t="shared" si="0"/>
        <v>77.153081298876486</v>
      </c>
      <c r="I20">
        <v>57</v>
      </c>
      <c r="J20" s="3">
        <f t="shared" ref="J20" si="56">(1-EXP(-($B$10/$B$11)*I20))*$B$9</f>
        <v>100.18002610678158</v>
      </c>
      <c r="K20">
        <v>80</v>
      </c>
      <c r="L20" s="3">
        <f t="shared" ref="L20" si="57">(1-EXP(-($B$10/$B$11)*K20))*$B$9</f>
        <v>112.2734889247469</v>
      </c>
      <c r="M20">
        <v>103</v>
      </c>
      <c r="N20" s="3">
        <f t="shared" ref="N20" si="58">(1-EXP(-($B$10/$B$11)*M20))*$B$9</f>
        <v>118.62482403018831</v>
      </c>
      <c r="O20">
        <v>126</v>
      </c>
      <c r="P20" s="3">
        <f t="shared" ref="P20" si="59">(1-EXP(-($B$10/$B$11)*O20))*$B$9</f>
        <v>121.96046562671158</v>
      </c>
      <c r="Q20">
        <v>149</v>
      </c>
      <c r="R20" s="3">
        <f t="shared" ref="R20" si="60">(1-EXP(-($B$10/$B$11)*Q20))*$B$9</f>
        <v>123.71230278783442</v>
      </c>
      <c r="S20">
        <v>190</v>
      </c>
      <c r="T20" s="3">
        <f t="shared" ref="T20" si="61">(1-EXP(-($B$10/$B$11)*S20))*$B$9</f>
        <v>125.03522549442367</v>
      </c>
    </row>
    <row r="21" spans="5:20" x14ac:dyDescent="0.25">
      <c r="E21">
        <v>12</v>
      </c>
      <c r="F21" s="3">
        <f t="shared" si="0"/>
        <v>35.857606754212405</v>
      </c>
      <c r="G21">
        <v>35</v>
      </c>
      <c r="H21" s="3">
        <f t="shared" si="0"/>
        <v>78.492160429321643</v>
      </c>
      <c r="I21">
        <v>58</v>
      </c>
      <c r="J21" s="3">
        <f t="shared" ref="J21" si="62">(1-EXP(-($B$10/$B$11)*I21))*$B$9</f>
        <v>100.88329368350294</v>
      </c>
      <c r="K21">
        <v>81</v>
      </c>
      <c r="L21" s="3">
        <f t="shared" ref="L21" si="63">(1-EXP(-($B$10/$B$11)*K21))*$B$9</f>
        <v>112.64283624203584</v>
      </c>
      <c r="M21">
        <v>104</v>
      </c>
      <c r="N21" s="3">
        <f t="shared" ref="N21" si="64">(1-EXP(-($B$10/$B$11)*M21))*$B$9</f>
        <v>118.81880061222346</v>
      </c>
      <c r="O21">
        <v>127</v>
      </c>
      <c r="P21" s="3">
        <f t="shared" ref="P21" si="65">(1-EXP(-($B$10/$B$11)*O21))*$B$9</f>
        <v>122.06233969650103</v>
      </c>
      <c r="Q21">
        <v>150</v>
      </c>
      <c r="R21" s="3">
        <f t="shared" ref="R21" si="66">(1-EXP(-($B$10/$B$11)*Q21))*$B$9</f>
        <v>123.76580577250698</v>
      </c>
      <c r="S21">
        <v>200</v>
      </c>
      <c r="T21" s="3">
        <f t="shared" ref="T21" si="67">(1-EXP(-($B$10/$B$11)*S21))*$B$9</f>
        <v>125.18536342402392</v>
      </c>
    </row>
    <row r="22" spans="5:20" x14ac:dyDescent="0.25">
      <c r="E22">
        <v>13</v>
      </c>
      <c r="F22" s="3">
        <f t="shared" si="0"/>
        <v>38.336921380553285</v>
      </c>
      <c r="G22">
        <v>36</v>
      </c>
      <c r="H22" s="3">
        <f t="shared" si="0"/>
        <v>79.794265397992874</v>
      </c>
      <c r="I22">
        <v>59</v>
      </c>
      <c r="J22" s="3">
        <f t="shared" ref="J22" si="68">(1-EXP(-($B$10/$B$11)*I22))*$B$9</f>
        <v>101.56714289385529</v>
      </c>
      <c r="K22">
        <v>82</v>
      </c>
      <c r="L22" s="3">
        <f t="shared" ref="L22" si="69">(1-EXP(-($B$10/$B$11)*K22))*$B$9</f>
        <v>113.00198527667686</v>
      </c>
      <c r="M22">
        <v>105</v>
      </c>
      <c r="N22" s="3">
        <f t="shared" ref="N22" si="70">(1-EXP(-($B$10/$B$11)*M22))*$B$9</f>
        <v>119.00742118402628</v>
      </c>
      <c r="O22">
        <v>128</v>
      </c>
      <c r="P22" s="3">
        <f t="shared" ref="P22" si="71">(1-EXP(-($B$10/$B$11)*O22))*$B$9</f>
        <v>122.16140085684296</v>
      </c>
      <c r="Q22">
        <v>151</v>
      </c>
      <c r="R22" s="3">
        <f t="shared" ref="R22" si="72">(1-EXP(-($B$10/$B$11)*Q22))*$B$9</f>
        <v>123.81783145239173</v>
      </c>
      <c r="S22">
        <v>250</v>
      </c>
      <c r="T22" s="3">
        <f t="shared" ref="T22" si="73">(1-EXP(-($B$10/$B$11)*S22))*$B$9</f>
        <v>125.53542203102809</v>
      </c>
    </row>
    <row r="23" spans="5:20" x14ac:dyDescent="0.25">
      <c r="E23">
        <v>14</v>
      </c>
      <c r="F23" s="3">
        <f t="shared" si="0"/>
        <v>40.74777808084734</v>
      </c>
      <c r="G23">
        <v>37</v>
      </c>
      <c r="H23" s="3">
        <f t="shared" si="0"/>
        <v>81.06041712188285</v>
      </c>
      <c r="I23">
        <v>60</v>
      </c>
      <c r="J23" s="3">
        <f t="shared" ref="J23" si="74">(1-EXP(-($B$10/$B$11)*I23))*$B$9</f>
        <v>102.23210991064815</v>
      </c>
      <c r="K23">
        <v>83</v>
      </c>
      <c r="L23" s="3">
        <f t="shared" ref="L23" si="75">(1-EXP(-($B$10/$B$11)*K23))*$B$9</f>
        <v>113.35121761990968</v>
      </c>
      <c r="M23">
        <v>106</v>
      </c>
      <c r="N23" s="3">
        <f t="shared" ref="N23" si="76">(1-EXP(-($B$10/$B$11)*M23))*$B$9</f>
        <v>119.19083363378675</v>
      </c>
      <c r="O23">
        <v>129</v>
      </c>
      <c r="P23" s="3">
        <f t="shared" ref="P23" si="77">(1-EXP(-($B$10/$B$11)*O23))*$B$9</f>
        <v>122.2577267767613</v>
      </c>
      <c r="Q23">
        <v>152</v>
      </c>
      <c r="R23" s="3">
        <f t="shared" ref="R23" si="78">(1-EXP(-($B$10/$B$11)*Q23))*$B$9</f>
        <v>123.86842061828658</v>
      </c>
      <c r="S23">
        <v>300</v>
      </c>
      <c r="T23" s="3">
        <f t="shared" ref="T23" si="79">(1-EXP(-($B$10/$B$11)*S23))*$B$9</f>
        <v>125.62174542071693</v>
      </c>
    </row>
    <row r="24" spans="5:20" x14ac:dyDescent="0.25">
      <c r="E24">
        <v>15</v>
      </c>
      <c r="F24" s="3">
        <f t="shared" si="0"/>
        <v>43.092067090238125</v>
      </c>
      <c r="G24">
        <v>38</v>
      </c>
      <c r="H24" s="3">
        <f t="shared" si="0"/>
        <v>82.29160832879883</v>
      </c>
      <c r="I24">
        <v>61</v>
      </c>
      <c r="J24" s="3">
        <f t="shared" ref="J24" si="80">(1-EXP(-($B$10/$B$11)*I24))*$B$9</f>
        <v>102.87871610208404</v>
      </c>
      <c r="K24">
        <v>84</v>
      </c>
      <c r="L24" s="3">
        <f t="shared" ref="L24" si="81">(1-EXP(-($B$10/$B$11)*K24))*$B$9</f>
        <v>113.69080708778002</v>
      </c>
      <c r="M24">
        <v>107</v>
      </c>
      <c r="N24" s="3">
        <f t="shared" ref="N24" si="82">(1-EXP(-($B$10/$B$11)*M24))*$B$9</f>
        <v>119.36918176626035</v>
      </c>
      <c r="O24">
        <v>130</v>
      </c>
      <c r="P24" s="3">
        <f t="shared" ref="P24" si="83">(1-EXP(-($B$10/$B$11)*O24))*$B$9</f>
        <v>122.35139298071131</v>
      </c>
      <c r="Q24">
        <v>153</v>
      </c>
      <c r="R24" s="3">
        <f t="shared" ref="R24" si="84">(1-EXP(-($B$10/$B$11)*Q24))*$B$9</f>
        <v>123.91761293468892</v>
      </c>
      <c r="S24">
        <v>400</v>
      </c>
      <c r="T24" s="3">
        <f t="shared" ref="T24" si="85">(1-EXP(-($B$10/$B$11)*S24))*$B$9</f>
        <v>125.64828183726435</v>
      </c>
    </row>
    <row r="25" spans="5:20" x14ac:dyDescent="0.25">
      <c r="E25">
        <v>16</v>
      </c>
      <c r="F25" s="3">
        <f t="shared" si="0"/>
        <v>45.371626451389723</v>
      </c>
      <c r="G25">
        <v>39</v>
      </c>
      <c r="H25" s="3">
        <f t="shared" si="0"/>
        <v>83.488804335711905</v>
      </c>
      <c r="I25">
        <v>62</v>
      </c>
      <c r="J25" s="3">
        <f t="shared" ref="J25" si="86">(1-EXP(-($B$10/$B$11)*I25))*$B$9</f>
        <v>103.50746844053798</v>
      </c>
      <c r="K25">
        <v>85</v>
      </c>
      <c r="L25" s="3">
        <f t="shared" ref="L25" si="87">(1-EXP(-($B$10/$B$11)*K25))*$B$9</f>
        <v>114.02101993582538</v>
      </c>
      <c r="M25">
        <v>108</v>
      </c>
      <c r="N25" s="3">
        <f t="shared" ref="N25" si="88">(1-EXP(-($B$10/$B$11)*M25))*$B$9</f>
        <v>119.54260541551842</v>
      </c>
      <c r="O25">
        <v>131</v>
      </c>
      <c r="P25" s="3">
        <f t="shared" ref="P25" si="89">(1-EXP(-($B$10/$B$11)*O25))*$B$9</f>
        <v>122.44247290779475</v>
      </c>
      <c r="Q25">
        <f>Q24+1</f>
        <v>154</v>
      </c>
      <c r="R25" s="3">
        <f t="shared" ref="R25" si="90">(1-EXP(-($B$10/$B$11)*Q25))*$B$9</f>
        <v>123.96544697089455</v>
      </c>
      <c r="S25">
        <v>500</v>
      </c>
      <c r="T25" s="3">
        <f t="shared" ref="T25" si="91">(1-EXP(-($B$10/$B$11)*S25))*$B$9</f>
        <v>125.64989551841646</v>
      </c>
    </row>
    <row r="26" spans="5:20" x14ac:dyDescent="0.25">
      <c r="E26">
        <v>17</v>
      </c>
      <c r="F26" s="3">
        <f t="shared" si="0"/>
        <v>47.588243455606445</v>
      </c>
      <c r="G26">
        <v>40</v>
      </c>
      <c r="H26" s="3">
        <f t="shared" si="0"/>
        <v>84.652943805615095</v>
      </c>
      <c r="I26">
        <v>63</v>
      </c>
      <c r="J26" s="3">
        <f t="shared" ref="J26" si="92">(1-EXP(-($B$10/$B$11)*I26))*$B$9</f>
        <v>104.11885990004964</v>
      </c>
      <c r="K26">
        <v>86</v>
      </c>
      <c r="L26" s="3">
        <f t="shared" ref="L26" si="93">(1-EXP(-($B$10/$B$11)*K26))*$B$9</f>
        <v>114.34211506783298</v>
      </c>
      <c r="M26">
        <v>109</v>
      </c>
      <c r="N26" s="3">
        <f t="shared" ref="N26" si="94">(1-EXP(-($B$10/$B$11)*M26))*$B$9</f>
        <v>119.71124055458517</v>
      </c>
      <c r="O26">
        <v>132</v>
      </c>
      <c r="P26" s="3">
        <f t="shared" ref="P26" si="95">(1-EXP(-($B$10/$B$11)*O26))*$B$9</f>
        <v>122.53103796933978</v>
      </c>
      <c r="Q26">
        <f t="shared" ref="Q26:Q32" si="96">Q25+1</f>
        <v>155</v>
      </c>
      <c r="R26" s="3">
        <f t="shared" ref="R26" si="97">(1-EXP(-($B$10/$B$11)*Q26))*$B$9</f>
        <v>124.01196023123806</v>
      </c>
      <c r="S26">
        <v>600</v>
      </c>
      <c r="T26" s="3">
        <f t="shared" ref="T26" si="98">(1-EXP(-($B$10/$B$11)*S26))*$B$9</f>
        <v>125.64999364646836</v>
      </c>
    </row>
    <row r="27" spans="5:20" x14ac:dyDescent="0.25">
      <c r="E27">
        <v>18</v>
      </c>
      <c r="F27" s="3">
        <f t="shared" si="0"/>
        <v>49.743656044160602</v>
      </c>
      <c r="G27">
        <v>41</v>
      </c>
      <c r="H27" s="3">
        <f t="shared" si="0"/>
        <v>85.784939483483114</v>
      </c>
      <c r="I27">
        <v>64</v>
      </c>
      <c r="J27" s="3">
        <f t="shared" ref="J27" si="99">(1-EXP(-($B$10/$B$11)*I27))*$B$9</f>
        <v>104.71336984284044</v>
      </c>
      <c r="K27">
        <v>87</v>
      </c>
      <c r="L27" s="3">
        <f t="shared" ref="L27" si="100">(1-EXP(-($B$10/$B$11)*K27))*$B$9</f>
        <v>114.65434423883369</v>
      </c>
      <c r="M27">
        <v>110</v>
      </c>
      <c r="N27" s="3">
        <f t="shared" ref="N27" si="101">(1-EXP(-($B$10/$B$11)*M27))*$B$9</f>
        <v>119.87521940204761</v>
      </c>
      <c r="O27">
        <v>133</v>
      </c>
      <c r="P27" s="3">
        <f t="shared" ref="P27" si="102">(1-EXP(-($B$10/$B$11)*O27))*$B$9</f>
        <v>122.6171576048912</v>
      </c>
      <c r="Q27">
        <f t="shared" si="96"/>
        <v>156</v>
      </c>
      <c r="R27" s="3">
        <f t="shared" ref="R27" si="103">(1-EXP(-($B$10/$B$11)*Q27))*$B$9</f>
        <v>124.05718918449809</v>
      </c>
      <c r="S27">
        <v>700</v>
      </c>
      <c r="T27" s="3">
        <f t="shared" ref="T27" si="104">(1-EXP(-($B$10/$B$11)*S27))*$B$9</f>
        <v>125.64999961364134</v>
      </c>
    </row>
    <row r="28" spans="5:20" x14ac:dyDescent="0.25">
      <c r="E28">
        <v>19</v>
      </c>
      <c r="F28" s="3">
        <f t="shared" si="0"/>
        <v>51.839554170927634</v>
      </c>
      <c r="G28">
        <v>42</v>
      </c>
      <c r="H28" s="3">
        <f t="shared" si="0"/>
        <v>86.88567891191127</v>
      </c>
      <c r="I28">
        <v>65</v>
      </c>
      <c r="J28" s="3">
        <f t="shared" ref="J28" si="105">(1-EXP(-($B$10/$B$11)*I28))*$B$9</f>
        <v>105.29146439515789</v>
      </c>
      <c r="K28">
        <v>88</v>
      </c>
      <c r="L28" s="3">
        <f t="shared" ref="L28" si="106">(1-EXP(-($B$10/$B$11)*K28))*$B$9</f>
        <v>114.95795225249077</v>
      </c>
      <c r="M28">
        <v>111</v>
      </c>
      <c r="N28" s="3">
        <f t="shared" ref="N28" si="107">(1-EXP(-($B$10/$B$11)*M28))*$B$9</f>
        <v>120.03467052572154</v>
      </c>
      <c r="O28">
        <v>134</v>
      </c>
      <c r="P28" s="3">
        <f t="shared" ref="P28" si="108">(1-EXP(-($B$10/$B$11)*O28))*$B$9</f>
        <v>122.70089933665457</v>
      </c>
      <c r="Q28">
        <f t="shared" si="96"/>
        <v>157</v>
      </c>
      <c r="R28" s="3">
        <f t="shared" ref="R28" si="109">(1-EXP(-($B$10/$B$11)*Q28))*$B$9</f>
        <v>124.10116929249072</v>
      </c>
      <c r="S28">
        <v>800</v>
      </c>
      <c r="T28" s="3">
        <f t="shared" ref="T28" si="110">(1-EXP(-($B$10/$B$11)*S28))*$B$9</f>
        <v>125.64999997650551</v>
      </c>
    </row>
    <row r="29" spans="5:20" x14ac:dyDescent="0.25">
      <c r="E29">
        <v>20</v>
      </c>
      <c r="F29" s="3">
        <f t="shared" si="0"/>
        <v>53.877581127396411</v>
      </c>
      <c r="G29">
        <v>43</v>
      </c>
      <c r="H29" s="3">
        <f t="shared" si="0"/>
        <v>87.956025126994277</v>
      </c>
      <c r="I29">
        <v>66</v>
      </c>
      <c r="J29" s="3">
        <f t="shared" ref="J29" si="111">(1-EXP(-($B$10/$B$11)*I29))*$B$9</f>
        <v>105.85359681274254</v>
      </c>
      <c r="K29">
        <v>89</v>
      </c>
      <c r="L29" s="3">
        <f t="shared" ref="L29" si="112">(1-EXP(-($B$10/$B$11)*K29))*$B$9</f>
        <v>115.25317715303854</v>
      </c>
      <c r="M29">
        <v>112</v>
      </c>
      <c r="N29" s="3">
        <f t="shared" ref="N29" si="113">(1-EXP(-($B$10/$B$11)*M29))*$B$9</f>
        <v>120.18971894345546</v>
      </c>
      <c r="O29">
        <v>135</v>
      </c>
      <c r="P29" s="3">
        <f t="shared" ref="P29" si="114">(1-EXP(-($B$10/$B$11)*O29))*$B$9</f>
        <v>122.78232882243708</v>
      </c>
      <c r="Q29">
        <f t="shared" si="96"/>
        <v>158</v>
      </c>
      <c r="R29" s="3">
        <f t="shared" ref="R29" si="115">(1-EXP(-($B$10/$B$11)*Q29))*$B$9</f>
        <v>124.14393503787343</v>
      </c>
      <c r="S29">
        <v>900</v>
      </c>
      <c r="T29" s="3">
        <f t="shared" ref="T29" si="116">(1-EXP(-($B$10/$B$11)*S29))*$B$9</f>
        <v>125.6499999985713</v>
      </c>
    </row>
    <row r="30" spans="5:20" x14ac:dyDescent="0.25">
      <c r="E30">
        <v>21</v>
      </c>
      <c r="F30" s="3">
        <f t="shared" si="0"/>
        <v>55.85933483109401</v>
      </c>
      <c r="G30">
        <v>44</v>
      </c>
      <c r="H30" s="3">
        <f t="shared" si="0"/>
        <v>88.996817334990723</v>
      </c>
      <c r="I30">
        <v>67</v>
      </c>
      <c r="J30" s="3">
        <f t="shared" ref="J30" si="117">(1-EXP(-($B$10/$B$11)*I30))*$B$9</f>
        <v>106.40020783620373</v>
      </c>
      <c r="K30">
        <v>90</v>
      </c>
      <c r="L30" s="3">
        <f t="shared" ref="L30" si="118">(1-EXP(-($B$10/$B$11)*K30))*$B$9</f>
        <v>115.54025041192125</v>
      </c>
      <c r="M30">
        <v>113</v>
      </c>
      <c r="N30" s="3">
        <f t="shared" ref="N30" si="119">(1-EXP(-($B$10/$B$11)*M30))*$B$9</f>
        <v>120.34048622115087</v>
      </c>
      <c r="O30">
        <v>136</v>
      </c>
      <c r="P30" s="3">
        <f t="shared" ref="P30" si="120">(1-EXP(-($B$10/$B$11)*O30))*$B$9</f>
        <v>122.86150990712657</v>
      </c>
      <c r="Q30">
        <f t="shared" si="96"/>
        <v>159</v>
      </c>
      <c r="R30" s="3">
        <f t="shared" ref="R30" si="121">(1-EXP(-($B$10/$B$11)*Q30))*$B$9</f>
        <v>124.18551995118116</v>
      </c>
      <c r="S30">
        <v>1000</v>
      </c>
      <c r="T30" s="3">
        <f t="shared" ref="T30" si="122">(1-EXP(-($B$10/$B$11)*S30))*$B$9</f>
        <v>125.64999999991312</v>
      </c>
    </row>
    <row r="31" spans="5:20" x14ac:dyDescent="0.25">
      <c r="E31">
        <v>22</v>
      </c>
      <c r="F31" s="3">
        <f t="shared" si="0"/>
        <v>57.786369078434831</v>
      </c>
      <c r="G31">
        <v>45</v>
      </c>
      <c r="H31" s="3">
        <f t="shared" si="0"/>
        <v>90.008871570303853</v>
      </c>
      <c r="I31">
        <v>68</v>
      </c>
      <c r="J31" s="3">
        <f t="shared" ref="J31" si="123">(1-EXP(-($B$10/$B$11)*I31))*$B$9</f>
        <v>106.93172603658269</v>
      </c>
      <c r="K31">
        <v>91</v>
      </c>
      <c r="L31" s="3">
        <f t="shared" ref="L31" si="124">(1-EXP(-($B$10/$B$11)*K31))*$B$9</f>
        <v>115.81939710927853</v>
      </c>
      <c r="M31">
        <v>114</v>
      </c>
      <c r="N31" s="3">
        <f t="shared" ref="N31" si="125">(1-EXP(-($B$10/$B$11)*M31))*$B$9</f>
        <v>120.48709056807617</v>
      </c>
      <c r="O31">
        <v>137</v>
      </c>
      <c r="P31" s="3">
        <f t="shared" ref="P31" si="126">(1-EXP(-($B$10/$B$11)*O31))*$B$9</f>
        <v>122.93850467274935</v>
      </c>
      <c r="Q31">
        <f t="shared" si="96"/>
        <v>160</v>
      </c>
      <c r="R31" s="3">
        <f t="shared" ref="R31" si="127">(1-EXP(-($B$10/$B$11)*Q31))*$B$9</f>
        <v>124.22595663711604</v>
      </c>
      <c r="T31" s="3"/>
    </row>
    <row r="32" spans="5:20" x14ac:dyDescent="0.25">
      <c r="E32">
        <v>23</v>
      </c>
      <c r="F32" s="3">
        <f t="shared" si="0"/>
        <v>59.660194762976651</v>
      </c>
      <c r="G32">
        <v>46</v>
      </c>
      <c r="H32" s="3">
        <f t="shared" si="0"/>
        <v>90.992981335294289</v>
      </c>
      <c r="I32">
        <v>69</v>
      </c>
      <c r="J32" s="3">
        <f t="shared" ref="J32" si="128">(1-EXP(-($B$10/$B$11)*I32))*$B$9</f>
        <v>107.44856815137435</v>
      </c>
      <c r="K32">
        <v>92</v>
      </c>
      <c r="L32" s="3">
        <f t="shared" ref="L32" si="129">(1-EXP(-($B$10/$B$11)*K32))*$B$9</f>
        <v>116.09083611041973</v>
      </c>
      <c r="M32">
        <v>115</v>
      </c>
      <c r="N32" s="3">
        <f t="shared" ref="N32" si="130">(1-EXP(-($B$10/$B$11)*M32))*$B$9</f>
        <v>120.62964692954884</v>
      </c>
      <c r="O32">
        <v>138</v>
      </c>
      <c r="P32" s="3">
        <f t="shared" ref="P32" si="131">(1-EXP(-($B$10/$B$11)*O32))*$B$9</f>
        <v>123.01337348714553</v>
      </c>
      <c r="Q32">
        <f t="shared" si="96"/>
        <v>161</v>
      </c>
      <c r="R32" s="3">
        <f t="shared" ref="R32" si="132">(1-EXP(-($B$10/$B$11)*Q32))*$B$9</f>
        <v>124.26527680011111</v>
      </c>
      <c r="T32" s="3"/>
    </row>
    <row r="37" spans="1:20" x14ac:dyDescent="0.25">
      <c r="A37" s="1" t="s">
        <v>45</v>
      </c>
    </row>
    <row r="39" spans="1:20" ht="15.75" customHeight="1" x14ac:dyDescent="0.35">
      <c r="A39" t="s">
        <v>39</v>
      </c>
      <c r="B39" s="3">
        <f>11.20536/2</f>
        <v>5.6026800000000003</v>
      </c>
      <c r="C39" t="s">
        <v>1</v>
      </c>
      <c r="E39" t="s">
        <v>43</v>
      </c>
      <c r="F39" t="s">
        <v>48</v>
      </c>
    </row>
    <row r="40" spans="1:20" x14ac:dyDescent="0.25">
      <c r="A40" t="s">
        <v>3</v>
      </c>
      <c r="B40" s="14">
        <f>0.028*2</f>
        <v>5.6000000000000001E-2</v>
      </c>
      <c r="C40" t="s">
        <v>4</v>
      </c>
      <c r="E40">
        <v>1</v>
      </c>
      <c r="F40" s="3">
        <f>(1-EXP(-($B$40/$B$41)*E40))*$B$39</f>
        <v>0.1546991450899903</v>
      </c>
      <c r="G40">
        <v>22</v>
      </c>
      <c r="H40" s="3">
        <f>(1-EXP(-($B$40/$B$41)*G40))*$B$39</f>
        <v>2.5766695925854775</v>
      </c>
      <c r="I40">
        <v>43</v>
      </c>
      <c r="J40" s="3">
        <f>(1-EXP(-($B$40/$B$41)*I40))*$B$39</f>
        <v>3.9219217099761901</v>
      </c>
      <c r="K40">
        <v>64</v>
      </c>
      <c r="L40" s="3">
        <f>(1-EXP(-($B$40/$B$41)*K40))*$B$39</f>
        <v>4.6691245758144468</v>
      </c>
      <c r="M40">
        <v>85</v>
      </c>
      <c r="N40" s="3">
        <f>(1-EXP(-($B$40/$B$41)*M40))*$B$39</f>
        <v>5.0841487303943502</v>
      </c>
      <c r="O40">
        <v>106</v>
      </c>
      <c r="P40" s="3">
        <f>(1-EXP(-($B$40/$B$41)*O40))*$B$39</f>
        <v>5.3146685219526013</v>
      </c>
      <c r="Q40">
        <v>127</v>
      </c>
      <c r="R40" s="3">
        <f>(1-EXP(-($B$40/$B$41)*Q40))*$B$39</f>
        <v>5.4427077546421989</v>
      </c>
      <c r="S40">
        <v>148</v>
      </c>
      <c r="T40" s="3">
        <f>(1-EXP(-($B$40/$B$41)*S40))*$B$39</f>
        <v>5.5138254881648674</v>
      </c>
    </row>
    <row r="41" spans="1:20" x14ac:dyDescent="0.25">
      <c r="A41" t="s">
        <v>40</v>
      </c>
      <c r="B41">
        <v>2</v>
      </c>
      <c r="C41" t="s">
        <v>14</v>
      </c>
      <c r="E41">
        <v>2</v>
      </c>
      <c r="F41" s="3">
        <f t="shared" ref="F41:H60" si="133">(1-EXP(-($B$40/$B$41)*E41))*$B$39</f>
        <v>0.30512679412959454</v>
      </c>
      <c r="G41">
        <v>23</v>
      </c>
      <c r="H41" s="3">
        <f t="shared" si="133"/>
        <v>2.660222682010617</v>
      </c>
      <c r="I41">
        <v>44</v>
      </c>
      <c r="J41" s="3">
        <f t="shared" ref="J41" si="134">(1-EXP(-($B$40/$B$41)*I41))*$B$39</f>
        <v>3.9683301913760909</v>
      </c>
      <c r="K41">
        <v>65</v>
      </c>
      <c r="L41" s="3">
        <f t="shared" ref="L41" si="135">(1-EXP(-($B$40/$B$41)*K41))*$B$39</f>
        <v>4.6949015657577657</v>
      </c>
      <c r="M41">
        <v>86</v>
      </c>
      <c r="N41" s="3">
        <f t="shared" ref="N41" si="136">(1-EXP(-($B$40/$B$41)*M41))*$B$39</f>
        <v>5.0984662256127855</v>
      </c>
      <c r="O41">
        <v>107</v>
      </c>
      <c r="P41" s="3">
        <f t="shared" ref="P41" si="137">(1-EXP(-($B$40/$B$41)*O41))*$B$39</f>
        <v>5.3226209892414769</v>
      </c>
      <c r="Q41">
        <v>128</v>
      </c>
      <c r="R41" s="3">
        <f t="shared" ref="R41" si="138">(1-EXP(-($B$40/$B$41)*Q41))*$B$39</f>
        <v>5.447124849603</v>
      </c>
      <c r="S41">
        <v>150</v>
      </c>
      <c r="T41" s="3">
        <f t="shared" ref="T41" si="139">(1-EXP(-($B$40/$B$41)*S41))*$B$39</f>
        <v>5.5186645816594462</v>
      </c>
    </row>
    <row r="42" spans="1:20" x14ac:dyDescent="0.25">
      <c r="A42" t="s">
        <v>41</v>
      </c>
      <c r="B42" s="11">
        <f>B41/(B40)</f>
        <v>35.714285714285715</v>
      </c>
      <c r="C42" t="s">
        <v>47</v>
      </c>
      <c r="E42">
        <v>3</v>
      </c>
      <c r="F42" s="3">
        <f t="shared" si="133"/>
        <v>0.45140089010096701</v>
      </c>
      <c r="G42">
        <v>24</v>
      </c>
      <c r="H42" s="3">
        <f t="shared" si="133"/>
        <v>2.7414687341779267</v>
      </c>
      <c r="I42">
        <v>45</v>
      </c>
      <c r="J42" s="3">
        <f t="shared" ref="J42" si="140">(1-EXP(-($B$40/$B$41)*I42))*$B$39</f>
        <v>4.0134572588102664</v>
      </c>
      <c r="K42">
        <v>66</v>
      </c>
      <c r="L42" s="3">
        <f t="shared" ref="L42" si="141">(1-EXP(-($B$40/$B$41)*K42))*$B$39</f>
        <v>4.7199668109098001</v>
      </c>
      <c r="M42">
        <v>87</v>
      </c>
      <c r="N42" s="3">
        <f t="shared" ref="N42" si="142">(1-EXP(-($B$40/$B$41)*M42))*$B$39</f>
        <v>5.1123883914049237</v>
      </c>
      <c r="O42">
        <v>108</v>
      </c>
      <c r="P42" s="3">
        <f t="shared" ref="P42" si="143">(1-EXP(-($B$40/$B$41)*O42))*$B$39</f>
        <v>5.3303538759205473</v>
      </c>
      <c r="Q42">
        <v>129</v>
      </c>
      <c r="R42" s="3">
        <f t="shared" ref="R42" si="144">(1-EXP(-($B$40/$B$41)*Q42))*$B$39</f>
        <v>5.4514199813579385</v>
      </c>
      <c r="S42">
        <v>160</v>
      </c>
      <c r="T42" s="3">
        <f t="shared" ref="T42" si="145">(1-EXP(-($B$40/$B$41)*S42))*$B$39</f>
        <v>5.5391825127866081</v>
      </c>
    </row>
    <row r="43" spans="1:20" x14ac:dyDescent="0.25">
      <c r="E43">
        <v>4</v>
      </c>
      <c r="F43" s="3">
        <f t="shared" si="133"/>
        <v>0.59363611938789873</v>
      </c>
      <c r="G43">
        <v>25</v>
      </c>
      <c r="H43" s="3">
        <f t="shared" si="133"/>
        <v>2.8204714501539465</v>
      </c>
      <c r="I43">
        <v>46</v>
      </c>
      <c r="J43" s="3">
        <f t="shared" ref="J43" si="146">(1-EXP(-($B$40/$B$41)*I43))*$B$39</f>
        <v>4.0573382942111147</v>
      </c>
      <c r="K43">
        <v>67</v>
      </c>
      <c r="L43" s="3">
        <f t="shared" ref="L43" si="147">(1-EXP(-($B$40/$B$41)*K43))*$B$39</f>
        <v>4.7443399637066603</v>
      </c>
      <c r="M43">
        <v>88</v>
      </c>
      <c r="N43" s="3">
        <f t="shared" ref="N43" si="148">(1-EXP(-($B$40/$B$41)*M43))*$B$39</f>
        <v>5.1259261434618777</v>
      </c>
      <c r="O43">
        <v>109</v>
      </c>
      <c r="P43" s="3">
        <f t="shared" ref="P43" si="149">(1-EXP(-($B$40/$B$41)*O43))*$B$39</f>
        <v>5.3378732449690665</v>
      </c>
      <c r="Q43">
        <v>130</v>
      </c>
      <c r="R43" s="3">
        <f t="shared" ref="R43" si="150">(1-EXP(-($B$40/$B$41)*Q43))*$B$39</f>
        <v>5.4555965175103198</v>
      </c>
      <c r="S43">
        <v>170</v>
      </c>
      <c r="T43" s="3">
        <f t="shared" ref="T43" si="151">(1-EXP(-($B$40/$B$41)*S43))*$B$39</f>
        <v>5.5546896315408256</v>
      </c>
    </row>
    <row r="44" spans="1:20" x14ac:dyDescent="0.25">
      <c r="E44">
        <v>5</v>
      </c>
      <c r="F44" s="3">
        <f t="shared" si="133"/>
        <v>0.73194400169581841</v>
      </c>
      <c r="G44">
        <v>26</v>
      </c>
      <c r="H44" s="3">
        <f t="shared" si="133"/>
        <v>2.8972927721147297</v>
      </c>
      <c r="I44">
        <v>47</v>
      </c>
      <c r="J44" s="3">
        <f t="shared" ref="J44" si="152">(1-EXP(-($B$40/$B$41)*I44))*$B$39</f>
        <v>4.1000077025580923</v>
      </c>
      <c r="K44">
        <v>68</v>
      </c>
      <c r="L44" s="3">
        <f t="shared" ref="L44" si="153">(1-EXP(-($B$40/$B$41)*K44))*$B$39</f>
        <v>4.7680401339485963</v>
      </c>
      <c r="M44">
        <v>89</v>
      </c>
      <c r="N44" s="3">
        <f t="shared" ref="N44" si="154">(1-EXP(-($B$40/$B$41)*M44))*$B$39</f>
        <v>5.1390900960746988</v>
      </c>
      <c r="O44">
        <v>110</v>
      </c>
      <c r="P44" s="3">
        <f t="shared" ref="P44" si="155">(1-EXP(-($B$40/$B$41)*O44))*$B$39</f>
        <v>5.3451849919575336</v>
      </c>
      <c r="Q44">
        <v>131</v>
      </c>
      <c r="R44" s="3">
        <f t="shared" ref="R44" si="156">(1-EXP(-($B$40/$B$41)*Q44))*$B$39</f>
        <v>5.4596577326784201</v>
      </c>
      <c r="S44">
        <v>180</v>
      </c>
      <c r="T44" s="3">
        <f t="shared" ref="T44" si="157">(1-EXP(-($B$40/$B$41)*S44))*$B$39</f>
        <v>5.5664096597720869</v>
      </c>
    </row>
    <row r="45" spans="1:20" x14ac:dyDescent="0.25">
      <c r="E45">
        <v>6</v>
      </c>
      <c r="F45" s="3">
        <f t="shared" si="133"/>
        <v>0.8664329774889562</v>
      </c>
      <c r="G45">
        <v>27</v>
      </c>
      <c r="H45" s="3">
        <f t="shared" si="133"/>
        <v>2.9719929319116893</v>
      </c>
      <c r="I45">
        <v>48</v>
      </c>
      <c r="J45" s="3">
        <f t="shared" ref="J45" si="158">(1-EXP(-($B$40/$B$41)*I45))*$B$39</f>
        <v>4.1414989388529868</v>
      </c>
      <c r="K45">
        <v>69</v>
      </c>
      <c r="L45" s="3">
        <f t="shared" ref="L45" si="159">(1-EXP(-($B$40/$B$41)*K45))*$B$39</f>
        <v>4.7910859037830642</v>
      </c>
      <c r="M45">
        <v>90</v>
      </c>
      <c r="N45" s="3">
        <f t="shared" ref="N45" si="160">(1-EXP(-($B$40/$B$41)*M45))*$B$39</f>
        <v>5.1518905704565299</v>
      </c>
      <c r="O45">
        <v>111</v>
      </c>
      <c r="P45" s="3">
        <f t="shared" ref="P45" si="161">(1-EXP(-($B$40/$B$41)*O45))*$B$39</f>
        <v>5.3522948496701117</v>
      </c>
      <c r="Q45">
        <v>132</v>
      </c>
      <c r="R45" s="3">
        <f t="shared" ref="R45" si="162">(1-EXP(-($B$40/$B$41)*Q45))*$B$39</f>
        <v>5.4636068110629576</v>
      </c>
      <c r="S45">
        <v>190</v>
      </c>
      <c r="T45" s="3">
        <f t="shared" ref="T45" si="163">(1-EXP(-($B$40/$B$41)*S45))*$B$39</f>
        <v>5.5752674665586754</v>
      </c>
    </row>
    <row r="46" spans="1:20" x14ac:dyDescent="0.25">
      <c r="E46">
        <v>7</v>
      </c>
      <c r="F46" s="3">
        <f t="shared" si="133"/>
        <v>0.99720849301321801</v>
      </c>
      <c r="G46">
        <v>28</v>
      </c>
      <c r="H46" s="3">
        <f t="shared" si="133"/>
        <v>3.0446304982964474</v>
      </c>
      <c r="I46">
        <v>49</v>
      </c>
      <c r="J46" s="3">
        <f t="shared" ref="J46" si="164">(1-EXP(-($B$40/$B$41)*I46))*$B$39</f>
        <v>4.1818445343503425</v>
      </c>
      <c r="K46">
        <v>70</v>
      </c>
      <c r="L46" s="3">
        <f t="shared" ref="L46" si="165">(1-EXP(-($B$40/$B$41)*K46))*$B$39</f>
        <v>4.8134953422740798</v>
      </c>
      <c r="M46">
        <v>91</v>
      </c>
      <c r="N46" s="3">
        <f t="shared" ref="N46" si="166">(1-EXP(-($B$40/$B$41)*M46))*$B$39</f>
        <v>5.1643376028349595</v>
      </c>
      <c r="O46">
        <v>112</v>
      </c>
      <c r="P46" s="3">
        <f t="shared" ref="P46" si="167">(1-EXP(-($B$40/$B$41)*O46))*$B$39</f>
        <v>5.3592083925994354</v>
      </c>
      <c r="Q46">
        <v>133</v>
      </c>
      <c r="R46" s="3">
        <f t="shared" ref="R46" si="168">(1-EXP(-($B$40/$B$41)*Q46))*$B$39</f>
        <v>5.4674468489436681</v>
      </c>
      <c r="S46">
        <v>200</v>
      </c>
      <c r="T46" s="3">
        <f t="shared" ref="T46" si="169">(1-EXP(-($B$40/$B$41)*S46))*$B$39</f>
        <v>5.5819620529129352</v>
      </c>
    </row>
    <row r="47" spans="1:20" x14ac:dyDescent="0.25">
      <c r="E47">
        <v>8</v>
      </c>
      <c r="F47" s="3">
        <f t="shared" si="133"/>
        <v>1.1243730829714458</v>
      </c>
      <c r="G47">
        <v>29</v>
      </c>
      <c r="H47" s="3">
        <f t="shared" si="133"/>
        <v>3.1152624228417389</v>
      </c>
      <c r="I47">
        <v>50</v>
      </c>
      <c r="J47" s="3">
        <f t="shared" ref="J47" si="170">(1-EXP(-($B$40/$B$41)*I47))*$B$39</f>
        <v>4.2210761220636401</v>
      </c>
      <c r="K47">
        <v>71</v>
      </c>
      <c r="L47" s="3">
        <f t="shared" ref="L47" si="171">(1-EXP(-($B$40/$B$41)*K47))*$B$39</f>
        <v>4.8352860195692919</v>
      </c>
      <c r="M47">
        <v>92</v>
      </c>
      <c r="N47" s="3">
        <f t="shared" ref="N47" si="172">(1-EXP(-($B$40/$B$41)*M47))*$B$39</f>
        <v>5.1764409523209425</v>
      </c>
      <c r="O47">
        <v>113</v>
      </c>
      <c r="P47" s="3">
        <f t="shared" ref="P47" si="173">(1-EXP(-($B$40/$B$41)*O47))*$B$39</f>
        <v>5.3659310413172907</v>
      </c>
      <c r="Q47">
        <v>134</v>
      </c>
      <c r="R47" s="3">
        <f t="shared" ref="R47" si="174">(1-EXP(-($B$40/$B$41)*Q47))*$B$39</f>
        <v>5.4711808571069467</v>
      </c>
      <c r="S47">
        <v>300</v>
      </c>
      <c r="T47" s="3">
        <f t="shared" ref="T47" si="175">(1-EXP(-($B$40/$B$41)*S47))*$B$39</f>
        <v>5.6014201403401698</v>
      </c>
    </row>
    <row r="48" spans="1:20" x14ac:dyDescent="0.25">
      <c r="E48">
        <v>9</v>
      </c>
      <c r="F48" s="3">
        <f t="shared" si="133"/>
        <v>1.2480264509158769</v>
      </c>
      <c r="G48">
        <v>30</v>
      </c>
      <c r="H48" s="3">
        <f t="shared" si="133"/>
        <v>3.1839440845943643</v>
      </c>
      <c r="I48">
        <v>51</v>
      </c>
      <c r="J48" s="3">
        <f t="shared" ref="J48" si="176">(1-EXP(-($B$40/$B$41)*I48))*$B$39</f>
        <v>4.2592244615671939</v>
      </c>
      <c r="K48">
        <v>72</v>
      </c>
      <c r="L48" s="3">
        <f t="shared" ref="L48" si="177">(1-EXP(-($B$40/$B$41)*K48))*$B$39</f>
        <v>4.8564750206758758</v>
      </c>
      <c r="M48">
        <v>93</v>
      </c>
      <c r="N48" s="3">
        <f t="shared" ref="N48" si="178">(1-EXP(-($B$40/$B$41)*M48))*$B$39</f>
        <v>5.1882101085604431</v>
      </c>
      <c r="O48">
        <v>114</v>
      </c>
      <c r="P48" s="3">
        <f t="shared" ref="P48" si="179">(1-EXP(-($B$40/$B$41)*O48))*$B$39</f>
        <v>5.3724680667246245</v>
      </c>
      <c r="Q48">
        <v>135</v>
      </c>
      <c r="R48" s="3">
        <f t="shared" ref="R48" si="180">(1-EXP(-($B$40/$B$41)*Q48))*$B$39</f>
        <v>5.4748117632064606</v>
      </c>
      <c r="S48">
        <v>400</v>
      </c>
      <c r="T48" s="3">
        <f t="shared" ref="T48" si="181">(1-EXP(-($B$40/$B$41)*S48))*$B$39</f>
        <v>5.6026033878551873</v>
      </c>
    </row>
    <row r="49" spans="5:20" x14ac:dyDescent="0.25">
      <c r="E49">
        <v>10</v>
      </c>
      <c r="F49" s="3">
        <f t="shared" si="133"/>
        <v>1.3682655474208361</v>
      </c>
      <c r="G49">
        <v>31</v>
      </c>
      <c r="H49" s="3">
        <f t="shared" si="133"/>
        <v>3.2507293334951948</v>
      </c>
      <c r="I49">
        <v>52</v>
      </c>
      <c r="J49" s="3">
        <f t="shared" ref="J49" si="182">(1-EXP(-($B$40/$B$41)*I49))*$B$39</f>
        <v>4.2963194631132335</v>
      </c>
      <c r="K49">
        <v>73</v>
      </c>
      <c r="L49" s="3">
        <f t="shared" ref="L49" si="183">(1-EXP(-($B$40/$B$41)*K49))*$B$39</f>
        <v>4.8770789588560568</v>
      </c>
      <c r="M49">
        <v>94</v>
      </c>
      <c r="N49" s="3">
        <f t="shared" ref="N49" si="184">(1-EXP(-($B$40/$B$41)*M49))*$B$39</f>
        <v>5.1996542991747985</v>
      </c>
      <c r="O49">
        <v>115</v>
      </c>
      <c r="P49" s="3">
        <f t="shared" ref="P49" si="185">(1-EXP(-($B$40/$B$41)*O49))*$B$39</f>
        <v>5.3788245941841994</v>
      </c>
      <c r="Q49">
        <v>136</v>
      </c>
      <c r="R49" s="3">
        <f t="shared" ref="R49" si="186">(1-EXP(-($B$40/$B$41)*Q49))*$B$39</f>
        <v>5.4783424140585746</v>
      </c>
      <c r="S49">
        <v>500</v>
      </c>
      <c r="T49" s="3">
        <f t="shared" ref="T49" si="187">(1-EXP(-($B$40/$B$41)*S49))*$B$39</f>
        <v>5.6026753412106762</v>
      </c>
    </row>
    <row r="50" spans="5:20" x14ac:dyDescent="0.25">
      <c r="E50">
        <v>11</v>
      </c>
      <c r="F50" s="3">
        <f t="shared" si="133"/>
        <v>1.4851846460969509</v>
      </c>
      <c r="G50">
        <v>32</v>
      </c>
      <c r="H50" s="3">
        <f t="shared" si="133"/>
        <v>3.3156705326002882</v>
      </c>
      <c r="I50">
        <v>53</v>
      </c>
      <c r="J50" s="3">
        <f t="shared" ref="J50" si="188">(1-EXP(-($B$40/$B$41)*I50))*$B$39</f>
        <v>4.3323902110830774</v>
      </c>
      <c r="K50">
        <v>74</v>
      </c>
      <c r="L50" s="3">
        <f t="shared" ref="L50" si="189">(1-EXP(-($B$40/$B$41)*K50))*$B$39</f>
        <v>4.8971139886527562</v>
      </c>
      <c r="M50">
        <v>95</v>
      </c>
      <c r="N50" s="3">
        <f t="shared" ref="N50" si="190">(1-EXP(-($B$40/$B$41)*M50))*$B$39</f>
        <v>5.2107824969956544</v>
      </c>
      <c r="O50">
        <v>116</v>
      </c>
      <c r="P50" s="3">
        <f t="shared" ref="P50" si="191">(1-EXP(-($B$40/$B$41)*O50))*$B$39</f>
        <v>5.3850056075391439</v>
      </c>
      <c r="Q50">
        <v>137</v>
      </c>
      <c r="R50" s="3">
        <f t="shared" ref="R50" si="192">(1-EXP(-($B$40/$B$41)*Q50))*$B$39</f>
        <v>5.4817755778744077</v>
      </c>
      <c r="S50">
        <v>600</v>
      </c>
      <c r="T50" s="3">
        <f t="shared" ref="T50" si="193">(1-EXP(-($B$40/$B$41)*S50))*$B$39</f>
        <v>5.6026797166987299</v>
      </c>
    </row>
    <row r="51" spans="5:20" x14ac:dyDescent="0.25">
      <c r="E51">
        <v>12</v>
      </c>
      <c r="F51" s="3">
        <f t="shared" si="133"/>
        <v>1.5988754175064923</v>
      </c>
      <c r="G51">
        <v>33</v>
      </c>
      <c r="H51" s="3">
        <f t="shared" si="133"/>
        <v>3.378818599136205</v>
      </c>
      <c r="I51">
        <v>54</v>
      </c>
      <c r="J51" s="3">
        <f t="shared" ref="J51" si="194">(1-EXP(-($B$40/$B$41)*I51))*$B$39</f>
        <v>4.3674649867907736</v>
      </c>
      <c r="K51">
        <v>75</v>
      </c>
      <c r="L51" s="3">
        <f t="shared" ref="L51" si="195">(1-EXP(-($B$40/$B$41)*K51))*$B$39</f>
        <v>4.9165958185555843</v>
      </c>
      <c r="M51">
        <v>96</v>
      </c>
      <c r="N51" s="3">
        <f t="shared" ref="N51" si="196">(1-EXP(-($B$40/$B$41)*M51))*$B$39</f>
        <v>5.2216034271001179</v>
      </c>
      <c r="O51">
        <v>117</v>
      </c>
      <c r="P51" s="3">
        <f t="shared" ref="P51" si="197">(1-EXP(-($B$40/$B$41)*O51))*$B$39</f>
        <v>5.3910159530205348</v>
      </c>
      <c r="Q51">
        <v>138</v>
      </c>
      <c r="R51" s="3">
        <f t="shared" ref="R51" si="198">(1-EXP(-($B$40/$B$41)*Q51))*$B$39</f>
        <v>5.4851139464302472</v>
      </c>
      <c r="S51">
        <v>700</v>
      </c>
      <c r="T51" s="3">
        <f t="shared" ref="T51" si="199">(1-EXP(-($B$40/$B$41)*S51))*$B$39</f>
        <v>5.6026799827724325</v>
      </c>
    </row>
    <row r="52" spans="5:20" x14ac:dyDescent="0.25">
      <c r="E52">
        <v>13</v>
      </c>
      <c r="F52" s="3">
        <f t="shared" si="133"/>
        <v>1.7094270010377897</v>
      </c>
      <c r="G52">
        <v>34</v>
      </c>
      <c r="H52" s="3">
        <f t="shared" si="133"/>
        <v>3.4402230444217219</v>
      </c>
      <c r="I52">
        <v>55</v>
      </c>
      <c r="J52" s="3">
        <f t="shared" ref="J52" si="200">(1-EXP(-($B$40/$B$41)*I52))*$B$39</f>
        <v>4.401571290657099</v>
      </c>
      <c r="K52">
        <v>76</v>
      </c>
      <c r="L52" s="3">
        <f t="shared" ref="L52" si="201">(1-EXP(-($B$40/$B$41)*K52))*$B$39</f>
        <v>4.9355397233170937</v>
      </c>
      <c r="M52">
        <v>97</v>
      </c>
      <c r="N52" s="3">
        <f t="shared" ref="N52" si="202">(1-EXP(-($B$40/$B$41)*M52))*$B$39</f>
        <v>5.2321255736516674</v>
      </c>
      <c r="O52">
        <v>118</v>
      </c>
      <c r="P52" s="3">
        <f t="shared" ref="P52" si="203">(1-EXP(-($B$40/$B$41)*O52))*$B$39</f>
        <v>5.3968603430470949</v>
      </c>
      <c r="Q52">
        <v>139</v>
      </c>
      <c r="R52" s="3">
        <f t="shared" ref="R52" si="204">(1-EXP(-($B$40/$B$41)*Q52))*$B$39</f>
        <v>5.4883601371780397</v>
      </c>
      <c r="S52">
        <v>800</v>
      </c>
      <c r="T52" s="3">
        <f t="shared" ref="T52" si="205">(1-EXP(-($B$40/$B$41)*S52))*$B$39</f>
        <v>5.6026799989523903</v>
      </c>
    </row>
    <row r="53" spans="5:20" x14ac:dyDescent="0.25">
      <c r="E53">
        <v>14</v>
      </c>
      <c r="F53" s="3">
        <f t="shared" si="133"/>
        <v>1.8169260747950799</v>
      </c>
      <c r="G53">
        <v>35</v>
      </c>
      <c r="H53" s="3">
        <f t="shared" si="133"/>
        <v>3.4999320126872409</v>
      </c>
      <c r="I53">
        <v>56</v>
      </c>
      <c r="J53" s="3">
        <f t="shared" ref="J53" si="206">(1-EXP(-($B$40/$B$41)*I53))*$B$39</f>
        <v>4.4347358637713032</v>
      </c>
      <c r="K53">
        <v>77</v>
      </c>
      <c r="L53" s="3">
        <f t="shared" ref="L53" si="207">(1-EXP(-($B$40/$B$41)*K53))*$B$39</f>
        <v>4.953960555928977</v>
      </c>
      <c r="M53">
        <v>98</v>
      </c>
      <c r="N53" s="3">
        <f t="shared" ref="N53" si="208">(1-EXP(-($B$40/$B$41)*M53))*$B$39</f>
        <v>5.2423571865521721</v>
      </c>
      <c r="O53">
        <v>119</v>
      </c>
      <c r="P53" s="3">
        <f t="shared" ref="P53" si="209">(1-EXP(-($B$40/$B$41)*O53))*$B$39</f>
        <v>5.4025433599199717</v>
      </c>
      <c r="Q53">
        <v>140</v>
      </c>
      <c r="R53" s="3">
        <f t="shared" ref="R53" si="210">(1-EXP(-($B$40/$B$41)*Q53))*$B$39</f>
        <v>5.4915166952976122</v>
      </c>
      <c r="S53">
        <v>900</v>
      </c>
      <c r="T53" s="3">
        <f t="shared" ref="T53" si="211">(1-EXP(-($B$40/$B$41)*S53))*$B$39</f>
        <v>5.6026799999362948</v>
      </c>
    </row>
    <row r="54" spans="5:20" x14ac:dyDescent="0.25">
      <c r="E54">
        <v>15</v>
      </c>
      <c r="F54" s="3">
        <f t="shared" si="133"/>
        <v>1.9214569235585779</v>
      </c>
      <c r="G54">
        <v>36</v>
      </c>
      <c r="H54" s="3">
        <f t="shared" si="133"/>
        <v>3.5579923188223375</v>
      </c>
      <c r="I54">
        <v>57</v>
      </c>
      <c r="J54" s="3">
        <f t="shared" ref="J54" si="212">(1-EXP(-($B$40/$B$41)*I54))*$B$39</f>
        <v>4.4669847088574848</v>
      </c>
      <c r="K54">
        <v>78</v>
      </c>
      <c r="L54" s="3">
        <f t="shared" ref="L54" si="213">(1-EXP(-($B$40/$B$41)*K54))*$B$39</f>
        <v>4.9718727592675647</v>
      </c>
      <c r="M54">
        <v>99</v>
      </c>
      <c r="N54" s="3">
        <f t="shared" ref="N54" si="214">(1-EXP(-($B$40/$B$41)*M54))*$B$39</f>
        <v>5.252306287910236</v>
      </c>
      <c r="O54">
        <v>120</v>
      </c>
      <c r="P54" s="3">
        <f t="shared" ref="P54" si="215">(1-EXP(-($B$40/$B$41)*O54))*$B$39</f>
        <v>5.4080694594154926</v>
      </c>
      <c r="Q54">
        <v>141</v>
      </c>
      <c r="R54" s="3">
        <f t="shared" ref="R54" si="216">(1-EXP(-($B$40/$B$41)*Q54))*$B$39</f>
        <v>5.494586095692215</v>
      </c>
      <c r="S54">
        <v>1000</v>
      </c>
      <c r="T54" s="3">
        <f t="shared" ref="T54" si="217">(1-EXP(-($B$40/$B$41)*S54))*$B$39</f>
        <v>5.6026799999961261</v>
      </c>
    </row>
    <row r="55" spans="5:20" x14ac:dyDescent="0.25">
      <c r="E55">
        <v>16</v>
      </c>
      <c r="F55" s="3">
        <f t="shared" si="133"/>
        <v>2.0231015048680634</v>
      </c>
      <c r="G55">
        <v>37</v>
      </c>
      <c r="H55" s="3">
        <f t="shared" si="133"/>
        <v>3.6144494850810238</v>
      </c>
      <c r="I55">
        <v>58</v>
      </c>
      <c r="J55" s="3">
        <f t="shared" ref="J55" si="218">(1-EXP(-($B$40/$B$41)*I55))*$B$39</f>
        <v>4.4983431106620637</v>
      </c>
      <c r="K55">
        <v>79</v>
      </c>
      <c r="L55" s="3">
        <f t="shared" ref="L55" si="219">(1-EXP(-($B$40/$B$41)*K55))*$B$39</f>
        <v>4.9892903774177864</v>
      </c>
      <c r="M55">
        <v>100</v>
      </c>
      <c r="N55" s="3">
        <f t="shared" ref="N55" si="220">(1-EXP(-($B$40/$B$41)*M55))*$B$39</f>
        <v>5.2619806783309446</v>
      </c>
      <c r="O55">
        <v>121</v>
      </c>
      <c r="P55" s="3">
        <f t="shared" ref="P55" si="221">(1-EXP(-($B$40/$B$41)*O55))*$B$39</f>
        <v>5.4134429742787225</v>
      </c>
      <c r="Q55">
        <v>142</v>
      </c>
      <c r="R55" s="3">
        <f t="shared" ref="R55" si="222">(1-EXP(-($B$40/$B$41)*Q55))*$B$39</f>
        <v>5.497570744928983</v>
      </c>
      <c r="T55" s="3"/>
    </row>
    <row r="56" spans="5:20" x14ac:dyDescent="0.25">
      <c r="E56">
        <v>17</v>
      </c>
      <c r="F56" s="3">
        <f t="shared" si="133"/>
        <v>2.1219395132817915</v>
      </c>
      <c r="G56">
        <v>38</v>
      </c>
      <c r="H56" s="3">
        <f t="shared" si="133"/>
        <v>3.669347776773535</v>
      </c>
      <c r="I56">
        <v>59</v>
      </c>
      <c r="J56" s="3">
        <f t="shared" ref="J56" si="223">(1-EXP(-($B$40/$B$41)*I56))*$B$39</f>
        <v>4.5288356557783143</v>
      </c>
      <c r="K56">
        <v>80</v>
      </c>
      <c r="L56" s="3">
        <f t="shared" ref="L56" si="224">(1-EXP(-($B$40/$B$41)*K56))*$B$39</f>
        <v>5.0062270666844482</v>
      </c>
      <c r="M56">
        <v>101</v>
      </c>
      <c r="N56" s="3">
        <f t="shared" ref="N56" si="225">(1-EXP(-($B$40/$B$41)*M56))*$B$39</f>
        <v>5.2713879430319341</v>
      </c>
      <c r="O56">
        <v>122</v>
      </c>
      <c r="P56" s="3">
        <f t="shared" ref="P56" si="226">(1-EXP(-($B$40/$B$41)*O56))*$B$39</f>
        <v>5.4186681176205616</v>
      </c>
      <c r="Q56">
        <v>143</v>
      </c>
      <c r="R56" s="3">
        <f t="shared" ref="R56" si="227">(1-EXP(-($B$40/$B$41)*Q56))*$B$39</f>
        <v>5.5004729831257979</v>
      </c>
      <c r="T56" s="3"/>
    </row>
    <row r="57" spans="5:20" x14ac:dyDescent="0.25">
      <c r="E57">
        <v>18</v>
      </c>
      <c r="F57" s="3">
        <f t="shared" si="133"/>
        <v>2.2180484428611043</v>
      </c>
      <c r="G57">
        <v>39</v>
      </c>
      <c r="H57" s="3">
        <f t="shared" si="133"/>
        <v>3.7227302369725939</v>
      </c>
      <c r="I57">
        <v>60</v>
      </c>
      <c r="J57" s="3">
        <f t="shared" ref="J57" si="228">(1-EXP(-($B$40/$B$41)*I57))*$B$39</f>
        <v>4.5584862519235188</v>
      </c>
      <c r="K57">
        <v>81</v>
      </c>
      <c r="L57" s="3">
        <f t="shared" ref="L57" si="229">(1-EXP(-($B$40/$B$41)*K57))*$B$39</f>
        <v>5.0226961062994775</v>
      </c>
      <c r="M57">
        <v>102</v>
      </c>
      <c r="N57" s="3">
        <f t="shared" ref="N57" si="230">(1-EXP(-($B$40/$B$41)*M57))*$B$39</f>
        <v>5.280535457790597</v>
      </c>
      <c r="O57">
        <v>123</v>
      </c>
      <c r="P57" s="3">
        <f t="shared" ref="P57" si="231">(1-EXP(-($B$40/$B$41)*O57))*$B$39</f>
        <v>5.4237489862210353</v>
      </c>
      <c r="Q57">
        <v>144</v>
      </c>
      <c r="R57" s="3">
        <f t="shared" ref="R57" si="232">(1-EXP(-($B$40/$B$41)*Q57))*$B$39</f>
        <v>5.5032950857860676</v>
      </c>
      <c r="T57" s="3"/>
    </row>
    <row r="58" spans="5:20" x14ac:dyDescent="0.25">
      <c r="E58">
        <v>19</v>
      </c>
      <c r="F58" s="3">
        <f t="shared" si="133"/>
        <v>2.3115036479297482</v>
      </c>
      <c r="G58">
        <v>40</v>
      </c>
      <c r="H58" s="3">
        <f t="shared" si="133"/>
        <v>3.7746387202613896</v>
      </c>
      <c r="I58">
        <v>61</v>
      </c>
      <c r="J58" s="3">
        <f t="shared" ref="J58" si="233">(1-EXP(-($B$40/$B$41)*I58))*$B$39</f>
        <v>4.5873181466838382</v>
      </c>
      <c r="K58">
        <v>82</v>
      </c>
      <c r="L58" s="3">
        <f t="shared" ref="L58" si="234">(1-EXP(-($B$40/$B$41)*K58))*$B$39</f>
        <v>5.0387104088335208</v>
      </c>
      <c r="M58">
        <v>103</v>
      </c>
      <c r="N58" s="3">
        <f t="shared" ref="N58" si="235">(1-EXP(-($B$40/$B$41)*M58))*$B$39</f>
        <v>5.2894303947270629</v>
      </c>
      <c r="O58">
        <v>124</v>
      </c>
      <c r="P58" s="3">
        <f t="shared" ref="P58" si="236">(1-EXP(-($B$40/$B$41)*O58))*$B$39</f>
        <v>5.428689563741381</v>
      </c>
      <c r="Q58">
        <v>145</v>
      </c>
      <c r="R58" s="3">
        <f t="shared" ref="R58" si="237">(1-EXP(-($B$40/$B$41)*Q58))*$B$39</f>
        <v>5.5060392655828325</v>
      </c>
      <c r="T58" s="3"/>
    </row>
    <row r="59" spans="5:20" x14ac:dyDescent="0.25">
      <c r="E59">
        <v>20</v>
      </c>
      <c r="F59" s="3">
        <f t="shared" si="133"/>
        <v>2.4023784021555219</v>
      </c>
      <c r="G59">
        <v>41</v>
      </c>
      <c r="H59" s="3">
        <f t="shared" si="133"/>
        <v>3.8251139255497111</v>
      </c>
      <c r="I59">
        <v>62</v>
      </c>
      <c r="J59" s="3">
        <f t="shared" ref="J59" si="238">(1-EXP(-($B$40/$B$41)*I59))*$B$39</f>
        <v>4.6153539457416102</v>
      </c>
      <c r="K59">
        <v>83</v>
      </c>
      <c r="L59" s="3">
        <f t="shared" ref="L59" si="239">(1-EXP(-($B$40/$B$41)*K59))*$B$39</f>
        <v>5.0542825303200605</v>
      </c>
      <c r="M59">
        <v>104</v>
      </c>
      <c r="N59" s="3">
        <f t="shared" ref="N59" si="240">(1-EXP(-($B$40/$B$41)*M59))*$B$39</f>
        <v>5.2980797279275142</v>
      </c>
      <c r="O59">
        <v>125</v>
      </c>
      <c r="P59" s="3">
        <f t="shared" ref="P59" si="241">(1-EXP(-($B$40/$B$41)*O59))*$B$39</f>
        <v>5.4334937238474454</v>
      </c>
      <c r="Q59">
        <v>146</v>
      </c>
      <c r="R59" s="3">
        <f t="shared" ref="R59" si="242">(1-EXP(-($B$40/$B$41)*Q59))*$B$39</f>
        <v>5.5087076740936176</v>
      </c>
      <c r="T59" s="3"/>
    </row>
    <row r="60" spans="5:20" x14ac:dyDescent="0.25">
      <c r="E60">
        <v>21</v>
      </c>
      <c r="F60" s="3">
        <f t="shared" si="133"/>
        <v>2.4907439560005873</v>
      </c>
      <c r="G60">
        <v>42</v>
      </c>
      <c r="H60" s="3">
        <f t="shared" si="133"/>
        <v>3.8741954279839801</v>
      </c>
      <c r="I60">
        <v>63</v>
      </c>
      <c r="J60" s="3">
        <f>(1-EXP(-($B$40/$B$41)*I60))*$B$39</f>
        <v>4.6426156305993649</v>
      </c>
      <c r="K60">
        <v>84</v>
      </c>
      <c r="L60" s="3">
        <f t="shared" ref="L60" si="243">(1-EXP(-($B$40/$B$41)*K60))*$B$39</f>
        <v>5.0694246800999867</v>
      </c>
      <c r="M60">
        <v>105</v>
      </c>
      <c r="N60" s="3">
        <f t="shared" ref="N60" si="244">(1-EXP(-($B$40/$B$41)*M60))*$B$39</f>
        <v>5.306490238912219</v>
      </c>
      <c r="O60">
        <v>126</v>
      </c>
      <c r="P60" s="3">
        <f t="shared" ref="P60" si="245">(1-EXP(-($B$40/$B$41)*O60))*$B$39</f>
        <v>5.4381652332468322</v>
      </c>
      <c r="Q60">
        <v>147</v>
      </c>
      <c r="R60" s="3">
        <f t="shared" ref="R60" si="246">(1-EXP(-($B$40/$B$41)*Q60))*$B$39</f>
        <v>5.5113024034873774</v>
      </c>
      <c r="T60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exp. (a)</vt:lpstr>
      <vt:lpstr>exp. (b)</vt:lpstr>
      <vt:lpstr>exp. (c)</vt:lpstr>
      <vt:lpstr>exp. (d)</vt:lpstr>
      <vt:lpstr>exp. (e)</vt:lpstr>
      <vt:lpstr>exp. (f)</vt:lpstr>
      <vt:lpstr>exp. (g)</vt:lpstr>
      <vt:lpstr>exp. (h)</vt:lpstr>
      <vt:lpstr>model</vt:lpstr>
      <vt:lpstr>model exp. (f)</vt:lpstr>
      <vt:lpstr>model exp. (h)</vt:lpstr>
      <vt:lpstr>mass balance iron oxidation</vt:lpstr>
      <vt:lpstr>sparging gas</vt:lpstr>
      <vt:lpstr>graphics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Mos, Yvonne</dc:creator>
  <cp:lastModifiedBy>Mos, Yvonne</cp:lastModifiedBy>
  <dcterms:created xsi:type="dcterms:W3CDTF">2017-02-17T15:07:32Z</dcterms:created>
  <dcterms:modified xsi:type="dcterms:W3CDTF">2017-07-20T16:06:33Z</dcterms:modified>
</cp:coreProperties>
</file>