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1.xml" ContentType="application/vnd.openxmlformats-officedocument.spreadsheetml.pivotTabl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pivotTables/pivotTable2.xml" ContentType="application/vnd.openxmlformats-officedocument.spreadsheetml.pivotTable+xml"/>
  <Override PartName="/xl/drawings/drawing4.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pivotTables/pivotTable3.xml" ContentType="application/vnd.openxmlformats-officedocument.spreadsheetml.pivotTable+xml"/>
  <Override PartName="/xl/drawings/drawing5.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omments1.xml" ContentType="application/vnd.openxmlformats-officedocument.spreadsheetml.comments+xml"/>
  <Override PartName="/xl/drawings/drawing6.xml" ContentType="application/vnd.openxmlformats-officedocument.drawing+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omments2.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aswin\Desktop\Transport and Planning\Thesis\DAT Mobility\"/>
    </mc:Choice>
  </mc:AlternateContent>
  <xr:revisionPtr revIDLastSave="0" documentId="13_ncr:1_{A0B9F0A3-ACFA-4845-9F9D-6C42E144F8FE}" xr6:coauthVersionLast="46" xr6:coauthVersionMax="47" xr10:uidLastSave="{00000000-0000-0000-0000-000000000000}"/>
  <bookViews>
    <workbookView xWindow="-108" yWindow="-108" windowWidth="23256" windowHeight="12576" activeTab="1" xr2:uid="{ED9BEAC6-6B65-4A03-B27D-B8FACF897690}"/>
  </bookViews>
  <sheets>
    <sheet name="Info" sheetId="8" r:id="rId1"/>
    <sheet name="EMMa" sheetId="1" r:id="rId2"/>
    <sheet name="Visualization" sheetId="13" state="hidden" r:id="rId3"/>
    <sheet name="Score_summary" sheetId="16" state="hidden" r:id="rId4"/>
    <sheet name="EMMa_vis" sheetId="19" state="hidden" r:id="rId5"/>
    <sheet name="Visualization_Average" sheetId="17" r:id="rId6"/>
    <sheet name="Score_summary_Average (2)" sheetId="20" state="hidden" r:id="rId7"/>
    <sheet name="Score_summary_Average" sheetId="18" r:id="rId8"/>
    <sheet name="MOPs" sheetId="2" state="hidden" r:id="rId9"/>
    <sheet name="Standardization" sheetId="12" state="hidden" r:id="rId10"/>
    <sheet name="Weights1" sheetId="10" state="hidden" r:id="rId11"/>
    <sheet name="KPIs with comments" sheetId="6" state="hidden" r:id="rId12"/>
    <sheet name="Therotical model testing" sheetId="7" r:id="rId13"/>
    <sheet name="Sheet1" sheetId="15" state="hidden" r:id="rId14"/>
    <sheet name="Next Steps_1st review" sheetId="4" state="hidden" r:id="rId15"/>
    <sheet name="Agenda for the meeting" sheetId="9" state="hidden" r:id="rId16"/>
  </sheets>
  <definedNames>
    <definedName name="_xlnm._FilterDatabase" localSheetId="1" hidden="1">EMMa!$A$2:$K$37</definedName>
    <definedName name="_xlnm._FilterDatabase" localSheetId="4" hidden="1">EMMa_vis!$A$3:$K$38</definedName>
    <definedName name="_xlnm._FilterDatabase" localSheetId="8" hidden="1">MOPs!$A$1:$E$25</definedName>
    <definedName name="_xlnm._FilterDatabase" localSheetId="3" hidden="1">Score_summary!$A$1:$E$37</definedName>
    <definedName name="_xlnm._FilterDatabase" localSheetId="7" hidden="1">Score_summary_Average!$A$1:$E$1</definedName>
    <definedName name="_xlnm._FilterDatabase" localSheetId="6" hidden="1">'Score_summary_Average (2)'!$A$1:$E$1</definedName>
    <definedName name="_xlnm._FilterDatabase" localSheetId="12" hidden="1">'Therotical model testing'!$A$1:$H$1</definedName>
  </definedNames>
  <calcPr calcId="181029"/>
  <pivotCaches>
    <pivotCache cacheId="0" r:id="rId17"/>
    <pivotCache cacheId="1" r:id="rId18"/>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53" i="20" l="1"/>
  <c r="V53" i="20"/>
  <c r="O53" i="20"/>
  <c r="Q49" i="20"/>
  <c r="R49" i="20"/>
  <c r="W49" i="20" s="1"/>
  <c r="S49" i="20"/>
  <c r="X49" i="20" s="1"/>
  <c r="T49" i="20"/>
  <c r="Y49" i="20" s="1"/>
  <c r="V49" i="20"/>
  <c r="Q50" i="20"/>
  <c r="R50" i="20"/>
  <c r="W50" i="20" s="1"/>
  <c r="S50" i="20"/>
  <c r="X50" i="20" s="1"/>
  <c r="T50" i="20"/>
  <c r="Y50" i="20" s="1"/>
  <c r="V50" i="20"/>
  <c r="Q51" i="20"/>
  <c r="R51" i="20"/>
  <c r="W51" i="20" s="1"/>
  <c r="S51" i="20"/>
  <c r="X51" i="20" s="1"/>
  <c r="T51" i="20"/>
  <c r="Y51" i="20" s="1"/>
  <c r="V51" i="20"/>
  <c r="Q44" i="20"/>
  <c r="R44" i="20"/>
  <c r="W44" i="20" s="1"/>
  <c r="S44" i="20"/>
  <c r="X44" i="20" s="1"/>
  <c r="T44" i="20"/>
  <c r="Y44" i="20" s="1"/>
  <c r="V44" i="20"/>
  <c r="Q45" i="20"/>
  <c r="R45" i="20"/>
  <c r="W45" i="20" s="1"/>
  <c r="S45" i="20"/>
  <c r="X45" i="20" s="1"/>
  <c r="T45" i="20"/>
  <c r="Y45" i="20" s="1"/>
  <c r="V45" i="20"/>
  <c r="Q46" i="20"/>
  <c r="R46" i="20"/>
  <c r="W46" i="20" s="1"/>
  <c r="S46" i="20"/>
  <c r="X46" i="20" s="1"/>
  <c r="T46" i="20"/>
  <c r="Y46" i="20" s="1"/>
  <c r="V46" i="20"/>
  <c r="A3" i="20"/>
  <c r="Q3" i="20"/>
  <c r="V3" i="20" s="1"/>
  <c r="R3" i="20"/>
  <c r="W3" i="20" s="1"/>
  <c r="S3" i="20"/>
  <c r="X3" i="20" s="1"/>
  <c r="T3" i="20"/>
  <c r="Y3" i="20" s="1"/>
  <c r="A4" i="20"/>
  <c r="Q4" i="20"/>
  <c r="V4" i="20" s="1"/>
  <c r="R4" i="20"/>
  <c r="W4" i="20" s="1"/>
  <c r="S4" i="20"/>
  <c r="X4" i="20" s="1"/>
  <c r="T4" i="20"/>
  <c r="A5" i="20"/>
  <c r="Q5" i="20"/>
  <c r="V5" i="20" s="1"/>
  <c r="R5" i="20"/>
  <c r="W5" i="20" s="1"/>
  <c r="S5" i="20"/>
  <c r="T5" i="20"/>
  <c r="A6" i="20"/>
  <c r="A7" i="20"/>
  <c r="A8" i="20" s="1"/>
  <c r="A9" i="20" s="1"/>
  <c r="A10" i="20" s="1"/>
  <c r="A11" i="20" s="1"/>
  <c r="A12" i="20" s="1"/>
  <c r="A13" i="20" s="1"/>
  <c r="A14" i="20" s="1"/>
  <c r="A15" i="20" s="1"/>
  <c r="A16" i="20" s="1"/>
  <c r="A17" i="20" s="1"/>
  <c r="A18" i="20" s="1"/>
  <c r="A19" i="20" s="1"/>
  <c r="A20" i="20" s="1"/>
  <c r="A21" i="20" s="1"/>
  <c r="A22" i="20" s="1"/>
  <c r="A23" i="20" s="1"/>
  <c r="A24" i="20" s="1"/>
  <c r="A25" i="20" s="1"/>
  <c r="A26" i="20" s="1"/>
  <c r="A27" i="20" s="1"/>
  <c r="A28" i="20" s="1"/>
  <c r="A29" i="20" s="1"/>
  <c r="A30" i="20" s="1"/>
  <c r="A31" i="20" s="1"/>
  <c r="A32" i="20" s="1"/>
  <c r="A33" i="20" s="1"/>
  <c r="A34" i="20" s="1"/>
  <c r="A35" i="20" s="1"/>
  <c r="A36" i="20" s="1"/>
  <c r="A37" i="20" s="1"/>
  <c r="Q8" i="20"/>
  <c r="R8" i="20"/>
  <c r="S8" i="20"/>
  <c r="T8" i="20"/>
  <c r="Y8" i="20" s="1"/>
  <c r="V8" i="20"/>
  <c r="W8" i="20"/>
  <c r="X8" i="20"/>
  <c r="G23" i="20"/>
  <c r="Q9" i="20"/>
  <c r="R9" i="20"/>
  <c r="W9" i="20" s="1"/>
  <c r="S9" i="20"/>
  <c r="X9" i="20" s="1"/>
  <c r="T9" i="20"/>
  <c r="Y9" i="20" s="1"/>
  <c r="V9" i="20"/>
  <c r="Q10" i="20"/>
  <c r="V10" i="20" s="1"/>
  <c r="R10" i="20"/>
  <c r="W10" i="20" s="1"/>
  <c r="S10" i="20"/>
  <c r="X10" i="20" s="1"/>
  <c r="T10" i="20"/>
  <c r="Y10" i="20" s="1"/>
  <c r="Q13" i="20"/>
  <c r="X13" i="20" s="1"/>
  <c r="R13" i="20"/>
  <c r="S13" i="20"/>
  <c r="T13" i="20"/>
  <c r="Q14" i="20"/>
  <c r="R14" i="20"/>
  <c r="S14" i="20"/>
  <c r="T14" i="20"/>
  <c r="V14" i="20"/>
  <c r="W14" i="20"/>
  <c r="X14" i="20"/>
  <c r="Y14" i="20"/>
  <c r="Q15" i="20"/>
  <c r="R15" i="20"/>
  <c r="S15" i="20"/>
  <c r="T15" i="20"/>
  <c r="Y15" i="20" s="1"/>
  <c r="V15" i="20"/>
  <c r="W15" i="20"/>
  <c r="X15" i="20"/>
  <c r="O17" i="20"/>
  <c r="V17" i="20"/>
  <c r="AE17" i="20"/>
  <c r="Q39" i="20"/>
  <c r="R39" i="20"/>
  <c r="S39" i="20"/>
  <c r="X39" i="20" s="1"/>
  <c r="T39" i="20"/>
  <c r="Y39" i="20" s="1"/>
  <c r="V39" i="20"/>
  <c r="W39" i="20"/>
  <c r="Q40" i="20"/>
  <c r="R40" i="20"/>
  <c r="S40" i="20"/>
  <c r="X40" i="20" s="1"/>
  <c r="T40" i="20"/>
  <c r="Y40" i="20" s="1"/>
  <c r="V40" i="20"/>
  <c r="W40" i="20"/>
  <c r="Q41" i="20"/>
  <c r="R41" i="20"/>
  <c r="S41" i="20"/>
  <c r="X41" i="20" s="1"/>
  <c r="T41" i="20"/>
  <c r="Y41" i="20" s="1"/>
  <c r="V41" i="20"/>
  <c r="W41" i="20"/>
  <c r="AE53" i="18"/>
  <c r="V53" i="18"/>
  <c r="O53" i="18"/>
  <c r="Y51" i="18"/>
  <c r="X51" i="18"/>
  <c r="W51" i="18"/>
  <c r="V51" i="18"/>
  <c r="Y50" i="18"/>
  <c r="X50" i="18"/>
  <c r="W50" i="18"/>
  <c r="V50" i="18"/>
  <c r="Y49" i="18"/>
  <c r="X49" i="18"/>
  <c r="W49" i="18"/>
  <c r="V49" i="18"/>
  <c r="Y46" i="18"/>
  <c r="X46" i="18"/>
  <c r="W46" i="18"/>
  <c r="V46" i="18"/>
  <c r="Y45" i="18"/>
  <c r="X45" i="18"/>
  <c r="W45" i="18"/>
  <c r="V45" i="18"/>
  <c r="Y44" i="18"/>
  <c r="X44" i="18"/>
  <c r="W44" i="18"/>
  <c r="V44" i="18"/>
  <c r="Y41" i="18"/>
  <c r="X41" i="18"/>
  <c r="W41" i="18"/>
  <c r="V41" i="18"/>
  <c r="Y40" i="18"/>
  <c r="X40" i="18"/>
  <c r="W40" i="18"/>
  <c r="V40" i="18"/>
  <c r="Y39" i="18"/>
  <c r="X39" i="18"/>
  <c r="W39" i="18"/>
  <c r="V39" i="18"/>
  <c r="T51" i="18"/>
  <c r="S51" i="18"/>
  <c r="R51" i="18"/>
  <c r="Q51" i="18"/>
  <c r="T50" i="18"/>
  <c r="S50" i="18"/>
  <c r="R50" i="18"/>
  <c r="Q50" i="18"/>
  <c r="T49" i="18"/>
  <c r="S49" i="18"/>
  <c r="R49" i="18"/>
  <c r="Q49" i="18"/>
  <c r="T46" i="18"/>
  <c r="S46" i="18"/>
  <c r="R46" i="18"/>
  <c r="Q46" i="18"/>
  <c r="T45" i="18"/>
  <c r="S45" i="18"/>
  <c r="R45" i="18"/>
  <c r="Q45" i="18"/>
  <c r="T44" i="18"/>
  <c r="S44" i="18"/>
  <c r="R44" i="18"/>
  <c r="Q44" i="18"/>
  <c r="T41" i="18"/>
  <c r="S41" i="18"/>
  <c r="R41" i="18"/>
  <c r="Q41" i="18"/>
  <c r="T40" i="18"/>
  <c r="S40" i="18"/>
  <c r="R40" i="18"/>
  <c r="Q40" i="18"/>
  <c r="T39" i="18"/>
  <c r="S39" i="18"/>
  <c r="R39" i="18"/>
  <c r="Q39" i="18"/>
  <c r="AE17" i="18"/>
  <c r="V17" i="18"/>
  <c r="O17" i="18"/>
  <c r="T15" i="18"/>
  <c r="S15" i="18"/>
  <c r="R15" i="18"/>
  <c r="Q15" i="18"/>
  <c r="W15" i="18" s="1"/>
  <c r="T14" i="18"/>
  <c r="S14" i="18"/>
  <c r="R14" i="18"/>
  <c r="Q14" i="18"/>
  <c r="Y14" i="18" s="1"/>
  <c r="T13" i="18"/>
  <c r="S13" i="18"/>
  <c r="R13" i="18"/>
  <c r="Q13" i="18"/>
  <c r="W13" i="18" s="1"/>
  <c r="T10" i="18"/>
  <c r="S10" i="18"/>
  <c r="R10" i="18"/>
  <c r="Q10" i="18"/>
  <c r="Y10" i="18" s="1"/>
  <c r="T9" i="18"/>
  <c r="S9" i="18"/>
  <c r="R9" i="18"/>
  <c r="Q9" i="18"/>
  <c r="T8" i="18"/>
  <c r="S8" i="18"/>
  <c r="R8" i="18"/>
  <c r="Q8" i="18"/>
  <c r="X8" i="18" s="1"/>
  <c r="T5" i="18"/>
  <c r="S5" i="18"/>
  <c r="R5" i="18"/>
  <c r="Q5" i="18"/>
  <c r="V5" i="18" s="1"/>
  <c r="T4" i="18"/>
  <c r="S4" i="18"/>
  <c r="R4" i="18"/>
  <c r="Q4" i="18"/>
  <c r="Y4" i="18" s="1"/>
  <c r="T3" i="18"/>
  <c r="S3" i="18"/>
  <c r="R3" i="18"/>
  <c r="Q3" i="18"/>
  <c r="V3" i="18" s="1"/>
  <c r="J38" i="19"/>
  <c r="I38" i="19"/>
  <c r="H38" i="19"/>
  <c r="G38" i="19"/>
  <c r="J37" i="19"/>
  <c r="I37" i="19"/>
  <c r="H37" i="19"/>
  <c r="G37" i="19"/>
  <c r="J36" i="19"/>
  <c r="I36" i="19"/>
  <c r="H36" i="19"/>
  <c r="G36" i="19"/>
  <c r="J35" i="19"/>
  <c r="I35" i="19"/>
  <c r="H35" i="19"/>
  <c r="G35" i="19"/>
  <c r="J34" i="19"/>
  <c r="I34" i="19"/>
  <c r="H34" i="19"/>
  <c r="G34" i="19"/>
  <c r="J33" i="19"/>
  <c r="I33" i="19"/>
  <c r="H33" i="19"/>
  <c r="G33" i="19"/>
  <c r="J32" i="19"/>
  <c r="I32" i="19"/>
  <c r="H32" i="19"/>
  <c r="G32" i="19"/>
  <c r="G30" i="19"/>
  <c r="G29" i="19"/>
  <c r="J27" i="19"/>
  <c r="I27" i="19"/>
  <c r="H27" i="19"/>
  <c r="G27" i="19"/>
  <c r="G25" i="19"/>
  <c r="G24" i="19"/>
  <c r="G23" i="19"/>
  <c r="G22" i="19"/>
  <c r="G21" i="19"/>
  <c r="G20" i="19"/>
  <c r="G19" i="19"/>
  <c r="G18" i="19"/>
  <c r="J16" i="19"/>
  <c r="I16" i="19"/>
  <c r="H16" i="19"/>
  <c r="G16" i="19"/>
  <c r="J15" i="19"/>
  <c r="I15" i="19"/>
  <c r="H15" i="19"/>
  <c r="G15" i="19"/>
  <c r="G13" i="19"/>
  <c r="J11" i="19"/>
  <c r="I11" i="19"/>
  <c r="H11" i="19"/>
  <c r="G11" i="19"/>
  <c r="J10" i="19"/>
  <c r="I10" i="19"/>
  <c r="H10" i="19"/>
  <c r="G10" i="19"/>
  <c r="J9" i="19"/>
  <c r="I9" i="19"/>
  <c r="H9" i="19"/>
  <c r="G9" i="19"/>
  <c r="J8" i="19"/>
  <c r="I8" i="19"/>
  <c r="H8" i="19"/>
  <c r="G8" i="19"/>
  <c r="J7" i="19"/>
  <c r="I7" i="19"/>
  <c r="H7" i="19"/>
  <c r="G7" i="19"/>
  <c r="J6" i="19"/>
  <c r="I6" i="19"/>
  <c r="H6" i="19"/>
  <c r="G6" i="19"/>
  <c r="J5" i="19"/>
  <c r="I5" i="19"/>
  <c r="H5" i="19"/>
  <c r="G5" i="19"/>
  <c r="F38" i="19"/>
  <c r="F37" i="19"/>
  <c r="F36" i="19"/>
  <c r="F35" i="19"/>
  <c r="F34" i="19"/>
  <c r="F33" i="19"/>
  <c r="F32" i="19"/>
  <c r="F30" i="19"/>
  <c r="F29" i="19"/>
  <c r="F27" i="19"/>
  <c r="F25" i="19"/>
  <c r="F24" i="19"/>
  <c r="F23" i="19"/>
  <c r="F22" i="19"/>
  <c r="F21" i="19"/>
  <c r="F20" i="19"/>
  <c r="F19" i="19"/>
  <c r="F18" i="19"/>
  <c r="F16" i="19"/>
  <c r="F15" i="19"/>
  <c r="F13" i="19"/>
  <c r="F6" i="19"/>
  <c r="F7" i="19"/>
  <c r="F8" i="19"/>
  <c r="F9" i="19"/>
  <c r="F10" i="19"/>
  <c r="F11" i="19"/>
  <c r="F5" i="19"/>
  <c r="E38" i="19"/>
  <c r="D38" i="19"/>
  <c r="C38" i="19"/>
  <c r="E37" i="19"/>
  <c r="D37" i="19"/>
  <c r="C37" i="19"/>
  <c r="E36" i="19"/>
  <c r="D36" i="19"/>
  <c r="C36" i="19"/>
  <c r="E35" i="19"/>
  <c r="D35" i="19"/>
  <c r="C35" i="19"/>
  <c r="E34" i="19"/>
  <c r="D34" i="19"/>
  <c r="C34" i="19"/>
  <c r="E33" i="19"/>
  <c r="D33" i="19"/>
  <c r="C33" i="19"/>
  <c r="E32" i="19"/>
  <c r="D32" i="19"/>
  <c r="C32" i="19"/>
  <c r="E27" i="19"/>
  <c r="D27" i="19"/>
  <c r="C27" i="19"/>
  <c r="E16" i="19"/>
  <c r="D16" i="19"/>
  <c r="C16" i="19"/>
  <c r="E15" i="19"/>
  <c r="D15" i="19"/>
  <c r="C15" i="19"/>
  <c r="E11" i="19"/>
  <c r="D11" i="19"/>
  <c r="C11" i="19"/>
  <c r="E10" i="19"/>
  <c r="D10" i="19"/>
  <c r="C10" i="19"/>
  <c r="E9" i="19"/>
  <c r="D9" i="19"/>
  <c r="C9" i="19"/>
  <c r="E8" i="19"/>
  <c r="D8" i="19"/>
  <c r="C8" i="19"/>
  <c r="E7" i="19"/>
  <c r="D7" i="19"/>
  <c r="C7" i="19"/>
  <c r="E6" i="19"/>
  <c r="D6" i="19"/>
  <c r="C6" i="19"/>
  <c r="E5" i="19"/>
  <c r="D5" i="19"/>
  <c r="C5" i="19"/>
  <c r="J41" i="19"/>
  <c r="H41" i="19"/>
  <c r="F41" i="19"/>
  <c r="B38" i="19"/>
  <c r="B37" i="19"/>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Y13" i="20" l="1"/>
  <c r="Y5" i="20"/>
  <c r="X5" i="20"/>
  <c r="Y4" i="20"/>
  <c r="W13" i="20"/>
  <c r="V13" i="20"/>
  <c r="Y9" i="18"/>
  <c r="X13" i="18"/>
  <c r="X15" i="18"/>
  <c r="Y13" i="18"/>
  <c r="Y15" i="18"/>
  <c r="V14" i="18"/>
  <c r="W14" i="18"/>
  <c r="X14" i="18"/>
  <c r="V13" i="18"/>
  <c r="V15" i="18"/>
  <c r="V9" i="18"/>
  <c r="W9" i="18"/>
  <c r="X9" i="18"/>
  <c r="Y8" i="18"/>
  <c r="V8" i="18"/>
  <c r="V10" i="18"/>
  <c r="W8" i="18"/>
  <c r="W10" i="18"/>
  <c r="X10" i="18"/>
  <c r="V4" i="18"/>
  <c r="W3" i="18"/>
  <c r="W5" i="18"/>
  <c r="X3" i="18"/>
  <c r="X5" i="18"/>
  <c r="Y3" i="18"/>
  <c r="Y5" i="18"/>
  <c r="W4" i="18"/>
  <c r="X4" i="18"/>
  <c r="E30" i="19"/>
  <c r="D30" i="19"/>
  <c r="C30" i="19"/>
  <c r="E29" i="19"/>
  <c r="D29" i="19"/>
  <c r="C29" i="19"/>
  <c r="E13" i="19"/>
  <c r="D13" i="19"/>
  <c r="A2" i="1"/>
  <c r="A3" i="19" s="1"/>
  <c r="C13" i="19"/>
  <c r="B2" i="1"/>
  <c r="B3" i="19" s="1"/>
  <c r="L13" i="17"/>
  <c r="G9" i="18"/>
  <c r="V13" i="17"/>
  <c r="AF12" i="17"/>
  <c r="V12" i="17"/>
  <c r="A12" i="17"/>
  <c r="L12" i="17" s="1"/>
  <c r="AF11" i="17"/>
  <c r="V11" i="17"/>
  <c r="A11" i="17"/>
  <c r="L11" i="17" s="1"/>
  <c r="V10" i="17"/>
  <c r="A10" i="17"/>
  <c r="L10" i="17" s="1"/>
  <c r="V9" i="17"/>
  <c r="A9" i="17"/>
  <c r="L9" i="17" s="1"/>
  <c r="AF8" i="17"/>
  <c r="A8" i="17"/>
  <c r="L8" i="17" s="1"/>
  <c r="AF7" i="17"/>
  <c r="V7" i="17"/>
  <c r="A7" i="17"/>
  <c r="L7" i="17" s="1"/>
  <c r="AF6" i="17"/>
  <c r="V6" i="17"/>
  <c r="A6" i="17"/>
  <c r="L6" i="17" s="1"/>
  <c r="AF5" i="17"/>
  <c r="V5" i="17"/>
  <c r="D5" i="17"/>
  <c r="Y5" i="17" s="1"/>
  <c r="AI5" i="17" s="1"/>
  <c r="C5" i="17"/>
  <c r="X5" i="17" s="1"/>
  <c r="AH5" i="17" s="1"/>
  <c r="B5" i="17"/>
  <c r="W5" i="17" s="1"/>
  <c r="AG5" i="17" s="1"/>
  <c r="K8" i="16"/>
  <c r="M37" i="19" l="1"/>
  <c r="S37" i="19"/>
  <c r="S18" i="19"/>
  <c r="N15" i="19"/>
  <c r="M8" i="19"/>
  <c r="S15" i="19"/>
  <c r="S7" i="19"/>
  <c r="K5" i="19"/>
  <c r="S5" i="19"/>
  <c r="S22" i="19"/>
  <c r="S35" i="19"/>
  <c r="M23" i="19"/>
  <c r="K18" i="19"/>
  <c r="S27" i="19"/>
  <c r="S24" i="19"/>
  <c r="N22" i="19"/>
  <c r="O20" i="19"/>
  <c r="N16" i="19"/>
  <c r="S20" i="19"/>
  <c r="N34" i="19"/>
  <c r="L21" i="19"/>
  <c r="S33" i="19"/>
  <c r="S11" i="19"/>
  <c r="S30" i="19"/>
  <c r="S9" i="19"/>
  <c r="O22" i="19"/>
  <c r="T22" i="19"/>
  <c r="O24" i="19"/>
  <c r="U22" i="19"/>
  <c r="O27" i="19"/>
  <c r="V22" i="19"/>
  <c r="O30" i="19"/>
  <c r="S23" i="19"/>
  <c r="O33" i="19"/>
  <c r="T23" i="19"/>
  <c r="O35" i="19"/>
  <c r="U23" i="19"/>
  <c r="O37" i="19"/>
  <c r="V23" i="19"/>
  <c r="P7" i="19"/>
  <c r="P27" i="19"/>
  <c r="Q11" i="19"/>
  <c r="Q33" i="19"/>
  <c r="R18" i="19"/>
  <c r="R37" i="19"/>
  <c r="O23" i="19"/>
  <c r="P6" i="19"/>
  <c r="P25" i="19"/>
  <c r="Q10" i="19"/>
  <c r="Q32" i="19"/>
  <c r="R16" i="19"/>
  <c r="R36" i="19"/>
  <c r="M18" i="19"/>
  <c r="M36" i="19"/>
  <c r="K10" i="19"/>
  <c r="L8" i="19"/>
  <c r="K35" i="19"/>
  <c r="L13" i="19"/>
  <c r="N37" i="19"/>
  <c r="L24" i="19"/>
  <c r="K15" i="19"/>
  <c r="K36" i="19"/>
  <c r="L38" i="19"/>
  <c r="N24" i="19"/>
  <c r="O5" i="19"/>
  <c r="V21" i="19"/>
  <c r="Q8" i="19"/>
  <c r="K34" i="19"/>
  <c r="T5" i="19"/>
  <c r="T24" i="19"/>
  <c r="U5" i="19"/>
  <c r="U24" i="19"/>
  <c r="V5" i="19"/>
  <c r="V24" i="19"/>
  <c r="S6" i="19"/>
  <c r="S25" i="19"/>
  <c r="T6" i="19"/>
  <c r="T25" i="19"/>
  <c r="U6" i="19"/>
  <c r="U25" i="19"/>
  <c r="V6" i="19"/>
  <c r="V25" i="19"/>
  <c r="P9" i="19"/>
  <c r="P30" i="19"/>
  <c r="Q15" i="19"/>
  <c r="Q35" i="19"/>
  <c r="R20" i="19"/>
  <c r="O6" i="19"/>
  <c r="O25" i="19"/>
  <c r="P8" i="19"/>
  <c r="P29" i="19"/>
  <c r="Q13" i="19"/>
  <c r="Q34" i="19"/>
  <c r="R19" i="19"/>
  <c r="R38" i="19"/>
  <c r="K29" i="19"/>
  <c r="L7" i="19"/>
  <c r="K11" i="19"/>
  <c r="L10" i="19"/>
  <c r="L22" i="19"/>
  <c r="M15" i="19"/>
  <c r="K38" i="19"/>
  <c r="N25" i="19"/>
  <c r="K19" i="19"/>
  <c r="M38" i="19"/>
  <c r="L6" i="19"/>
  <c r="L30" i="19"/>
  <c r="K23" i="19"/>
  <c r="L36" i="19"/>
  <c r="M24" i="19"/>
  <c r="L15" i="19"/>
  <c r="K30" i="19"/>
  <c r="O7" i="19"/>
  <c r="O15" i="19"/>
  <c r="Q9" i="19"/>
  <c r="P23" i="19"/>
  <c r="K32" i="19"/>
  <c r="N10" i="19"/>
  <c r="L23" i="19"/>
  <c r="T7" i="19"/>
  <c r="T27" i="19"/>
  <c r="U7" i="19"/>
  <c r="U27" i="19"/>
  <c r="V7" i="19"/>
  <c r="V27" i="19"/>
  <c r="S8" i="19"/>
  <c r="S29" i="19"/>
  <c r="T8" i="19"/>
  <c r="T29" i="19"/>
  <c r="U8" i="19"/>
  <c r="U29" i="19"/>
  <c r="V8" i="19"/>
  <c r="V29" i="19"/>
  <c r="P11" i="19"/>
  <c r="P33" i="19"/>
  <c r="Q18" i="19"/>
  <c r="Q37" i="19"/>
  <c r="R22" i="19"/>
  <c r="O8" i="19"/>
  <c r="O29" i="19"/>
  <c r="P10" i="19"/>
  <c r="P32" i="19"/>
  <c r="Q16" i="19"/>
  <c r="Q36" i="19"/>
  <c r="R21" i="19"/>
  <c r="L37" i="19"/>
  <c r="M19" i="19"/>
  <c r="K25" i="19"/>
  <c r="L25" i="19"/>
  <c r="L11" i="19"/>
  <c r="L27" i="19"/>
  <c r="M16" i="19"/>
  <c r="K24" i="19"/>
  <c r="K33" i="19"/>
  <c r="M20" i="19"/>
  <c r="M25" i="19"/>
  <c r="K8" i="19"/>
  <c r="M33" i="19"/>
  <c r="N27" i="19"/>
  <c r="K9" i="19"/>
  <c r="M21" i="19"/>
  <c r="M11" i="19"/>
  <c r="K6" i="19"/>
  <c r="L19" i="19"/>
  <c r="S21" i="19"/>
  <c r="U21" i="19"/>
  <c r="Q30" i="19"/>
  <c r="Q29" i="19"/>
  <c r="M7" i="19"/>
  <c r="M34" i="19"/>
  <c r="T9" i="19"/>
  <c r="T30" i="19"/>
  <c r="U9" i="19"/>
  <c r="U30" i="19"/>
  <c r="V9" i="19"/>
  <c r="V30" i="19"/>
  <c r="S10" i="19"/>
  <c r="S32" i="19"/>
  <c r="T10" i="19"/>
  <c r="T32" i="19"/>
  <c r="U10" i="19"/>
  <c r="U32" i="19"/>
  <c r="V10" i="19"/>
  <c r="V32" i="19"/>
  <c r="P15" i="19"/>
  <c r="P35" i="19"/>
  <c r="Q20" i="19"/>
  <c r="R5" i="19"/>
  <c r="R24" i="19"/>
  <c r="O10" i="19"/>
  <c r="O32" i="19"/>
  <c r="P13" i="19"/>
  <c r="P34" i="19"/>
  <c r="Q19" i="19"/>
  <c r="Q38" i="19"/>
  <c r="R23" i="19"/>
  <c r="K13" i="19"/>
  <c r="L29" i="19"/>
  <c r="N29" i="19"/>
  <c r="N30" i="19"/>
  <c r="K16" i="19"/>
  <c r="L34" i="19"/>
  <c r="L18" i="19"/>
  <c r="M35" i="19"/>
  <c r="M9" i="19"/>
  <c r="M32" i="19"/>
  <c r="L35" i="19"/>
  <c r="N36" i="19"/>
  <c r="O9" i="19"/>
  <c r="O11" i="19"/>
  <c r="P5" i="19"/>
  <c r="R35" i="19"/>
  <c r="L16" i="19"/>
  <c r="N11" i="19"/>
  <c r="T11" i="19"/>
  <c r="T33" i="19"/>
  <c r="U11" i="19"/>
  <c r="U33" i="19"/>
  <c r="V11" i="19"/>
  <c r="V33" i="19"/>
  <c r="S13" i="19"/>
  <c r="S34" i="19"/>
  <c r="T13" i="19"/>
  <c r="T34" i="19"/>
  <c r="U13" i="19"/>
  <c r="U34" i="19"/>
  <c r="V13" i="19"/>
  <c r="V34" i="19"/>
  <c r="P18" i="19"/>
  <c r="P37" i="19"/>
  <c r="Q22" i="19"/>
  <c r="R7" i="19"/>
  <c r="R27" i="19"/>
  <c r="O13" i="19"/>
  <c r="O34" i="19"/>
  <c r="P16" i="19"/>
  <c r="P36" i="19"/>
  <c r="Q21" i="19"/>
  <c r="R6" i="19"/>
  <c r="R25" i="19"/>
  <c r="M13" i="19"/>
  <c r="K7" i="19"/>
  <c r="M30" i="19"/>
  <c r="N18" i="19"/>
  <c r="K21" i="19"/>
  <c r="L5" i="19"/>
  <c r="N5" i="19"/>
  <c r="N38" i="19"/>
  <c r="U20" i="19"/>
  <c r="N33" i="19"/>
  <c r="N35" i="19"/>
  <c r="T15" i="19"/>
  <c r="T35" i="19"/>
  <c r="U15" i="19"/>
  <c r="U35" i="19"/>
  <c r="V15" i="19"/>
  <c r="V35" i="19"/>
  <c r="S16" i="19"/>
  <c r="S36" i="19"/>
  <c r="T16" i="19"/>
  <c r="T36" i="19"/>
  <c r="U16" i="19"/>
  <c r="U36" i="19"/>
  <c r="V16" i="19"/>
  <c r="V36" i="19"/>
  <c r="P20" i="19"/>
  <c r="Q5" i="19"/>
  <c r="Q24" i="19"/>
  <c r="R9" i="19"/>
  <c r="R30" i="19"/>
  <c r="O16" i="19"/>
  <c r="O36" i="19"/>
  <c r="P19" i="19"/>
  <c r="P38" i="19"/>
  <c r="Q23" i="19"/>
  <c r="R8" i="19"/>
  <c r="R29" i="19"/>
  <c r="K20" i="19"/>
  <c r="N19" i="19"/>
  <c r="L32" i="19"/>
  <c r="N23" i="19"/>
  <c r="K22" i="19"/>
  <c r="N8" i="19"/>
  <c r="M22" i="19"/>
  <c r="N13" i="19"/>
  <c r="V20" i="19"/>
  <c r="T21" i="19"/>
  <c r="P24" i="19"/>
  <c r="O21" i="19"/>
  <c r="R34" i="19"/>
  <c r="L20" i="19"/>
  <c r="T18" i="19"/>
  <c r="T37" i="19"/>
  <c r="U18" i="19"/>
  <c r="U37" i="19"/>
  <c r="V18" i="19"/>
  <c r="V37" i="19"/>
  <c r="S19" i="19"/>
  <c r="S38" i="19"/>
  <c r="T19" i="19"/>
  <c r="T38" i="19"/>
  <c r="U19" i="19"/>
  <c r="U38" i="19"/>
  <c r="V19" i="19"/>
  <c r="V38" i="19"/>
  <c r="P22" i="19"/>
  <c r="Q7" i="19"/>
  <c r="Q27" i="19"/>
  <c r="R11" i="19"/>
  <c r="R33" i="19"/>
  <c r="O19" i="19"/>
  <c r="O38" i="19"/>
  <c r="P21" i="19"/>
  <c r="Q6" i="19"/>
  <c r="Q25" i="19"/>
  <c r="R10" i="19"/>
  <c r="R32" i="19"/>
  <c r="M10" i="19"/>
  <c r="W10" i="19" s="1"/>
  <c r="M29" i="19"/>
  <c r="M6" i="19"/>
  <c r="W6" i="19" s="1"/>
  <c r="N6" i="19"/>
  <c r="K27" i="19"/>
  <c r="N9" i="19"/>
  <c r="M27" i="19"/>
  <c r="M5" i="19"/>
  <c r="L9" i="19"/>
  <c r="L33" i="19"/>
  <c r="N21" i="19"/>
  <c r="N20" i="19"/>
  <c r="K37" i="19"/>
  <c r="W37" i="19" s="1"/>
  <c r="T20" i="19"/>
  <c r="O18" i="19"/>
  <c r="R15" i="19"/>
  <c r="R13" i="19"/>
  <c r="N7" i="19"/>
  <c r="N32" i="19"/>
  <c r="W34" i="19"/>
  <c r="A15" i="17"/>
  <c r="AF14" i="17"/>
  <c r="A40" i="17"/>
  <c r="V14" i="17"/>
  <c r="X7" i="19" l="1"/>
  <c r="Y34" i="19"/>
  <c r="X34" i="19"/>
  <c r="X35" i="19"/>
  <c r="X36" i="19"/>
  <c r="W7" i="19"/>
  <c r="X10" i="19"/>
  <c r="W32" i="19"/>
  <c r="X8" i="19"/>
  <c r="Y10" i="19"/>
  <c r="W33" i="19"/>
  <c r="X15" i="19"/>
  <c r="Y36" i="19"/>
  <c r="Y38" i="19"/>
  <c r="W11" i="19"/>
  <c r="X6" i="19"/>
  <c r="Y6" i="19"/>
  <c r="W16" i="19"/>
  <c r="W9" i="19"/>
  <c r="X5" i="19"/>
  <c r="X11" i="19"/>
  <c r="Y16" i="19"/>
  <c r="Y11" i="19"/>
  <c r="W36" i="19"/>
  <c r="X16" i="19"/>
  <c r="Y32" i="19"/>
  <c r="X33" i="19"/>
  <c r="Y8" i="19"/>
  <c r="X32" i="19"/>
  <c r="W38" i="19"/>
  <c r="W15" i="19"/>
  <c r="X38" i="19"/>
  <c r="W35" i="19"/>
  <c r="Y15" i="19"/>
  <c r="Y35" i="19"/>
  <c r="Y27" i="19"/>
  <c r="Y33" i="19"/>
  <c r="X27" i="19"/>
  <c r="W8" i="19"/>
  <c r="Y7" i="19"/>
  <c r="Y37" i="19"/>
  <c r="W27" i="19"/>
  <c r="X37" i="19"/>
  <c r="Y5" i="19"/>
  <c r="Y9" i="19"/>
  <c r="X9" i="19"/>
  <c r="W5" i="19"/>
  <c r="A3" i="16"/>
  <c r="A4" i="16" s="1"/>
  <c r="A5" i="16" s="1"/>
  <c r="A6" i="16" s="1"/>
  <c r="A7" i="16" s="1"/>
  <c r="A8" i="16" s="1"/>
  <c r="A9" i="16" s="1"/>
  <c r="A10" i="16" s="1"/>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L44" i="13"/>
  <c r="A15" i="13"/>
  <c r="A38" i="13"/>
  <c r="L13" i="13"/>
  <c r="A85" i="12"/>
  <c r="X2" i="12"/>
  <c r="A86" i="12" s="1"/>
  <c r="S8" i="10" l="1"/>
  <c r="S5" i="10"/>
  <c r="D5" i="13"/>
  <c r="Y5" i="13" s="1"/>
  <c r="AI5" i="13" s="1"/>
  <c r="C5" i="13"/>
  <c r="X5" i="13" s="1"/>
  <c r="AH5" i="13" s="1"/>
  <c r="B5" i="13"/>
  <c r="W5" i="13" s="1"/>
  <c r="AG5" i="13" s="1"/>
  <c r="J40" i="1"/>
  <c r="H40" i="1"/>
  <c r="F40" i="1"/>
  <c r="F5" i="12" l="1"/>
  <c r="G5" i="12"/>
  <c r="F6" i="12"/>
  <c r="G6" i="12"/>
  <c r="F7" i="12"/>
  <c r="G7" i="12"/>
  <c r="F8" i="12"/>
  <c r="G8" i="12"/>
  <c r="F9" i="12"/>
  <c r="G9" i="12"/>
  <c r="F10" i="12"/>
  <c r="G10" i="12"/>
  <c r="F11" i="12"/>
  <c r="G11" i="12"/>
  <c r="F13" i="12"/>
  <c r="G13" i="12"/>
  <c r="F15" i="12"/>
  <c r="G15" i="12"/>
  <c r="F16" i="12"/>
  <c r="G16" i="12"/>
  <c r="F18" i="12"/>
  <c r="G18" i="12"/>
  <c r="F19" i="12"/>
  <c r="G19" i="12"/>
  <c r="F20" i="12"/>
  <c r="G20" i="12"/>
  <c r="F21" i="12"/>
  <c r="G21" i="12"/>
  <c r="F22" i="12"/>
  <c r="G22" i="12"/>
  <c r="F23" i="12"/>
  <c r="G23" i="12"/>
  <c r="F24" i="12"/>
  <c r="G24" i="12"/>
  <c r="F25" i="12"/>
  <c r="G25" i="12"/>
  <c r="F27" i="12"/>
  <c r="G27" i="12"/>
  <c r="F29" i="12"/>
  <c r="G29" i="12"/>
  <c r="F30" i="12"/>
  <c r="G30" i="12"/>
  <c r="F32" i="12"/>
  <c r="G32" i="12"/>
  <c r="F33" i="12"/>
  <c r="G33" i="12"/>
  <c r="F34" i="12"/>
  <c r="G34" i="12"/>
  <c r="F35" i="12"/>
  <c r="G35" i="12"/>
  <c r="F36" i="12"/>
  <c r="G36" i="12"/>
  <c r="F37" i="12"/>
  <c r="G37" i="12"/>
  <c r="F38" i="12"/>
  <c r="G38" i="12"/>
  <c r="G3" i="12"/>
  <c r="E38" i="12"/>
  <c r="D38" i="12"/>
  <c r="C38" i="12"/>
  <c r="E37" i="12"/>
  <c r="D37" i="12"/>
  <c r="C37" i="12"/>
  <c r="E36" i="12"/>
  <c r="D36" i="12"/>
  <c r="C36" i="12"/>
  <c r="E35" i="12"/>
  <c r="D35" i="12"/>
  <c r="C35" i="12"/>
  <c r="E34" i="12"/>
  <c r="D34" i="12"/>
  <c r="C34" i="12"/>
  <c r="E33" i="12"/>
  <c r="D33" i="12"/>
  <c r="C33" i="12"/>
  <c r="E32" i="12"/>
  <c r="D32" i="12"/>
  <c r="C32" i="12"/>
  <c r="E16" i="12"/>
  <c r="D16" i="12"/>
  <c r="C16" i="12"/>
  <c r="E15" i="12"/>
  <c r="D15" i="12"/>
  <c r="C15" i="12"/>
  <c r="E11" i="12"/>
  <c r="D11" i="12"/>
  <c r="C11" i="12"/>
  <c r="E10" i="12"/>
  <c r="D10" i="12"/>
  <c r="C10" i="12"/>
  <c r="E7" i="12"/>
  <c r="D7" i="12"/>
  <c r="C7" i="12"/>
  <c r="E6" i="12"/>
  <c r="D6" i="12"/>
  <c r="C6" i="12"/>
  <c r="E5" i="12"/>
  <c r="D5" i="12"/>
  <c r="C5" i="12"/>
  <c r="R37" i="12" l="1"/>
  <c r="T37" i="12"/>
  <c r="Q37" i="12"/>
  <c r="K37" i="12"/>
  <c r="L37" i="12"/>
  <c r="V37" i="12"/>
  <c r="M37" i="12"/>
  <c r="U37" i="12"/>
  <c r="S37" i="12"/>
  <c r="U33" i="12"/>
  <c r="L33" i="12"/>
  <c r="T33" i="12"/>
  <c r="K33" i="12"/>
  <c r="S33" i="12"/>
  <c r="R33" i="12"/>
  <c r="Q33" i="12"/>
  <c r="V33" i="12"/>
  <c r="M33" i="12"/>
  <c r="U11" i="12"/>
  <c r="M11" i="12"/>
  <c r="T11" i="12"/>
  <c r="Q11" i="12"/>
  <c r="S11" i="12"/>
  <c r="R11" i="12"/>
  <c r="L11" i="12"/>
  <c r="K11" i="12"/>
  <c r="V11" i="12"/>
  <c r="S7" i="12"/>
  <c r="T7" i="12"/>
  <c r="K7" i="12"/>
  <c r="M7" i="12"/>
  <c r="V7" i="12"/>
  <c r="L7" i="12"/>
  <c r="U7" i="12"/>
  <c r="Q7" i="12"/>
  <c r="R7" i="12"/>
  <c r="V38" i="12"/>
  <c r="R38" i="12"/>
  <c r="U38" i="12"/>
  <c r="T38" i="12"/>
  <c r="S38" i="12"/>
  <c r="K38" i="12"/>
  <c r="Q38" i="12"/>
  <c r="M38" i="12"/>
  <c r="L38" i="12"/>
  <c r="T36" i="12"/>
  <c r="M36" i="12"/>
  <c r="S36" i="12"/>
  <c r="R36" i="12"/>
  <c r="Q36" i="12"/>
  <c r="K36" i="12"/>
  <c r="L36" i="12"/>
  <c r="U36" i="12"/>
  <c r="V36" i="12"/>
  <c r="Q32" i="12"/>
  <c r="M32" i="12"/>
  <c r="V32" i="12"/>
  <c r="K32" i="12"/>
  <c r="U32" i="12"/>
  <c r="L32" i="12"/>
  <c r="T32" i="12"/>
  <c r="S32" i="12"/>
  <c r="R32" i="12"/>
  <c r="T16" i="12"/>
  <c r="K16" i="12"/>
  <c r="S16" i="12"/>
  <c r="R16" i="12"/>
  <c r="Q16" i="12"/>
  <c r="L16" i="12"/>
  <c r="V16" i="12"/>
  <c r="U16" i="12"/>
  <c r="M16" i="12"/>
  <c r="R10" i="12"/>
  <c r="S10" i="12"/>
  <c r="V10" i="12"/>
  <c r="L10" i="12"/>
  <c r="U10" i="12"/>
  <c r="K10" i="12"/>
  <c r="T10" i="12"/>
  <c r="M10" i="12"/>
  <c r="Q10" i="12"/>
  <c r="T6" i="12"/>
  <c r="L6" i="12"/>
  <c r="R6" i="12"/>
  <c r="M6" i="12"/>
  <c r="S6" i="12"/>
  <c r="Q6" i="12"/>
  <c r="V6" i="12"/>
  <c r="U6" i="12"/>
  <c r="K6" i="12"/>
  <c r="S34" i="12"/>
  <c r="K34" i="12"/>
  <c r="Q34" i="12"/>
  <c r="M34" i="12"/>
  <c r="R34" i="12"/>
  <c r="L34" i="12"/>
  <c r="U34" i="12"/>
  <c r="V34" i="12"/>
  <c r="T34" i="12"/>
  <c r="S35" i="12"/>
  <c r="L35" i="12"/>
  <c r="V35" i="12"/>
  <c r="U35" i="12"/>
  <c r="T35" i="12"/>
  <c r="K35" i="12"/>
  <c r="M35" i="12"/>
  <c r="R35" i="12"/>
  <c r="Q35" i="12"/>
  <c r="M15" i="12"/>
  <c r="V15" i="12"/>
  <c r="U15" i="12"/>
  <c r="L15" i="12"/>
  <c r="T15" i="12"/>
  <c r="K15" i="12"/>
  <c r="S15" i="12"/>
  <c r="R15" i="12"/>
  <c r="Q15" i="12"/>
  <c r="S5" i="12"/>
  <c r="M5" i="12"/>
  <c r="L5" i="12"/>
  <c r="V5" i="12"/>
  <c r="U5" i="12"/>
  <c r="T5" i="12"/>
  <c r="K5" i="12"/>
  <c r="R5" i="12"/>
  <c r="Q5" i="12"/>
  <c r="H6" i="12"/>
  <c r="H5" i="1" s="1"/>
  <c r="J11" i="12"/>
  <c r="J10" i="1" s="1"/>
  <c r="J7" i="12"/>
  <c r="J6" i="1" s="1"/>
  <c r="I34" i="12"/>
  <c r="I33" i="1" s="1"/>
  <c r="I38" i="12"/>
  <c r="I37" i="1" s="1"/>
  <c r="J16" i="12"/>
  <c r="J15" i="1" s="1"/>
  <c r="J38" i="12"/>
  <c r="J37" i="1" s="1"/>
  <c r="H10" i="12"/>
  <c r="H9" i="1" s="1"/>
  <c r="P15" i="12"/>
  <c r="P10" i="12"/>
  <c r="O10" i="12"/>
  <c r="N10" i="12"/>
  <c r="P6" i="12"/>
  <c r="N6" i="12"/>
  <c r="O6" i="12"/>
  <c r="I10" i="12"/>
  <c r="I9" i="1" s="1"/>
  <c r="I6" i="12"/>
  <c r="I5" i="1" s="1"/>
  <c r="J10" i="12"/>
  <c r="J9" i="1" s="1"/>
  <c r="P5" i="12"/>
  <c r="O5" i="12"/>
  <c r="N5" i="12"/>
  <c r="H16" i="12"/>
  <c r="H15" i="1" s="1"/>
  <c r="P16" i="12"/>
  <c r="H5" i="12"/>
  <c r="H4" i="1" s="1"/>
  <c r="J6" i="12"/>
  <c r="J5" i="1" s="1"/>
  <c r="I5" i="12"/>
  <c r="I4" i="1" s="1"/>
  <c r="N11" i="12"/>
  <c r="O11" i="12"/>
  <c r="P11" i="12"/>
  <c r="P7" i="12"/>
  <c r="O7" i="12"/>
  <c r="N7" i="12"/>
  <c r="I11" i="12"/>
  <c r="I10" i="1" s="1"/>
  <c r="I7" i="12"/>
  <c r="I6" i="1" s="1"/>
  <c r="J5" i="12"/>
  <c r="J4" i="1" s="1"/>
  <c r="I15" i="12"/>
  <c r="I14" i="1" s="1"/>
  <c r="H11" i="12"/>
  <c r="H10" i="1" s="1"/>
  <c r="H7" i="12"/>
  <c r="H6" i="1" s="1"/>
  <c r="H33" i="12"/>
  <c r="H32" i="1" s="1"/>
  <c r="H37" i="12"/>
  <c r="H36" i="1" s="1"/>
  <c r="I36" i="12"/>
  <c r="I35" i="1" s="1"/>
  <c r="I32" i="12"/>
  <c r="I31" i="1" s="1"/>
  <c r="O16" i="12"/>
  <c r="I16" i="12"/>
  <c r="I15" i="1" s="1"/>
  <c r="N15" i="12"/>
  <c r="O15" i="12"/>
  <c r="J15" i="12"/>
  <c r="J14" i="1" s="1"/>
  <c r="N16" i="12"/>
  <c r="H15" i="12"/>
  <c r="H14" i="1" s="1"/>
  <c r="O35" i="12"/>
  <c r="P35" i="12"/>
  <c r="N35" i="12"/>
  <c r="I35" i="12"/>
  <c r="I34" i="1" s="1"/>
  <c r="J32" i="12"/>
  <c r="J31" i="1" s="1"/>
  <c r="H32" i="12"/>
  <c r="H31" i="1" s="1"/>
  <c r="H36" i="12"/>
  <c r="H35" i="1" s="1"/>
  <c r="J33" i="12"/>
  <c r="J32" i="1" s="1"/>
  <c r="N34" i="12"/>
  <c r="O34" i="12"/>
  <c r="P34" i="12"/>
  <c r="J34" i="12"/>
  <c r="J33" i="1" s="1"/>
  <c r="N36" i="12"/>
  <c r="O36" i="12"/>
  <c r="P36" i="12"/>
  <c r="J35" i="12"/>
  <c r="J34" i="1" s="1"/>
  <c r="N37" i="12"/>
  <c r="O37" i="12"/>
  <c r="P37" i="12"/>
  <c r="N33" i="12"/>
  <c r="O33" i="12"/>
  <c r="P33" i="12"/>
  <c r="I33" i="12"/>
  <c r="I32" i="1" s="1"/>
  <c r="I37" i="12"/>
  <c r="I36" i="1" s="1"/>
  <c r="J36" i="12"/>
  <c r="J35" i="1" s="1"/>
  <c r="P38" i="12"/>
  <c r="N38" i="12"/>
  <c r="O38" i="12"/>
  <c r="H34" i="12"/>
  <c r="H33" i="1" s="1"/>
  <c r="H38" i="12"/>
  <c r="H37" i="1" s="1"/>
  <c r="J37" i="12"/>
  <c r="J36" i="1" s="1"/>
  <c r="P32" i="12"/>
  <c r="O32" i="12"/>
  <c r="N32" i="12"/>
  <c r="H35" i="12"/>
  <c r="H34" i="1" s="1"/>
  <c r="R5" i="10"/>
  <c r="T5" i="10"/>
  <c r="U5" i="10"/>
  <c r="R6" i="10"/>
  <c r="S6" i="10"/>
  <c r="T6" i="10"/>
  <c r="U6" i="10"/>
  <c r="R7" i="10"/>
  <c r="S7" i="10"/>
  <c r="T7" i="10"/>
  <c r="U7" i="10"/>
  <c r="R8" i="10"/>
  <c r="T8" i="10"/>
  <c r="U8" i="10"/>
  <c r="R9" i="10"/>
  <c r="S9" i="10"/>
  <c r="T9" i="10"/>
  <c r="U9" i="10"/>
  <c r="R10" i="10"/>
  <c r="S10" i="10"/>
  <c r="T10" i="10"/>
  <c r="U10" i="10"/>
  <c r="R11" i="10"/>
  <c r="S11" i="10"/>
  <c r="T11" i="10"/>
  <c r="U11" i="10"/>
  <c r="R12" i="10"/>
  <c r="S12" i="10"/>
  <c r="T12" i="10"/>
  <c r="U12" i="10"/>
  <c r="R13" i="10"/>
  <c r="S13" i="10"/>
  <c r="T13" i="10"/>
  <c r="U13" i="10"/>
  <c r="R14" i="10"/>
  <c r="S14" i="10"/>
  <c r="T14" i="10"/>
  <c r="U14" i="10"/>
  <c r="R15" i="10"/>
  <c r="S15" i="10"/>
  <c r="T15" i="10"/>
  <c r="U15" i="10"/>
  <c r="R16" i="10"/>
  <c r="S16" i="10"/>
  <c r="T16" i="10"/>
  <c r="U16" i="10"/>
  <c r="R17" i="10"/>
  <c r="S17" i="10"/>
  <c r="T17" i="10"/>
  <c r="U17" i="10"/>
  <c r="R18" i="10"/>
  <c r="S18" i="10"/>
  <c r="T18" i="10"/>
  <c r="U18" i="10"/>
  <c r="R19" i="10"/>
  <c r="S19" i="10"/>
  <c r="T19" i="10"/>
  <c r="U19" i="10"/>
  <c r="R20" i="10"/>
  <c r="S20" i="10"/>
  <c r="T20" i="10"/>
  <c r="U20" i="10"/>
  <c r="R21" i="10"/>
  <c r="S21" i="10"/>
  <c r="T21" i="10"/>
  <c r="U21" i="10"/>
  <c r="R22" i="10"/>
  <c r="S22" i="10"/>
  <c r="T22" i="10"/>
  <c r="U22" i="10"/>
  <c r="R23" i="10"/>
  <c r="S23" i="10"/>
  <c r="T23" i="10"/>
  <c r="U23" i="10"/>
  <c r="R24" i="10"/>
  <c r="S24" i="10"/>
  <c r="T24" i="10"/>
  <c r="U24" i="10"/>
  <c r="R25" i="10"/>
  <c r="S25" i="10"/>
  <c r="T25" i="10"/>
  <c r="U25" i="10"/>
  <c r="R26" i="10"/>
  <c r="S26" i="10"/>
  <c r="T26" i="10"/>
  <c r="U26" i="10"/>
  <c r="R27" i="10"/>
  <c r="S27" i="10"/>
  <c r="T27" i="10"/>
  <c r="U27" i="10"/>
  <c r="R28" i="10"/>
  <c r="S28" i="10"/>
  <c r="T28" i="10"/>
  <c r="U28" i="10"/>
  <c r="R29" i="10"/>
  <c r="S29" i="10"/>
  <c r="T29" i="10"/>
  <c r="U29" i="10"/>
  <c r="R30" i="10"/>
  <c r="S30" i="10"/>
  <c r="T30" i="10"/>
  <c r="U30" i="10"/>
  <c r="R31" i="10"/>
  <c r="S31" i="10"/>
  <c r="T31" i="10"/>
  <c r="U31" i="10"/>
  <c r="R32" i="10"/>
  <c r="S32" i="10"/>
  <c r="T32" i="10"/>
  <c r="U32" i="10"/>
  <c r="R33" i="10"/>
  <c r="S33" i="10"/>
  <c r="T33" i="10"/>
  <c r="U33" i="10"/>
  <c r="R34" i="10"/>
  <c r="S34" i="10"/>
  <c r="T34" i="10"/>
  <c r="U34" i="10"/>
  <c r="R35" i="10"/>
  <c r="S35" i="10"/>
  <c r="T35" i="10"/>
  <c r="U35" i="10"/>
  <c r="R36" i="10"/>
  <c r="S36" i="10"/>
  <c r="T36" i="10"/>
  <c r="U36" i="10"/>
  <c r="R37" i="10"/>
  <c r="S37" i="10"/>
  <c r="T37" i="10"/>
  <c r="U37" i="10"/>
  <c r="R38" i="10"/>
  <c r="S38" i="10"/>
  <c r="T38" i="10"/>
  <c r="U38" i="10"/>
  <c r="R39" i="10"/>
  <c r="S39" i="10"/>
  <c r="T39" i="10"/>
  <c r="U39" i="10"/>
  <c r="R40" i="10"/>
  <c r="S40" i="10"/>
  <c r="T40" i="10"/>
  <c r="U40" i="10"/>
  <c r="R41" i="10"/>
  <c r="S41" i="10"/>
  <c r="T41" i="10"/>
  <c r="U41" i="10"/>
  <c r="R42" i="10"/>
  <c r="S42" i="10"/>
  <c r="T42" i="10"/>
  <c r="U42" i="10"/>
  <c r="R43" i="10"/>
  <c r="S43" i="10"/>
  <c r="T43" i="10"/>
  <c r="U43" i="10"/>
  <c r="R44" i="10"/>
  <c r="S44" i="10"/>
  <c r="T44" i="10"/>
  <c r="U44" i="10"/>
  <c r="R45" i="10"/>
  <c r="S45" i="10"/>
  <c r="T45" i="10"/>
  <c r="U45" i="10"/>
  <c r="R46" i="10"/>
  <c r="S46" i="10"/>
  <c r="T46" i="10"/>
  <c r="U46" i="10"/>
  <c r="R47" i="10"/>
  <c r="S47" i="10"/>
  <c r="T47" i="10"/>
  <c r="U47" i="10"/>
  <c r="R48" i="10"/>
  <c r="S48" i="10"/>
  <c r="T48" i="10"/>
  <c r="U48" i="10"/>
  <c r="R49" i="10"/>
  <c r="S49" i="10"/>
  <c r="T49" i="10"/>
  <c r="U49" i="10"/>
  <c r="R50" i="10"/>
  <c r="S50" i="10"/>
  <c r="T50" i="10"/>
  <c r="U50" i="10"/>
  <c r="R51" i="10"/>
  <c r="S51" i="10"/>
  <c r="T51" i="10"/>
  <c r="U51" i="10"/>
  <c r="R52" i="10"/>
  <c r="S52" i="10"/>
  <c r="T52" i="10"/>
  <c r="U52" i="10"/>
  <c r="R53" i="10"/>
  <c r="S53" i="10"/>
  <c r="T53" i="10"/>
  <c r="U53" i="10"/>
  <c r="R54" i="10"/>
  <c r="S54" i="10"/>
  <c r="T54" i="10"/>
  <c r="U54" i="10"/>
  <c r="R55" i="10"/>
  <c r="S55" i="10"/>
  <c r="T55" i="10"/>
  <c r="U55" i="10"/>
  <c r="R56" i="10"/>
  <c r="S56" i="10"/>
  <c r="T56" i="10"/>
  <c r="U56" i="10"/>
  <c r="R57" i="10"/>
  <c r="S57" i="10"/>
  <c r="T57" i="10"/>
  <c r="U57" i="10"/>
  <c r="R58" i="10"/>
  <c r="S58" i="10"/>
  <c r="T58" i="10"/>
  <c r="U58" i="10"/>
  <c r="R59" i="10"/>
  <c r="S59" i="10"/>
  <c r="T59" i="10"/>
  <c r="U59" i="10"/>
  <c r="R60" i="10"/>
  <c r="S60" i="10"/>
  <c r="T60" i="10"/>
  <c r="U60" i="10"/>
  <c r="R61" i="10"/>
  <c r="S61" i="10"/>
  <c r="T61" i="10"/>
  <c r="U61" i="10"/>
  <c r="R62" i="10"/>
  <c r="S62" i="10"/>
  <c r="T62" i="10"/>
  <c r="U62" i="10"/>
  <c r="R63" i="10"/>
  <c r="S63" i="10"/>
  <c r="T63" i="10"/>
  <c r="U63" i="10"/>
  <c r="R64" i="10"/>
  <c r="S64" i="10"/>
  <c r="T64" i="10"/>
  <c r="U64" i="10"/>
  <c r="R65" i="10"/>
  <c r="S65" i="10"/>
  <c r="T65" i="10"/>
  <c r="U65" i="10"/>
  <c r="R66" i="10"/>
  <c r="S66" i="10"/>
  <c r="T66" i="10"/>
  <c r="U66" i="10"/>
  <c r="R67" i="10"/>
  <c r="S67" i="10"/>
  <c r="T67" i="10"/>
  <c r="U67" i="10"/>
  <c r="R68" i="10"/>
  <c r="S68" i="10"/>
  <c r="T68" i="10"/>
  <c r="U68" i="10"/>
  <c r="R69" i="10"/>
  <c r="S69" i="10"/>
  <c r="T69" i="10"/>
  <c r="U69" i="10"/>
  <c r="U4" i="10"/>
  <c r="T4" i="10"/>
  <c r="S4" i="10"/>
  <c r="R4" i="10"/>
  <c r="R44" i="12" l="1"/>
  <c r="L44" i="12"/>
  <c r="K44" i="12"/>
  <c r="S44" i="12"/>
  <c r="I48" i="12"/>
  <c r="H44" i="12"/>
  <c r="T44" i="12"/>
  <c r="N48" i="12"/>
  <c r="I44" i="12"/>
  <c r="K48" i="12"/>
  <c r="V48" i="12"/>
  <c r="M48" i="12"/>
  <c r="R48" i="12"/>
  <c r="Q48" i="12"/>
  <c r="S48" i="12"/>
  <c r="P44" i="12"/>
  <c r="H48" i="12"/>
  <c r="J44" i="12"/>
  <c r="U44" i="12"/>
  <c r="T48" i="12"/>
  <c r="O48" i="12"/>
  <c r="J48" i="12"/>
  <c r="V44" i="12"/>
  <c r="L48" i="12"/>
  <c r="P48" i="12"/>
  <c r="O44" i="12"/>
  <c r="N44" i="12"/>
  <c r="Q44" i="12"/>
  <c r="M44" i="12"/>
  <c r="U48" i="12"/>
  <c r="M6" i="1"/>
  <c r="M20" i="1"/>
  <c r="M10" i="1"/>
  <c r="M4" i="1"/>
  <c r="M17" i="1"/>
  <c r="M18" i="1"/>
  <c r="M21" i="1"/>
  <c r="M19" i="1"/>
  <c r="M5" i="1"/>
  <c r="M22" i="1"/>
  <c r="M26" i="1"/>
  <c r="N28" i="1"/>
  <c r="N29" i="1"/>
  <c r="N9" i="1"/>
  <c r="N24" i="1"/>
  <c r="N23" i="1"/>
  <c r="N12" i="1"/>
  <c r="N6" i="1"/>
  <c r="M31" i="1"/>
  <c r="M34" i="1"/>
  <c r="M32" i="1"/>
  <c r="M37" i="1"/>
  <c r="M36" i="1"/>
  <c r="M35" i="1"/>
  <c r="M33" i="1"/>
  <c r="L20" i="1"/>
  <c r="L18" i="1"/>
  <c r="L4" i="1"/>
  <c r="L10" i="1"/>
  <c r="L21" i="1"/>
  <c r="L5" i="1"/>
  <c r="L17" i="1"/>
  <c r="L26" i="1"/>
  <c r="L19" i="1"/>
  <c r="L22" i="1"/>
  <c r="M28" i="1"/>
  <c r="M29" i="1"/>
  <c r="M9" i="1"/>
  <c r="M23" i="1"/>
  <c r="M24" i="1"/>
  <c r="M12" i="1"/>
  <c r="L28" i="1"/>
  <c r="L29" i="1"/>
  <c r="L23" i="1"/>
  <c r="L12" i="1"/>
  <c r="L24" i="1"/>
  <c r="L9" i="1"/>
  <c r="L6" i="1"/>
  <c r="M14" i="1"/>
  <c r="M15" i="1"/>
  <c r="L14" i="1"/>
  <c r="L15" i="1"/>
  <c r="L7" i="1"/>
  <c r="L8" i="1"/>
  <c r="K6" i="1"/>
  <c r="X7" i="12" s="1"/>
  <c r="AD7" i="12" s="1"/>
  <c r="M7" i="1"/>
  <c r="M8" i="1"/>
  <c r="L34" i="1"/>
  <c r="L37" i="1"/>
  <c r="L33" i="1"/>
  <c r="L31" i="1"/>
  <c r="L32" i="1"/>
  <c r="L35" i="1"/>
  <c r="L36" i="1"/>
  <c r="N36" i="1"/>
  <c r="N37" i="1"/>
  <c r="N33" i="1"/>
  <c r="N31" i="1"/>
  <c r="N34" i="1"/>
  <c r="N32" i="1"/>
  <c r="N35" i="1"/>
  <c r="N15" i="1"/>
  <c r="N14" i="1"/>
  <c r="N8" i="1"/>
  <c r="N7" i="1"/>
  <c r="N17" i="1"/>
  <c r="N26" i="1"/>
  <c r="N18" i="1"/>
  <c r="N19" i="1"/>
  <c r="N20" i="1"/>
  <c r="N5" i="1"/>
  <c r="N22" i="1"/>
  <c r="N10" i="1"/>
  <c r="N21" i="1"/>
  <c r="N4" i="1"/>
  <c r="K28" i="1"/>
  <c r="K29" i="1"/>
  <c r="X30" i="12" s="1"/>
  <c r="K9" i="1"/>
  <c r="X10" i="12" s="1"/>
  <c r="AM10" i="12" s="1"/>
  <c r="K24" i="1"/>
  <c r="X25" i="12" s="1"/>
  <c r="K12" i="1"/>
  <c r="M7" i="17" s="1"/>
  <c r="K23" i="1"/>
  <c r="X24" i="12" s="1"/>
  <c r="K18" i="1"/>
  <c r="X19" i="12" s="1"/>
  <c r="K22" i="1"/>
  <c r="X23" i="12" s="1"/>
  <c r="K4" i="1"/>
  <c r="K20" i="1"/>
  <c r="X21" i="12" s="1"/>
  <c r="K5" i="1"/>
  <c r="X6" i="12" s="1"/>
  <c r="AE6" i="12" s="1"/>
  <c r="K10" i="1"/>
  <c r="X11" i="12" s="1"/>
  <c r="AA11" i="12" s="1"/>
  <c r="K17" i="1"/>
  <c r="K21" i="1"/>
  <c r="X22" i="12" s="1"/>
  <c r="K19" i="1"/>
  <c r="X20" i="12" s="1"/>
  <c r="K26" i="1"/>
  <c r="M10" i="17" s="1"/>
  <c r="K33" i="1"/>
  <c r="X34" i="12" s="1"/>
  <c r="Z34" i="12" s="1"/>
  <c r="K31" i="1"/>
  <c r="K36" i="1"/>
  <c r="X37" i="12" s="1"/>
  <c r="AB37" i="12" s="1"/>
  <c r="K35" i="1"/>
  <c r="X36" i="12" s="1"/>
  <c r="AN36" i="12" s="1"/>
  <c r="K37" i="1"/>
  <c r="X38" i="12" s="1"/>
  <c r="AL38" i="12" s="1"/>
  <c r="K32" i="1"/>
  <c r="X33" i="12" s="1"/>
  <c r="AG33" i="12" s="1"/>
  <c r="K34" i="1"/>
  <c r="X35" i="12" s="1"/>
  <c r="AE35" i="12" s="1"/>
  <c r="K15" i="1"/>
  <c r="X16" i="12" s="1"/>
  <c r="AA16" i="12" s="1"/>
  <c r="K14" i="1"/>
  <c r="K7" i="1"/>
  <c r="K8" i="1"/>
  <c r="X9" i="12" s="1"/>
  <c r="P8" i="17" l="1"/>
  <c r="P11" i="17"/>
  <c r="O11" i="17"/>
  <c r="O8" i="17"/>
  <c r="X18" i="12"/>
  <c r="M9" i="17"/>
  <c r="N11" i="17"/>
  <c r="O7" i="13"/>
  <c r="O7" i="17"/>
  <c r="N10" i="13"/>
  <c r="N10" i="17"/>
  <c r="P7" i="13"/>
  <c r="P7" i="17"/>
  <c r="N9" i="17"/>
  <c r="X15" i="12"/>
  <c r="AM15" i="12" s="1"/>
  <c r="M8" i="17"/>
  <c r="X5" i="12"/>
  <c r="AG5" i="12" s="1"/>
  <c r="M6" i="17"/>
  <c r="X29" i="12"/>
  <c r="M11" i="17"/>
  <c r="P6" i="17"/>
  <c r="P10" i="13"/>
  <c r="P10" i="17"/>
  <c r="N12" i="17"/>
  <c r="N7" i="13"/>
  <c r="N7" i="17"/>
  <c r="O9" i="17"/>
  <c r="P9" i="17"/>
  <c r="P12" i="17"/>
  <c r="N6" i="17"/>
  <c r="O6" i="17"/>
  <c r="X32" i="12"/>
  <c r="AB32" i="12" s="1"/>
  <c r="M12" i="17"/>
  <c r="N8" i="17"/>
  <c r="O12" i="17"/>
  <c r="O10" i="13"/>
  <c r="O10" i="17"/>
  <c r="X8" i="12"/>
  <c r="AL34" i="12"/>
  <c r="AA35" i="12"/>
  <c r="AI10" i="12"/>
  <c r="AE38" i="12"/>
  <c r="AI35" i="12"/>
  <c r="AE7" i="12"/>
  <c r="AL7" i="12"/>
  <c r="AL6" i="12"/>
  <c r="AI34" i="12"/>
  <c r="AJ10" i="12"/>
  <c r="AI7" i="12"/>
  <c r="AE10" i="12"/>
  <c r="AJ33" i="12"/>
  <c r="M7" i="13"/>
  <c r="X13" i="12"/>
  <c r="AG10" i="12"/>
  <c r="AG34" i="12"/>
  <c r="AF35" i="12"/>
  <c r="AH11" i="12"/>
  <c r="AH33" i="12"/>
  <c r="AC6" i="12"/>
  <c r="AI38" i="12"/>
  <c r="AJ35" i="12"/>
  <c r="AB34" i="12"/>
  <c r="AD36" i="12"/>
  <c r="AB6" i="12"/>
  <c r="AC35" i="12"/>
  <c r="AN38" i="12"/>
  <c r="AD35" i="12"/>
  <c r="Z38" i="12"/>
  <c r="AA36" i="12"/>
  <c r="AB36" i="12"/>
  <c r="AN37" i="12"/>
  <c r="AN16" i="12"/>
  <c r="Z10" i="12"/>
  <c r="AM38" i="12"/>
  <c r="AB35" i="12"/>
  <c r="AB11" i="12"/>
  <c r="AG6" i="12"/>
  <c r="AG36" i="12"/>
  <c r="AH36" i="12"/>
  <c r="AN34" i="12"/>
  <c r="AC36" i="12"/>
  <c r="AE37" i="12"/>
  <c r="AK10" i="12"/>
  <c r="AB16" i="12"/>
  <c r="AB7" i="12"/>
  <c r="AD38" i="12"/>
  <c r="AK11" i="12"/>
  <c r="AB33" i="12"/>
  <c r="AJ37" i="12"/>
  <c r="AK33" i="12"/>
  <c r="AC10" i="12"/>
  <c r="AA10" i="12"/>
  <c r="AM37" i="12"/>
  <c r="AF11" i="12"/>
  <c r="AG37" i="12"/>
  <c r="AH34" i="12"/>
  <c r="AF33" i="12"/>
  <c r="AF6" i="12"/>
  <c r="AL37" i="12"/>
  <c r="AA6" i="12"/>
  <c r="AC37" i="12"/>
  <c r="AI16" i="12"/>
  <c r="Z16" i="12"/>
  <c r="AI33" i="12"/>
  <c r="AM36" i="12"/>
  <c r="AE36" i="12"/>
  <c r="AA37" i="12"/>
  <c r="AJ36" i="12"/>
  <c r="AI11" i="12"/>
  <c r="AK6" i="12"/>
  <c r="AM16" i="12"/>
  <c r="AC38" i="12"/>
  <c r="AK37" i="12"/>
  <c r="AF16" i="12"/>
  <c r="AC16" i="12"/>
  <c r="AG7" i="12"/>
  <c r="AF10" i="12"/>
  <c r="AG35" i="12"/>
  <c r="AH10" i="12"/>
  <c r="AM33" i="12"/>
  <c r="AI37" i="12"/>
  <c r="AJ16" i="12"/>
  <c r="AA38" i="12"/>
  <c r="AN7" i="12"/>
  <c r="AL33" i="12"/>
  <c r="AD10" i="12"/>
  <c r="Z7" i="12"/>
  <c r="AL16" i="12"/>
  <c r="AA34" i="12"/>
  <c r="AJ11" i="12"/>
  <c r="AM34" i="12"/>
  <c r="AC7" i="12"/>
  <c r="AE34" i="12"/>
  <c r="Z37" i="12"/>
  <c r="AI6" i="12"/>
  <c r="AD34" i="12"/>
  <c r="AM6" i="12"/>
  <c r="AH16" i="12"/>
  <c r="AG16" i="12"/>
  <c r="AH38" i="12"/>
  <c r="AF38" i="12"/>
  <c r="AG38" i="12"/>
  <c r="AH7" i="12"/>
  <c r="AE33" i="12"/>
  <c r="AD33" i="12"/>
  <c r="AN10" i="12"/>
  <c r="AE16" i="12"/>
  <c r="AE11" i="12"/>
  <c r="AJ6" i="12"/>
  <c r="AL35" i="12"/>
  <c r="AD37" i="12"/>
  <c r="AD16" i="12"/>
  <c r="AB38" i="12"/>
  <c r="AL10" i="12"/>
  <c r="AK36" i="12"/>
  <c r="AJ38" i="12"/>
  <c r="AN35" i="12"/>
  <c r="Z36" i="12"/>
  <c r="AM35" i="12"/>
  <c r="Z35" i="12"/>
  <c r="M10" i="13"/>
  <c r="X27" i="12"/>
  <c r="AG11" i="12"/>
  <c r="AF37" i="12"/>
  <c r="AF7" i="12"/>
  <c r="AC11" i="12"/>
  <c r="AM11" i="12"/>
  <c r="AD6" i="12"/>
  <c r="Z11" i="12"/>
  <c r="AB10" i="12"/>
  <c r="AK7" i="12"/>
  <c r="AC34" i="12"/>
  <c r="AA7" i="12"/>
  <c r="AC33" i="12"/>
  <c r="Z33" i="12"/>
  <c r="AJ34" i="12"/>
  <c r="AN6" i="12"/>
  <c r="AK16" i="12"/>
  <c r="AL36" i="12"/>
  <c r="AA33" i="12"/>
  <c r="Z6" i="12"/>
  <c r="AN33" i="12"/>
  <c r="AI36" i="12"/>
  <c r="AH35" i="12"/>
  <c r="AH37" i="12"/>
  <c r="AF34" i="12"/>
  <c r="AF36" i="12"/>
  <c r="AH6" i="12"/>
  <c r="AM7" i="12"/>
  <c r="AN11" i="12"/>
  <c r="AK34" i="12"/>
  <c r="AD11" i="12"/>
  <c r="AJ7" i="12"/>
  <c r="AK35" i="12"/>
  <c r="AL11" i="12"/>
  <c r="AK38" i="12"/>
  <c r="P34" i="1"/>
  <c r="O36" i="1"/>
  <c r="Q5" i="1"/>
  <c r="O4" i="1"/>
  <c r="Q31" i="1"/>
  <c r="P10" i="1"/>
  <c r="Q6" i="1"/>
  <c r="M8" i="13"/>
  <c r="P15" i="1"/>
  <c r="P8" i="13"/>
  <c r="Q35" i="1"/>
  <c r="O6" i="1"/>
  <c r="Q36" i="1"/>
  <c r="P36" i="1"/>
  <c r="P5" i="1"/>
  <c r="O9" i="1"/>
  <c r="P37" i="1"/>
  <c r="P6" i="1"/>
  <c r="O32" i="1"/>
  <c r="Q34" i="1"/>
  <c r="P4" i="1"/>
  <c r="O10" i="1"/>
  <c r="Q10" i="1"/>
  <c r="P31" i="1"/>
  <c r="O31" i="1"/>
  <c r="O33" i="1"/>
  <c r="O5" i="1"/>
  <c r="P33" i="1"/>
  <c r="Q37" i="1"/>
  <c r="O8" i="13"/>
  <c r="P32" i="1"/>
  <c r="Q32" i="1"/>
  <c r="O35" i="1"/>
  <c r="P35" i="1"/>
  <c r="N11" i="13"/>
  <c r="O14" i="1"/>
  <c r="Q14" i="1"/>
  <c r="O34" i="1"/>
  <c r="N9" i="13"/>
  <c r="P11" i="13"/>
  <c r="N8" i="13"/>
  <c r="P14" i="1"/>
  <c r="P9" i="1"/>
  <c r="Q9" i="1"/>
  <c r="Q33" i="1"/>
  <c r="P6" i="13"/>
  <c r="O11" i="13"/>
  <c r="O37" i="1"/>
  <c r="O9" i="13"/>
  <c r="P9" i="13"/>
  <c r="P12" i="13"/>
  <c r="N6" i="13"/>
  <c r="O6" i="13"/>
  <c r="Q4" i="1"/>
  <c r="M12" i="13"/>
  <c r="N12" i="13"/>
  <c r="O15" i="1"/>
  <c r="Q15" i="1"/>
  <c r="O12" i="13"/>
  <c r="M9" i="13"/>
  <c r="M6" i="13"/>
  <c r="M11" i="13"/>
  <c r="C13" i="12"/>
  <c r="C29" i="12"/>
  <c r="C30" i="12"/>
  <c r="C9" i="12"/>
  <c r="AB48" i="12" l="1"/>
  <c r="AM44" i="12"/>
  <c r="AN15" i="12"/>
  <c r="AN44" i="12" s="1"/>
  <c r="AF15" i="12"/>
  <c r="AF44" i="12" s="1"/>
  <c r="AB15" i="12"/>
  <c r="AB44" i="12" s="1"/>
  <c r="AD15" i="12"/>
  <c r="AD44" i="12" s="1"/>
  <c r="AC15" i="12"/>
  <c r="AC44" i="12" s="1"/>
  <c r="AI32" i="12"/>
  <c r="AI48" i="12" s="1"/>
  <c r="AH32" i="12"/>
  <c r="AH48" i="12" s="1"/>
  <c r="AG15" i="12"/>
  <c r="AG44" i="12" s="1"/>
  <c r="AD5" i="12"/>
  <c r="AE5" i="12"/>
  <c r="AH5" i="12"/>
  <c r="AE32" i="12"/>
  <c r="AE48" i="12" s="1"/>
  <c r="AL15" i="12"/>
  <c r="AL44" i="12" s="1"/>
  <c r="AE15" i="12"/>
  <c r="AE44" i="12" s="1"/>
  <c r="AK15" i="12"/>
  <c r="AK44" i="12" s="1"/>
  <c r="Z15" i="12"/>
  <c r="Z44" i="12" s="1"/>
  <c r="AA15" i="12"/>
  <c r="AA44" i="12" s="1"/>
  <c r="AJ32" i="12"/>
  <c r="AJ48" i="12" s="1"/>
  <c r="AI15" i="12"/>
  <c r="AI44" i="12" s="1"/>
  <c r="AN32" i="12"/>
  <c r="AN48" i="12" s="1"/>
  <c r="AJ15" i="12"/>
  <c r="AJ44" i="12" s="1"/>
  <c r="AC32" i="12"/>
  <c r="AC48" i="12" s="1"/>
  <c r="AA32" i="12"/>
  <c r="AA48" i="12" s="1"/>
  <c r="AD32" i="12"/>
  <c r="AD48" i="12" s="1"/>
  <c r="AL32" i="12"/>
  <c r="AL48" i="12" s="1"/>
  <c r="Z32" i="12"/>
  <c r="Z48" i="12" s="1"/>
  <c r="AG32" i="12"/>
  <c r="AG48" i="12" s="1"/>
  <c r="AM32" i="12"/>
  <c r="AM48" i="12" s="1"/>
  <c r="AK32" i="12"/>
  <c r="AK48" i="12" s="1"/>
  <c r="AK5" i="12"/>
  <c r="AN5" i="12"/>
  <c r="AA5" i="12"/>
  <c r="AF5" i="12"/>
  <c r="AL5" i="12"/>
  <c r="AH15" i="12"/>
  <c r="AH44" i="12" s="1"/>
  <c r="Z5" i="12"/>
  <c r="AM5" i="12"/>
  <c r="AB5" i="12"/>
  <c r="AC5" i="12"/>
  <c r="AJ5" i="12"/>
  <c r="D8" i="17"/>
  <c r="B12" i="17"/>
  <c r="AF32" i="12"/>
  <c r="AF48" i="12" s="1"/>
  <c r="AI5" i="12"/>
  <c r="C12" i="17"/>
  <c r="AI12" i="13"/>
  <c r="AI12" i="17"/>
  <c r="AH7" i="13"/>
  <c r="AH7" i="17"/>
  <c r="AI8" i="13"/>
  <c r="AI8" i="17"/>
  <c r="AG11" i="13"/>
  <c r="AG11" i="17"/>
  <c r="AI6" i="13"/>
  <c r="AI6" i="17"/>
  <c r="AG12" i="13"/>
  <c r="AG12" i="17"/>
  <c r="AH12" i="13"/>
  <c r="AH12" i="17"/>
  <c r="AH6" i="13"/>
  <c r="AH6" i="17"/>
  <c r="B8" i="17"/>
  <c r="AG8" i="13"/>
  <c r="AG8" i="17"/>
  <c r="AG6" i="13"/>
  <c r="AG6" i="17"/>
  <c r="D12" i="17"/>
  <c r="AI11" i="13"/>
  <c r="AI11" i="17"/>
  <c r="AH11" i="13"/>
  <c r="AH11" i="17"/>
  <c r="AG7" i="13"/>
  <c r="AG7" i="17"/>
  <c r="AI7" i="13"/>
  <c r="AI7" i="17"/>
  <c r="C8" i="17"/>
  <c r="AH8" i="13"/>
  <c r="AH8" i="17"/>
  <c r="C8" i="13"/>
  <c r="D12" i="13"/>
  <c r="B8" i="13"/>
  <c r="C12" i="13"/>
  <c r="B12" i="13"/>
  <c r="D8" i="13"/>
  <c r="C8" i="12"/>
  <c r="B19" i="1"/>
  <c r="V8" i="17" s="1"/>
  <c r="B20" i="12" l="1"/>
  <c r="V8" i="13"/>
  <c r="D19" i="1"/>
  <c r="C19" i="1"/>
  <c r="C26" i="1"/>
  <c r="C27" i="12" s="1"/>
  <c r="E26" i="1"/>
  <c r="E27" i="12" s="1"/>
  <c r="E19" i="1"/>
  <c r="E20" i="12" l="1"/>
  <c r="M20" i="12" s="1"/>
  <c r="AE20" i="12" s="1"/>
  <c r="E20" i="19"/>
  <c r="C20" i="12"/>
  <c r="P20" i="12" s="1"/>
  <c r="C20" i="19"/>
  <c r="D20" i="12"/>
  <c r="D20" i="19"/>
  <c r="E30" i="12"/>
  <c r="E29" i="12"/>
  <c r="E13" i="12"/>
  <c r="V20" i="12" l="1"/>
  <c r="AN20" i="12" s="1"/>
  <c r="K20" i="12"/>
  <c r="AC20" i="12" s="1"/>
  <c r="Q20" i="12"/>
  <c r="AI20" i="12" s="1"/>
  <c r="I20" i="12"/>
  <c r="I19" i="1" s="1"/>
  <c r="L20" i="12"/>
  <c r="AD20" i="12" s="1"/>
  <c r="O20" i="12"/>
  <c r="U20" i="12"/>
  <c r="AM20" i="12" s="1"/>
  <c r="H20" i="12"/>
  <c r="H19" i="1" s="1"/>
  <c r="H20" i="19" s="1"/>
  <c r="W20" i="19" s="1"/>
  <c r="J20" i="12"/>
  <c r="AB20" i="12" s="1"/>
  <c r="R20" i="12"/>
  <c r="AJ20" i="12" s="1"/>
  <c r="S20" i="12"/>
  <c r="AK20" i="12" s="1"/>
  <c r="N20" i="12"/>
  <c r="AF20" i="12" s="1"/>
  <c r="T20" i="12"/>
  <c r="AL20" i="12" s="1"/>
  <c r="AA20" i="12"/>
  <c r="AG20" i="12"/>
  <c r="O19" i="1"/>
  <c r="AH20" i="12"/>
  <c r="E8" i="12"/>
  <c r="E9" i="12"/>
  <c r="J19" i="1" l="1"/>
  <c r="Q19" i="1" s="1"/>
  <c r="Y8" i="13" s="1"/>
  <c r="Z20" i="12"/>
  <c r="P19" i="1"/>
  <c r="X8" i="13" s="1"/>
  <c r="I20" i="19"/>
  <c r="X20" i="19" s="1"/>
  <c r="J20" i="19"/>
  <c r="Y20" i="19" s="1"/>
  <c r="W8" i="13"/>
  <c r="W8" i="17"/>
  <c r="D26" i="1"/>
  <c r="D27" i="12" s="1"/>
  <c r="X8" i="17" l="1"/>
  <c r="Y8" i="17"/>
  <c r="U27" i="12"/>
  <c r="R27" i="12"/>
  <c r="L27" i="12"/>
  <c r="Q27" i="12"/>
  <c r="V27" i="12"/>
  <c r="M27" i="12"/>
  <c r="S27" i="12"/>
  <c r="T27" i="12"/>
  <c r="K27" i="12"/>
  <c r="I27" i="12"/>
  <c r="I26" i="1" s="1"/>
  <c r="O27" i="12"/>
  <c r="AG27" i="12" s="1"/>
  <c r="AG46" i="12" s="1"/>
  <c r="J27" i="12"/>
  <c r="J26" i="1" s="1"/>
  <c r="P27" i="12"/>
  <c r="AH27" i="12" s="1"/>
  <c r="AH46" i="12" s="1"/>
  <c r="H27" i="12"/>
  <c r="H26" i="1" s="1"/>
  <c r="N27" i="12"/>
  <c r="AF27" i="12" s="1"/>
  <c r="AF46" i="12" s="1"/>
  <c r="M46" i="12" l="1"/>
  <c r="AE27" i="12"/>
  <c r="AE46" i="12" s="1"/>
  <c r="V46" i="12"/>
  <c r="AN27" i="12"/>
  <c r="AN46" i="12" s="1"/>
  <c r="H46" i="12"/>
  <c r="Z27" i="12"/>
  <c r="Z46" i="12" s="1"/>
  <c r="J46" i="12"/>
  <c r="AB27" i="12"/>
  <c r="AB46" i="12" s="1"/>
  <c r="Q46" i="12"/>
  <c r="AI27" i="12"/>
  <c r="AI46" i="12" s="1"/>
  <c r="L46" i="12"/>
  <c r="AD27" i="12"/>
  <c r="AD46" i="12" s="1"/>
  <c r="T46" i="12"/>
  <c r="AL27" i="12"/>
  <c r="AL46" i="12" s="1"/>
  <c r="I46" i="12"/>
  <c r="AA27" i="12"/>
  <c r="AA46" i="12" s="1"/>
  <c r="R46" i="12"/>
  <c r="AJ27" i="12"/>
  <c r="AJ46" i="12" s="1"/>
  <c r="S46" i="12"/>
  <c r="AK27" i="12"/>
  <c r="AK46" i="12" s="1"/>
  <c r="K46" i="12"/>
  <c r="AC27" i="12"/>
  <c r="AC46" i="12" s="1"/>
  <c r="U46" i="12"/>
  <c r="AM27" i="12"/>
  <c r="AM46" i="12" s="1"/>
  <c r="O26" i="1"/>
  <c r="N46" i="12"/>
  <c r="Q26" i="1"/>
  <c r="P46" i="12"/>
  <c r="P26" i="1"/>
  <c r="O46" i="12"/>
  <c r="D13" i="12"/>
  <c r="C10" i="13" l="1"/>
  <c r="C10" i="17"/>
  <c r="D10" i="13"/>
  <c r="D10" i="17"/>
  <c r="B10" i="13"/>
  <c r="B10" i="17"/>
  <c r="L13" i="12"/>
  <c r="R13" i="12"/>
  <c r="U13" i="12"/>
  <c r="K13" i="12"/>
  <c r="T13" i="12"/>
  <c r="Q13" i="12"/>
  <c r="S13" i="12"/>
  <c r="V13" i="12"/>
  <c r="M13" i="12"/>
  <c r="O13" i="12"/>
  <c r="AG13" i="12" s="1"/>
  <c r="AG43" i="12" s="1"/>
  <c r="N13" i="12"/>
  <c r="AF13" i="12" s="1"/>
  <c r="AF43" i="12" s="1"/>
  <c r="J13" i="12"/>
  <c r="J12" i="1" s="1"/>
  <c r="J13" i="19" s="1"/>
  <c r="Y13" i="19" s="1"/>
  <c r="P13" i="12"/>
  <c r="AH13" i="12" s="1"/>
  <c r="AH43" i="12" s="1"/>
  <c r="I13" i="12"/>
  <c r="I12" i="1" s="1"/>
  <c r="I13" i="19" s="1"/>
  <c r="X13" i="19" s="1"/>
  <c r="H13" i="12"/>
  <c r="H12" i="1" s="1"/>
  <c r="H13" i="19" s="1"/>
  <c r="W13" i="19" s="1"/>
  <c r="D29" i="12"/>
  <c r="D30" i="12"/>
  <c r="B10" i="1"/>
  <c r="B9" i="1"/>
  <c r="B11" i="12" l="1"/>
  <c r="AF12" i="13"/>
  <c r="B10" i="12"/>
  <c r="AF11" i="13"/>
  <c r="Q43" i="12"/>
  <c r="AI13" i="12"/>
  <c r="AI43" i="12" s="1"/>
  <c r="T43" i="12"/>
  <c r="AL13" i="12"/>
  <c r="AL43" i="12" s="1"/>
  <c r="V43" i="12"/>
  <c r="AN13" i="12"/>
  <c r="AN43" i="12" s="1"/>
  <c r="I43" i="12"/>
  <c r="AA13" i="12"/>
  <c r="AA43" i="12" s="1"/>
  <c r="K43" i="12"/>
  <c r="AC13" i="12"/>
  <c r="AC43" i="12" s="1"/>
  <c r="H43" i="12"/>
  <c r="Z13" i="12"/>
  <c r="Z43" i="12" s="1"/>
  <c r="J43" i="12"/>
  <c r="AB13" i="12"/>
  <c r="AB43" i="12" s="1"/>
  <c r="U43" i="12"/>
  <c r="AM13" i="12"/>
  <c r="AM43" i="12" s="1"/>
  <c r="R43" i="12"/>
  <c r="AJ13" i="12"/>
  <c r="AJ43" i="12" s="1"/>
  <c r="S43" i="12"/>
  <c r="AK13" i="12"/>
  <c r="AK43" i="12" s="1"/>
  <c r="M43" i="12"/>
  <c r="AE13" i="12"/>
  <c r="AE43" i="12" s="1"/>
  <c r="L43" i="12"/>
  <c r="AD13" i="12"/>
  <c r="AD43" i="12" s="1"/>
  <c r="R29" i="12"/>
  <c r="AJ29" i="12" s="1"/>
  <c r="U29" i="12"/>
  <c r="AM29" i="12" s="1"/>
  <c r="T29" i="12"/>
  <c r="AL29" i="12" s="1"/>
  <c r="K29" i="12"/>
  <c r="AC29" i="12" s="1"/>
  <c r="M29" i="12"/>
  <c r="AE29" i="12" s="1"/>
  <c r="L29" i="12"/>
  <c r="AD29" i="12" s="1"/>
  <c r="Q29" i="12"/>
  <c r="S29" i="12"/>
  <c r="AK29" i="12" s="1"/>
  <c r="V29" i="12"/>
  <c r="AN29" i="12" s="1"/>
  <c r="Q12" i="1"/>
  <c r="P43" i="12"/>
  <c r="O12" i="1"/>
  <c r="N43" i="12"/>
  <c r="P12" i="1"/>
  <c r="O43" i="12"/>
  <c r="U30" i="12"/>
  <c r="AM30" i="12" s="1"/>
  <c r="R30" i="12"/>
  <c r="AJ30" i="12" s="1"/>
  <c r="T30" i="12"/>
  <c r="AL30" i="12" s="1"/>
  <c r="Q30" i="12"/>
  <c r="AI30" i="12" s="1"/>
  <c r="K30" i="12"/>
  <c r="AC30" i="12" s="1"/>
  <c r="M30" i="12"/>
  <c r="AE30" i="12" s="1"/>
  <c r="L30" i="12"/>
  <c r="AD30" i="12" s="1"/>
  <c r="V30" i="12"/>
  <c r="AN30" i="12" s="1"/>
  <c r="S30" i="12"/>
  <c r="AK30" i="12" s="1"/>
  <c r="O30" i="12"/>
  <c r="N30" i="12"/>
  <c r="I30" i="12"/>
  <c r="H30" i="12"/>
  <c r="H29" i="1" s="1"/>
  <c r="H30" i="19" s="1"/>
  <c r="W30" i="19" s="1"/>
  <c r="P30" i="12"/>
  <c r="J30" i="12"/>
  <c r="O29" i="12"/>
  <c r="AG29" i="12" s="1"/>
  <c r="N29" i="12"/>
  <c r="AF29" i="12" s="1"/>
  <c r="H29" i="12"/>
  <c r="H28" i="1" s="1"/>
  <c r="H29" i="19" s="1"/>
  <c r="W29" i="19" s="1"/>
  <c r="I29" i="12"/>
  <c r="I28" i="1" s="1"/>
  <c r="I29" i="19" s="1"/>
  <c r="X29" i="19" s="1"/>
  <c r="P29" i="12"/>
  <c r="AH29" i="12" s="1"/>
  <c r="J29" i="12"/>
  <c r="B5" i="1"/>
  <c r="B6" i="1"/>
  <c r="B7" i="1"/>
  <c r="AF9" i="17" s="1"/>
  <c r="B8" i="1"/>
  <c r="AF10" i="17" s="1"/>
  <c r="B11" i="1"/>
  <c r="B12" i="1"/>
  <c r="B13" i="12" s="1"/>
  <c r="B13" i="1"/>
  <c r="B14" i="1"/>
  <c r="B15" i="12" s="1"/>
  <c r="B15" i="1"/>
  <c r="B16" i="12" s="1"/>
  <c r="B16" i="1"/>
  <c r="V5" i="13" s="1"/>
  <c r="V14" i="13" s="1"/>
  <c r="B17" i="1"/>
  <c r="B18" i="1"/>
  <c r="B20" i="1"/>
  <c r="B21" i="1"/>
  <c r="B22" i="1"/>
  <c r="V11" i="13" s="1"/>
  <c r="B23" i="1"/>
  <c r="V12" i="13" s="1"/>
  <c r="B24" i="1"/>
  <c r="B25" i="1"/>
  <c r="B26" i="1"/>
  <c r="B27" i="12" s="1"/>
  <c r="B27" i="1"/>
  <c r="B28" i="1"/>
  <c r="B29" i="12" s="1"/>
  <c r="B29" i="1"/>
  <c r="B30" i="12" s="1"/>
  <c r="B30" i="1"/>
  <c r="B31" i="1"/>
  <c r="B32" i="12" s="1"/>
  <c r="B32" i="1"/>
  <c r="B33" i="12" s="1"/>
  <c r="B33" i="1"/>
  <c r="B34" i="12" s="1"/>
  <c r="B34" i="1"/>
  <c r="B35" i="12" s="1"/>
  <c r="B35" i="1"/>
  <c r="B36" i="12" s="1"/>
  <c r="B36" i="1"/>
  <c r="B37" i="12" s="1"/>
  <c r="B37" i="1"/>
  <c r="B38" i="12" s="1"/>
  <c r="B4" i="1"/>
  <c r="AN47" i="12" l="1"/>
  <c r="AK47" i="12"/>
  <c r="AD47" i="12"/>
  <c r="AE47" i="12"/>
  <c r="AC47" i="12"/>
  <c r="AL47" i="12"/>
  <c r="AM47" i="12"/>
  <c r="AJ47" i="12"/>
  <c r="B7" i="13"/>
  <c r="B7" i="17"/>
  <c r="C7" i="13"/>
  <c r="C7" i="17"/>
  <c r="D7" i="13"/>
  <c r="D7" i="17"/>
  <c r="B21" i="12"/>
  <c r="V9" i="13"/>
  <c r="B9" i="12"/>
  <c r="AF10" i="13"/>
  <c r="B8" i="12"/>
  <c r="AF9" i="13"/>
  <c r="B7" i="12"/>
  <c r="AF8" i="13"/>
  <c r="AB30" i="12"/>
  <c r="J29" i="1"/>
  <c r="B19" i="12"/>
  <c r="V7" i="13"/>
  <c r="B25" i="12"/>
  <c r="V13" i="13"/>
  <c r="B6" i="12"/>
  <c r="AF7" i="13"/>
  <c r="B18" i="12"/>
  <c r="V6" i="13"/>
  <c r="AB29" i="12"/>
  <c r="J28" i="1"/>
  <c r="B5" i="12"/>
  <c r="AF6" i="13"/>
  <c r="AA30" i="12"/>
  <c r="I29" i="1"/>
  <c r="B22" i="12"/>
  <c r="V10" i="13"/>
  <c r="Z30" i="12"/>
  <c r="Z29" i="12"/>
  <c r="Q47" i="12"/>
  <c r="AI29" i="12"/>
  <c r="AI47" i="12" s="1"/>
  <c r="AH30" i="12"/>
  <c r="AH47" i="12" s="1"/>
  <c r="I47" i="12"/>
  <c r="AA29" i="12"/>
  <c r="O29" i="1"/>
  <c r="AF30" i="12"/>
  <c r="AF47" i="12" s="1"/>
  <c r="AG30" i="12"/>
  <c r="AG47" i="12" s="1"/>
  <c r="H47" i="12"/>
  <c r="J47" i="12"/>
  <c r="V47" i="12"/>
  <c r="R47" i="12"/>
  <c r="O28" i="1"/>
  <c r="N47" i="12"/>
  <c r="S47" i="12"/>
  <c r="P28" i="1"/>
  <c r="O47" i="12"/>
  <c r="L47" i="12"/>
  <c r="M47" i="12"/>
  <c r="K47" i="12"/>
  <c r="P47" i="12"/>
  <c r="T47" i="12"/>
  <c r="U47" i="12"/>
  <c r="C23" i="1"/>
  <c r="B24" i="12"/>
  <c r="A12" i="13"/>
  <c r="B31" i="12"/>
  <c r="C22" i="1"/>
  <c r="B23" i="12"/>
  <c r="A8" i="13"/>
  <c r="B14" i="12"/>
  <c r="A7" i="13"/>
  <c r="B12" i="12"/>
  <c r="A11" i="13"/>
  <c r="B28" i="12"/>
  <c r="A10" i="13"/>
  <c r="B26" i="12"/>
  <c r="A9" i="13"/>
  <c r="B17" i="12"/>
  <c r="E20" i="1"/>
  <c r="C20" i="1"/>
  <c r="E18" i="1"/>
  <c r="C18" i="1"/>
  <c r="E17" i="1"/>
  <c r="C17" i="1"/>
  <c r="E21" i="1"/>
  <c r="C21" i="1"/>
  <c r="E24" i="1"/>
  <c r="C24" i="1"/>
  <c r="D23" i="1"/>
  <c r="E23" i="1"/>
  <c r="D22" i="1"/>
  <c r="E22" i="1"/>
  <c r="D18" i="1"/>
  <c r="D17" i="1"/>
  <c r="D24" i="1"/>
  <c r="D21" i="1"/>
  <c r="D20" i="1"/>
  <c r="D9" i="12"/>
  <c r="D8" i="12"/>
  <c r="P29" i="1" l="1"/>
  <c r="C11" i="17" s="1"/>
  <c r="I30" i="19"/>
  <c r="X30" i="19" s="1"/>
  <c r="Q29" i="1"/>
  <c r="J30" i="19"/>
  <c r="Y30" i="19" s="1"/>
  <c r="Q28" i="1"/>
  <c r="J29" i="19"/>
  <c r="Y29" i="19" s="1"/>
  <c r="D19" i="12"/>
  <c r="D19" i="19"/>
  <c r="E22" i="12"/>
  <c r="K22" i="12" s="1"/>
  <c r="AC22" i="12" s="1"/>
  <c r="E22" i="19"/>
  <c r="E23" i="12"/>
  <c r="E23" i="19"/>
  <c r="C18" i="12"/>
  <c r="Q18" i="12" s="1"/>
  <c r="AI18" i="12" s="1"/>
  <c r="C18" i="19"/>
  <c r="D23" i="12"/>
  <c r="D23" i="19"/>
  <c r="E18" i="12"/>
  <c r="E18" i="19"/>
  <c r="C23" i="12"/>
  <c r="C23" i="19"/>
  <c r="E24" i="12"/>
  <c r="S24" i="12" s="1"/>
  <c r="AK24" i="12" s="1"/>
  <c r="E24" i="19"/>
  <c r="C19" i="12"/>
  <c r="C19" i="19"/>
  <c r="D21" i="12"/>
  <c r="D21" i="19"/>
  <c r="D24" i="12"/>
  <c r="D24" i="19"/>
  <c r="E19" i="12"/>
  <c r="U19" i="12" s="1"/>
  <c r="AM19" i="12" s="1"/>
  <c r="E19" i="19"/>
  <c r="D22" i="12"/>
  <c r="D22" i="19"/>
  <c r="C25" i="12"/>
  <c r="C25" i="19"/>
  <c r="C21" i="12"/>
  <c r="M21" i="12" s="1"/>
  <c r="AE21" i="12" s="1"/>
  <c r="C21" i="19"/>
  <c r="D25" i="12"/>
  <c r="R25" i="12" s="1"/>
  <c r="AJ25" i="12" s="1"/>
  <c r="D25" i="19"/>
  <c r="E21" i="12"/>
  <c r="E21" i="19"/>
  <c r="C24" i="12"/>
  <c r="C24" i="19"/>
  <c r="E25" i="12"/>
  <c r="E25" i="19"/>
  <c r="D18" i="12"/>
  <c r="U18" i="12" s="1"/>
  <c r="AM18" i="12" s="1"/>
  <c r="D18" i="19"/>
  <c r="C22" i="12"/>
  <c r="C22" i="19"/>
  <c r="AA47" i="12"/>
  <c r="AB47" i="12"/>
  <c r="Z47" i="12"/>
  <c r="B11" i="17"/>
  <c r="L7" i="13"/>
  <c r="B43" i="12"/>
  <c r="L9" i="13"/>
  <c r="B45" i="12"/>
  <c r="L8" i="13"/>
  <c r="B44" i="12"/>
  <c r="L10" i="13"/>
  <c r="B46" i="12"/>
  <c r="L11" i="13"/>
  <c r="B47" i="12"/>
  <c r="L12" i="13"/>
  <c r="B48" i="12"/>
  <c r="B11" i="13"/>
  <c r="T21" i="12"/>
  <c r="AL21" i="12" s="1"/>
  <c r="Q21" i="12"/>
  <c r="AI21" i="12" s="1"/>
  <c r="T22" i="12"/>
  <c r="AL22" i="12" s="1"/>
  <c r="L19" i="12"/>
  <c r="AD19" i="12" s="1"/>
  <c r="V22" i="12"/>
  <c r="AN22" i="12" s="1"/>
  <c r="S22" i="12"/>
  <c r="AK22" i="12" s="1"/>
  <c r="M22" i="12"/>
  <c r="AE22" i="12" s="1"/>
  <c r="T24" i="12"/>
  <c r="AL24" i="12" s="1"/>
  <c r="K25" i="12"/>
  <c r="AC25" i="12" s="1"/>
  <c r="V25" i="12"/>
  <c r="AN25" i="12" s="1"/>
  <c r="S23" i="12"/>
  <c r="AK23" i="12" s="1"/>
  <c r="V23" i="12"/>
  <c r="AN23" i="12" s="1"/>
  <c r="M23" i="12"/>
  <c r="AE23" i="12" s="1"/>
  <c r="R22" i="12"/>
  <c r="AJ22" i="12" s="1"/>
  <c r="U22" i="12"/>
  <c r="AM22" i="12" s="1"/>
  <c r="L22" i="12"/>
  <c r="AD22" i="12" s="1"/>
  <c r="U8" i="12"/>
  <c r="R8" i="12"/>
  <c r="AJ8" i="12" s="1"/>
  <c r="L8" i="12"/>
  <c r="AD8" i="12" s="1"/>
  <c r="M8" i="12"/>
  <c r="AE8" i="12" s="1"/>
  <c r="T8" i="12"/>
  <c r="AL8" i="12" s="1"/>
  <c r="Q8" i="12"/>
  <c r="AI8" i="12" s="1"/>
  <c r="K8" i="12"/>
  <c r="AC8" i="12" s="1"/>
  <c r="S8" i="12"/>
  <c r="AK8" i="12" s="1"/>
  <c r="V8" i="12"/>
  <c r="M18" i="12"/>
  <c r="AE18" i="12" s="1"/>
  <c r="S18" i="12"/>
  <c r="AK18" i="12" s="1"/>
  <c r="U9" i="12"/>
  <c r="AM9" i="12" s="1"/>
  <c r="R9" i="12"/>
  <c r="AJ9" i="12" s="1"/>
  <c r="K9" i="12"/>
  <c r="AC9" i="12" s="1"/>
  <c r="M9" i="12"/>
  <c r="AE9" i="12" s="1"/>
  <c r="L9" i="12"/>
  <c r="AD9" i="12" s="1"/>
  <c r="Q9" i="12"/>
  <c r="AI9" i="12" s="1"/>
  <c r="T9" i="12"/>
  <c r="AL9" i="12" s="1"/>
  <c r="V9" i="12"/>
  <c r="AN9" i="12" s="1"/>
  <c r="S9" i="12"/>
  <c r="AK9" i="12" s="1"/>
  <c r="V24" i="12"/>
  <c r="AN24" i="12" s="1"/>
  <c r="M24" i="12"/>
  <c r="AE24" i="12" s="1"/>
  <c r="K19" i="12"/>
  <c r="AC19" i="12" s="1"/>
  <c r="T19" i="12"/>
  <c r="AL19" i="12" s="1"/>
  <c r="Q19" i="12"/>
  <c r="AI19" i="12" s="1"/>
  <c r="L23" i="12"/>
  <c r="AD23" i="12" s="1"/>
  <c r="R23" i="12"/>
  <c r="AJ23" i="12" s="1"/>
  <c r="U23" i="12"/>
  <c r="AM23" i="12" s="1"/>
  <c r="L21" i="12"/>
  <c r="AD21" i="12" s="1"/>
  <c r="R21" i="12"/>
  <c r="AJ21" i="12" s="1"/>
  <c r="U21" i="12"/>
  <c r="AM21" i="12" s="1"/>
  <c r="L24" i="12"/>
  <c r="AD24" i="12" s="1"/>
  <c r="U24" i="12"/>
  <c r="AM24" i="12" s="1"/>
  <c r="R24" i="12"/>
  <c r="AJ24" i="12" s="1"/>
  <c r="S19" i="12"/>
  <c r="AK19" i="12" s="1"/>
  <c r="V19" i="12"/>
  <c r="AN19" i="12" s="1"/>
  <c r="M19" i="12"/>
  <c r="AE19" i="12" s="1"/>
  <c r="K23" i="12"/>
  <c r="AC23" i="12" s="1"/>
  <c r="Q23" i="12"/>
  <c r="AI23" i="12" s="1"/>
  <c r="T23" i="12"/>
  <c r="AL23" i="12" s="1"/>
  <c r="I18" i="12"/>
  <c r="O18" i="12"/>
  <c r="AG18" i="12" s="1"/>
  <c r="J8" i="12"/>
  <c r="I8" i="12"/>
  <c r="O8" i="12"/>
  <c r="AG8" i="12" s="1"/>
  <c r="H8" i="12"/>
  <c r="H7" i="1" s="1"/>
  <c r="O7" i="1" s="1"/>
  <c r="N8" i="12"/>
  <c r="AF8" i="12" s="1"/>
  <c r="P8" i="12"/>
  <c r="AH8" i="12" s="1"/>
  <c r="O19" i="12"/>
  <c r="I19" i="12"/>
  <c r="J22" i="12"/>
  <c r="P22" i="12"/>
  <c r="H22" i="12"/>
  <c r="H21" i="1" s="1"/>
  <c r="H22" i="19" s="1"/>
  <c r="W22" i="19" s="1"/>
  <c r="N22" i="12"/>
  <c r="P23" i="12"/>
  <c r="J23" i="12"/>
  <c r="N18" i="12"/>
  <c r="AF18" i="12" s="1"/>
  <c r="H18" i="12"/>
  <c r="H17" i="1" s="1"/>
  <c r="H18" i="19" s="1"/>
  <c r="W18" i="19" s="1"/>
  <c r="O23" i="12"/>
  <c r="I23" i="12"/>
  <c r="J18" i="12"/>
  <c r="P18" i="12"/>
  <c r="AH18" i="12" s="1"/>
  <c r="H23" i="12"/>
  <c r="H22" i="1" s="1"/>
  <c r="H23" i="19" s="1"/>
  <c r="W23" i="19" s="1"/>
  <c r="N23" i="12"/>
  <c r="J9" i="12"/>
  <c r="P9" i="12"/>
  <c r="O9" i="12"/>
  <c r="N9" i="12"/>
  <c r="I9" i="12"/>
  <c r="H9" i="12"/>
  <c r="H8" i="1" s="1"/>
  <c r="P24" i="12"/>
  <c r="J24" i="12"/>
  <c r="H19" i="12"/>
  <c r="H18" i="1" s="1"/>
  <c r="H19" i="19" s="1"/>
  <c r="W19" i="19" s="1"/>
  <c r="N19" i="12"/>
  <c r="I21" i="12"/>
  <c r="O21" i="12"/>
  <c r="I24" i="12"/>
  <c r="O24" i="12"/>
  <c r="J19" i="12"/>
  <c r="P19" i="12"/>
  <c r="I22" i="12"/>
  <c r="O22" i="12"/>
  <c r="H25" i="12"/>
  <c r="H24" i="1" s="1"/>
  <c r="H25" i="19" s="1"/>
  <c r="W25" i="19" s="1"/>
  <c r="N25" i="12"/>
  <c r="H21" i="12"/>
  <c r="H20" i="1" s="1"/>
  <c r="H21" i="19" s="1"/>
  <c r="W21" i="19" s="1"/>
  <c r="N21" i="12"/>
  <c r="I25" i="12"/>
  <c r="O25" i="12"/>
  <c r="P25" i="12"/>
  <c r="J25" i="12"/>
  <c r="P21" i="12"/>
  <c r="J21" i="12"/>
  <c r="N24" i="12"/>
  <c r="H24" i="12"/>
  <c r="H23" i="1" s="1"/>
  <c r="H24" i="19" s="1"/>
  <c r="W24" i="19" s="1"/>
  <c r="B3" i="1"/>
  <c r="AF5" i="13" s="1"/>
  <c r="AF14" i="13" s="1"/>
  <c r="B29" i="8"/>
  <c r="A30" i="8" s="1"/>
  <c r="A29" i="8"/>
  <c r="C18" i="8"/>
  <c r="C17" i="8"/>
  <c r="C16" i="8"/>
  <c r="A3" i="9"/>
  <c r="A4" i="9" s="1"/>
  <c r="A5" i="9" s="1"/>
  <c r="A6" i="9" s="1"/>
  <c r="D11" i="13" l="1"/>
  <c r="D11" i="17"/>
  <c r="C11" i="13"/>
  <c r="U25" i="12"/>
  <c r="AM25" i="12" s="1"/>
  <c r="AM45" i="12" s="1"/>
  <c r="V18" i="12"/>
  <c r="AN18" i="12" s="1"/>
  <c r="T25" i="12"/>
  <c r="AL25" i="12" s="1"/>
  <c r="R19" i="12"/>
  <c r="AJ19" i="12" s="1"/>
  <c r="Q25" i="12"/>
  <c r="AI25" i="12" s="1"/>
  <c r="S25" i="12"/>
  <c r="AK25" i="12" s="1"/>
  <c r="T18" i="12"/>
  <c r="AL18" i="12" s="1"/>
  <c r="Q24" i="12"/>
  <c r="AI24" i="12" s="1"/>
  <c r="K18" i="12"/>
  <c r="AC18" i="12" s="1"/>
  <c r="R18" i="12"/>
  <c r="AJ18" i="12" s="1"/>
  <c r="K24" i="12"/>
  <c r="AC24" i="12" s="1"/>
  <c r="L18" i="12"/>
  <c r="AD18" i="12" s="1"/>
  <c r="K21" i="12"/>
  <c r="AC21" i="12" s="1"/>
  <c r="V21" i="12"/>
  <c r="AN21" i="12" s="1"/>
  <c r="S21" i="12"/>
  <c r="AK21" i="12" s="1"/>
  <c r="W40" i="19"/>
  <c r="Q22" i="12"/>
  <c r="AI22" i="12" s="1"/>
  <c r="L25" i="12"/>
  <c r="AD25" i="12" s="1"/>
  <c r="M25" i="12"/>
  <c r="AE25" i="12" s="1"/>
  <c r="AE45" i="12" s="1"/>
  <c r="AK42" i="12"/>
  <c r="AC42" i="12"/>
  <c r="AI42" i="12"/>
  <c r="AL42" i="12"/>
  <c r="AE42" i="12"/>
  <c r="AD42" i="12"/>
  <c r="AJ42" i="12"/>
  <c r="AG9" i="13"/>
  <c r="AG9" i="17"/>
  <c r="AB21" i="12"/>
  <c r="J20" i="1"/>
  <c r="J21" i="19" s="1"/>
  <c r="Y21" i="19" s="1"/>
  <c r="AA23" i="12"/>
  <c r="I22" i="1"/>
  <c r="AA8" i="12"/>
  <c r="I7" i="1"/>
  <c r="P7" i="1" s="1"/>
  <c r="AB25" i="12"/>
  <c r="J24" i="1"/>
  <c r="AA19" i="12"/>
  <c r="I18" i="1"/>
  <c r="AA22" i="12"/>
  <c r="I21" i="1"/>
  <c r="AB9" i="12"/>
  <c r="J8" i="1"/>
  <c r="Q8" i="1" s="1"/>
  <c r="AA18" i="12"/>
  <c r="I17" i="1"/>
  <c r="AB24" i="12"/>
  <c r="J23" i="1"/>
  <c r="J24" i="19" s="1"/>
  <c r="Y24" i="19" s="1"/>
  <c r="AB23" i="12"/>
  <c r="J22" i="1"/>
  <c r="AA25" i="12"/>
  <c r="I24" i="1"/>
  <c r="AB19" i="12"/>
  <c r="J18" i="1"/>
  <c r="AA24" i="12"/>
  <c r="I23" i="1"/>
  <c r="AA9" i="12"/>
  <c r="I8" i="1"/>
  <c r="P8" i="1" s="1"/>
  <c r="AB18" i="12"/>
  <c r="J17" i="1"/>
  <c r="AA21" i="12"/>
  <c r="I20" i="1"/>
  <c r="AB22" i="12"/>
  <c r="J21" i="1"/>
  <c r="AB8" i="12"/>
  <c r="J7" i="1"/>
  <c r="Q7" i="1" s="1"/>
  <c r="Z18" i="12"/>
  <c r="Z19" i="12"/>
  <c r="Z23" i="12"/>
  <c r="Z9" i="12"/>
  <c r="Z8" i="12"/>
  <c r="Z22" i="12"/>
  <c r="Z24" i="12"/>
  <c r="Z21" i="12"/>
  <c r="Z25" i="12"/>
  <c r="O24" i="1"/>
  <c r="AF25" i="12"/>
  <c r="AG21" i="12"/>
  <c r="O8" i="1"/>
  <c r="AF9" i="12"/>
  <c r="AF42" i="12" s="1"/>
  <c r="AH22" i="12"/>
  <c r="AG23" i="12"/>
  <c r="O23" i="1"/>
  <c r="AF24" i="12"/>
  <c r="AG22" i="12"/>
  <c r="Q20" i="1"/>
  <c r="AH21" i="12"/>
  <c r="AG9" i="12"/>
  <c r="AG42" i="12" s="1"/>
  <c r="AH9" i="12"/>
  <c r="AH42" i="12" s="1"/>
  <c r="AH25" i="12"/>
  <c r="AG19" i="12"/>
  <c r="O20" i="1"/>
  <c r="AF21" i="12"/>
  <c r="AG24" i="12"/>
  <c r="O21" i="1"/>
  <c r="AF22" i="12"/>
  <c r="O18" i="1"/>
  <c r="AF19" i="12"/>
  <c r="AG25" i="12"/>
  <c r="AH19" i="12"/>
  <c r="O22" i="1"/>
  <c r="AF23" i="12"/>
  <c r="AH24" i="12"/>
  <c r="AH23" i="12"/>
  <c r="V42" i="12"/>
  <c r="AN8" i="12"/>
  <c r="AN42" i="12" s="1"/>
  <c r="U42" i="12"/>
  <c r="AM8" i="12"/>
  <c r="AM42" i="12" s="1"/>
  <c r="N42" i="12"/>
  <c r="P45" i="12"/>
  <c r="H42" i="12"/>
  <c r="S42" i="12"/>
  <c r="J45" i="12"/>
  <c r="O42" i="12"/>
  <c r="K42" i="12"/>
  <c r="K45" i="12"/>
  <c r="I42" i="12"/>
  <c r="Q42" i="12"/>
  <c r="J42" i="12"/>
  <c r="T42" i="12"/>
  <c r="U45" i="12"/>
  <c r="H45" i="12"/>
  <c r="O45" i="12"/>
  <c r="S45" i="12"/>
  <c r="M42" i="12"/>
  <c r="O17" i="1"/>
  <c r="N45" i="12"/>
  <c r="I45" i="12"/>
  <c r="M45" i="12"/>
  <c r="L42" i="12"/>
  <c r="P42" i="12"/>
  <c r="V45" i="12"/>
  <c r="R42" i="12"/>
  <c r="A6" i="13"/>
  <c r="B4" i="12"/>
  <c r="B30" i="8"/>
  <c r="C19" i="8"/>
  <c r="K6" i="6"/>
  <c r="K7" i="6" s="1"/>
  <c r="K8" i="6" s="1"/>
  <c r="K9" i="6" s="1"/>
  <c r="K10" i="6" s="1"/>
  <c r="K11" i="6" s="1"/>
  <c r="A4" i="6"/>
  <c r="A5" i="6" s="1"/>
  <c r="A6" i="6" s="1"/>
  <c r="A7" i="6" s="1"/>
  <c r="A8" i="6" s="1"/>
  <c r="A11" i="6" s="1"/>
  <c r="A12" i="6" s="1"/>
  <c r="A13" i="6" s="1"/>
  <c r="A14" i="6" s="1"/>
  <c r="A15" i="6" s="1"/>
  <c r="A16" i="6" s="1"/>
  <c r="A17" i="6" s="1"/>
  <c r="A20" i="6" s="1"/>
  <c r="A21" i="6" s="1"/>
  <c r="A24" i="6" s="1"/>
  <c r="A25" i="6" s="1"/>
  <c r="A28" i="6" s="1"/>
  <c r="A29" i="6" s="1"/>
  <c r="A30" i="6" s="1"/>
  <c r="A31" i="6" s="1"/>
  <c r="A33" i="6" s="1"/>
  <c r="A34" i="6" s="1"/>
  <c r="A36" i="6" s="1"/>
  <c r="A37" i="6" s="1"/>
  <c r="A38" i="6" s="1"/>
  <c r="A39" i="6" s="1"/>
  <c r="A42" i="6" s="1"/>
  <c r="H5" i="2"/>
  <c r="H6" i="2" s="1"/>
  <c r="H7" i="2" s="1"/>
  <c r="H8" i="2" s="1"/>
  <c r="H10" i="2" s="1"/>
  <c r="H11" i="2" s="1"/>
  <c r="O39" i="1" l="1"/>
  <c r="AN45" i="12"/>
  <c r="AN50" i="12" s="1"/>
  <c r="AI45" i="12"/>
  <c r="AI50" i="12" s="1"/>
  <c r="C88" i="12" s="1"/>
  <c r="AK45" i="12"/>
  <c r="AK50" i="12" s="1"/>
  <c r="E88" i="12" s="1"/>
  <c r="AD45" i="12"/>
  <c r="AD50" i="12" s="1"/>
  <c r="AC45" i="12"/>
  <c r="AC50" i="12" s="1"/>
  <c r="AJ45" i="12"/>
  <c r="AJ50" i="12" s="1"/>
  <c r="D88" i="12" s="1"/>
  <c r="AL45" i="12"/>
  <c r="R45" i="12"/>
  <c r="Q23" i="1"/>
  <c r="Y12" i="13" s="1"/>
  <c r="L45" i="12"/>
  <c r="Q45" i="12"/>
  <c r="T45" i="12"/>
  <c r="P20" i="1"/>
  <c r="X9" i="17" s="1"/>
  <c r="I21" i="19"/>
  <c r="X21" i="19" s="1"/>
  <c r="Q18" i="1"/>
  <c r="Y7" i="17" s="1"/>
  <c r="J19" i="19"/>
  <c r="Y19" i="19" s="1"/>
  <c r="P17" i="1"/>
  <c r="X6" i="17" s="1"/>
  <c r="I18" i="19"/>
  <c r="X18" i="19" s="1"/>
  <c r="Q24" i="1"/>
  <c r="J25" i="19"/>
  <c r="Y25" i="19" s="1"/>
  <c r="Q17" i="1"/>
  <c r="Y6" i="13" s="1"/>
  <c r="J18" i="19"/>
  <c r="Y18" i="19" s="1"/>
  <c r="P24" i="1"/>
  <c r="X13" i="13" s="1"/>
  <c r="I25" i="19"/>
  <c r="X25" i="19" s="1"/>
  <c r="Q22" i="1"/>
  <c r="Y11" i="13" s="1"/>
  <c r="J23" i="19"/>
  <c r="Y23" i="19" s="1"/>
  <c r="P21" i="1"/>
  <c r="X10" i="13" s="1"/>
  <c r="I22" i="19"/>
  <c r="X22" i="19" s="1"/>
  <c r="P22" i="1"/>
  <c r="X11" i="17" s="1"/>
  <c r="I23" i="19"/>
  <c r="X23" i="19" s="1"/>
  <c r="Q21" i="1"/>
  <c r="Y10" i="13" s="1"/>
  <c r="J22" i="19"/>
  <c r="Y22" i="19" s="1"/>
  <c r="P23" i="1"/>
  <c r="X12" i="13" s="1"/>
  <c r="I24" i="19"/>
  <c r="X24" i="19" s="1"/>
  <c r="P18" i="1"/>
  <c r="I19" i="19"/>
  <c r="X19" i="19" s="1"/>
  <c r="AB42" i="12"/>
  <c r="Z42" i="12"/>
  <c r="AH45" i="12"/>
  <c r="AF45" i="12"/>
  <c r="AG45" i="12"/>
  <c r="Z45" i="12"/>
  <c r="AB45" i="12"/>
  <c r="AA45" i="12"/>
  <c r="AA42" i="12"/>
  <c r="Y9" i="13"/>
  <c r="Y9" i="17"/>
  <c r="AG10" i="13"/>
  <c r="AG10" i="17"/>
  <c r="AI9" i="13"/>
  <c r="AI9" i="17"/>
  <c r="D6" i="17"/>
  <c r="W13" i="13"/>
  <c r="W13" i="17"/>
  <c r="W9" i="13"/>
  <c r="W9" i="17"/>
  <c r="W7" i="13"/>
  <c r="W7" i="17"/>
  <c r="W6" i="13"/>
  <c r="B9" i="17"/>
  <c r="W6" i="17"/>
  <c r="AH9" i="13"/>
  <c r="AH9" i="17"/>
  <c r="C6" i="17"/>
  <c r="AH10" i="13"/>
  <c r="AH10" i="17"/>
  <c r="B6" i="17"/>
  <c r="W11" i="13"/>
  <c r="W11" i="17"/>
  <c r="W10" i="13"/>
  <c r="W10" i="17"/>
  <c r="W12" i="13"/>
  <c r="W12" i="17"/>
  <c r="AI10" i="13"/>
  <c r="AI10" i="17"/>
  <c r="L6" i="13"/>
  <c r="B42" i="12"/>
  <c r="AM50" i="12"/>
  <c r="AL50" i="12"/>
  <c r="V50" i="12"/>
  <c r="E58" i="12" s="1"/>
  <c r="U50" i="12"/>
  <c r="D58" i="12" s="1"/>
  <c r="D6" i="13"/>
  <c r="B9" i="13"/>
  <c r="C6" i="13"/>
  <c r="B6" i="13"/>
  <c r="AE50" i="12"/>
  <c r="L50" i="12"/>
  <c r="D54" i="12" s="1"/>
  <c r="S50" i="12"/>
  <c r="E57" i="12" s="1"/>
  <c r="I50" i="12"/>
  <c r="D53" i="12" s="1"/>
  <c r="O50" i="12"/>
  <c r="D55" i="12" s="1"/>
  <c r="H50" i="12"/>
  <c r="C53" i="12" s="1"/>
  <c r="Q50" i="12"/>
  <c r="C57" i="12" s="1"/>
  <c r="K50" i="12"/>
  <c r="C54" i="12" s="1"/>
  <c r="R50" i="12"/>
  <c r="D57" i="12" s="1"/>
  <c r="T50" i="12"/>
  <c r="C58" i="12" s="1"/>
  <c r="M50" i="12"/>
  <c r="E54" i="12" s="1"/>
  <c r="J50" i="12"/>
  <c r="E53" i="12" s="1"/>
  <c r="P50" i="12"/>
  <c r="E55" i="12" s="1"/>
  <c r="N50" i="12"/>
  <c r="C55" i="12" s="1"/>
  <c r="A4" i="2"/>
  <c r="A5" i="2" s="1"/>
  <c r="A6" i="2" s="1"/>
  <c r="B31" i="8"/>
  <c r="A31" i="8"/>
  <c r="Q39" i="1" l="1"/>
  <c r="P39" i="1"/>
  <c r="Y10" i="17"/>
  <c r="Y7" i="13"/>
  <c r="X9" i="13"/>
  <c r="X6" i="13"/>
  <c r="Y6" i="17"/>
  <c r="C9" i="17"/>
  <c r="C14" i="17" s="1"/>
  <c r="X11" i="13"/>
  <c r="D9" i="17"/>
  <c r="D14" i="17" s="1"/>
  <c r="Y12" i="17"/>
  <c r="X10" i="17"/>
  <c r="Y13" i="17"/>
  <c r="D9" i="13"/>
  <c r="D14" i="13" s="1"/>
  <c r="Y13" i="13"/>
  <c r="Y11" i="17"/>
  <c r="C9" i="13"/>
  <c r="C14" i="13" s="1"/>
  <c r="X13" i="17"/>
  <c r="X40" i="19"/>
  <c r="X7" i="17"/>
  <c r="X7" i="13"/>
  <c r="X12" i="17"/>
  <c r="Y40" i="19"/>
  <c r="B14" i="17"/>
  <c r="AA50" i="12"/>
  <c r="D86" i="12" s="1"/>
  <c r="AB50" i="12"/>
  <c r="E86" i="12" s="1"/>
  <c r="Z50" i="12"/>
  <c r="C86" i="12" s="1"/>
  <c r="AH50" i="12"/>
  <c r="E87" i="12" s="1"/>
  <c r="AG50" i="12"/>
  <c r="D87" i="12" s="1"/>
  <c r="AF50" i="12"/>
  <c r="C87" i="12" s="1"/>
  <c r="B14" i="13"/>
  <c r="A7" i="2"/>
  <c r="A8" i="2" s="1"/>
  <c r="F41" i="1" l="1"/>
  <c r="J41" i="1"/>
  <c r="J42" i="19"/>
  <c r="H41" i="1"/>
  <c r="H42" i="19"/>
  <c r="F42" i="19"/>
  <c r="A9" i="2"/>
  <c r="A11" i="2" s="1"/>
  <c r="A13" i="2" l="1"/>
  <c r="A14" i="2" s="1"/>
  <c r="A16" i="2" s="1"/>
  <c r="A17" i="2" s="1"/>
  <c r="A18" i="2" s="1"/>
  <c r="A19" i="2" s="1"/>
  <c r="A20" i="2" s="1"/>
  <c r="A21" i="2" l="1"/>
  <c r="A22" i="2" s="1"/>
  <c r="A23" i="2" s="1"/>
  <c r="A25" i="2" s="1"/>
  <c r="A27" i="2" s="1"/>
  <c r="A28" i="2" s="1"/>
  <c r="A30" i="2" s="1"/>
  <c r="A31" i="2" s="1"/>
  <c r="A32" i="2" s="1"/>
  <c r="A33" i="2" s="1"/>
  <c r="A34" i="2" s="1"/>
  <c r="A35" i="2" s="1"/>
  <c r="A36" i="2" s="1"/>
  <c r="A3" i="18" l="1"/>
  <c r="A4" i="18" s="1"/>
  <c r="A5" i="18" s="1"/>
  <c r="A6" i="18" s="1"/>
  <c r="A7" i="18" s="1"/>
  <c r="A8" i="18" s="1"/>
  <c r="A9" i="18" s="1"/>
  <c r="A10" i="18" s="1"/>
  <c r="A11" i="18" s="1"/>
  <c r="A12" i="18" s="1"/>
  <c r="A13" i="18" s="1"/>
  <c r="A14" i="18" s="1"/>
  <c r="A15" i="18" s="1"/>
  <c r="A16" i="18" s="1"/>
  <c r="A17" i="18" s="1"/>
  <c r="A18" i="18" s="1"/>
  <c r="A19" i="18" s="1"/>
  <c r="A20" i="18" s="1"/>
  <c r="A21" i="18" s="1"/>
  <c r="A22" i="18" s="1"/>
  <c r="A23" i="18" s="1"/>
  <c r="A24" i="18" s="1"/>
  <c r="A25" i="18" s="1"/>
  <c r="A26" i="18" s="1"/>
  <c r="A27" i="18" s="1"/>
  <c r="A28" i="18" s="1"/>
  <c r="A29" i="18" s="1"/>
  <c r="A30" i="18" s="1"/>
  <c r="A31" i="18" s="1"/>
  <c r="A32" i="18" s="1"/>
  <c r="A33" i="18" s="1"/>
  <c r="A34" i="18" s="1"/>
  <c r="A35" i="18" s="1"/>
  <c r="A36" i="18" s="1"/>
  <c r="A37"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tc={0DDA16C4-F391-49F3-A890-A4F29624E593}</author>
  </authors>
  <commentList>
    <comment ref="B1" authorId="0" shapeId="0" xr:uid="{0DDA16C4-F391-49F3-A890-A4F29624E593}">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REFERENCE FOR THE TERMINOLOGY - MOP - Ni, D., II, J. D., Guin, A., &amp; Williams, a. B. (2004). Systematic Approach for Validating Traffic Simulation Models. Transportation Research Record: Journal of the Transportation Research Board No. 1876, TRB, National Research Council, Washington,, 20-31.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tc={2588A63C-F789-471F-8D72-313946B412A6}</author>
    <author>tc={92D88C1D-9FAE-4394-9B61-7CB3DDA623A8}</author>
    <author>tc={C0495F7B-AF87-477B-BD88-4C20495DAE11}</author>
    <author>tc={6ECA2DB3-37B0-453E-ACCD-95E88CDF7FCB}</author>
    <author>tc={D55DCB3B-E04C-43FC-8740-06D3ECB18BA1}</author>
    <author>tc={6B051715-2C00-4C96-A526-18EE83FA23DA}</author>
    <author>tc={9DCBD56B-17CE-4D93-B1A9-860A4A1C9E11}</author>
    <author>tc={690C493D-AFBC-4823-A3EC-E73A045F8370}</author>
    <author>tc={015868CC-41D3-4816-BF87-C356E559FDDC}</author>
    <author>tc={1AD6B244-EF13-483C-AC9E-8DB23B11EDA4}</author>
    <author>tc={044413D9-9922-4C83-A016-2B58B5946A0C}</author>
    <author>tc={9D083C6B-2E07-4E2D-B92A-DB383A364ABC}</author>
    <author>tc={06354378-223D-4CBF-823F-242CBE982A2D}</author>
    <author>tc={D742A962-715E-44DC-9737-F8F48141FA72}</author>
    <author>tc={3B047F71-6331-46C4-9F16-A7AE16115705}</author>
    <author>tc={6264D639-04E8-4207-9F9D-88C96663EB20}</author>
    <author>tc={0249B290-D4A7-466A-BC4E-D95E165755D9}</author>
    <author>tc={6A0B8878-B15C-40FA-ADA2-C4EC3FAB4C43}</author>
    <author>tc={9C2EA046-745C-41E5-903C-DE81FF8C841B}</author>
    <author>tc={C809C996-EE57-422A-8C66-7F2DE3C2CE6C}</author>
    <author>tc={3DD38B34-2F37-4DBD-B8EC-3A8C0BE00624}</author>
    <author>tc={BAC47C9E-91BA-4131-AB8E-FD66CF483A22}</author>
    <author>tc={F89F32EC-C484-4CDD-96B2-F4CCFBEE2541}</author>
    <author>tc={056A2831-404A-48C0-BF1F-0EB6ABCC5BFE}</author>
    <author>tc={D5076EF0-A84C-4494-B10A-33417F2BB833}</author>
    <author>tc={D3B10F89-7F9C-46F4-93F0-A004528108DE}</author>
    <author>tc={75110C74-14A1-47BD-ABEA-5D587805528D}</author>
    <author>tc={E4A5FCD1-C040-4A52-B003-685C3D582028}</author>
    <author>tc={71EEE7C7-C8E1-4C7D-B677-7FB110A5C0BB}</author>
    <author>tc={ACDC5447-05B8-4A16-8AC2-96929BD51BF6}</author>
    <author>tc={078CB6C0-0F14-4DEE-A130-2D90AD6A04EE}</author>
    <author>tc={F330337D-CF17-4782-BF34-E52D04E342E9}</author>
    <author>tc={425F5211-D527-47C4-BEAE-391145D306F9}</author>
    <author>tc={266F67FD-61D1-44B3-BAE1-A5EEC6F79095}</author>
  </authors>
  <commentList>
    <comment ref="B2" authorId="0" shapeId="0" xr:uid="{2588A63C-F789-471F-8D72-313946B412A6}">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 would expect here also the following:
-wether an explicit node model exists and if it complies to the 7 requirements from tampere et al 2011
-if it adheres to a speed-flow curve (least acccurate), fundamental diagram (more accurate), or to a FD but also includes higher order effects (most accurate). 
-wether the routeset is fixed (less accurate) or variable (more accurate)</t>
        </r>
      </text>
    </comment>
    <comment ref="B4" authorId="1" shapeId="0" xr:uid="{92D88C1D-9FAE-4394-9B61-7CB3DDA623A8}">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Not sure what you mean by this.
Reply:
    so they  need to be defined. Furthermore, i woulud split them up, because vertical queuing modles exist, which are models that include flow metering but do not include blocking back. </t>
        </r>
      </text>
    </comment>
    <comment ref="B5" authorId="2" shapeId="0" xr:uid="{C0495F7B-AF87-477B-BD88-4C20495DAE11}">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these are three different things. 
-wrt spillback-oversaturation: you need to define what this is; also in relation with blocking back. In my understanding blocking back is the ability of a model to let queues grow upstream whereas spillback is the ability of a model to let queues grow upstream beyond 1 link.</t>
        </r>
      </text>
    </comment>
    <comment ref="D6" authorId="3" shapeId="0" xr:uid="{6ECA2DB3-37B0-453E-ACCD-95E88CDF7FCB}">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How to observe?</t>
        </r>
      </text>
    </comment>
    <comment ref="B8" authorId="4" shapeId="0" xr:uid="{D55DCB3B-E04C-43FC-8740-06D3ECB18BA1}">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definition?</t>
        </r>
      </text>
    </comment>
    <comment ref="B11" authorId="5" shapeId="0" xr:uid="{6B051715-2C00-4C96-A526-18EE83FA23DA}">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i'd make this more general: 'a meaningfull stable state', which in practice boils down to either DUE or SUE (where SO might be a nice theoretical bonus)</t>
        </r>
      </text>
    </comment>
    <comment ref="C11" authorId="6" shapeId="0" xr:uid="{9DCBD56B-17CE-4D93-B1A9-860A4A1C9E11}">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things are binary or not, not binary-based :)</t>
        </r>
      </text>
    </comment>
    <comment ref="D11" authorId="7" shapeId="0" xr:uid="{690C493D-AFBC-4823-A3EC-E73A045F837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Definition of user equilibrium: travel times on routes for the same OD pair should be exactly the same (DUE).
Reply:
    agreed for the DUE (added that only used routes should be accounted for). But this doesn't answer the question which stopcriterion value should be applied on network level (should all odpairs be in equillibrium, and what would be the tolerance for calling routetraveltimes 'the same'?)</t>
        </r>
      </text>
    </comment>
    <comment ref="B12" authorId="8" shapeId="0" xr:uid="{015868CC-41D3-4816-BF87-C356E559FDDC}">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not relevant if UE is used as a criterion.
change in link flows is not a good indicator, as it is dependent on the changes in route cost, but also on the factor applied for averaging in that iteration. If the latter decreases (i.e. 1/i in MSA) you'll get smaller link flow changes in every iteration by definition...</t>
        </r>
      </text>
    </comment>
    <comment ref="B13" authorId="9" shapeId="0" xr:uid="{1AD6B244-EF13-483C-AC9E-8DB23B11EDA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 would remove 7 and replace it with this... The duality gap is the best measure you can use for user equillibrium, but since none of the DTA models will come close to the dynamic UE (i've never seen any model do better than 0.01). So 'achievement of UE' will always be 'false' for all models...</t>
        </r>
      </text>
    </comment>
    <comment ref="B14" authorId="10" shapeId="0" xr:uid="{044413D9-9922-4C83-A016-2B58B5946A0C}">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only relevant for microsimulators, right? By definition not relevant for madam and egltm as they are deterministic. Are there stochastic processes included in Marple?</t>
        </r>
      </text>
    </comment>
    <comment ref="B15" authorId="11" shapeId="0" xr:uid="{9D083C6B-2E07-4E2D-B92A-DB383A364ABC}">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duplicate of 7 if you ask me</t>
        </r>
      </text>
    </comment>
    <comment ref="D15" authorId="12" shapeId="0" xr:uid="{06354378-223D-4CBF-823F-242CBE982A2D}">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What is 'strictness'?</t>
        </r>
      </text>
    </comment>
    <comment ref="B16" authorId="13" shapeId="0" xr:uid="{D742A962-715E-44DC-9737-F8F48141FA72}">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depends on the order of magnitude of the scenario's... so this should be rephrased as 'which types of scenario's can be evaluated' </t>
        </r>
      </text>
    </comment>
    <comment ref="B17" authorId="14" shapeId="0" xr:uid="{3B047F71-6331-46C4-9F16-A7AE16115705}">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derivative of 7, so remove as separate item</t>
        </r>
      </text>
    </comment>
    <comment ref="B19" authorId="15" shapeId="0" xr:uid="{6264D639-04E8-4207-9F9D-88C96663EB20}">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i'd suggest to add a criterion here that describes the potential efficiency by describing the complexity of the mathematical problem that is being solved and the solution algorithm used. (what i earlier called 'big-O notation). </t>
        </r>
      </text>
    </comment>
    <comment ref="B20" authorId="16" shapeId="0" xr:uid="{0249B290-D4A7-466A-BC4E-D95E165755D9}">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this needs to be made case independent. So the relationship between model dimensions (which ones?) and run time </t>
        </r>
      </text>
    </comment>
    <comment ref="B21" authorId="17" shapeId="0" xr:uid="{6A0B8878-B15C-40FA-ADA2-C4EC3FAB4C43}">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this needs to be made case independent. So the relationship between model dimensions (which ones?) and memory usage.
Furthermore, i think you mean peak memory usage here. </t>
        </r>
      </text>
    </comment>
    <comment ref="B23" authorId="18" shapeId="0" xr:uid="{9C2EA046-745C-41E5-903C-DE81FF8C841B}">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mode-based doesn't cover it. It is modes or user classes, i think the general term from literature is multi commodity vs multi class, but i never know which one is which.... </t>
        </r>
      </text>
    </comment>
    <comment ref="B24" authorId="19" shapeId="0" xr:uid="{C809C996-EE57-422A-8C66-7F2DE3C2CE6C}">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is about different modes</t>
        </r>
      </text>
    </comment>
    <comment ref="D24" authorId="20" shapeId="0" xr:uid="{3DD38B34-2F37-4DBD-B8EC-3A8C0BE0062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Not clear.</t>
        </r>
      </text>
    </comment>
    <comment ref="B25" authorId="21" shapeId="0" xr:uid="{BAC47C9E-91BA-4131-AB8E-FD66CF483A22}">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whereas this is about different user classes</t>
        </r>
      </text>
    </comment>
    <comment ref="B28" authorId="22" shapeId="0" xr:uid="{F89F32EC-C484-4CDD-96B2-F4CCFBEE2541}">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by definition, any route will be used if you apply a non-deterministic route choice model... So this criterion is usefull when using an AON route choice model, if using a non-deterministic route choice model, a treshold (related to the scale parameter of the route choice model) should be applied. </t>
        </r>
      </text>
    </comment>
    <comment ref="B29" authorId="23" shapeId="0" xr:uid="{056A2831-404A-48C0-BF1F-0EB6ABCC5BFE}">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 think this is covered by 7, so could be omitted here.</t>
        </r>
      </text>
    </comment>
    <comment ref="B30" authorId="24" shapeId="0" xr:uid="{D5076EF0-A84C-4494-B10A-33417F2BB833}">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this mainly depends on the parameters used for the route set generation algorithm, not nescesarily the route set generation method itself. </t>
        </r>
      </text>
    </comment>
    <comment ref="B31" authorId="25" shapeId="0" xr:uid="{D3B10F89-7F9C-46F4-93F0-A004528108DE}">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 would change this criterion into 'effect of route set and degree of route overlap on convergence of assignment model'. 
This cannot be seen isolated from the route choice model.
Furthermore, this classifies more as model robustness</t>
        </r>
      </text>
    </comment>
    <comment ref="D33" authorId="26" shapeId="0" xr:uid="{75110C74-14A1-47BD-ABEA-5D587805528D}">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didn't read the paper, but don't undrestand whats meant here</t>
        </r>
      </text>
    </comment>
    <comment ref="B34" authorId="27" shapeId="0" xr:uid="{E4A5FCD1-C040-4A52-B003-685C3D582028}">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split into: 1)effect on convergence (duality gap vs number of iterations ) and 2) effect on efficiency (duality gap vs calculation time)</t>
        </r>
      </text>
    </comment>
    <comment ref="B35" authorId="28" shapeId="0" xr:uid="{71EEE7C7-C8E1-4C7D-B677-7FB110A5C0BB}">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Check for possible overlap with 3.1. Both are related to traffic propagation.</t>
        </r>
      </text>
    </comment>
    <comment ref="B36" authorId="29" shapeId="0" xr:uid="{ACDC5447-05B8-4A16-8AC2-96929BD51BF6}">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duplicate of 2? (don't know what's meant by 'trend analysis' here)</t>
        </r>
      </text>
    </comment>
    <comment ref="B37" authorId="30" shapeId="0" xr:uid="{078CB6C0-0F14-4DEE-A130-2D90AD6A04EE}">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i think this is with respect to links, but for node models this is also a relevant property (one of the propertys of Tampere 2011 actually). </t>
        </r>
      </text>
    </comment>
    <comment ref="B38" authorId="31" shapeId="0" xr:uid="{F330337D-CF17-4782-BF34-E52D04E342E9}">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Maybe not only signal control, but also other traffic management measures, such as VMS, ramp metering, etc.
Reply:
    agreed, that not only signal delays 'there's also geometric delays and incremental delays (apart from the other sources mentioned by Henk). </t>
        </r>
      </text>
    </comment>
    <comment ref="B39" authorId="32" shapeId="0" xr:uid="{425F5211-D527-47C4-BEAE-391145D306F9}">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this is what i call 'spillback' and belongs to 2 </t>
        </r>
      </text>
    </comment>
    <comment ref="B42" authorId="33" shapeId="0" xr:uid="{266F67FD-61D1-44B3-BAE1-A5EEC6F79095}">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unclear how a speed distribution would be evaluated... As i see it, if there's junction modelling and possibility to define network loading parameters specific for urban link types, the model is applicable for networks with urban+motorway links</t>
        </r>
      </text>
    </comment>
  </commentList>
</comments>
</file>

<file path=xl/sharedStrings.xml><?xml version="1.0" encoding="utf-8"?>
<sst xmlns="http://schemas.openxmlformats.org/spreadsheetml/2006/main" count="1995" uniqueCount="524">
  <si>
    <t>Information about the Framework</t>
  </si>
  <si>
    <t>Application Domain</t>
  </si>
  <si>
    <t>Planning Horizon</t>
  </si>
  <si>
    <t>Strategic Planning</t>
  </si>
  <si>
    <t>Tactical Planning</t>
  </si>
  <si>
    <t>Operational Planning</t>
  </si>
  <si>
    <t>User</t>
  </si>
  <si>
    <t>Policy Maker</t>
  </si>
  <si>
    <t>Mobility Consultant</t>
  </si>
  <si>
    <t>Scientific Researcher</t>
  </si>
  <si>
    <t>Model Developer</t>
  </si>
  <si>
    <t>No of KPI's</t>
  </si>
  <si>
    <t>Type of Analysis</t>
  </si>
  <si>
    <t>Qualitative</t>
  </si>
  <si>
    <t>Quantitative</t>
  </si>
  <si>
    <t>Binary</t>
  </si>
  <si>
    <t>All</t>
  </si>
  <si>
    <t>Complexity</t>
  </si>
  <si>
    <t>Possible Unique Combinations</t>
  </si>
  <si>
    <t>CURRENT COMPLEXITY</t>
  </si>
  <si>
    <t>Qualitative score system</t>
  </si>
  <si>
    <t>Score from</t>
  </si>
  <si>
    <t>Score to</t>
  </si>
  <si>
    <t>Description</t>
  </si>
  <si>
    <t>The property under consideration is absent from the model</t>
  </si>
  <si>
    <t>Instances of the property can be observed. However the results are incosistent and non-reliable</t>
  </si>
  <si>
    <t>The model results showcase the presence of the property under consideration partially.</t>
  </si>
  <si>
    <t>Model results completely Inline with the model property under consideration</t>
  </si>
  <si>
    <t>Usability Scale</t>
  </si>
  <si>
    <t>Usability Measure</t>
  </si>
  <si>
    <t>1- The model interface is complex for a regular user to understand, and would need external help to understand.
10 - The model interface is straightforward and can easily be operated</t>
  </si>
  <si>
    <t>Familiarity</t>
  </si>
  <si>
    <t>1- The model is too sophisticated with a lot of irrelevant features, which does not affect the expected results of the model.
10 - The model working is effortless and contains hardly any non-relevant parameters or features.</t>
  </si>
  <si>
    <t>Simplicity</t>
  </si>
  <si>
    <t xml:space="preserve">1- The model interface is complex and movement from one window to the other is demanding
10 - Navigation between the interface windows and tools is fluid and user-friendly </t>
  </si>
  <si>
    <t>Navigability</t>
  </si>
  <si>
    <t>1- The modelling environment is strict and does not offer the user the required amount of transparency and control
10 - The model is completely transparent and the model user feels completely in control of the working of the model.</t>
  </si>
  <si>
    <t>Controllability</t>
  </si>
  <si>
    <t>1- Visual readability is poor and the model user requires prior practice and external help to use the tools
10 - The dialogue boxes, plug-in's and the tools in the model are easy to straightforward, clear and consistent</t>
  </si>
  <si>
    <t>Readability</t>
  </si>
  <si>
    <t>1- The buttons and features in the interface are not descriptive enough for the model user to explore. The error log can only be understood by a model developer or an experienced programmer.
10 - The user interface provides the appropriate help texts and prompts to use the tools in the model. The error log is descriptive enough for a fresh user to engage in debugging.</t>
  </si>
  <si>
    <t>User guidance</t>
  </si>
  <si>
    <t>1- The User interface is inelastic and does not allow any form of alterations as per the preferences of the user
10 - The User interface can be easily customized according to the preferences of the model user</t>
  </si>
  <si>
    <t>Flexibility</t>
  </si>
  <si>
    <t>EMMa - Multi-Dimensional Framework</t>
  </si>
  <si>
    <t>MARPLE</t>
  </si>
  <si>
    <t>StreamLine-MaDAM</t>
  </si>
  <si>
    <t>StreamLine-eGLTM</t>
  </si>
  <si>
    <t>Standardization</t>
  </si>
  <si>
    <t>Weightage of Score</t>
  </si>
  <si>
    <t>Final Scores</t>
  </si>
  <si>
    <t xml:space="preserve">EMMa - </t>
  </si>
  <si>
    <r>
      <rPr>
        <b/>
        <sz val="16"/>
        <color rgb="FFFF0000"/>
        <rFont val="Calibri"/>
        <family val="2"/>
        <scheme val="minor"/>
      </rPr>
      <t>E</t>
    </r>
    <r>
      <rPr>
        <sz val="16"/>
        <color theme="1"/>
        <rFont val="Calibri"/>
        <family val="2"/>
        <scheme val="minor"/>
      </rPr>
      <t>valuation</t>
    </r>
  </si>
  <si>
    <r>
      <rPr>
        <b/>
        <sz val="16"/>
        <color rgb="FFFF0000"/>
        <rFont val="Calibri"/>
        <family val="2"/>
        <scheme val="minor"/>
      </rPr>
      <t>M</t>
    </r>
    <r>
      <rPr>
        <sz val="16"/>
        <color theme="1"/>
        <rFont val="Calibri"/>
        <family val="2"/>
        <scheme val="minor"/>
      </rPr>
      <t>odel</t>
    </r>
  </si>
  <si>
    <t>for</t>
  </si>
  <si>
    <r>
      <rPr>
        <b/>
        <sz val="16"/>
        <color rgb="FFFF0000"/>
        <rFont val="Calibri"/>
        <family val="2"/>
        <scheme val="minor"/>
      </rPr>
      <t>Ma</t>
    </r>
    <r>
      <rPr>
        <sz val="16"/>
        <color theme="1"/>
        <rFont val="Calibri"/>
        <family val="2"/>
        <scheme val="minor"/>
      </rPr>
      <t>croscopic DTA's</t>
    </r>
  </si>
  <si>
    <t>Model-1</t>
  </si>
  <si>
    <t>Model-2</t>
  </si>
  <si>
    <t>Model-3</t>
  </si>
  <si>
    <t>Standardization type</t>
  </si>
  <si>
    <t>Standardization Code</t>
  </si>
  <si>
    <t>"Emma" is an English name with roots in an old Germanic word meaning “whole” or “universal.(Source-Wikipedia)</t>
  </si>
  <si>
    <t>Higher the better</t>
  </si>
  <si>
    <t>Prop1</t>
  </si>
  <si>
    <t>Vque1</t>
  </si>
  <si>
    <t>Hque1</t>
  </si>
  <si>
    <t>Capd1</t>
  </si>
  <si>
    <t>Cdrp1</t>
  </si>
  <si>
    <t>Lower the better</t>
  </si>
  <si>
    <t>Prop2</t>
  </si>
  <si>
    <t>Rfac1</t>
  </si>
  <si>
    <t>Rout1</t>
  </si>
  <si>
    <t>Mrot1</t>
  </si>
  <si>
    <t>Sngo1</t>
  </si>
  <si>
    <t>Rgap1</t>
  </si>
  <si>
    <t>Measures of Performance</t>
  </si>
  <si>
    <t>Mult1</t>
  </si>
  <si>
    <t>Mcls1</t>
  </si>
  <si>
    <t>Node1</t>
  </si>
  <si>
    <t>Sign1</t>
  </si>
  <si>
    <t>Rchc1</t>
  </si>
  <si>
    <t>Rovr1</t>
  </si>
  <si>
    <t>Urbn1</t>
  </si>
  <si>
    <t>Comp1</t>
  </si>
  <si>
    <t>Ceff1</t>
  </si>
  <si>
    <t>Usab1</t>
  </si>
  <si>
    <t>Usbt1</t>
  </si>
  <si>
    <t>Scores</t>
  </si>
  <si>
    <t>Ranks</t>
  </si>
  <si>
    <t>Visualization</t>
  </si>
  <si>
    <t>Model User Type</t>
  </si>
  <si>
    <t>Application domain</t>
  </si>
  <si>
    <t>Scores - Summary</t>
  </si>
  <si>
    <t>Weightages - Average</t>
  </si>
  <si>
    <t>Total</t>
  </si>
  <si>
    <t>Sl No</t>
  </si>
  <si>
    <t>Model Name</t>
  </si>
  <si>
    <t>Model User Category</t>
  </si>
  <si>
    <t>Total Scores</t>
  </si>
  <si>
    <t>Average of Total Scores</t>
  </si>
  <si>
    <t>Column Labels</t>
  </si>
  <si>
    <t>Row Labels</t>
  </si>
  <si>
    <t>Strategic</t>
  </si>
  <si>
    <t>Tactical</t>
  </si>
  <si>
    <t>Operational</t>
  </si>
  <si>
    <t>(All)</t>
  </si>
  <si>
    <t>Key Modelling Properties/Measures of Performance (MOP)</t>
  </si>
  <si>
    <t>MOP Type</t>
  </si>
  <si>
    <t>Definitions</t>
  </si>
  <si>
    <t>Reference</t>
  </si>
  <si>
    <t>Conceptual Validation</t>
  </si>
  <si>
    <t>The comparison of the effects observed in a real transport system to the simulated model. This involves checking the presence of real-world effects such as blocking back, capacity drop, smooth speed variations, stop and go waves etc in the results of the simulated model.</t>
  </si>
  <si>
    <t>Ni, D., II, J. D., Guin, A., &amp; Williams, a. B. (2004). Systematic Approach for Validating Traffic Simulation Models. Transportation Research Record: Journal of the Transportation Research Board No. 1876, TRB, National Research Council, Washington,, 20-31.</t>
  </si>
  <si>
    <t>Requirments for a truly Dynamic Traffic Assignment (DTA) from Heydecker and Addison (2005)</t>
  </si>
  <si>
    <t>Flow Metering or Blocking back - strict capacity constraint</t>
  </si>
  <si>
    <t>The property which restricts the traffic flow in links where inflow is greater than link capacity. The property enables queuing to occur from those links upstream of the bottleneck. A pure "capacity constrained" model will be expected to store these queues virtually as vertical queues. Noted for models which are capacity constraint. Presence observed qualitatively</t>
  </si>
  <si>
    <t>Traffic Spillback - strict storage constraint</t>
  </si>
  <si>
    <t>The property describes the growth of queues from the bottleneck link to those upstream, which is an empirically validated traffic phenomenon.  Effects observed through local link indicators such as - oversaturation or peak spreading from link to link, capacity reduction of the upstream link to that of the bottleneck link, increase in travel time of links as a consequence of queuing and decrease of link speeds. Presence observed qualitatively</t>
  </si>
  <si>
    <t>Positivity: we are only really interested in non-negative flows on links, paths, trip matrices and costs.</t>
  </si>
  <si>
    <t>Capacity drop</t>
  </si>
  <si>
    <t>When the congestion due to a bottleneck is dissolved, drivers tend to maintain a larger distance with the predecessor vehicle, which would ultimately lead to a decrease in lane --&gt; road capacity, which occurs in a real-world case. Presence observed qualitatively</t>
  </si>
  <si>
    <t>ITLS Paper - Bliemer et.al 2013</t>
  </si>
  <si>
    <t xml:space="preserve"> Conservation: the model must satisfy flow conservation requirements.</t>
  </si>
  <si>
    <t>Smoothness of temporal speed variations</t>
  </si>
  <si>
    <t>The variation of speeds over time can be studied to check the closeness to a realistic setting. Here the indicators used are from the distribution graphs, which talks about the roughness of the distribution curve. The underlying thought process here is: The smoother the variation in speeds, the more realistic are the results. Due to time constraint only one indicator is checked here:   centre line arithmetic average or arithmetic average height. Larger the roughness values, the distribution is less smooth.</t>
  </si>
  <si>
    <t xml:space="preserve">Ortuzar &amp; Willumsen,
Gadelmawla, E., Koura, M., Maksoud, T., Elewa, I., &amp; H.H. Soliman. (2002). Roughness parameters. Journal of Materials Processing Technology, Volume 123, Issue 1,, 133-145.
</t>
  </si>
  <si>
    <t xml:space="preserve"> FIFO: in real traffic the FIFO (First In, First Out) behaviour generally prevails and this must be maintained in the model if proper delays are to be estimated.</t>
  </si>
  <si>
    <t>Smoothness of temporal flow variations</t>
  </si>
  <si>
    <t>The variation of flows over time can be studied to check the closeness to a realistic setting. Here the indicators used are from the distribution graphs, which talks about the roughness of the distribution curve. The underlying thought process here is: The smoother the variation in flows, the more realistic are the results. Due to time constraint only one indicator is checked here:   centre line arithmetic average or arithmetic average height. Larger the roughness values, the distribution is less smooth.</t>
  </si>
  <si>
    <t xml:space="preserve"> Minimum travel time: flows do not propagate instantaneously.</t>
  </si>
  <si>
    <t>Presence of variable route set</t>
  </si>
  <si>
    <t>Route set generation present before every simulation. A model result close to real-world situation, if the route set is generated before the beginning of every simulation start.</t>
  </si>
  <si>
    <t xml:space="preserve"> Finite clearing time: there are no queues left at the end of the modelling period; infinite delays do not occur (as a standard queueing model might suggest).</t>
  </si>
  <si>
    <t>Modelling of stop and go waves</t>
  </si>
  <si>
    <t>In reality, it is possible for the front of the queue to keep moving, while the back of the queue moves backwards due to traffic phenomenon. However, the presence of this effect needs to be checked in the model</t>
  </si>
  <si>
    <t xml:space="preserve">Taale, Henk. (2008). Integrated Anticipatory Control of Road Networks - A Game-Theoretical Approach. </t>
  </si>
  <si>
    <t>Model robustness</t>
  </si>
  <si>
    <t>The extent to which the model converges to a defined and meaningful stable state.</t>
  </si>
  <si>
    <t>Ortuzar &amp; Willumsen</t>
  </si>
  <si>
    <t xml:space="preserve"> Capacity: there is such a thing as strict capacity constraint in the sense that actual flows cannot exceed it even for a short period of time.</t>
  </si>
  <si>
    <t>Dynamic Relative duality gap</t>
  </si>
  <si>
    <t>Convergence criterion - In most DTA applications, the solution is assumed to have converged to an equilibrium solution when the relative gap is less than a prespecified tolerance level. The general guideline is to make sure that user benefits, in terms of percentage time savings, are at least 10 times the relative gap (in %). Boyce et al. (2004) investigated this issue in some practical cases and recommended that the relative gap should be at most 0.1% (0.001) for satisfactory convergence. However for practical reasons the threshold is maintained at 1%.</t>
  </si>
  <si>
    <t>Rose et al. (1988)</t>
  </si>
  <si>
    <t>Under equilibrium conditions in networks where congestion varies over time traffic arranges itself so that at each instant the costs incurred by drivers on those routes that are used are equal and no greater than those on any unused route.</t>
  </si>
  <si>
    <t xml:space="preserve"> Causality: delays now are affected by what other vehicles do or have done in the past, not in the future.</t>
  </si>
  <si>
    <t>Applicability</t>
  </si>
  <si>
    <t xml:space="preserve">Capability of the model to include multi-class </t>
  </si>
  <si>
    <t>Difference in Network Supply based on Modes</t>
  </si>
  <si>
    <t>Applicability to Different modes - Presence of difference in types of network for different modes</t>
  </si>
  <si>
    <t>Difference in Input parameters based on different trip purposes</t>
  </si>
  <si>
    <t>Applicability to different Trip Purposes - Parameters such as value of travel time (leisure vs commute)</t>
  </si>
  <si>
    <t>Defining Quality of DTA Model Outputs from Chiu, Yi-Chang &amp; Bottom et. Al (2011)</t>
  </si>
  <si>
    <t>Tractability</t>
  </si>
  <si>
    <t>The extent to which calculations in each model component can be verified using the theory behind the component or sub model. Qualitative scoring done with theorotical tests.</t>
  </si>
  <si>
    <t>Farzad FakhraeiRoudsar, Wei Huang, Chris Tampère (2015). Benchmarking StreamLine Dynamic Traffic Assignment model: theoretical
test cases</t>
  </si>
  <si>
    <t>Propagation - Link flows</t>
  </si>
  <si>
    <t>To evaluate the model performance for network loading module, during link propagation by comparing the expected theorotical results vs actual simulated results.</t>
  </si>
  <si>
    <t>Convergence to equilibrium</t>
  </si>
  <si>
    <t>Propagation - Queuing</t>
  </si>
  <si>
    <t>To evaluate the model performance for network loading module, during queue formation by a stationary and temporary bottleneck by comparing the expected theorotical results vs actual simulated results.</t>
  </si>
  <si>
    <t>Solution sensitivity and stabbility</t>
  </si>
  <si>
    <t>Propagation - Effect of link-level traffic controls</t>
  </si>
  <si>
    <r>
      <t xml:space="preserve">To evaluate the model performance for network loading module, while varying some input properties of the fundamental diagram such as </t>
    </r>
    <r>
      <rPr>
        <b/>
        <i/>
        <sz val="11"/>
        <color theme="8" tint="-0.249977111117893"/>
        <rFont val="Calibri"/>
        <family val="2"/>
        <scheme val="minor"/>
      </rPr>
      <t>speed</t>
    </r>
    <r>
      <rPr>
        <i/>
        <sz val="11"/>
        <color theme="8" tint="-0.249977111117893"/>
        <rFont val="Calibri"/>
        <family val="2"/>
        <scheme val="minor"/>
      </rPr>
      <t xml:space="preserve">, </t>
    </r>
    <r>
      <rPr>
        <b/>
        <i/>
        <sz val="11"/>
        <color theme="8" tint="-0.249977111117893"/>
        <rFont val="Calibri"/>
        <family val="2"/>
        <scheme val="minor"/>
      </rPr>
      <t>capacity (saturation flow) etc</t>
    </r>
    <r>
      <rPr>
        <i/>
        <sz val="11"/>
        <color theme="8" tint="-0.249977111117893"/>
        <rFont val="Calibri"/>
        <family val="2"/>
        <scheme val="minor"/>
      </rPr>
      <t>, by comparing the expected theorotical results vs actual simulated results.</t>
    </r>
  </si>
  <si>
    <t>Realism of traffic dynamics</t>
  </si>
  <si>
    <t>Node model-merge behaviour</t>
  </si>
  <si>
    <t>To evaluate the merge node behaviour in complaince with the node model requirements stated in (Tampere et.al 2011), by comparing the expected theorotical results vs actual simulated results.</t>
  </si>
  <si>
    <t>Node model-diverge behaviour</t>
  </si>
  <si>
    <t>To evaluate the diverge node behaviour in complaince with the node model requirements stated in (Tampere et.al 2011), by comparing the expected theorotical results vs actual simulated results.</t>
  </si>
  <si>
    <t>Signalized Intersection</t>
  </si>
  <si>
    <t>To evaluate the behaviour of the model in a signalized intersection, similar to an urban road network, by comparing the expected theorotical results vs actual simulated results.</t>
  </si>
  <si>
    <t>Route choice (general)</t>
  </si>
  <si>
    <t>The performance of the route choice submodule is evaluated by running a Stochastic User Equilibrium assignment, by comparing the expected theorotical results vs actual simulated results.</t>
  </si>
  <si>
    <t>Route choice (route overlap)</t>
  </si>
  <si>
    <t>The performance of the route choice submodule along with the effect of route overlap is evaluated by running a Stochastic User Equilibrium assignment, by comparing the expected theorotical results vs actual simulated results.</t>
  </si>
  <si>
    <t>Integration of Network Hierarchies - Urban and Motorway roads</t>
  </si>
  <si>
    <t>Fluctuation of traffic states over a series of urban and non-urban links</t>
  </si>
  <si>
    <t>Urban links are assumed to have a shorter length with smaller average speed in comparison to Highway links. people in city conditions tend to drive a lot more aggressively, resulting in bigger fluctuations in speed, density and flow in a shorter period of time. Compared to an urban road, in a highway the traffic state changes occurs gradually. This theorotical expectation is compared with the actual simulated results.</t>
  </si>
  <si>
    <t xml:space="preserve">Raadsen, Mark &amp; Mein, H. &amp; Schilpzand, M. &amp; Brandt, F.. (2010). Implementation of a single dynamic traffic assignment model on mixed urban and highway transport networks including junction modeling. </t>
  </si>
  <si>
    <t>Computational efficiency</t>
  </si>
  <si>
    <t>The extent to which run times and memory requirements are acceptable for calibration and application of large-scale models (calibration omitted from current study)</t>
  </si>
  <si>
    <t>Run Time in Sec</t>
  </si>
  <si>
    <t>Simulation time for a specific test case involving the various subcomponents of a Macro-DTA Model</t>
  </si>
  <si>
    <t>Peak memory Usage in MB's</t>
  </si>
  <si>
    <t>Peak memory usage for a specific test case, for the final iteration upon meeting convergence criteria</t>
  </si>
  <si>
    <t>Usability</t>
  </si>
  <si>
    <t>The ease with which a user can learn to operate, prepare inputs for, and interpret outputs
of a system or component” (IEEE Std.610.12-1990)</t>
  </si>
  <si>
    <t xml:space="preserve">Seffah, Ahmed &amp; Donyaee, Mohammad &amp; Kline, Rex &amp; Padda, Harkirat. (2006). Usability measurement and metrics: A consolidated model. Software Quality Journal. 14. 159-178. 10.1007/s11219-006-7600-8. </t>
  </si>
  <si>
    <t>Whether the user interface offers recognizable elements and interactions
that can be understood by the user</t>
  </si>
  <si>
    <t>Whether extraneous elements are eliminated from the user interface
without significant information loss</t>
  </si>
  <si>
    <t>Whether users can move around in the application in an efficient way</t>
  </si>
  <si>
    <t>Whether users feel that they are in control of the software product</t>
  </si>
  <si>
    <t>Ease with which visual content (e.g., text dialogs) can be understood</t>
  </si>
  <si>
    <t>Whether the user interface provides context-sensitive help and meaningful
feedback when errors occur</t>
  </si>
  <si>
    <t>Whether the user interface of the software product can be tailored to suit
users’ personal preferences</t>
  </si>
  <si>
    <t>Standardization - Sensitivity Study</t>
  </si>
  <si>
    <t>WEIGHTED SUM APPROACH</t>
  </si>
  <si>
    <t>linear Max</t>
  </si>
  <si>
    <t>linear Max-Min</t>
  </si>
  <si>
    <t>linear Sum</t>
  </si>
  <si>
    <t>Vector</t>
  </si>
  <si>
    <t>Logarithmic</t>
  </si>
  <si>
    <t>Weigtage</t>
  </si>
  <si>
    <t>Standardized Scores</t>
  </si>
  <si>
    <t>Q2.1</t>
  </si>
  <si>
    <t>Please choose your Model User Category</t>
  </si>
  <si>
    <t>Link with MoP</t>
  </si>
  <si>
    <t>Q2.2</t>
  </si>
  <si>
    <t>Please indicate the number of years of experience as the chosen Model User</t>
  </si>
  <si>
    <t>Q2.3</t>
  </si>
  <si>
    <t>Please provide your Unique ID code, sent via email by the researcher</t>
  </si>
  <si>
    <t>10001</t>
  </si>
  <si>
    <t>10004</t>
  </si>
  <si>
    <t>2000100</t>
  </si>
  <si>
    <t>20002</t>
  </si>
  <si>
    <t>30001</t>
  </si>
  <si>
    <t>30008</t>
  </si>
  <si>
    <t>30002</t>
  </si>
  <si>
    <t>40001</t>
  </si>
  <si>
    <t>40008</t>
  </si>
  <si>
    <t>40003</t>
  </si>
  <si>
    <t>40009</t>
  </si>
  <si>
    <t>Q3.2_1</t>
  </si>
  <si>
    <t>While using the transport model for the applications in the options below, how important would it be to incorporate the following real-world effect: blockage of vehicles in a road section as a result of traffic jams and induced congestion in preceding road sections upstream from the blockage? 
(On a scale from 1 - least important to 10 - most important) - Strategic Planning</t>
  </si>
  <si>
    <t/>
  </si>
  <si>
    <t>Q3.2_2</t>
  </si>
  <si>
    <t>While using the transport model for the applications in the options below, how important would it be to incorporate the following real-world effect: blockage of vehicles in a road section as a result of traffic jams and induced congestion in preceding road sections upstream from the blockage? 
(On a scale from 1 - least important to 10 - most important) - Tactical Planning</t>
  </si>
  <si>
    <t>Q3.2_3</t>
  </si>
  <si>
    <t>While using the transport model for the applications in the options below, how important would it be to incorporate the following real-world effect: blockage of vehicles in a road section as a result of traffic jams and induced congestion in preceding road sections upstream from the blockage? 
(On a scale from 1 - least important to 10 - most important) - Operational Planning</t>
  </si>
  <si>
    <t>Q3.3_1</t>
  </si>
  <si>
    <t>While using the transport model for the applications in the options below, how important would it be to incorporate the following real-world effect: decrease in the total capacity of the road section in a motorway when the traffic congestion is present for a period of time and dissolves?
The reason for the larger gap between the cars is due to driver's higher expected reaction time Capacity - the total number of vehicles the road section can accommodate in an hour
(On a scale from 1 - least important to 10 - most important) - Strategic Planning</t>
  </si>
  <si>
    <t>Q3.3_2</t>
  </si>
  <si>
    <t>While using the transport model for the applications in the options below, how important would it be to incorporate the following real-world effect: decrease in the total capacity of the road section in a motorway when the traffic congestion is present for a period of time and dissolves?
The reason for the larger gap between the cars is due to driver's higher expected reaction time Capacity - the total number of vehicles the road section can accommodate in an hour
(On a scale from 1 - least important to 10 - most important) - Tactical Planning</t>
  </si>
  <si>
    <t>Q3.3_3</t>
  </si>
  <si>
    <t>While using the transport model for the applications in the options below, how important would it be to incorporate the following real-world effect: decrease in the total capacity of the road section in a motorway when the traffic congestion is present for a period of time and dissolves?
The reason for the larger gap between the cars is due to driver's higher expected reaction time Capacity - the total number of vehicles the road section can accommodate in an hour
(On a scale from 1 - least important to 10 - most important) - Operational Planning</t>
  </si>
  <si>
    <t>Q3.4_1</t>
  </si>
  <si>
    <t>While using the transport model for the applications listed in the options below, how important would it be to incorporate the following real-world effect: gradual increase or decrease in speeds of vehicles as opposed to sudden variations? 
The reason for a gradual variation is that the driver behavior is dependent on the movement of the vehicles in front and the behind so as to accelerate or decelerate his/her vehicle.
(On a scale from 1 - least important to 10 - most important) - Strategic Planning</t>
  </si>
  <si>
    <t>Q3.4_2</t>
  </si>
  <si>
    <t>While using the transport model for the applications listed in the options below, how important would it be to incorporate the following real-world effect: gradual increase or decrease in speeds of vehicles as opposed to sudden variations? 
The reason for a gradual variation is that the driver behavior is dependent on the movement of the vehicles in front and the behind so as to accelerate or decelerate his/her vehicle.
(On a scale from 1 - least important to 10 - most important) - Tactical Planning</t>
  </si>
  <si>
    <t>Q3.4_3</t>
  </si>
  <si>
    <t>While using the transport model for the applications listed in the options below, how important would it be to incorporate the following real-world effect: gradual increase or decrease in speeds of vehicles as opposed to sudden variations? 
The reason for a gradual variation is that the driver behavior is dependent on the movement of the vehicles in front and the behind so as to accelerate or decelerate his/her vehicle.
(On a scale from 1 - least important to 10 - most important) - Operational Planning</t>
  </si>
  <si>
    <t>Q3.5_1</t>
  </si>
  <si>
    <t>While using the transport model for the applications listed in the options below, how important would it be to incorporate the following real-world effect: The option for a traveler to have multiple route options that are made available on the basis of shorter travel times between two locations.
(On a scale from 1 - least important to 10 - most important) - Strategic Planning</t>
  </si>
  <si>
    <t>Q3.5_2</t>
  </si>
  <si>
    <t>While using the transport model for the applications listed in the options below, how important would it be to incorporate the following real-world effect: The option for a traveler to have multiple route options that are made available on the basis of shorter travel times between two locations.
(On a scale from 1 - least important to 10 - most important) - Tactical Planning</t>
  </si>
  <si>
    <t>Q3.5_3</t>
  </si>
  <si>
    <t>While using the transport model for the applications listed in the options below, how important would it be to incorporate the following real-world effect: The option for a traveler to have multiple route options that are made available on the basis of shorter travel times between two locations.
(On a scale from 1 - least important to 10 - most important) - Operational Planning</t>
  </si>
  <si>
    <t>Q3.6_1</t>
  </si>
  <si>
    <t>While using the transport model for the applications listed in the options below, how important would it be to incorporate different transport modes for the travelers and to observe different types of travel behavior for different types of trips such as for work, leisure etc.    
(On a scale from 1 - least important to 10 - most important) - Strategic Planning</t>
  </si>
  <si>
    <t>Q3.6_2</t>
  </si>
  <si>
    <t>While using the transport model for the applications listed in the options below, how important would it be to incorporate different transport modes for the travelers and to observe different types of travel behavior for different types of trips such as for work, leisure etc.    
(On a scale from 1 - least important to 10 - most important) - Tactical Planning</t>
  </si>
  <si>
    <t>Q3.6_3</t>
  </si>
  <si>
    <t>While using the transport model for the applications listed in the options below, how important would it be to incorporate different transport modes for the travelers and to observe different types of travel behavior for different types of trips such as for work, leisure etc.    
(On a scale from 1 - least important to 10 - most important) - Operational Planning</t>
  </si>
  <si>
    <t>Q3.7_1</t>
  </si>
  <si>
    <t>While using the transport model, how important it is to run the simulation in a normal computer and its ability to give fast results ( quickness of the model run)?
 (On a scale from 1 - least important to 10 - most important) - Strategic Planning</t>
  </si>
  <si>
    <t>Q3.7_2</t>
  </si>
  <si>
    <t>While using the transport model, how important it is to run the simulation in a normal computer and its ability to give fast results ( quickness of the model run)?
 (On a scale from 1 - least important to 10 - most important) - Tactical Planning</t>
  </si>
  <si>
    <t>Q3.7_3</t>
  </si>
  <si>
    <t>While using the transport model, how important it is to run the simulation in a normal computer and its ability to give fast results ( quickness of the model run)?
 (On a scale from 1 - least important to 10 - most important) - Operational Planning</t>
  </si>
  <si>
    <t>Q3.8_1</t>
  </si>
  <si>
    <t>While using the transport model for the applications listed in the options below, how important is the usability of the model, defined as the ease with which a user can learn to operate, prepare inputs for, and interpret outputs of a system or component (Definition quoted from - IEEE Std.610.12-1990, referred from Seffah et al., 2006 )? 
(On a scale from 1 - least important to 10 - most important) - Strategic Planning</t>
  </si>
  <si>
    <t>Q3.8_2</t>
  </si>
  <si>
    <t>While using the transport model for the applications listed in the options below, how important is the usability of the model, defined as the ease with which a user can learn to operate, prepare inputs for, and interpret outputs of a system or component (Definition quoted from - IEEE Std.610.12-1990, referred from Seffah et al., 2006 )? 
(On a scale from 1 - least important to 10 - most important) - Tactical Planning</t>
  </si>
  <si>
    <t>Q3.8_3</t>
  </si>
  <si>
    <t>While using the transport model for the applications listed in the options below, how important is the usability of the model, defined as the ease with which a user can learn to operate, prepare inputs for, and interpret outputs of a system or component (Definition quoted from - IEEE Std.610.12-1990, referred from Seffah et al., 2006 )? 
(On a scale from 1 - least important to 10 - most important) - Operational Planning</t>
  </si>
  <si>
    <t>Q4.1_1</t>
  </si>
  <si>
    <t>While using the DTA, how important is the presence of the feature - vertical queuing - ability to adhere to strict capacity constraint and hence flow never exceeds capacity, valid for the respective planning horizons? 
(On a scale from 1 - least important to 10 - most important) - Strategic Planning</t>
  </si>
  <si>
    <t>Q4.1_2</t>
  </si>
  <si>
    <t>While using the DTA, how important is the presence of the feature - vertical queuing - ability to adhere to strict capacity constraint and hence flow never exceeds capacity, valid for the respective planning horizons? 
(On a scale from 1 - least important to 10 - most important) - Tactical Planning</t>
  </si>
  <si>
    <t>Q4.1_3</t>
  </si>
  <si>
    <t>While using the DTA, how important is the presence of the feature - vertical queuing - ability to adhere to strict capacity constraint and hence flow never exceeds capacity, valid for the respective planning horizons? 
(On a scale from 1 - least important to 10 - most important) - Operational Planning</t>
  </si>
  <si>
    <t>Q4.2_1</t>
  </si>
  <si>
    <t>While using the DTA, how important is the presence of the feature - horizontal queuing - ability to adhere to strict storage constraint and hence spillback into upstream links may occur valid for the respective planning horizons? 
(On a scale from 1 - least important to 10 - most important) - Strategic Planning</t>
  </si>
  <si>
    <t>Q4.2_2</t>
  </si>
  <si>
    <t>While using the DTA, how important is the presence of the feature - horizontal queuing - ability to adhere to strict storage constraint and hence spillback into upstream links may occur valid for the respective planning horizons? 
(On a scale from 1 - least important to 10 - most important) - Tactical Planning</t>
  </si>
  <si>
    <t>Q4.2_3</t>
  </si>
  <si>
    <t>While using the DTA, how important is the presence of the feature - horizontal queuing - ability to adhere to strict storage constraint and hence spillback into upstream links may occur valid for the respective planning horizons? 
(On a scale from 1 - least important to 10 - most important) - Operational Planning</t>
  </si>
  <si>
    <t>Q4.3_1</t>
  </si>
  <si>
    <t>While using the DTA, how important is the presence of the feature - capacity drop valid for the respective planning horizons? 
(On a scale from 1 - least important to 10 - most important) - Strategic Planning</t>
  </si>
  <si>
    <t>Q4.3_2</t>
  </si>
  <si>
    <t>While using the DTA, how important is the presence of the feature - capacity drop valid for the respective planning horizons? 
(On a scale from 1 - least important to 10 - most important) - Tactical Planning</t>
  </si>
  <si>
    <t>Q4.3_3</t>
  </si>
  <si>
    <t>While using the DTA, how important is the presence of the feature - capacity drop valid for the respective planning horizons? 
(On a scale from 1 - least important to 10 - most important) - Operational Planning</t>
  </si>
  <si>
    <t>Q4.4_1</t>
  </si>
  <si>
    <t>While using the DTA, how important is the presence of the feature - second-order effects of traffic states such as gradual increase in speeds, flows etc valid for the respective planning horizons? 
(On a scale from 1 - least important to 10 - most important) - Strategic Planning</t>
  </si>
  <si>
    <t>Q4.4_2</t>
  </si>
  <si>
    <t>While using the DTA, how important is the presence of the feature - second-order effects of traffic states such as gradual increase in speeds, flows etc valid for the respective planning horizons? 
(On a scale from 1 - least important to 10 - most important) - Tactical Planning</t>
  </si>
  <si>
    <t>Q4.4_3</t>
  </si>
  <si>
    <t>While using the DTA, how important is the presence of the feature - second-order effects of traffic states such as gradual increase in speeds, flows etc valid for the respective planning horizons? 
(On a scale from 1 - least important to 10 - most important) - Operational Planning</t>
  </si>
  <si>
    <t>Q4.5_1</t>
  </si>
  <si>
    <t>While using the DTA, how important is the presence of the feature - the variability in route options by means of generating routes through stochastic methods such as Monte Carlo simulations as opposed to a set of pre-defined routes provided as input by the model user valid for the respective planning horizons? 
(On a scale from 1 - least important to 10 - most important) - Strategic Planning</t>
  </si>
  <si>
    <t>Q4.5_2</t>
  </si>
  <si>
    <t>While using the DTA, how important is the presence of the feature - the variability in route options by means of generating routes through stochastic methods such as Monte Carlo simulations as opposed to a set of pre-defined routes provided as input by the model user valid for the respective planning horizons? 
(On a scale from 1 - least important to 10 - most important) - Tactical Planning</t>
  </si>
  <si>
    <t>Q4.5_3</t>
  </si>
  <si>
    <t>While using the DTA, how important is the presence of the feature - the variability in route options by means of generating routes through stochastic methods such as Monte Carlo simulations as opposed to a set of pre-defined routes provided as input by the model user valid for the respective planning horizons? 
(On a scale from 1 - least important to 10 - most important) - Operational Planning</t>
  </si>
  <si>
    <t>Q4.6_1</t>
  </si>
  <si>
    <t>While using the DTA, how important is the presence of the feature - stop &amp; go waves valid for the respective planning horizons? 
(On a scale from 1 - least important to 10 - most important) - Strategic Planning</t>
  </si>
  <si>
    <t>Q4.6_2</t>
  </si>
  <si>
    <t>While using the DTA, how important is the presence of the feature - stop &amp; go waves valid for the respective planning horizons? 
(On a scale from 1 - least important to 10 - most important) - Tactical Planning</t>
  </si>
  <si>
    <t>Q4.6_3</t>
  </si>
  <si>
    <t>While using the DTA, how important is the presence of the feature - stop &amp; go waves valid for the respective planning horizons? 
(On a scale from 1 - least important to 10 - most important) - Operational Planning</t>
  </si>
  <si>
    <t>Q4.7_1</t>
  </si>
  <si>
    <t>While focusing on the convergence of the Dynamic Assignment Module, how important is the value of the dynamic relative duality gap  valid for the respective planning horizons? 
Under the assumption that the model converges to a value below the pre-specified equilibrium threshold, therefore a smaller value of the duality gap would mean a better convergence. 
(On a scale from 1 - least important to 10 - most important) - Strategic Planning</t>
  </si>
  <si>
    <t>Q4.7_2</t>
  </si>
  <si>
    <t>While focusing on the convergence of the Dynamic Assignment Module, how important is the value of the dynamic relative duality gap  valid for the respective planning horizons? 
Under the assumption that the model converges to a value below the pre-specified equilibrium threshold, therefore a smaller value of the duality gap would mean a better convergence. 
(On a scale from 1 - least important to 10 - most important) - Tactical Planning</t>
  </si>
  <si>
    <t>Q4.7_3</t>
  </si>
  <si>
    <t>While focusing on the convergence of the Dynamic Assignment Module, how important is the value of the dynamic relative duality gap  valid for the respective planning horizons? 
Under the assumption that the model converges to a value below the pre-specified equilibrium threshold, therefore a smaller value of the duality gap would mean a better convergence. 
(On a scale from 1 - least important to 10 - most important) - Operational Planning</t>
  </si>
  <si>
    <t>Q4.8_1</t>
  </si>
  <si>
    <t>Looking at aspects of multi-class applicability, how important is it to include different input parameters for multiple travel modes - road-bound users such as private cars, public transport, bikes, walking etc. and trips purposes - leisure, commute etc valid for the respective planning horizons? 
(On a scale from 1 - least important to 10 - most important) - Strategic Planning</t>
  </si>
  <si>
    <t>Q4.8_2</t>
  </si>
  <si>
    <t>Looking at aspects of multi-class applicability, how important is it to include different input parameters for multiple travel modes - road-bound users such as private cars, public transport, bikes, walking etc. and trips purposes - leisure, commute etc valid for the respective planning horizons? 
(On a scale from 1 - least important to 10 - most important) - Tactical Planning</t>
  </si>
  <si>
    <t>Q4.8_3</t>
  </si>
  <si>
    <t>Looking at aspects of multi-class applicability, how important is it to include different input parameters for multiple travel modes - road-bound users such as private cars, public transport, bikes, walking etc. and trips purposes - leisure, commute etc valid for the respective planning horizons? 
(On a scale from 1 - least important to 10 - most important) - Operational Planning</t>
  </si>
  <si>
    <t>Q4.9_1</t>
  </si>
  <si>
    <t>Looking at the Dynamic Network Loading Module, what is the importance of a theoretically sound node model (merge and diverge nodes) while comparing the expected theoretical results vs actual simulated results?
(Under the assumption that the node model follows the requirements stated in Tampère et al., 2011 - Interested respondents are referred to this link )
(On a scale from 1 - least important to 10 - most important) - Strategic Planning</t>
  </si>
  <si>
    <t>Q4.9_2</t>
  </si>
  <si>
    <t>Looking at the Dynamic Network Loading Module, what is the importance of a theoretically sound node model (merge and diverge nodes) while comparing the expected theoretical results vs actual simulated results?
(Under the assumption that the node model follows the requirements stated in Tampère et al., 2011 - Interested respondents are referred to this link )
(On a scale from 1 - least important to 10 - most important) - Tactical Planning</t>
  </si>
  <si>
    <t>Q4.9_3</t>
  </si>
  <si>
    <t>Looking at the Dynamic Network Loading Module, what is the importance of a theoretically sound node model (merge and diverge nodes) while comparing the expected theoretical results vs actual simulated results?
(Under the assumption that the node model follows the requirements stated in Tampère et al., 2011 - Interested respondents are referred to this link )
(On a scale from 1 - least important to 10 - most important) - Operational Planning</t>
  </si>
  <si>
    <t>Q4.10_1</t>
  </si>
  <si>
    <t>Looking at the Dynamic Network Loading Module, what is the importance of a consistent propagation behavior in a signalized Intersection while comparing the expected theoretical results vs actual simulated results?  
Signalized Intersection behavior in the events of different saturation conditions, spillback conditions, merge-diverge flows etc are evaluated in this case 
(On a scale from 1 - least important to 10 - most important) - Strategic Planning</t>
  </si>
  <si>
    <t>Q4.10_2</t>
  </si>
  <si>
    <t>Looking at the Dynamic Network Loading Module, what is the importance of a consistent propagation behavior in a signalized Intersection while comparing the expected theoretical results vs actual simulated results?  
Signalized Intersection behavior in the events of different saturation conditions, spillback conditions, merge-diverge flows etc are evaluated in this case 
(On a scale from 1 - least important to 10 - most important) - Tactical Planning</t>
  </si>
  <si>
    <t>Q4.10_3</t>
  </si>
  <si>
    <t>Looking at the Dynamic Network Loading Module, what is the importance of a consistent propagation behavior in a signalized Intersection while comparing the expected theoretical results vs actual simulated results?  
Signalized Intersection behavior in the events of different saturation conditions, spillback conditions, merge-diverge flows etc are evaluated in this case 
(On a scale from 1 - least important to 10 - most important) - Operational Planning</t>
  </si>
  <si>
    <t>Q4.11_1</t>
  </si>
  <si>
    <t>Looking at the Dynamic Assignment Module, what is the importance of route choice behavior with route cost variations influenced by link cost feedback in Dynamic Network Loading Module while comparing the expected theoretical results vs actual simulated results?  
(On a scale from 1 - least important to 10 - most important) - Strategic Planning</t>
  </si>
  <si>
    <t>Q4.11_2</t>
  </si>
  <si>
    <t>Looking at the Dynamic Assignment Module, what is the importance of route choice behavior with route cost variations influenced by link cost feedback in Dynamic Network Loading Module while comparing the expected theoretical results vs actual simulated results?  
(On a scale from 1 - least important to 10 - most important) - Tactical Planning</t>
  </si>
  <si>
    <t>Q4.11_3</t>
  </si>
  <si>
    <t>Looking at the Dynamic Assignment Module, what is the importance of route choice behavior with route cost variations influenced by link cost feedback in Dynamic Network Loading Module while comparing the expected theoretical results vs actual simulated results?  
(On a scale from 1 - least important to 10 - most important) - Operational Planning</t>
  </si>
  <si>
    <t>Q4.12_1</t>
  </si>
  <si>
    <t>Looking at the Dynamic Assignment Module, what is the importance of evaluating the effect of route overlap in route choice behavior by analyzing the relative differences during a MNL and PCL run of the DTA while comparing the expected theoretical results vs actual simulated results?  
(On a scale from 1 - least important to 10 - most important) - Strategic Planning</t>
  </si>
  <si>
    <t>Q4.12_2</t>
  </si>
  <si>
    <t>Looking at the Dynamic Assignment Module, what is the importance of evaluating the effect of route overlap in route choice behavior by analyzing the relative differences during a MNL and PCL run of the DTA while comparing the expected theoretical results vs actual simulated results?  
(On a scale from 1 - least important to 10 - most important) - Tactical Planning</t>
  </si>
  <si>
    <t>Q4.12_3</t>
  </si>
  <si>
    <t>Looking at the Dynamic Assignment Module, what is the importance of evaluating the effect of route overlap in route choice behavior by analyzing the relative differences during a MNL and PCL run of the DTA while comparing the expected theoretical results vs actual simulated results?  
(On a scale from 1 - least important to 10 - most important) - Operational Planning</t>
  </si>
  <si>
    <t>Q4.13_1</t>
  </si>
  <si>
    <t>While using the DTA, what is the importance of observing behavioral differences in Urban and Non-urban links, comparing the expected theoretical results vs actual simulated results? 
The expectation here would be that urban links have a shorter length with smaller average speed in comparison to motorway links, as people in city conditions tend to drive a lot more aggressively, resulting in bigger fluctuations in speed, density and flow in a shorter period of time.
(On a scale from 1 - least important to 10 - most important) - Strategic Planning</t>
  </si>
  <si>
    <t>Q4.13_2</t>
  </si>
  <si>
    <t>While using the DTA, what is the importance of observing behavioral differences in Urban and Non-urban links, comparing the expected theoretical results vs actual simulated results? 
The expectation here would be that urban links have a shorter length with smaller average speed in comparison to motorway links, as people in city conditions tend to drive a lot more aggressively, resulting in bigger fluctuations in speed, density and flow in a shorter period of time.
(On a scale from 1 - least important to 10 - most important) - Tactical Planning</t>
  </si>
  <si>
    <t>Q4.13_3</t>
  </si>
  <si>
    <t>While using the DTA, what is the importance of observing behavioral differences in Urban and Non-urban links, comparing the expected theoretical results vs actual simulated results? 
The expectation here would be that urban links have a shorter length with smaller average speed in comparison to motorway links, as people in city conditions tend to drive a lot more aggressively, resulting in bigger fluctuations in speed, density and flow in a shorter period of time.
(On a scale from 1 - least important to 10 - most important) - Operational Planning</t>
  </si>
  <si>
    <t>Q4.14_1</t>
  </si>
  <si>
    <t>During the model run, how important is the computational efficiency, measured in terms of run time and peak memory usage, for a specific case scenario? 
(On a scale from 1 - least important to 10 - most important) - Strategic Planning</t>
  </si>
  <si>
    <t>Q4.14_2</t>
  </si>
  <si>
    <t>During the model run, how important is the computational efficiency, measured in terms of run time and peak memory usage, for a specific case scenario? 
(On a scale from 1 - least important to 10 - most important) - Tactical Planning</t>
  </si>
  <si>
    <t>Q4.14_3</t>
  </si>
  <si>
    <t>During the model run, how important is the computational efficiency, measured in terms of run time and peak memory usage, for a specific case scenario? 
(On a scale from 1 - least important to 10 - most important) - Operational Planning</t>
  </si>
  <si>
    <t>Q4.15_1</t>
  </si>
  <si>
    <t>How important is the usability of the model, defined as the ease with which a user can learn to operate, prepare inputs for, and interpret outputs of a system or component (Definition quoted from  IEEE Std.610.12-1990, referred from Seffah et al., 2006? 
(On a scale from 1 - least important to 10 - most important) - Strategic Planning</t>
  </si>
  <si>
    <t>Q4.15_2</t>
  </si>
  <si>
    <t>How important is the usability of the model, defined as the ease with which a user can learn to operate, prepare inputs for, and interpret outputs of a system or component (Definition quoted from  IEEE Std.610.12-1990, referred from Seffah et al., 2006? 
(On a scale from 1 - least important to 10 - most important) - Tactical Planning</t>
  </si>
  <si>
    <t>Q4.15_3</t>
  </si>
  <si>
    <t>How important is the usability of the model, defined as the ease with which a user can learn to operate, prepare inputs for, and interpret outputs of a system or component (Definition quoted from  IEEE Std.610.12-1990, referred from Seffah et al., 2006? 
(On a scale from 1 - least important to 10 - most important) - Operational Planning</t>
  </si>
  <si>
    <t>Key Modelling Properties/KPI</t>
  </si>
  <si>
    <t>KPI Type</t>
  </si>
  <si>
    <t>Luuk</t>
  </si>
  <si>
    <t>Feike</t>
  </si>
  <si>
    <t>Henk</t>
  </si>
  <si>
    <t>3.1 Accuracy</t>
  </si>
  <si>
    <t>The extent to which flow metering, spillback, route choice effects caused by congestion, capacity drop, hysteresis are included in the model. Theorotical validation realisic effects</t>
  </si>
  <si>
    <t>Route Choice Effect</t>
  </si>
  <si>
    <t>Presence observed qualitatively</t>
  </si>
  <si>
    <t>Heydecker, B.G. and Addison, J.G (2005) Analysis of dynamic traffic equilibrium with departure time choice.Transportation Science 39, 39–57.</t>
  </si>
  <si>
    <t>Flow Metering/blocking back</t>
  </si>
  <si>
    <t>Spillback- oversaturation, dynamic routing or peak spreading</t>
  </si>
  <si>
    <t>Hysteresis of vehicle speeds</t>
  </si>
  <si>
    <t>speed distribution over a selected set of links</t>
  </si>
  <si>
    <t>Dynamic transfer of delays from queues</t>
  </si>
  <si>
    <t>link travel time distribution over a series of links before a stationary bottleneck</t>
  </si>
  <si>
    <t xml:space="preserve"> </t>
  </si>
  <si>
    <t xml:space="preserve">3.2 Model robustness </t>
  </si>
  <si>
    <t>The extent to which the model is free from random variables that affect its outcomes/ The extent to which the model converges to a defined and meaningful stable state.</t>
  </si>
  <si>
    <t>Achievement of User Equilibrium</t>
  </si>
  <si>
    <t>Binary-based</t>
  </si>
  <si>
    <t>Defined and meaningful stable state (conventional duality gap within feasible model run) for the same input parameters)</t>
  </si>
  <si>
    <t>Absolute change in link flows</t>
  </si>
  <si>
    <t>Between iterations</t>
  </si>
  <si>
    <t>convergence criterion</t>
  </si>
  <si>
    <t>Variability of link travel time in different model runs</t>
  </si>
  <si>
    <t>Standard deviation/variance of distribution --&gt; higher the SD value, larger the spread</t>
  </si>
  <si>
    <t>DTA Modelling - A primer</t>
  </si>
  <si>
    <t xml:space="preserve">Chiu, Yi-Chang &amp; Bottom, Jon &amp; Mahut, Michael &amp; Paz, Alexander &amp; Balakrishna, Ramachandran &amp; Waller, Travis &amp; Hicks, Jim. (2011). Dynamic Traffic Assignment: A Primer. Transportation Research E-Circular. </t>
  </si>
  <si>
    <t>Threshold for convergence criterion</t>
  </si>
  <si>
    <t>Input-based</t>
  </si>
  <si>
    <t>Behavior (Sensitivity) to a strict convergence criterion ( low threshold value for Relative gap) - Strictness to convergence criterion as a measure for precision of the solution</t>
  </si>
  <si>
    <t>link flow stability</t>
  </si>
  <si>
    <t>Accuracy of the equilibrium solution - precision of the equilibrium solution greater than or equal to the difference between the alternate scenarios</t>
  </si>
  <si>
    <t>Locality of impacts</t>
  </si>
  <si>
    <t>Minor change in network should not have a significant impact on the flows ir condition far from the location</t>
  </si>
  <si>
    <t xml:space="preserve">3.3 Computational efficiency </t>
  </si>
  <si>
    <t>Run time tested for a 2 route network for all the network ( one origin-2 destinations) for the same input parameters. (Test case - Route choice)</t>
  </si>
  <si>
    <r>
      <t>Peeta, S., Ziliaskopoulos, A.K. Foundations of Dynamic Traffic Assignment: The Past, the Present and the Future. </t>
    </r>
    <r>
      <rPr>
        <b/>
        <i/>
        <sz val="10"/>
        <color rgb="FF333333"/>
        <rFont val="Segoe UI"/>
        <family val="2"/>
      </rPr>
      <t>Networks and Spatial Economics</t>
    </r>
    <r>
      <rPr>
        <b/>
        <sz val="10"/>
        <color rgb="FF333333"/>
        <rFont val="Segoe UI"/>
        <family val="2"/>
      </rPr>
      <t> 1, 233–265 (2001). https://doi.org/10.1023/A:1012827724856</t>
    </r>
  </si>
  <si>
    <t>Peak Memory Usage in MB's</t>
  </si>
  <si>
    <t>Peak memory usage tested for a 2 route network for all the network ( one origin-2 destinations) for the same input parameters. (Test case - Route choice)</t>
  </si>
  <si>
    <t>existence</t>
  </si>
  <si>
    <t>uniqueness</t>
  </si>
  <si>
    <t>3.4 Applicability</t>
  </si>
  <si>
    <t>stability close to optimality conditions</t>
  </si>
  <si>
    <t>Difference in Network Supply</t>
  </si>
  <si>
    <t>Presence of difference in types of network for different networks (Focus on passenger traffic)</t>
  </si>
  <si>
    <t>effectiveness</t>
  </si>
  <si>
    <t>Difference in Input parameters based on different modes during route choice</t>
  </si>
  <si>
    <t>Parameters such as value of travel time (leisure vs commute)</t>
  </si>
  <si>
    <t>robustness</t>
  </si>
  <si>
    <t>3.5 Tractability</t>
  </si>
  <si>
    <t>The extent to which calculations in each model component can be verified using the theory behind the component or sub model</t>
  </si>
  <si>
    <t>deployment efficiency</t>
  </si>
  <si>
    <t>Route set generation</t>
  </si>
  <si>
    <t xml:space="preserve">Bliemer, Michiel &amp; Taale, Henk. (2006). Route Generation and Dynamic Traffic Assignment for Large Networks. 90-99. </t>
  </si>
  <si>
    <t>Percentage of unused routes</t>
  </si>
  <si>
    <t>To check the utilization of the route set, efficiency of the route set generation module. As an extension, the effect of path size factor or a commonality factor is checked based on % of overlap.</t>
  </si>
  <si>
    <t>Difference betweeen route travel costs and shortest path cost per OD per time interval</t>
  </si>
  <si>
    <t>after assignment check to be done to see if the shortest path engine creates a route with travel cost less than that in the generated route set</t>
  </si>
  <si>
    <t>Percentage of route overlap</t>
  </si>
  <si>
    <t>check and  account for route overlap</t>
  </si>
  <si>
    <t>Variation in convergence speed based on size of route set generation methods</t>
  </si>
  <si>
    <t>priori route set generation and link to convergence and user equilibrium</t>
  </si>
  <si>
    <t>Route choice</t>
  </si>
  <si>
    <t>Distribution of Dynamic route choice proportions</t>
  </si>
  <si>
    <t>To check the variation of route choice proportion in accordance with the congestion patterns observed in the network, to maintain network consistency</t>
  </si>
  <si>
    <t>Effect of averaging scheme - MSA, accelarated averaging, SRA etc</t>
  </si>
  <si>
    <t>To check the impact of averaging scheme on achievement of equilibrium. Effect due to network scaling also to be checked.</t>
  </si>
  <si>
    <t>Dynamic Network Loading</t>
  </si>
  <si>
    <t>Trend analysis of the queuing part and the free-flow part over specific bottlenecks</t>
  </si>
  <si>
    <t>To check if the effect of the bottleneck in the form of dynamic queue formation and spillback is effectively modelled during the propoagation of traffic</t>
  </si>
  <si>
    <t>Achievement of FIFO principle</t>
  </si>
  <si>
    <t>In a single user class (single mode) environment, FIFO principle for vehicles need to be ensured, especially in the queuing part.</t>
  </si>
  <si>
    <t>Effect of signal control - calculation of delays</t>
  </si>
  <si>
    <t>to analyse the impact of signal control in the propagation of traffic</t>
  </si>
  <si>
    <t>Modelling of shockwave phenomenon</t>
  </si>
  <si>
    <t>Due to the nature of the DNL model there
is a trade-off between the representation of the travel times and the amount of congestion. In
the real-life situation the speed varies in the congestion area and shock waves can be clearly
recognised. In the model the speed is constant at its minimum value.</t>
  </si>
  <si>
    <t>3.6 Integration of Network Hierarchies - Urban and Motorway roads</t>
  </si>
  <si>
    <t>Speed distribution over a series of urban and non-urban links</t>
  </si>
  <si>
    <t>Interacting urban and highway networks</t>
  </si>
  <si>
    <t>Test Name</t>
  </si>
  <si>
    <t>Test category</t>
  </si>
  <si>
    <t>eGLTM</t>
  </si>
  <si>
    <t>Flow propagation model - Output retrieval/visualization</t>
  </si>
  <si>
    <t>queue formation and dissipation are modelled correctly, i.e. create the correct amount and severity of spillback upstream (spatial extent, speed/flow reduction) and flow reduction downstream</t>
  </si>
  <si>
    <t>1.1.1</t>
  </si>
  <si>
    <t>Default speed parameters &amp; connector speed @ 90Kmph</t>
  </si>
  <si>
    <t>1.1.2</t>
  </si>
  <si>
    <t>Default speed parameters &amp; connector speed @ 90Kmph, nue = 140</t>
  </si>
  <si>
    <t>1.1.3</t>
  </si>
  <si>
    <t>Default speed parameters &amp; connector speed @ 50Kmph</t>
  </si>
  <si>
    <t>1.2.1</t>
  </si>
  <si>
    <t>Free flow propagation with queue at the origin- connector speed @ 90Kmph</t>
  </si>
  <si>
    <t>1.2.2</t>
  </si>
  <si>
    <t>Fixed Bottleneck- Default speed parameters &amp; connector speed @ 50Kmph</t>
  </si>
  <si>
    <t>1.3.1</t>
  </si>
  <si>
    <t>Fixed bottleneck with constant demand</t>
  </si>
  <si>
    <t>1.3.2</t>
  </si>
  <si>
    <t>Bottleneck with constant demand_zero nue</t>
  </si>
  <si>
    <t>Fixed bottleneck with peak demand</t>
  </si>
  <si>
    <t>Bottleneck with constant demand_variable capacity</t>
  </si>
  <si>
    <t>Effect of variable speed limit in propagation</t>
  </si>
  <si>
    <t>Urban Link Speed distribution</t>
  </si>
  <si>
    <t>Highway corridor with on-ramps and off-ramp (merges and diverges)</t>
  </si>
  <si>
    <t xml:space="preserve">Modelling Congestion due to discontinuties reliably. role of merges and diverges (in addition to being potential primary bottlenecks): do they cause the right amount of spillback to the right upstream links, creating the right amount of delay? </t>
  </si>
  <si>
    <t xml:space="preserve"> ,.,</t>
  </si>
  <si>
    <t>2.1.1</t>
  </si>
  <si>
    <t>Single merge behavior receiving link’s capacity is the constraint and both inflow of sending links exceed their reduced outflow capacity</t>
  </si>
  <si>
    <t>2.1.2</t>
  </si>
  <si>
    <t>Single merge behavior receiving link’s capacity is the constraint and only highway inflow exceed the reduced outflow capacity</t>
  </si>
  <si>
    <t>2.1.3</t>
  </si>
  <si>
    <t>Single merge behavior receiving link’s capacity is the constraint and only on-ramp inflow exceed the reduced outflow capacity</t>
  </si>
  <si>
    <t>2.1.4</t>
  </si>
  <si>
    <t>Single merge behavior receiving link’s capacity is the constraint - capacity of the highway merge link is twice more than that of the on-ramp link</t>
  </si>
  <si>
    <t>2.2.1</t>
  </si>
  <si>
    <t>Single merging behaviour in the event of congestion, triggered by spillback from a more downstream bottleneck.</t>
  </si>
  <si>
    <t>2.2.2</t>
  </si>
  <si>
    <t>Single merging behaviour in the event of congestion, triggered by spillback from a more downstream bottleneck.- capacity of the sending links are different</t>
  </si>
  <si>
    <t>2.3.1</t>
  </si>
  <si>
    <t>Simple diverge model under free-flow conditions</t>
  </si>
  <si>
    <t>2.3.2</t>
  </si>
  <si>
    <t>Simple diverge model when the capacity of the receiving link is the constraint</t>
  </si>
  <si>
    <t>2.3.3</t>
  </si>
  <si>
    <t>Simple diverge model due to congestion and a spillback from a bottleneck downstream of the diverge node</t>
  </si>
  <si>
    <t>2.4.1</t>
  </si>
  <si>
    <t>Consistency of turning rates at the diverge in comparison with the O-D demand</t>
  </si>
  <si>
    <t>Signalized intersection</t>
  </si>
  <si>
    <t>Delays in the urban network due to vehicular intersections. Influence of delay in route choice</t>
  </si>
  <si>
    <t>3.1.1</t>
  </si>
  <si>
    <t>To understand the intersection behaviour in under-saturated conditions</t>
  </si>
  <si>
    <t>3.1.2</t>
  </si>
  <si>
    <t>To understand the intersection behaviour in over-saturated conditions</t>
  </si>
  <si>
    <t>3.1.3</t>
  </si>
  <si>
    <t>Modelling the intersections - Single Turn Behaviour_Spillback from down stream</t>
  </si>
  <si>
    <t>3.2.1</t>
  </si>
  <si>
    <t>Modelling the intersections - Diverge Behaviour</t>
  </si>
  <si>
    <t>3.2.2</t>
  </si>
  <si>
    <t>Modelling the intersections - Diverge Behaviour in Over-saturated conditions</t>
  </si>
  <si>
    <t>3.2.3</t>
  </si>
  <si>
    <t>Modelling the intersections - Diverge Behaviour during spill back from downstream link</t>
  </si>
  <si>
    <t>Route Choice</t>
  </si>
  <si>
    <t>Importance and relevance of Dynamic User Equilibrium</t>
  </si>
  <si>
    <t>4.1.1</t>
  </si>
  <si>
    <t>Modelling the Route Choice - Simple Route choice with demand &lt; capacity</t>
  </si>
  <si>
    <t>4.1.2</t>
  </si>
  <si>
    <t>Modelling the Route Choice - Simple Route choice when cost of one route slightly more than other (Undersaturated)</t>
  </si>
  <si>
    <t>4.1.3</t>
  </si>
  <si>
    <t>Modelling the Route Choice - Simple Route choice when cost of one route slightly more than other (Oversaturated)</t>
  </si>
  <si>
    <t>4.2.1</t>
  </si>
  <si>
    <t>Route choice - Independent routes between 1 origin and 2 destinations</t>
  </si>
  <si>
    <t>4.2.2</t>
  </si>
  <si>
    <t>Relative difference in route proportions - MNL vs PCL, and consequent influence of route overlap</t>
  </si>
  <si>
    <r>
      <t>¡</t>
    </r>
    <r>
      <rPr>
        <sz val="11"/>
        <color rgb="FF404040"/>
        <rFont val="Calibri"/>
        <family val="2"/>
        <scheme val="minor"/>
      </rPr>
      <t xml:space="preserve">Theoretical network creation/adaptation (depart from theoretical networks given in Benchmarking StreamLine-2015) </t>
    </r>
  </si>
  <si>
    <r>
      <t>¡</t>
    </r>
    <r>
      <rPr>
        <sz val="11"/>
        <color rgb="FF404040"/>
        <rFont val="Calibri"/>
        <family val="2"/>
        <scheme val="minor"/>
      </rPr>
      <t>Scenario Design - Combining KPI’s</t>
    </r>
  </si>
  <si>
    <r>
      <t>¡</t>
    </r>
    <r>
      <rPr>
        <sz val="11"/>
        <color rgb="FF404040"/>
        <rFont val="Calibri"/>
        <family val="2"/>
        <scheme val="minor"/>
      </rPr>
      <t>Application of the models – MaDAM, MARPLE and eGLTM to the same scenarios</t>
    </r>
  </si>
  <si>
    <r>
      <t>¡</t>
    </r>
    <r>
      <rPr>
        <sz val="11"/>
        <color rgb="FF404040"/>
        <rFont val="Calibri"/>
        <family val="2"/>
        <scheme val="minor"/>
      </rPr>
      <t>Creation of questionnaire and conducting interview with the different users for the scoring</t>
    </r>
  </si>
  <si>
    <r>
      <t>¡</t>
    </r>
    <r>
      <rPr>
        <sz val="11"/>
        <color rgb="FF404040"/>
        <rFont val="Calibri"/>
        <family val="2"/>
        <scheme val="minor"/>
      </rPr>
      <t>Automation in KPI calculation - additional ruby class (scripting) for calculating the KPIs (quantitative) in the framework</t>
    </r>
  </si>
  <si>
    <t>Agenda for Thesis review Meet - 01/06/21 - Feike, Luuk &amp; Aswin</t>
  </si>
  <si>
    <t>Results --&gt; Framework</t>
  </si>
  <si>
    <t>Review of Workplan</t>
  </si>
  <si>
    <t>Additional tests - theorotical</t>
  </si>
  <si>
    <t>Testing the larger scale model - Case Network</t>
  </si>
  <si>
    <t>Contacts for user interviews</t>
  </si>
  <si>
    <t>Remark</t>
  </si>
  <si>
    <t>Improvement observed from StreamLine version during Tampere's Benchmarking (OmniTRANS 6.1.4.7667) and current StreamLine version (OmniTRANS 8.0.30.11960)</t>
  </si>
  <si>
    <t>Test Reference: 3.2.1 - Modelling the intersections - Diverge Behaviour</t>
  </si>
  <si>
    <t>The peak in route cost observed during emptying of network is absent in the current version. Reference can be seen from the below snippet</t>
  </si>
  <si>
    <t>[0.13333333333333333, 0.6248543147484987]</t>
  </si>
  <si>
    <t>[0.15, 0.3751456852515013]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</si>
</sst>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
    <numFmt numFmtId="166" formatCode="0.0%"/>
  </numFmts>
  <fonts count="33" x14ac:knownFonts="1">
    <font>
      <sz val="11"/>
      <color theme="1"/>
      <name val="Calibri"/>
      <family val="2"/>
      <scheme val="minor"/>
    </font>
    <font>
      <b/>
      <sz val="11"/>
      <color theme="1"/>
      <name val="Calibri"/>
      <family val="2"/>
      <scheme val="minor"/>
    </font>
    <font>
      <b/>
      <sz val="11"/>
      <color rgb="FFFF0000"/>
      <name val="Calibri"/>
      <family val="2"/>
      <scheme val="minor"/>
    </font>
    <font>
      <i/>
      <sz val="11"/>
      <color theme="1"/>
      <name val="Calibri"/>
      <family val="2"/>
      <scheme val="minor"/>
    </font>
    <font>
      <b/>
      <i/>
      <sz val="11"/>
      <color theme="1"/>
      <name val="Calibri"/>
      <family val="2"/>
      <scheme val="minor"/>
    </font>
    <font>
      <b/>
      <sz val="10"/>
      <color rgb="FF333333"/>
      <name val="Segoe UI"/>
      <family val="2"/>
    </font>
    <font>
      <i/>
      <sz val="11"/>
      <color theme="4"/>
      <name val="Calibri"/>
      <family val="2"/>
      <scheme val="minor"/>
    </font>
    <font>
      <i/>
      <sz val="11"/>
      <name val="Calibri"/>
      <family val="2"/>
      <scheme val="minor"/>
    </font>
    <font>
      <b/>
      <i/>
      <sz val="11"/>
      <name val="Calibri"/>
      <family val="2"/>
      <scheme val="minor"/>
    </font>
    <font>
      <b/>
      <sz val="11"/>
      <name val="Calibri"/>
      <family val="2"/>
      <scheme val="minor"/>
    </font>
    <font>
      <b/>
      <sz val="16"/>
      <color rgb="FFFF0000"/>
      <name val="Calibri"/>
      <family val="2"/>
      <scheme val="minor"/>
    </font>
    <font>
      <b/>
      <i/>
      <sz val="10"/>
      <color rgb="FF333333"/>
      <name val="Segoe UI"/>
      <family val="2"/>
    </font>
    <font>
      <sz val="11"/>
      <color rgb="FF1CADE4"/>
      <name val="Calibri"/>
      <family val="2"/>
      <scheme val="minor"/>
    </font>
    <font>
      <sz val="11"/>
      <color rgb="FF404040"/>
      <name val="Calibri"/>
      <family val="2"/>
      <scheme val="minor"/>
    </font>
    <font>
      <i/>
      <sz val="11"/>
      <color rgb="FFFF0000"/>
      <name val="Calibri"/>
      <family val="2"/>
      <scheme val="minor"/>
    </font>
    <font>
      <b/>
      <sz val="14"/>
      <color rgb="FFFF0000"/>
      <name val="Calibri"/>
      <family val="2"/>
      <scheme val="minor"/>
    </font>
    <font>
      <sz val="14"/>
      <color theme="1"/>
      <name val="Calibri"/>
      <family val="2"/>
      <scheme val="minor"/>
    </font>
    <font>
      <b/>
      <i/>
      <sz val="16"/>
      <color rgb="FFFF0000"/>
      <name val="Calibri"/>
      <family val="2"/>
      <scheme val="minor"/>
    </font>
    <font>
      <b/>
      <i/>
      <sz val="11"/>
      <color theme="8" tint="-0.249977111117893"/>
      <name val="Calibri"/>
      <family val="2"/>
      <scheme val="minor"/>
    </font>
    <font>
      <i/>
      <sz val="11"/>
      <color theme="8" tint="-0.249977111117893"/>
      <name val="Calibri"/>
      <family val="2"/>
      <scheme val="minor"/>
    </font>
    <font>
      <sz val="11"/>
      <name val="Calibri"/>
      <family val="2"/>
      <scheme val="minor"/>
    </font>
    <font>
      <sz val="16"/>
      <color theme="1"/>
      <name val="Calibri"/>
      <family val="2"/>
      <scheme val="minor"/>
    </font>
    <font>
      <sz val="11"/>
      <color theme="1"/>
      <name val="Calibri"/>
      <family val="2"/>
      <scheme val="minor"/>
    </font>
    <font>
      <i/>
      <sz val="11"/>
      <color rgb="FF00B0F0"/>
      <name val="Calibri"/>
      <family val="2"/>
      <scheme val="minor"/>
    </font>
    <font>
      <b/>
      <sz val="11"/>
      <color theme="0"/>
      <name val="Calibri"/>
      <family val="2"/>
      <scheme val="minor"/>
    </font>
    <font>
      <b/>
      <sz val="18"/>
      <color rgb="FFFF0000"/>
      <name val="Calibri"/>
      <family val="2"/>
      <scheme val="minor"/>
    </font>
    <font>
      <b/>
      <sz val="16"/>
      <color theme="1"/>
      <name val="Calibri"/>
      <family val="2"/>
      <scheme val="minor"/>
    </font>
    <font>
      <sz val="20"/>
      <color theme="1"/>
      <name val="Calibri"/>
      <family val="2"/>
      <scheme val="minor"/>
    </font>
    <font>
      <b/>
      <sz val="20"/>
      <color theme="1"/>
      <name val="Calibri"/>
      <family val="2"/>
      <scheme val="minor"/>
    </font>
    <font>
      <b/>
      <i/>
      <sz val="14"/>
      <color rgb="FFFF0000"/>
      <name val="Calibri"/>
      <family val="2"/>
      <scheme val="minor"/>
    </font>
    <font>
      <sz val="11"/>
      <color rgb="FFFF0000"/>
      <name val="Calibri"/>
      <family val="2"/>
      <scheme val="minor"/>
    </font>
    <font>
      <sz val="11"/>
      <color theme="0"/>
      <name val="Calibri"/>
      <family val="2"/>
      <scheme val="minor"/>
    </font>
    <font>
      <b/>
      <sz val="14"/>
      <color theme="1"/>
      <name val="Calibri"/>
      <family val="2"/>
      <scheme val="minor"/>
    </font>
  </fonts>
  <fills count="24">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theme="2"/>
        <bgColor indexed="64"/>
      </patternFill>
    </fill>
    <fill>
      <patternFill patternType="solid">
        <fgColor theme="7" tint="0.79998168889431442"/>
        <bgColor indexed="64"/>
      </patternFill>
    </fill>
    <fill>
      <patternFill patternType="solid">
        <fgColor indexed="22"/>
      </patternFill>
    </fill>
    <fill>
      <patternFill patternType="solid">
        <fgColor rgb="FF00B0F0"/>
        <bgColor indexed="64"/>
      </patternFill>
    </fill>
    <fill>
      <patternFill patternType="solid">
        <fgColor theme="5" tint="0.79998168889431442"/>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002060"/>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rgb="FF99FF99"/>
        <bgColor indexed="64"/>
      </patternFill>
    </fill>
    <fill>
      <patternFill patternType="solid">
        <fgColor rgb="FFE2EFDA"/>
        <bgColor indexed="64"/>
      </patternFill>
    </fill>
    <fill>
      <patternFill patternType="solid">
        <fgColor rgb="FF92D050"/>
        <bgColor indexed="64"/>
      </patternFill>
    </fill>
    <fill>
      <patternFill patternType="solid">
        <fgColor theme="8"/>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s>
  <cellStyleXfs count="2">
    <xf numFmtId="0" fontId="0" fillId="0" borderId="0"/>
    <xf numFmtId="9" fontId="22" fillId="0" borderId="0" applyFont="0" applyFill="0" applyBorder="0" applyAlignment="0" applyProtection="0"/>
  </cellStyleXfs>
  <cellXfs count="223">
    <xf numFmtId="0" fontId="0" fillId="0" borderId="0" xfId="0"/>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0" fillId="3" borderId="3" xfId="0" applyFill="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wrapText="1"/>
    </xf>
    <xf numFmtId="0" fontId="0" fillId="0" borderId="0" xfId="0" applyAlignment="1">
      <alignment horizontal="left" vertical="center" wrapText="1"/>
    </xf>
    <xf numFmtId="0" fontId="3" fillId="2" borderId="1" xfId="0" applyFont="1" applyFill="1" applyBorder="1" applyAlignment="1">
      <alignment horizontal="center" vertical="center" wrapText="1"/>
    </xf>
    <xf numFmtId="0" fontId="0" fillId="0" borderId="0" xfId="0" applyAlignment="1">
      <alignment horizontal="center"/>
    </xf>
    <xf numFmtId="0" fontId="4" fillId="0" borderId="0" xfId="0" applyFont="1" applyAlignment="1">
      <alignment wrapText="1"/>
    </xf>
    <xf numFmtId="0" fontId="4" fillId="0" borderId="1" xfId="0" applyFont="1" applyBorder="1" applyAlignment="1">
      <alignment horizontal="center" vertical="center" wrapText="1"/>
    </xf>
    <xf numFmtId="0" fontId="0" fillId="3" borderId="3" xfId="0" applyFill="1" applyBorder="1" applyAlignment="1">
      <alignment horizontal="center" vertical="center"/>
    </xf>
    <xf numFmtId="0" fontId="0" fillId="3" borderId="0" xfId="0" applyFill="1" applyAlignment="1">
      <alignment horizontal="center" vertical="center" wrapText="1"/>
    </xf>
    <xf numFmtId="0" fontId="4" fillId="0" borderId="0" xfId="0" applyFont="1" applyAlignment="1">
      <alignment horizontal="left" vertical="center" wrapText="1"/>
    </xf>
    <xf numFmtId="0" fontId="6" fillId="0" borderId="1" xfId="0" applyFont="1" applyBorder="1" applyAlignment="1">
      <alignment horizontal="center" vertical="center" wrapText="1"/>
    </xf>
    <xf numFmtId="0" fontId="1" fillId="0" borderId="0" xfId="0" applyFont="1" applyAlignment="1">
      <alignment horizontal="center" vertical="center"/>
    </xf>
    <xf numFmtId="0" fontId="1" fillId="0" borderId="0" xfId="0" applyFont="1"/>
    <xf numFmtId="0" fontId="1" fillId="0" borderId="0" xfId="0" applyFont="1" applyAlignment="1">
      <alignment horizontal="center"/>
    </xf>
    <xf numFmtId="0" fontId="1" fillId="0" borderId="0" xfId="0" applyFont="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3" fillId="0" borderId="0" xfId="0" applyFont="1"/>
    <xf numFmtId="0" fontId="2" fillId="0" borderId="1" xfId="0" applyFont="1" applyBorder="1" applyAlignment="1">
      <alignment horizontal="center" vertical="center" wrapText="1"/>
    </xf>
    <xf numFmtId="0" fontId="0" fillId="3" borderId="4" xfId="0" applyFill="1" applyBorder="1" applyAlignment="1">
      <alignment horizontal="center" vertical="center" wrapText="1"/>
    </xf>
    <xf numFmtId="0" fontId="2" fillId="0" borderId="5" xfId="0" applyFont="1" applyBorder="1" applyAlignment="1">
      <alignment horizontal="center" vertical="center" wrapText="1"/>
    </xf>
    <xf numFmtId="0" fontId="1" fillId="0" borderId="6" xfId="0" applyFont="1"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xf>
    <xf numFmtId="0" fontId="6" fillId="4" borderId="1" xfId="0" applyFont="1" applyFill="1" applyBorder="1" applyAlignment="1">
      <alignment horizontal="center" vertical="center" wrapText="1"/>
    </xf>
    <xf numFmtId="0" fontId="3" fillId="0" borderId="5" xfId="0" applyFont="1" applyBorder="1" applyAlignment="1">
      <alignment horizontal="center" vertical="center" wrapText="1"/>
    </xf>
    <xf numFmtId="0" fontId="0" fillId="2" borderId="1" xfId="0" applyFill="1" applyBorder="1" applyAlignment="1">
      <alignment horizontal="center" vertical="center" wrapText="1"/>
    </xf>
    <xf numFmtId="0" fontId="5" fillId="0" borderId="0" xfId="0" applyFont="1" applyAlignment="1">
      <alignment wrapText="1"/>
    </xf>
    <xf numFmtId="0" fontId="0" fillId="4" borderId="1" xfId="0" applyFill="1" applyBorder="1" applyAlignment="1">
      <alignment horizontal="center" vertical="center" wrapText="1"/>
    </xf>
    <xf numFmtId="0" fontId="12" fillId="0" borderId="0" xfId="0" applyFont="1" applyAlignment="1">
      <alignment horizontal="left" vertical="center" indent="3" readingOrder="1"/>
    </xf>
    <xf numFmtId="0" fontId="1" fillId="5" borderId="1" xfId="0" applyFont="1" applyFill="1" applyBorder="1" applyAlignment="1">
      <alignment horizontal="center" vertical="center"/>
    </xf>
    <xf numFmtId="0" fontId="1" fillId="0" borderId="1" xfId="0" applyFont="1" applyBorder="1" applyAlignment="1">
      <alignment horizontal="center" vertical="center"/>
    </xf>
    <xf numFmtId="0" fontId="0" fillId="4" borderId="0" xfId="0" applyFill="1"/>
    <xf numFmtId="0" fontId="15" fillId="4" borderId="0" xfId="0" applyFont="1" applyFill="1"/>
    <xf numFmtId="0" fontId="16" fillId="4" borderId="0" xfId="0" applyFont="1" applyFill="1"/>
    <xf numFmtId="0" fontId="17" fillId="0" borderId="0" xfId="0" applyFont="1"/>
    <xf numFmtId="0" fontId="0" fillId="2" borderId="0" xfId="0" applyFill="1" applyAlignment="1">
      <alignment horizontal="center" vertical="center"/>
    </xf>
    <xf numFmtId="0" fontId="1" fillId="2" borderId="0" xfId="0" applyFont="1" applyFill="1" applyAlignment="1">
      <alignment horizontal="center" vertical="center"/>
    </xf>
    <xf numFmtId="0" fontId="4" fillId="2" borderId="0" xfId="0" applyFont="1" applyFill="1" applyAlignment="1">
      <alignment horizontal="center" vertical="center"/>
    </xf>
    <xf numFmtId="0" fontId="0" fillId="2" borderId="0" xfId="0" applyFill="1"/>
    <xf numFmtId="0" fontId="1" fillId="6" borderId="0" xfId="0" applyFont="1" applyFill="1" applyAlignment="1">
      <alignment horizontal="center" vertical="center"/>
    </xf>
    <xf numFmtId="0" fontId="0" fillId="0" borderId="1" xfId="0" quotePrefix="1" applyBorder="1" applyAlignment="1">
      <alignment horizontal="center" vertical="center"/>
    </xf>
    <xf numFmtId="0" fontId="3" fillId="0" borderId="1" xfId="0" applyFont="1" applyBorder="1" applyAlignment="1">
      <alignment horizontal="center" vertical="center" wrapText="1"/>
    </xf>
    <xf numFmtId="0" fontId="2" fillId="4" borderId="0" xfId="0" applyFont="1" applyFill="1" applyAlignment="1">
      <alignment horizontal="center" vertical="center"/>
    </xf>
    <xf numFmtId="0" fontId="2" fillId="0" borderId="1" xfId="0" applyFont="1" applyBorder="1" applyAlignment="1">
      <alignment horizontal="center" vertical="center"/>
    </xf>
    <xf numFmtId="0" fontId="0" fillId="0" borderId="0" xfId="0" applyAlignment="1">
      <alignment vertical="center"/>
    </xf>
    <xf numFmtId="0" fontId="1" fillId="0" borderId="7" xfId="0" applyFont="1" applyBorder="1" applyAlignment="1">
      <alignment vertical="center" wrapText="1"/>
    </xf>
    <xf numFmtId="0" fontId="3" fillId="0" borderId="1" xfId="0" applyFont="1" applyBorder="1"/>
    <xf numFmtId="0" fontId="0" fillId="0" borderId="8" xfId="0" applyBorder="1" applyAlignment="1">
      <alignment horizontal="center" vertical="center" wrapText="1"/>
    </xf>
    <xf numFmtId="0" fontId="0" fillId="0" borderId="9" xfId="0" applyBorder="1" applyAlignment="1">
      <alignment horizontal="center" vertical="center" wrapText="1"/>
    </xf>
    <xf numFmtId="0" fontId="20" fillId="0" borderId="1" xfId="0" applyFont="1" applyBorder="1" applyAlignment="1">
      <alignment horizontal="center" vertical="center" wrapText="1"/>
    </xf>
    <xf numFmtId="2" fontId="0" fillId="0" borderId="0" xfId="0" applyNumberFormat="1" applyAlignment="1">
      <alignment horizontal="center" vertical="center"/>
    </xf>
    <xf numFmtId="0" fontId="14" fillId="0" borderId="0" xfId="0" applyFont="1" applyAlignment="1">
      <alignment horizontal="center" vertical="center"/>
    </xf>
    <xf numFmtId="0" fontId="10" fillId="3" borderId="5" xfId="0" applyFont="1" applyFill="1" applyBorder="1" applyAlignment="1">
      <alignment horizontal="center" vertical="center"/>
    </xf>
    <xf numFmtId="0" fontId="21" fillId="3" borderId="10" xfId="0" applyFont="1" applyFill="1" applyBorder="1" applyAlignment="1">
      <alignment horizontal="center" vertical="center"/>
    </xf>
    <xf numFmtId="0" fontId="21" fillId="3" borderId="8" xfId="0" applyFont="1" applyFill="1" applyBorder="1" applyAlignment="1">
      <alignment horizontal="center" vertical="center"/>
    </xf>
    <xf numFmtId="0" fontId="0" fillId="3" borderId="0" xfId="0" applyFill="1" applyAlignment="1">
      <alignment horizontal="center" vertical="center"/>
    </xf>
    <xf numFmtId="0" fontId="3" fillId="3" borderId="0" xfId="0" applyFont="1" applyFill="1" applyAlignment="1">
      <alignment horizontal="left" vertical="center"/>
    </xf>
    <xf numFmtId="0" fontId="0" fillId="3" borderId="0" xfId="0" applyFill="1" applyAlignment="1">
      <alignment horizontal="left" vertical="center"/>
    </xf>
    <xf numFmtId="0" fontId="0" fillId="3" borderId="0" xfId="0" applyFill="1"/>
    <xf numFmtId="0" fontId="0" fillId="3" borderId="0" xfId="0" applyFill="1" applyAlignment="1">
      <alignment horizontal="left" vertical="center" wrapText="1"/>
    </xf>
    <xf numFmtId="0" fontId="9" fillId="6" borderId="1" xfId="0" applyFont="1" applyFill="1" applyBorder="1" applyAlignment="1">
      <alignment horizontal="center" vertical="center" wrapText="1"/>
    </xf>
    <xf numFmtId="10" fontId="0" fillId="3" borderId="0" xfId="1" applyNumberFormat="1" applyFont="1" applyFill="1" applyAlignment="1">
      <alignment horizontal="center" vertical="center"/>
    </xf>
    <xf numFmtId="0" fontId="0" fillId="0" borderId="1" xfId="0" applyBorder="1" applyAlignment="1">
      <alignment horizontal="center"/>
    </xf>
    <xf numFmtId="0" fontId="23" fillId="0" borderId="1" xfId="0" applyFont="1" applyBorder="1" applyAlignment="1">
      <alignment horizontal="center" vertical="center"/>
    </xf>
    <xf numFmtId="0" fontId="0" fillId="7" borderId="1" xfId="0" applyFill="1" applyBorder="1" applyAlignment="1">
      <alignment horizontal="center" vertical="center"/>
    </xf>
    <xf numFmtId="0" fontId="0" fillId="7" borderId="1" xfId="0" applyFill="1" applyBorder="1" applyAlignment="1">
      <alignment horizontal="center" vertical="center" wrapText="1"/>
    </xf>
    <xf numFmtId="49" fontId="0" fillId="0" borderId="1" xfId="0" applyNumberFormat="1" applyBorder="1" applyAlignment="1">
      <alignment horizontal="center" vertical="center" wrapText="1"/>
    </xf>
    <xf numFmtId="0" fontId="3" fillId="7" borderId="1" xfId="0" applyFont="1" applyFill="1" applyBorder="1" applyAlignment="1">
      <alignment horizontal="center" vertical="center" wrapText="1"/>
    </xf>
    <xf numFmtId="2" fontId="0" fillId="0" borderId="1" xfId="0" applyNumberFormat="1" applyBorder="1" applyAlignment="1">
      <alignment horizontal="center" vertical="center" wrapText="1"/>
    </xf>
    <xf numFmtId="0" fontId="9" fillId="8" borderId="2"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1" fillId="3" borderId="3" xfId="0" applyFont="1" applyFill="1" applyBorder="1" applyAlignment="1">
      <alignment horizontal="center" vertical="center" wrapText="1"/>
    </xf>
    <xf numFmtId="9" fontId="0" fillId="0" borderId="8" xfId="1" applyFont="1" applyFill="1" applyBorder="1" applyAlignment="1">
      <alignment horizontal="center" vertical="center" wrapText="1"/>
    </xf>
    <xf numFmtId="0" fontId="9" fillId="0" borderId="1" xfId="0" applyFont="1" applyBorder="1" applyAlignment="1">
      <alignment horizontal="center" vertical="center" wrapText="1"/>
    </xf>
    <xf numFmtId="2" fontId="9" fillId="0" borderId="1" xfId="0" applyNumberFormat="1" applyFont="1" applyBorder="1" applyAlignment="1">
      <alignment horizontal="center" vertical="center" wrapText="1"/>
    </xf>
    <xf numFmtId="9" fontId="0" fillId="0" borderId="1" xfId="1" applyFont="1" applyFill="1" applyBorder="1" applyAlignment="1">
      <alignment horizontal="center" vertical="center" wrapText="1"/>
    </xf>
    <xf numFmtId="0" fontId="0" fillId="9" borderId="8" xfId="0" applyFill="1" applyBorder="1" applyAlignment="1">
      <alignment horizontal="center" vertical="center" wrapText="1"/>
    </xf>
    <xf numFmtId="2" fontId="0" fillId="12" borderId="1" xfId="0" applyNumberFormat="1" applyFill="1" applyBorder="1" applyAlignment="1">
      <alignment horizontal="center" vertical="center"/>
    </xf>
    <xf numFmtId="0" fontId="25" fillId="3" borderId="0" xfId="0" applyFont="1" applyFill="1" applyAlignment="1">
      <alignment horizontal="left" vertical="center"/>
    </xf>
    <xf numFmtId="2" fontId="0" fillId="14" borderId="1" xfId="0" applyNumberFormat="1" applyFill="1" applyBorder="1" applyAlignment="1">
      <alignment horizontal="center" vertical="center"/>
    </xf>
    <xf numFmtId="0" fontId="0" fillId="3" borderId="14" xfId="0" applyFill="1" applyBorder="1" applyAlignment="1">
      <alignment horizontal="center" vertical="center"/>
    </xf>
    <xf numFmtId="0" fontId="24" fillId="10" borderId="2" xfId="0" applyFont="1" applyFill="1" applyBorder="1" applyAlignment="1">
      <alignment horizontal="center" vertical="center" wrapText="1"/>
    </xf>
    <xf numFmtId="0" fontId="24" fillId="11" borderId="2" xfId="0" applyFont="1" applyFill="1" applyBorder="1" applyAlignment="1">
      <alignment horizontal="center" vertical="center" wrapText="1"/>
    </xf>
    <xf numFmtId="0" fontId="24" fillId="13" borderId="2" xfId="0" applyFont="1" applyFill="1" applyBorder="1" applyAlignment="1">
      <alignment horizontal="center" vertical="center" wrapText="1"/>
    </xf>
    <xf numFmtId="0" fontId="0" fillId="0" borderId="13" xfId="0" applyBorder="1" applyAlignment="1">
      <alignment horizontal="center" vertical="center" wrapText="1"/>
    </xf>
    <xf numFmtId="0" fontId="0" fillId="9" borderId="13" xfId="0" applyFill="1" applyBorder="1" applyAlignment="1">
      <alignment horizontal="center" vertical="center" wrapText="1"/>
    </xf>
    <xf numFmtId="9" fontId="0" fillId="9" borderId="13" xfId="1" applyFont="1" applyFill="1" applyBorder="1" applyAlignment="1">
      <alignment horizontal="center" vertical="center" wrapText="1"/>
    </xf>
    <xf numFmtId="2" fontId="0" fillId="12" borderId="4" xfId="0" applyNumberFormat="1" applyFill="1" applyBorder="1" applyAlignment="1">
      <alignment horizontal="center" vertical="center"/>
    </xf>
    <xf numFmtId="2" fontId="0" fillId="14" borderId="4" xfId="0" applyNumberFormat="1" applyFill="1" applyBorder="1" applyAlignment="1">
      <alignment horizontal="center" vertical="center"/>
    </xf>
    <xf numFmtId="0" fontId="2" fillId="3" borderId="5" xfId="0" applyFont="1" applyFill="1" applyBorder="1" applyAlignment="1">
      <alignment horizontal="center" vertical="center" wrapText="1"/>
    </xf>
    <xf numFmtId="0" fontId="0" fillId="3" borderId="10" xfId="0" applyFill="1" applyBorder="1" applyAlignment="1">
      <alignment horizontal="center" vertical="center"/>
    </xf>
    <xf numFmtId="0" fontId="0" fillId="3" borderId="10" xfId="0" applyFill="1" applyBorder="1" applyAlignment="1">
      <alignment horizontal="center" vertical="center" wrapText="1"/>
    </xf>
    <xf numFmtId="0" fontId="2" fillId="3" borderId="10" xfId="0" applyFont="1" applyFill="1" applyBorder="1" applyAlignment="1">
      <alignment horizontal="center" vertical="center" wrapText="1"/>
    </xf>
    <xf numFmtId="0" fontId="0" fillId="3" borderId="8" xfId="0" applyFill="1" applyBorder="1" applyAlignment="1">
      <alignment horizontal="center" vertical="center"/>
    </xf>
    <xf numFmtId="1" fontId="0" fillId="0" borderId="1" xfId="0" applyNumberFormat="1" applyBorder="1" applyAlignment="1">
      <alignment horizontal="center" vertical="center"/>
    </xf>
    <xf numFmtId="1" fontId="0" fillId="0" borderId="0" xfId="0" applyNumberFormat="1" applyAlignment="1">
      <alignment vertical="center"/>
    </xf>
    <xf numFmtId="1" fontId="1" fillId="0" borderId="1" xfId="0" applyNumberFormat="1" applyFont="1" applyBorder="1" applyAlignment="1">
      <alignment horizontal="center" vertical="center"/>
    </xf>
    <xf numFmtId="2" fontId="0" fillId="15" borderId="4" xfId="0" applyNumberFormat="1" applyFill="1" applyBorder="1" applyAlignment="1">
      <alignment horizontal="center" vertical="center"/>
    </xf>
    <xf numFmtId="2" fontId="0" fillId="15" borderId="4" xfId="0" applyNumberFormat="1" applyFill="1" applyBorder="1" applyAlignment="1">
      <alignment horizontal="center" vertical="center" wrapText="1"/>
    </xf>
    <xf numFmtId="2" fontId="0" fillId="15" borderId="1" xfId="0" applyNumberFormat="1" applyFill="1" applyBorder="1" applyAlignment="1">
      <alignment horizontal="center" vertical="center"/>
    </xf>
    <xf numFmtId="2" fontId="0" fillId="15" borderId="1" xfId="0" applyNumberFormat="1" applyFill="1" applyBorder="1" applyAlignment="1">
      <alignment horizontal="center" vertical="center" wrapText="1"/>
    </xf>
    <xf numFmtId="0" fontId="27" fillId="0" borderId="0" xfId="0" applyFont="1" applyAlignment="1">
      <alignment horizontal="center" vertical="center"/>
    </xf>
    <xf numFmtId="0" fontId="3" fillId="0" borderId="1" xfId="0" applyFont="1" applyBorder="1" applyAlignment="1">
      <alignment horizontal="center" vertical="center"/>
    </xf>
    <xf numFmtId="164" fontId="0" fillId="15" borderId="4" xfId="0" applyNumberFormat="1" applyFill="1" applyBorder="1" applyAlignment="1">
      <alignment horizontal="center" vertical="center"/>
    </xf>
    <xf numFmtId="164" fontId="0" fillId="15" borderId="4" xfId="0" applyNumberFormat="1" applyFill="1" applyBorder="1" applyAlignment="1">
      <alignment horizontal="center" vertical="center" wrapText="1"/>
    </xf>
    <xf numFmtId="0" fontId="9" fillId="18" borderId="1" xfId="0" applyFont="1" applyFill="1" applyBorder="1" applyAlignment="1">
      <alignment horizontal="center" vertical="center" wrapText="1"/>
    </xf>
    <xf numFmtId="0" fontId="9" fillId="14" borderId="1" xfId="0" applyFont="1" applyFill="1" applyBorder="1" applyAlignment="1">
      <alignment horizontal="center" vertical="center" wrapText="1"/>
    </xf>
    <xf numFmtId="0" fontId="9" fillId="9" borderId="1" xfId="0" applyFont="1" applyFill="1" applyBorder="1" applyAlignment="1">
      <alignment horizontal="center" vertical="center" wrapText="1"/>
    </xf>
    <xf numFmtId="0" fontId="9" fillId="19" borderId="1" xfId="0" applyFont="1" applyFill="1" applyBorder="1" applyAlignment="1">
      <alignment horizontal="center" vertical="center" wrapText="1"/>
    </xf>
    <xf numFmtId="0" fontId="9" fillId="20"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 fillId="0" borderId="1" xfId="0" applyFont="1" applyBorder="1" applyAlignment="1">
      <alignment horizontal="center"/>
    </xf>
    <xf numFmtId="0" fontId="1" fillId="0" borderId="1" xfId="0" applyFont="1" applyBorder="1" applyAlignment="1">
      <alignment horizontal="center" wrapText="1"/>
    </xf>
    <xf numFmtId="165" fontId="9" fillId="18" borderId="1" xfId="0" applyNumberFormat="1" applyFont="1" applyFill="1" applyBorder="1" applyAlignment="1">
      <alignment horizontal="center" vertical="center" wrapText="1"/>
    </xf>
    <xf numFmtId="165" fontId="9" fillId="14" borderId="1" xfId="0" applyNumberFormat="1" applyFont="1" applyFill="1" applyBorder="1" applyAlignment="1">
      <alignment horizontal="center" vertical="center" wrapText="1"/>
    </xf>
    <xf numFmtId="165" fontId="9" fillId="9" borderId="1" xfId="0" applyNumberFormat="1" applyFont="1" applyFill="1" applyBorder="1" applyAlignment="1">
      <alignment horizontal="center" vertical="center" wrapText="1"/>
    </xf>
    <xf numFmtId="165" fontId="9" fillId="19" borderId="1" xfId="0" applyNumberFormat="1" applyFont="1" applyFill="1" applyBorder="1" applyAlignment="1">
      <alignment horizontal="center" vertical="center" wrapText="1"/>
    </xf>
    <xf numFmtId="165" fontId="9" fillId="20" borderId="1" xfId="0" applyNumberFormat="1" applyFont="1" applyFill="1" applyBorder="1" applyAlignment="1">
      <alignment horizontal="center" vertical="center" wrapText="1"/>
    </xf>
    <xf numFmtId="165" fontId="0" fillId="0" borderId="1" xfId="0" applyNumberFormat="1" applyBorder="1" applyAlignment="1">
      <alignment horizontal="center"/>
    </xf>
    <xf numFmtId="0" fontId="24" fillId="16" borderId="0" xfId="0" applyFont="1" applyFill="1" applyAlignment="1">
      <alignment horizontal="center" vertical="center"/>
    </xf>
    <xf numFmtId="0" fontId="9" fillId="17" borderId="0" xfId="0" applyFont="1" applyFill="1" applyAlignment="1">
      <alignment horizontal="center" vertical="center"/>
    </xf>
    <xf numFmtId="0" fontId="2" fillId="0" borderId="0" xfId="0" applyFont="1" applyAlignment="1">
      <alignment horizontal="center" vertical="center"/>
    </xf>
    <xf numFmtId="2" fontId="0" fillId="0" borderId="1" xfId="0" applyNumberFormat="1" applyBorder="1" applyAlignment="1">
      <alignment horizontal="center" vertical="center"/>
    </xf>
    <xf numFmtId="165" fontId="0" fillId="0" borderId="1" xfId="0" applyNumberFormat="1" applyBorder="1" applyAlignment="1">
      <alignment horizontal="center" vertical="center"/>
    </xf>
    <xf numFmtId="0" fontId="9" fillId="4" borderId="5" xfId="0" applyFont="1" applyFill="1" applyBorder="1" applyAlignment="1">
      <alignment horizontal="center" vertical="center" wrapText="1"/>
    </xf>
    <xf numFmtId="2" fontId="9"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9" fontId="0" fillId="0" borderId="9" xfId="1" applyFont="1" applyFill="1" applyBorder="1" applyAlignment="1">
      <alignment horizontal="center" vertical="center" wrapText="1"/>
    </xf>
    <xf numFmtId="9" fontId="0" fillId="0" borderId="2" xfId="1" applyFont="1" applyFill="1" applyBorder="1" applyAlignment="1">
      <alignment horizontal="center" vertical="center" wrapText="1"/>
    </xf>
    <xf numFmtId="2" fontId="0" fillId="0" borderId="2" xfId="0" applyNumberFormat="1" applyBorder="1" applyAlignment="1">
      <alignment horizontal="center" vertical="center"/>
    </xf>
    <xf numFmtId="165" fontId="0" fillId="0" borderId="2" xfId="0" applyNumberFormat="1" applyBorder="1" applyAlignment="1">
      <alignment horizontal="center" vertical="center"/>
    </xf>
    <xf numFmtId="2" fontId="9" fillId="0" borderId="4" xfId="0" applyNumberFormat="1" applyFont="1" applyBorder="1" applyAlignment="1">
      <alignment horizontal="center" vertical="center" wrapText="1"/>
    </xf>
    <xf numFmtId="0" fontId="9" fillId="0" borderId="4" xfId="0" applyFont="1" applyBorder="1" applyAlignment="1">
      <alignment horizontal="center" vertical="center" wrapText="1"/>
    </xf>
    <xf numFmtId="9" fontId="0" fillId="0" borderId="13" xfId="1" applyFont="1" applyFill="1" applyBorder="1" applyAlignment="1">
      <alignment horizontal="center" vertical="center" wrapText="1"/>
    </xf>
    <xf numFmtId="9" fontId="0" fillId="0" borderId="4" xfId="1" applyFont="1" applyFill="1" applyBorder="1" applyAlignment="1">
      <alignment horizontal="center" vertical="center" wrapText="1"/>
    </xf>
    <xf numFmtId="2" fontId="0" fillId="0" borderId="4" xfId="0" applyNumberFormat="1" applyBorder="1" applyAlignment="1">
      <alignment horizontal="center" vertical="center"/>
    </xf>
    <xf numFmtId="165" fontId="0" fillId="0" borderId="4" xfId="0" applyNumberFormat="1" applyBorder="1" applyAlignment="1">
      <alignment horizontal="center" vertical="center"/>
    </xf>
    <xf numFmtId="2" fontId="9" fillId="3" borderId="5" xfId="0" applyNumberFormat="1" applyFont="1" applyFill="1" applyBorder="1" applyAlignment="1">
      <alignment horizontal="center" vertical="center" wrapText="1"/>
    </xf>
    <xf numFmtId="2" fontId="9" fillId="3" borderId="10" xfId="0" applyNumberFormat="1" applyFont="1" applyFill="1" applyBorder="1" applyAlignment="1">
      <alignment horizontal="center" vertical="center" wrapText="1"/>
    </xf>
    <xf numFmtId="0" fontId="9" fillId="3" borderId="10" xfId="0" applyFont="1" applyFill="1" applyBorder="1" applyAlignment="1">
      <alignment horizontal="center" vertical="center" wrapText="1"/>
    </xf>
    <xf numFmtId="9" fontId="0" fillId="3" borderId="10" xfId="1" applyFont="1" applyFill="1" applyBorder="1" applyAlignment="1">
      <alignment horizontal="center" vertical="center" wrapText="1"/>
    </xf>
    <xf numFmtId="0" fontId="0" fillId="3" borderId="10" xfId="0" applyFill="1" applyBorder="1"/>
    <xf numFmtId="0" fontId="0" fillId="3" borderId="8" xfId="0" applyFill="1" applyBorder="1"/>
    <xf numFmtId="2" fontId="9"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9" fontId="0" fillId="0" borderId="15" xfId="1" applyFont="1" applyFill="1" applyBorder="1" applyAlignment="1">
      <alignment horizontal="center" vertical="center" wrapText="1"/>
    </xf>
    <xf numFmtId="9" fontId="0" fillId="0" borderId="3" xfId="1" applyFont="1" applyFill="1" applyBorder="1" applyAlignment="1">
      <alignment horizontal="center" vertical="center" wrapText="1"/>
    </xf>
    <xf numFmtId="2" fontId="0" fillId="0" borderId="3" xfId="0" applyNumberFormat="1" applyBorder="1" applyAlignment="1">
      <alignment horizontal="center" vertical="center"/>
    </xf>
    <xf numFmtId="165" fontId="0" fillId="0" borderId="3" xfId="0" applyNumberFormat="1" applyBorder="1" applyAlignment="1">
      <alignment horizontal="center" vertical="center"/>
    </xf>
    <xf numFmtId="0" fontId="29" fillId="0" borderId="1" xfId="0" applyFont="1" applyBorder="1" applyAlignment="1">
      <alignment horizontal="center" vertical="center"/>
    </xf>
    <xf numFmtId="0" fontId="0" fillId="0" borderId="0" xfId="0" applyAlignment="1">
      <alignment horizontal="right"/>
    </xf>
    <xf numFmtId="0" fontId="1" fillId="0" borderId="14" xfId="0" applyFont="1" applyBorder="1"/>
    <xf numFmtId="0" fontId="0" fillId="0" borderId="16" xfId="0" applyBorder="1"/>
    <xf numFmtId="0" fontId="0" fillId="0" borderId="9" xfId="0" applyBorder="1"/>
    <xf numFmtId="0" fontId="1" fillId="0" borderId="11" xfId="0" applyFont="1" applyBorder="1"/>
    <xf numFmtId="0" fontId="0" fillId="0" borderId="12" xfId="0" applyBorder="1"/>
    <xf numFmtId="0" fontId="1" fillId="0" borderId="12" xfId="0" applyFont="1" applyBorder="1"/>
    <xf numFmtId="0" fontId="0" fillId="0" borderId="13" xfId="0" applyBorder="1"/>
    <xf numFmtId="0" fontId="0" fillId="14" borderId="1" xfId="0" applyFill="1" applyBorder="1" applyAlignment="1">
      <alignment horizontal="center" vertical="center"/>
    </xf>
    <xf numFmtId="0" fontId="23" fillId="14" borderId="1" xfId="0" applyFont="1" applyFill="1" applyBorder="1" applyAlignment="1">
      <alignment horizontal="center" vertical="center"/>
    </xf>
    <xf numFmtId="0" fontId="0" fillId="21" borderId="1" xfId="0" applyFill="1" applyBorder="1" applyAlignment="1">
      <alignment horizontal="center" vertical="center"/>
    </xf>
    <xf numFmtId="0" fontId="0" fillId="3" borderId="0" xfId="0" applyFill="1" applyAlignment="1">
      <alignment vertical="center"/>
    </xf>
    <xf numFmtId="0" fontId="2" fillId="3" borderId="1" xfId="0" applyFont="1" applyFill="1" applyBorder="1" applyAlignment="1">
      <alignment horizontal="center" vertical="center"/>
    </xf>
    <xf numFmtId="0" fontId="1" fillId="3" borderId="1" xfId="0" applyFont="1" applyFill="1" applyBorder="1" applyAlignment="1">
      <alignment horizontal="center" vertical="center"/>
    </xf>
    <xf numFmtId="1" fontId="2" fillId="3" borderId="1" xfId="0" applyNumberFormat="1" applyFont="1" applyFill="1" applyBorder="1" applyAlignment="1">
      <alignment horizontal="center" vertical="center"/>
    </xf>
    <xf numFmtId="1" fontId="1" fillId="3" borderId="1" xfId="0" applyNumberFormat="1" applyFont="1" applyFill="1" applyBorder="1" applyAlignment="1">
      <alignment horizontal="center" vertical="center"/>
    </xf>
    <xf numFmtId="1" fontId="1"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1" fontId="0" fillId="3" borderId="1" xfId="0" applyNumberFormat="1" applyFill="1" applyBorder="1" applyAlignment="1">
      <alignment horizontal="center" vertical="center"/>
    </xf>
    <xf numFmtId="1" fontId="0" fillId="3" borderId="0" xfId="0" applyNumberFormat="1" applyFill="1" applyAlignment="1">
      <alignment vertical="center"/>
    </xf>
    <xf numFmtId="0" fontId="0" fillId="3" borderId="1" xfId="0" applyFill="1" applyBorder="1" applyAlignment="1">
      <alignment horizontal="center" vertical="center" wrapText="1"/>
    </xf>
    <xf numFmtId="1" fontId="0" fillId="3" borderId="1" xfId="0" applyNumberFormat="1" applyFill="1" applyBorder="1" applyAlignment="1">
      <alignment horizontal="center" vertical="center" wrapText="1"/>
    </xf>
    <xf numFmtId="1" fontId="0" fillId="3" borderId="0" xfId="0" applyNumberFormat="1" applyFill="1" applyAlignment="1">
      <alignment horizontal="center" vertical="center"/>
    </xf>
    <xf numFmtId="0" fontId="30" fillId="3" borderId="0" xfId="0" applyFont="1" applyFill="1" applyAlignment="1">
      <alignment vertical="center"/>
    </xf>
    <xf numFmtId="0" fontId="31" fillId="3" borderId="0" xfId="0" applyFont="1" applyFill="1" applyAlignment="1">
      <alignment vertical="center"/>
    </xf>
    <xf numFmtId="0" fontId="26" fillId="3" borderId="0" xfId="0" applyFont="1" applyFill="1" applyAlignment="1">
      <alignment vertical="center"/>
    </xf>
    <xf numFmtId="0" fontId="3" fillId="3" borderId="0" xfId="0" applyFont="1" applyFill="1" applyAlignment="1">
      <alignment vertical="center"/>
    </xf>
    <xf numFmtId="0" fontId="0" fillId="3" borderId="1" xfId="0" applyFill="1" applyBorder="1" applyAlignment="1">
      <alignment vertical="center"/>
    </xf>
    <xf numFmtId="0" fontId="2" fillId="3" borderId="1" xfId="0" applyFont="1" applyFill="1" applyBorder="1" applyAlignment="1">
      <alignment vertical="center"/>
    </xf>
    <xf numFmtId="2" fontId="0" fillId="3" borderId="1" xfId="0" applyNumberFormat="1" applyFill="1" applyBorder="1" applyAlignment="1">
      <alignment horizontal="center" vertical="center"/>
    </xf>
    <xf numFmtId="0" fontId="0" fillId="3" borderId="1" xfId="0" applyFill="1" applyBorder="1" applyAlignment="1">
      <alignment vertical="center" wrapText="1"/>
    </xf>
    <xf numFmtId="1" fontId="0" fillId="0" borderId="1" xfId="0" applyNumberFormat="1" applyBorder="1" applyAlignment="1">
      <alignment horizontal="center"/>
    </xf>
    <xf numFmtId="0" fontId="0" fillId="0" borderId="0" xfId="0" pivotButton="1"/>
    <xf numFmtId="0" fontId="0" fillId="0" borderId="0" xfId="0" applyAlignment="1">
      <alignment horizontal="left"/>
    </xf>
    <xf numFmtId="165" fontId="0" fillId="3" borderId="1" xfId="0" applyNumberFormat="1" applyFill="1" applyBorder="1" applyAlignment="1">
      <alignment horizontal="center" vertical="center"/>
    </xf>
    <xf numFmtId="0" fontId="10" fillId="4" borderId="0" xfId="0" applyFont="1" applyFill="1" applyAlignment="1">
      <alignment vertical="center"/>
    </xf>
    <xf numFmtId="166" fontId="0" fillId="9" borderId="13" xfId="1" applyNumberFormat="1" applyFont="1" applyFill="1" applyBorder="1" applyAlignment="1">
      <alignment horizontal="center" vertical="center" wrapText="1"/>
    </xf>
    <xf numFmtId="1" fontId="0" fillId="0" borderId="0" xfId="0" applyNumberFormat="1"/>
    <xf numFmtId="0" fontId="32" fillId="0" borderId="0" xfId="0" applyFont="1"/>
    <xf numFmtId="0" fontId="1" fillId="2" borderId="0" xfId="0" applyFont="1" applyFill="1"/>
    <xf numFmtId="0" fontId="0" fillId="22" borderId="0" xfId="0" applyFill="1" applyAlignment="1">
      <alignment horizontal="center" vertical="center"/>
    </xf>
    <xf numFmtId="0" fontId="1" fillId="22" borderId="0" xfId="0" applyFont="1" applyFill="1" applyAlignment="1">
      <alignment horizontal="center" vertical="center"/>
    </xf>
    <xf numFmtId="0" fontId="1" fillId="23" borderId="0" xfId="0" applyFont="1" applyFill="1" applyAlignment="1">
      <alignment horizontal="center" vertical="center"/>
    </xf>
    <xf numFmtId="0" fontId="0" fillId="0" borderId="0" xfId="0" applyAlignment="1">
      <alignment horizontal="left" indent="1"/>
    </xf>
    <xf numFmtId="0" fontId="0" fillId="0" borderId="1" xfId="0" applyBorder="1"/>
    <xf numFmtId="165" fontId="0" fillId="0" borderId="0" xfId="0" applyNumberFormat="1"/>
    <xf numFmtId="165" fontId="0" fillId="0" borderId="1" xfId="0" applyNumberFormat="1" applyBorder="1"/>
    <xf numFmtId="165" fontId="0" fillId="4" borderId="1" xfId="0" applyNumberFormat="1" applyFill="1" applyBorder="1"/>
    <xf numFmtId="166" fontId="0" fillId="0" borderId="1" xfId="1" applyNumberFormat="1" applyFont="1" applyFill="1" applyBorder="1"/>
    <xf numFmtId="0" fontId="30" fillId="0" borderId="0" xfId="0" applyFont="1"/>
    <xf numFmtId="0" fontId="0" fillId="4" borderId="1" xfId="0" applyFill="1" applyBorder="1" applyAlignment="1">
      <alignment horizontal="center" vertical="center"/>
    </xf>
    <xf numFmtId="166" fontId="0" fillId="0" borderId="1" xfId="1" applyNumberFormat="1" applyFont="1" applyBorder="1"/>
    <xf numFmtId="0" fontId="27" fillId="0" borderId="1" xfId="0" applyFont="1" applyBorder="1" applyAlignment="1">
      <alignment horizontal="center" vertical="center"/>
    </xf>
    <xf numFmtId="0" fontId="28" fillId="0" borderId="1" xfId="0" applyFont="1" applyBorder="1" applyAlignment="1">
      <alignment horizontal="center" vertical="center" wrapText="1"/>
    </xf>
    <xf numFmtId="0" fontId="27" fillId="0" borderId="5" xfId="0" applyFont="1" applyBorder="1" applyAlignment="1">
      <alignment horizontal="center" vertical="center"/>
    </xf>
    <xf numFmtId="0" fontId="27" fillId="0" borderId="8" xfId="0" applyFont="1" applyBorder="1" applyAlignment="1">
      <alignment horizontal="center" vertical="center"/>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28" fillId="0" borderId="1" xfId="0" applyFont="1" applyBorder="1" applyAlignment="1">
      <alignment horizontal="center" vertical="center"/>
    </xf>
    <xf numFmtId="0" fontId="9" fillId="17" borderId="0" xfId="0" applyFont="1" applyFill="1" applyAlignment="1">
      <alignment horizontal="center" vertical="center"/>
    </xf>
    <xf numFmtId="0" fontId="24" fillId="16" borderId="0" xfId="0" applyFont="1" applyFill="1" applyAlignment="1">
      <alignment horizontal="center" vertical="center"/>
    </xf>
    <xf numFmtId="0" fontId="1" fillId="0" borderId="7" xfId="0" applyFont="1" applyBorder="1" applyAlignment="1">
      <alignment horizontal="center" vertical="center" wrapText="1"/>
    </xf>
  </cellXfs>
  <cellStyles count="2">
    <cellStyle name="Normal" xfId="0" builtinId="0"/>
    <cellStyle name="Percent" xfId="1" builtinId="5"/>
  </cellStyles>
  <dxfs count="3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numFmt numFmtId="1" formatCode="0"/>
    </dxf>
    <dxf>
      <numFmt numFmtId="1" formatCode="0"/>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2.xml"/><Relationship Id="rId26"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1.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Visualization!$A$15</c:f>
          <c:strCache>
            <c:ptCount val="1"/>
            <c:pt idx="0">
              <c:v>MoP Category-wise scores - Operational Planning , Model Developer</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Visualization!$B$5</c:f>
              <c:strCache>
                <c:ptCount val="1"/>
                <c:pt idx="0">
                  <c:v>MARPLE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Visualization!$A$6:$A$12</c:f>
              <c:strCache>
                <c:ptCount val="7"/>
                <c:pt idx="0">
                  <c:v>Conceptual Validation</c:v>
                </c:pt>
                <c:pt idx="1">
                  <c:v>Model robustness</c:v>
                </c:pt>
                <c:pt idx="2">
                  <c:v>Applicability</c:v>
                </c:pt>
                <c:pt idx="3">
                  <c:v>Tractability</c:v>
                </c:pt>
                <c:pt idx="4">
                  <c:v>Integration of Network Hierarchies - Urban and Motorway roads</c:v>
                </c:pt>
                <c:pt idx="5">
                  <c:v>Computational efficiency</c:v>
                </c:pt>
                <c:pt idx="6">
                  <c:v>Usability</c:v>
                </c:pt>
              </c:strCache>
            </c:strRef>
          </c:cat>
          <c:val>
            <c:numRef>
              <c:f>Visualization!$B$6:$B$12</c:f>
              <c:numCache>
                <c:formatCode>0</c:formatCode>
                <c:ptCount val="7"/>
                <c:pt idx="0">
                  <c:v>12.866025112481132</c:v>
                </c:pt>
                <c:pt idx="1">
                  <c:v>9.9745413389865281</c:v>
                </c:pt>
                <c:pt idx="2">
                  <c:v>20</c:v>
                </c:pt>
                <c:pt idx="3">
                  <c:v>51.199754901960787</c:v>
                </c:pt>
                <c:pt idx="4">
                  <c:v>0</c:v>
                </c:pt>
                <c:pt idx="5">
                  <c:v>7.2414177652340852</c:v>
                </c:pt>
                <c:pt idx="6">
                  <c:v>20.190476190476193</c:v>
                </c:pt>
              </c:numCache>
            </c:numRef>
          </c:val>
          <c:extLst>
            <c:ext xmlns:c16="http://schemas.microsoft.com/office/drawing/2014/chart" uri="{C3380CC4-5D6E-409C-BE32-E72D297353CC}">
              <c16:uniqueId val="{00000000-7F2F-406A-89D2-B2648118D452}"/>
            </c:ext>
          </c:extLst>
        </c:ser>
        <c:ser>
          <c:idx val="1"/>
          <c:order val="1"/>
          <c:tx>
            <c:strRef>
              <c:f>Visualization!$C$5</c:f>
              <c:strCache>
                <c:ptCount val="1"/>
                <c:pt idx="0">
                  <c:v>StreamLine-MaDAM</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Visualization!$A$6:$A$12</c:f>
              <c:strCache>
                <c:ptCount val="7"/>
                <c:pt idx="0">
                  <c:v>Conceptual Validation</c:v>
                </c:pt>
                <c:pt idx="1">
                  <c:v>Model robustness</c:v>
                </c:pt>
                <c:pt idx="2">
                  <c:v>Applicability</c:v>
                </c:pt>
                <c:pt idx="3">
                  <c:v>Tractability</c:v>
                </c:pt>
                <c:pt idx="4">
                  <c:v>Integration of Network Hierarchies - Urban and Motorway roads</c:v>
                </c:pt>
                <c:pt idx="5">
                  <c:v>Computational efficiency</c:v>
                </c:pt>
                <c:pt idx="6">
                  <c:v>Usability</c:v>
                </c:pt>
              </c:strCache>
            </c:strRef>
          </c:cat>
          <c:val>
            <c:numRef>
              <c:f>Visualization!$C$6:$C$12</c:f>
              <c:numCache>
                <c:formatCode>0</c:formatCode>
                <c:ptCount val="7"/>
                <c:pt idx="0">
                  <c:v>18.739668199383253</c:v>
                </c:pt>
                <c:pt idx="1">
                  <c:v>0</c:v>
                </c:pt>
                <c:pt idx="2">
                  <c:v>20</c:v>
                </c:pt>
                <c:pt idx="3">
                  <c:v>53.708333333333336</c:v>
                </c:pt>
                <c:pt idx="4">
                  <c:v>7</c:v>
                </c:pt>
                <c:pt idx="5">
                  <c:v>2.2284569138276553</c:v>
                </c:pt>
                <c:pt idx="6">
                  <c:v>26.5</c:v>
                </c:pt>
              </c:numCache>
            </c:numRef>
          </c:val>
          <c:extLst>
            <c:ext xmlns:c16="http://schemas.microsoft.com/office/drawing/2014/chart" uri="{C3380CC4-5D6E-409C-BE32-E72D297353CC}">
              <c16:uniqueId val="{00000001-7F2F-406A-89D2-B2648118D452}"/>
            </c:ext>
          </c:extLst>
        </c:ser>
        <c:ser>
          <c:idx val="2"/>
          <c:order val="2"/>
          <c:tx>
            <c:strRef>
              <c:f>Visualization!$D$5</c:f>
              <c:strCache>
                <c:ptCount val="1"/>
                <c:pt idx="0">
                  <c:v>StreamLine-eGLTM</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Visualization!$A$6:$A$12</c:f>
              <c:strCache>
                <c:ptCount val="7"/>
                <c:pt idx="0">
                  <c:v>Conceptual Validation</c:v>
                </c:pt>
                <c:pt idx="1">
                  <c:v>Model robustness</c:v>
                </c:pt>
                <c:pt idx="2">
                  <c:v>Applicability</c:v>
                </c:pt>
                <c:pt idx="3">
                  <c:v>Tractability</c:v>
                </c:pt>
                <c:pt idx="4">
                  <c:v>Integration of Network Hierarchies - Urban and Motorway roads</c:v>
                </c:pt>
                <c:pt idx="5">
                  <c:v>Computational efficiency</c:v>
                </c:pt>
                <c:pt idx="6">
                  <c:v>Usability</c:v>
                </c:pt>
              </c:strCache>
            </c:strRef>
          </c:cat>
          <c:val>
            <c:numRef>
              <c:f>Visualization!$D$6:$D$12</c:f>
              <c:numCache>
                <c:formatCode>0</c:formatCode>
                <c:ptCount val="7"/>
                <c:pt idx="0">
                  <c:v>12.908489067584542</c:v>
                </c:pt>
                <c:pt idx="1">
                  <c:v>9.891448759921218</c:v>
                </c:pt>
                <c:pt idx="2">
                  <c:v>20</c:v>
                </c:pt>
                <c:pt idx="3">
                  <c:v>51.050245098039213</c:v>
                </c:pt>
                <c:pt idx="4">
                  <c:v>0</c:v>
                </c:pt>
                <c:pt idx="5">
                  <c:v>3.9432679814014127</c:v>
                </c:pt>
                <c:pt idx="6">
                  <c:v>24.261904761904763</c:v>
                </c:pt>
              </c:numCache>
            </c:numRef>
          </c:val>
          <c:extLst>
            <c:ext xmlns:c16="http://schemas.microsoft.com/office/drawing/2014/chart" uri="{C3380CC4-5D6E-409C-BE32-E72D297353CC}">
              <c16:uniqueId val="{00000002-7F2F-406A-89D2-B2648118D452}"/>
            </c:ext>
          </c:extLst>
        </c:ser>
        <c:dLbls>
          <c:dLblPos val="outEnd"/>
          <c:showLegendKey val="0"/>
          <c:showVal val="1"/>
          <c:showCatName val="0"/>
          <c:showSerName val="0"/>
          <c:showPercent val="0"/>
          <c:showBubbleSize val="0"/>
        </c:dLbls>
        <c:gapWidth val="219"/>
        <c:overlap val="-27"/>
        <c:axId val="538379984"/>
        <c:axId val="538378672"/>
      </c:barChart>
      <c:catAx>
        <c:axId val="538379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538378672"/>
        <c:crosses val="autoZero"/>
        <c:auto val="1"/>
        <c:lblAlgn val="ctr"/>
        <c:lblOffset val="100"/>
        <c:noMultiLvlLbl val="0"/>
      </c:catAx>
      <c:valAx>
        <c:axId val="5383786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83799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Visualization_Average!$V$14</c:f>
          <c:strCache>
            <c:ptCount val="1"/>
            <c:pt idx="0">
              <c:v>MoPs in Tractability - Strategic Planning , Policy Maker</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Visualization_Average!$W$5</c:f>
              <c:strCache>
                <c:ptCount val="1"/>
                <c:pt idx="0">
                  <c:v>MARPLE</c:v>
                </c:pt>
              </c:strCache>
            </c:strRef>
          </c:tx>
          <c:spPr>
            <a:solidFill>
              <a:schemeClr val="accent1"/>
            </a:solidFill>
            <a:ln>
              <a:noFill/>
            </a:ln>
            <a:effectLst/>
          </c:spPr>
          <c:invertIfNegative val="0"/>
          <c:cat>
            <c:strRef>
              <c:f>Visualization_Average!$V$6:$V$13</c:f>
              <c:strCache>
                <c:ptCount val="8"/>
                <c:pt idx="0">
                  <c:v>Propagation - Link flows</c:v>
                </c:pt>
                <c:pt idx="1">
                  <c:v>Propagation - Queuing</c:v>
                </c:pt>
                <c:pt idx="2">
                  <c:v>Propagation - Effect of link-level traffic controls</c:v>
                </c:pt>
                <c:pt idx="3">
                  <c:v>Node model-merge behaviour</c:v>
                </c:pt>
                <c:pt idx="4">
                  <c:v>Node model-diverge behaviour</c:v>
                </c:pt>
                <c:pt idx="5">
                  <c:v>Signalized Intersection</c:v>
                </c:pt>
                <c:pt idx="6">
                  <c:v>Route choice (general)</c:v>
                </c:pt>
                <c:pt idx="7">
                  <c:v>Route choice (route overlap)</c:v>
                </c:pt>
              </c:strCache>
            </c:strRef>
          </c:cat>
          <c:val>
            <c:numRef>
              <c:f>Visualization_Average!$W$6:$W$13</c:f>
              <c:numCache>
                <c:formatCode>0</c:formatCode>
                <c:ptCount val="8"/>
                <c:pt idx="0">
                  <c:v>5.25</c:v>
                </c:pt>
                <c:pt idx="1">
                  <c:v>4.8039215686274517</c:v>
                </c:pt>
                <c:pt idx="2">
                  <c:v>7</c:v>
                </c:pt>
                <c:pt idx="3">
                  <c:v>4.9583333333333339</c:v>
                </c:pt>
                <c:pt idx="4">
                  <c:v>4.375</c:v>
                </c:pt>
                <c:pt idx="5">
                  <c:v>4.8125</c:v>
                </c:pt>
                <c:pt idx="6">
                  <c:v>10</c:v>
                </c:pt>
                <c:pt idx="7">
                  <c:v>10</c:v>
                </c:pt>
              </c:numCache>
            </c:numRef>
          </c:val>
          <c:extLst>
            <c:ext xmlns:c16="http://schemas.microsoft.com/office/drawing/2014/chart" uri="{C3380CC4-5D6E-409C-BE32-E72D297353CC}">
              <c16:uniqueId val="{00000000-FFFA-4642-8241-DEEDE35F4769}"/>
            </c:ext>
          </c:extLst>
        </c:ser>
        <c:ser>
          <c:idx val="1"/>
          <c:order val="1"/>
          <c:tx>
            <c:strRef>
              <c:f>Visualization_Average!$X$5</c:f>
              <c:strCache>
                <c:ptCount val="1"/>
                <c:pt idx="0">
                  <c:v>StreamLine-MaDAM</c:v>
                </c:pt>
              </c:strCache>
            </c:strRef>
          </c:tx>
          <c:spPr>
            <a:solidFill>
              <a:schemeClr val="accent2"/>
            </a:solidFill>
            <a:ln>
              <a:noFill/>
            </a:ln>
            <a:effectLst/>
          </c:spPr>
          <c:invertIfNegative val="0"/>
          <c:cat>
            <c:strRef>
              <c:f>Visualization_Average!$V$6:$V$13</c:f>
              <c:strCache>
                <c:ptCount val="8"/>
                <c:pt idx="0">
                  <c:v>Propagation - Link flows</c:v>
                </c:pt>
                <c:pt idx="1">
                  <c:v>Propagation - Queuing</c:v>
                </c:pt>
                <c:pt idx="2">
                  <c:v>Propagation - Effect of link-level traffic controls</c:v>
                </c:pt>
                <c:pt idx="3">
                  <c:v>Node model-merge behaviour</c:v>
                </c:pt>
                <c:pt idx="4">
                  <c:v>Node model-diverge behaviour</c:v>
                </c:pt>
                <c:pt idx="5">
                  <c:v>Signalized Intersection</c:v>
                </c:pt>
                <c:pt idx="6">
                  <c:v>Route choice (general)</c:v>
                </c:pt>
                <c:pt idx="7">
                  <c:v>Route choice (route overlap)</c:v>
                </c:pt>
              </c:strCache>
            </c:strRef>
          </c:cat>
          <c:val>
            <c:numRef>
              <c:f>Visualization_Average!$X$6:$X$13</c:f>
              <c:numCache>
                <c:formatCode>0</c:formatCode>
                <c:ptCount val="8"/>
                <c:pt idx="0">
                  <c:v>5.25</c:v>
                </c:pt>
                <c:pt idx="1">
                  <c:v>7</c:v>
                </c:pt>
                <c:pt idx="2">
                  <c:v>5</c:v>
                </c:pt>
                <c:pt idx="3">
                  <c:v>4.9583333333333339</c:v>
                </c:pt>
                <c:pt idx="4">
                  <c:v>7</c:v>
                </c:pt>
                <c:pt idx="5">
                  <c:v>7</c:v>
                </c:pt>
                <c:pt idx="6">
                  <c:v>7.5</c:v>
                </c:pt>
                <c:pt idx="7">
                  <c:v>10</c:v>
                </c:pt>
              </c:numCache>
            </c:numRef>
          </c:val>
          <c:extLst>
            <c:ext xmlns:c16="http://schemas.microsoft.com/office/drawing/2014/chart" uri="{C3380CC4-5D6E-409C-BE32-E72D297353CC}">
              <c16:uniqueId val="{00000001-FFFA-4642-8241-DEEDE35F4769}"/>
            </c:ext>
          </c:extLst>
        </c:ser>
        <c:ser>
          <c:idx val="2"/>
          <c:order val="2"/>
          <c:tx>
            <c:strRef>
              <c:f>Visualization_Average!$Y$5</c:f>
              <c:strCache>
                <c:ptCount val="1"/>
                <c:pt idx="0">
                  <c:v>StreamLine-eGLTM</c:v>
                </c:pt>
              </c:strCache>
            </c:strRef>
          </c:tx>
          <c:spPr>
            <a:solidFill>
              <a:schemeClr val="accent3"/>
            </a:solidFill>
            <a:ln>
              <a:noFill/>
            </a:ln>
            <a:effectLst/>
          </c:spPr>
          <c:invertIfNegative val="0"/>
          <c:cat>
            <c:strRef>
              <c:f>Visualization_Average!$V$6:$V$13</c:f>
              <c:strCache>
                <c:ptCount val="8"/>
                <c:pt idx="0">
                  <c:v>Propagation - Link flows</c:v>
                </c:pt>
                <c:pt idx="1">
                  <c:v>Propagation - Queuing</c:v>
                </c:pt>
                <c:pt idx="2">
                  <c:v>Propagation - Effect of link-level traffic controls</c:v>
                </c:pt>
                <c:pt idx="3">
                  <c:v>Node model-merge behaviour</c:v>
                </c:pt>
                <c:pt idx="4">
                  <c:v>Node model-diverge behaviour</c:v>
                </c:pt>
                <c:pt idx="5">
                  <c:v>Signalized Intersection</c:v>
                </c:pt>
                <c:pt idx="6">
                  <c:v>Route choice (general)</c:v>
                </c:pt>
                <c:pt idx="7">
                  <c:v>Route choice (route overlap)</c:v>
                </c:pt>
              </c:strCache>
            </c:strRef>
          </c:cat>
          <c:val>
            <c:numRef>
              <c:f>Visualization_Average!$Y$6:$Y$13</c:f>
              <c:numCache>
                <c:formatCode>0</c:formatCode>
                <c:ptCount val="8"/>
                <c:pt idx="0">
                  <c:v>7</c:v>
                </c:pt>
                <c:pt idx="1">
                  <c:v>6.8627450980392162</c:v>
                </c:pt>
                <c:pt idx="2">
                  <c:v>0</c:v>
                </c:pt>
                <c:pt idx="3">
                  <c:v>7</c:v>
                </c:pt>
                <c:pt idx="4">
                  <c:v>7</c:v>
                </c:pt>
                <c:pt idx="5">
                  <c:v>5.6875</c:v>
                </c:pt>
                <c:pt idx="6">
                  <c:v>7.5</c:v>
                </c:pt>
                <c:pt idx="7">
                  <c:v>10</c:v>
                </c:pt>
              </c:numCache>
            </c:numRef>
          </c:val>
          <c:extLst>
            <c:ext xmlns:c16="http://schemas.microsoft.com/office/drawing/2014/chart" uri="{C3380CC4-5D6E-409C-BE32-E72D297353CC}">
              <c16:uniqueId val="{00000002-FFFA-4642-8241-DEEDE35F4769}"/>
            </c:ext>
          </c:extLst>
        </c:ser>
        <c:dLbls>
          <c:showLegendKey val="0"/>
          <c:showVal val="0"/>
          <c:showCatName val="0"/>
          <c:showSerName val="0"/>
          <c:showPercent val="0"/>
          <c:showBubbleSize val="0"/>
        </c:dLbls>
        <c:gapWidth val="219"/>
        <c:overlap val="-27"/>
        <c:axId val="538379984"/>
        <c:axId val="538378672"/>
      </c:barChart>
      <c:catAx>
        <c:axId val="538379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538378672"/>
        <c:crosses val="autoZero"/>
        <c:auto val="1"/>
        <c:lblAlgn val="ctr"/>
        <c:lblOffset val="100"/>
        <c:noMultiLvlLbl val="0"/>
      </c:catAx>
      <c:valAx>
        <c:axId val="538378672"/>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83799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Visualization_Average!$AF$14</c:f>
          <c:strCache>
            <c:ptCount val="1"/>
            <c:pt idx="0">
              <c:v>MoPs in Conceptual Validation - Strategic Planning , Policy Maker</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Visualization_Average!$AG$5</c:f>
              <c:strCache>
                <c:ptCount val="1"/>
                <c:pt idx="0">
                  <c:v>MARPLE</c:v>
                </c:pt>
              </c:strCache>
            </c:strRef>
          </c:tx>
          <c:spPr>
            <a:solidFill>
              <a:schemeClr val="accent1"/>
            </a:solidFill>
            <a:ln>
              <a:noFill/>
            </a:ln>
            <a:effectLst/>
          </c:spPr>
          <c:invertIfNegative val="0"/>
          <c:cat>
            <c:strRef>
              <c:f>Visualization_Average!$AF$6:$AF$12</c:f>
              <c:strCache>
                <c:ptCount val="7"/>
                <c:pt idx="0">
                  <c:v>Flow Metering or Blocking back - strict capacity constraint</c:v>
                </c:pt>
                <c:pt idx="1">
                  <c:v>Traffic Spillback - strict storage constraint</c:v>
                </c:pt>
                <c:pt idx="2">
                  <c:v>Capacity drop</c:v>
                </c:pt>
                <c:pt idx="3">
                  <c:v>Smoothness of temporal speed variations</c:v>
                </c:pt>
                <c:pt idx="4">
                  <c:v>Smoothness of temporal flow variations</c:v>
                </c:pt>
                <c:pt idx="5">
                  <c:v>Presence of variable route set</c:v>
                </c:pt>
                <c:pt idx="6">
                  <c:v>Modelling of stop and go waves</c:v>
                </c:pt>
              </c:strCache>
            </c:strRef>
          </c:cat>
          <c:val>
            <c:numRef>
              <c:f>Visualization_Average!$AG$6:$AG$12</c:f>
              <c:numCache>
                <c:formatCode>0</c:formatCode>
                <c:ptCount val="7"/>
                <c:pt idx="0">
                  <c:v>4.6666666666666661</c:v>
                </c:pt>
                <c:pt idx="1">
                  <c:v>5.25</c:v>
                </c:pt>
                <c:pt idx="2">
                  <c:v>0</c:v>
                </c:pt>
                <c:pt idx="3">
                  <c:v>0</c:v>
                </c:pt>
                <c:pt idx="4">
                  <c:v>2.9493584458144673</c:v>
                </c:pt>
                <c:pt idx="5">
                  <c:v>0</c:v>
                </c:pt>
                <c:pt idx="6">
                  <c:v>0</c:v>
                </c:pt>
              </c:numCache>
            </c:numRef>
          </c:val>
          <c:extLst>
            <c:ext xmlns:c16="http://schemas.microsoft.com/office/drawing/2014/chart" uri="{C3380CC4-5D6E-409C-BE32-E72D297353CC}">
              <c16:uniqueId val="{00000000-6062-4093-96BE-B6BAA317D085}"/>
            </c:ext>
          </c:extLst>
        </c:ser>
        <c:ser>
          <c:idx val="1"/>
          <c:order val="1"/>
          <c:tx>
            <c:strRef>
              <c:f>Visualization_Average!$AH$5</c:f>
              <c:strCache>
                <c:ptCount val="1"/>
                <c:pt idx="0">
                  <c:v>StreamLine-MaDAM</c:v>
                </c:pt>
              </c:strCache>
            </c:strRef>
          </c:tx>
          <c:spPr>
            <a:solidFill>
              <a:schemeClr val="accent2"/>
            </a:solidFill>
            <a:ln>
              <a:noFill/>
            </a:ln>
            <a:effectLst/>
          </c:spPr>
          <c:invertIfNegative val="0"/>
          <c:cat>
            <c:strRef>
              <c:f>Visualization_Average!$AF$6:$AF$12</c:f>
              <c:strCache>
                <c:ptCount val="7"/>
                <c:pt idx="0">
                  <c:v>Flow Metering or Blocking back - strict capacity constraint</c:v>
                </c:pt>
                <c:pt idx="1">
                  <c:v>Traffic Spillback - strict storage constraint</c:v>
                </c:pt>
                <c:pt idx="2">
                  <c:v>Capacity drop</c:v>
                </c:pt>
                <c:pt idx="3">
                  <c:v>Smoothness of temporal speed variations</c:v>
                </c:pt>
                <c:pt idx="4">
                  <c:v>Smoothness of temporal flow variations</c:v>
                </c:pt>
                <c:pt idx="5">
                  <c:v>Presence of variable route set</c:v>
                </c:pt>
                <c:pt idx="6">
                  <c:v>Modelling of stop and go waves</c:v>
                </c:pt>
              </c:strCache>
            </c:strRef>
          </c:cat>
          <c:val>
            <c:numRef>
              <c:f>Visualization_Average!$AH$6:$AH$12</c:f>
              <c:numCache>
                <c:formatCode>0</c:formatCode>
                <c:ptCount val="7"/>
                <c:pt idx="0">
                  <c:v>7</c:v>
                </c:pt>
                <c:pt idx="1">
                  <c:v>7</c:v>
                </c:pt>
                <c:pt idx="2">
                  <c:v>4</c:v>
                </c:pt>
                <c:pt idx="3">
                  <c:v>0.73564016272826172</c:v>
                </c:pt>
                <c:pt idx="4">
                  <c:v>4.028036654991185E-3</c:v>
                </c:pt>
                <c:pt idx="5">
                  <c:v>0</c:v>
                </c:pt>
                <c:pt idx="6">
                  <c:v>0</c:v>
                </c:pt>
              </c:numCache>
            </c:numRef>
          </c:val>
          <c:extLst>
            <c:ext xmlns:c16="http://schemas.microsoft.com/office/drawing/2014/chart" uri="{C3380CC4-5D6E-409C-BE32-E72D297353CC}">
              <c16:uniqueId val="{00000001-6062-4093-96BE-B6BAA317D085}"/>
            </c:ext>
          </c:extLst>
        </c:ser>
        <c:ser>
          <c:idx val="2"/>
          <c:order val="2"/>
          <c:tx>
            <c:strRef>
              <c:f>Visualization_Average!$AI$5</c:f>
              <c:strCache>
                <c:ptCount val="1"/>
                <c:pt idx="0">
                  <c:v>StreamLine-eGLTM</c:v>
                </c:pt>
              </c:strCache>
            </c:strRef>
          </c:tx>
          <c:spPr>
            <a:solidFill>
              <a:schemeClr val="accent3"/>
            </a:solidFill>
            <a:ln>
              <a:noFill/>
            </a:ln>
            <a:effectLst/>
          </c:spPr>
          <c:invertIfNegative val="0"/>
          <c:cat>
            <c:strRef>
              <c:f>Visualization_Average!$AF$6:$AF$12</c:f>
              <c:strCache>
                <c:ptCount val="7"/>
                <c:pt idx="0">
                  <c:v>Flow Metering or Blocking back - strict capacity constraint</c:v>
                </c:pt>
                <c:pt idx="1">
                  <c:v>Traffic Spillback - strict storage constraint</c:v>
                </c:pt>
                <c:pt idx="2">
                  <c:v>Capacity drop</c:v>
                </c:pt>
                <c:pt idx="3">
                  <c:v>Smoothness of temporal speed variations</c:v>
                </c:pt>
                <c:pt idx="4">
                  <c:v>Smoothness of temporal flow variations</c:v>
                </c:pt>
                <c:pt idx="5">
                  <c:v>Presence of variable route set</c:v>
                </c:pt>
                <c:pt idx="6">
                  <c:v>Modelling of stop and go waves</c:v>
                </c:pt>
              </c:strCache>
            </c:strRef>
          </c:cat>
          <c:val>
            <c:numRef>
              <c:f>Visualization_Average!$AI$6:$AI$12</c:f>
              <c:numCache>
                <c:formatCode>0</c:formatCode>
                <c:ptCount val="7"/>
                <c:pt idx="0">
                  <c:v>7</c:v>
                </c:pt>
                <c:pt idx="1">
                  <c:v>5.25</c:v>
                </c:pt>
                <c:pt idx="2">
                  <c:v>0</c:v>
                </c:pt>
                <c:pt idx="3">
                  <c:v>0.65848906758454251</c:v>
                </c:pt>
                <c:pt idx="4">
                  <c:v>0</c:v>
                </c:pt>
                <c:pt idx="5">
                  <c:v>0</c:v>
                </c:pt>
                <c:pt idx="6">
                  <c:v>0</c:v>
                </c:pt>
              </c:numCache>
            </c:numRef>
          </c:val>
          <c:extLst>
            <c:ext xmlns:c16="http://schemas.microsoft.com/office/drawing/2014/chart" uri="{C3380CC4-5D6E-409C-BE32-E72D297353CC}">
              <c16:uniqueId val="{00000002-6062-4093-96BE-B6BAA317D085}"/>
            </c:ext>
          </c:extLst>
        </c:ser>
        <c:dLbls>
          <c:showLegendKey val="0"/>
          <c:showVal val="0"/>
          <c:showCatName val="0"/>
          <c:showSerName val="0"/>
          <c:showPercent val="0"/>
          <c:showBubbleSize val="0"/>
        </c:dLbls>
        <c:gapWidth val="219"/>
        <c:overlap val="-27"/>
        <c:axId val="538379984"/>
        <c:axId val="538378672"/>
      </c:barChart>
      <c:catAx>
        <c:axId val="538379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538378672"/>
        <c:crosses val="autoZero"/>
        <c:auto val="1"/>
        <c:lblAlgn val="ctr"/>
        <c:lblOffset val="100"/>
        <c:noMultiLvlLbl val="0"/>
      </c:catAx>
      <c:valAx>
        <c:axId val="538378672"/>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83799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Visualization_Average!$L$13</c:f>
          <c:strCache>
            <c:ptCount val="1"/>
            <c:pt idx="0">
              <c:v>Model User Weights - Strategic Planning</c:v>
            </c:pt>
          </c:strCache>
        </c:strRef>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Visualization_Average!$M$5</c:f>
              <c:strCache>
                <c:ptCount val="1"/>
                <c:pt idx="0">
                  <c:v>Policy Maker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Visualization_Average!$L$6:$L$12</c:f>
              <c:strCache>
                <c:ptCount val="7"/>
                <c:pt idx="0">
                  <c:v>Conceptual Validation</c:v>
                </c:pt>
                <c:pt idx="1">
                  <c:v>Model robustness</c:v>
                </c:pt>
                <c:pt idx="2">
                  <c:v>Applicability</c:v>
                </c:pt>
                <c:pt idx="3">
                  <c:v>Tractability</c:v>
                </c:pt>
                <c:pt idx="4">
                  <c:v>Integration of Network Hierarchies - Urban and Motorway roads</c:v>
                </c:pt>
                <c:pt idx="5">
                  <c:v>Computational efficiency</c:v>
                </c:pt>
                <c:pt idx="6">
                  <c:v>Usability</c:v>
                </c:pt>
              </c:strCache>
            </c:strRef>
          </c:cat>
          <c:val>
            <c:numRef>
              <c:f>Visualization_Average!$M$6:$M$12</c:f>
              <c:numCache>
                <c:formatCode>0</c:formatCode>
                <c:ptCount val="7"/>
                <c:pt idx="0">
                  <c:v>5.8571428571428568</c:v>
                </c:pt>
                <c:pt idx="1">
                  <c:v>10</c:v>
                </c:pt>
                <c:pt idx="2">
                  <c:v>10</c:v>
                </c:pt>
                <c:pt idx="3">
                  <c:v>7.75</c:v>
                </c:pt>
                <c:pt idx="4">
                  <c:v>7</c:v>
                </c:pt>
                <c:pt idx="5">
                  <c:v>4</c:v>
                </c:pt>
                <c:pt idx="6">
                  <c:v>4</c:v>
                </c:pt>
              </c:numCache>
            </c:numRef>
          </c:val>
          <c:extLst>
            <c:ext xmlns:c16="http://schemas.microsoft.com/office/drawing/2014/chart" uri="{C3380CC4-5D6E-409C-BE32-E72D297353CC}">
              <c16:uniqueId val="{00000000-EEEF-4053-89E9-C6AF989AD498}"/>
            </c:ext>
          </c:extLst>
        </c:ser>
        <c:ser>
          <c:idx val="1"/>
          <c:order val="1"/>
          <c:tx>
            <c:strRef>
              <c:f>Visualization_Average!$N$5</c:f>
              <c:strCache>
                <c:ptCount val="1"/>
                <c:pt idx="0">
                  <c:v>Mobility Consultant</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Visualization_Average!$L$6:$L$12</c:f>
              <c:strCache>
                <c:ptCount val="7"/>
                <c:pt idx="0">
                  <c:v>Conceptual Validation</c:v>
                </c:pt>
                <c:pt idx="1">
                  <c:v>Model robustness</c:v>
                </c:pt>
                <c:pt idx="2">
                  <c:v>Applicability</c:v>
                </c:pt>
                <c:pt idx="3">
                  <c:v>Tractability</c:v>
                </c:pt>
                <c:pt idx="4">
                  <c:v>Integration of Network Hierarchies - Urban and Motorway roads</c:v>
                </c:pt>
                <c:pt idx="5">
                  <c:v>Computational efficiency</c:v>
                </c:pt>
                <c:pt idx="6">
                  <c:v>Usability</c:v>
                </c:pt>
              </c:strCache>
            </c:strRef>
          </c:cat>
          <c:val>
            <c:numRef>
              <c:f>Visualization_Average!$N$6:$N$12</c:f>
              <c:numCache>
                <c:formatCode>0</c:formatCode>
                <c:ptCount val="7"/>
                <c:pt idx="0">
                  <c:v>6.3492063492063489</c:v>
                </c:pt>
                <c:pt idx="1">
                  <c:v>9.7222222222222214</c:v>
                </c:pt>
                <c:pt idx="2">
                  <c:v>6.7777777777777777</c:v>
                </c:pt>
                <c:pt idx="3">
                  <c:v>8.0555555555555554</c:v>
                </c:pt>
                <c:pt idx="4">
                  <c:v>7.5</c:v>
                </c:pt>
                <c:pt idx="5">
                  <c:v>6.1111111111111107</c:v>
                </c:pt>
                <c:pt idx="6">
                  <c:v>6.5555555555555562</c:v>
                </c:pt>
              </c:numCache>
            </c:numRef>
          </c:val>
          <c:extLst>
            <c:ext xmlns:c16="http://schemas.microsoft.com/office/drawing/2014/chart" uri="{C3380CC4-5D6E-409C-BE32-E72D297353CC}">
              <c16:uniqueId val="{00000001-EEEF-4053-89E9-C6AF989AD498}"/>
            </c:ext>
          </c:extLst>
        </c:ser>
        <c:ser>
          <c:idx val="2"/>
          <c:order val="2"/>
          <c:tx>
            <c:strRef>
              <c:f>Visualization_Average!$O$5</c:f>
              <c:strCache>
                <c:ptCount val="1"/>
                <c:pt idx="0">
                  <c:v>Scientific Researcher</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Visualization_Average!$L$6:$L$12</c:f>
              <c:strCache>
                <c:ptCount val="7"/>
                <c:pt idx="0">
                  <c:v>Conceptual Validation</c:v>
                </c:pt>
                <c:pt idx="1">
                  <c:v>Model robustness</c:v>
                </c:pt>
                <c:pt idx="2">
                  <c:v>Applicability</c:v>
                </c:pt>
                <c:pt idx="3">
                  <c:v>Tractability</c:v>
                </c:pt>
                <c:pt idx="4">
                  <c:v>Integration of Network Hierarchies - Urban and Motorway roads</c:v>
                </c:pt>
                <c:pt idx="5">
                  <c:v>Computational efficiency</c:v>
                </c:pt>
                <c:pt idx="6">
                  <c:v>Usability</c:v>
                </c:pt>
              </c:strCache>
            </c:strRef>
          </c:cat>
          <c:val>
            <c:numRef>
              <c:f>Visualization_Average!$O$6:$O$12</c:f>
              <c:numCache>
                <c:formatCode>0</c:formatCode>
                <c:ptCount val="7"/>
                <c:pt idx="0">
                  <c:v>6.0952380952380958</c:v>
                </c:pt>
                <c:pt idx="1">
                  <c:v>7.666666666666667</c:v>
                </c:pt>
                <c:pt idx="2">
                  <c:v>8.6666666666666661</c:v>
                </c:pt>
                <c:pt idx="3">
                  <c:v>8.3333333333333339</c:v>
                </c:pt>
                <c:pt idx="4">
                  <c:v>5</c:v>
                </c:pt>
                <c:pt idx="5">
                  <c:v>7.666666666666667</c:v>
                </c:pt>
                <c:pt idx="6">
                  <c:v>5.333333333333333</c:v>
                </c:pt>
              </c:numCache>
            </c:numRef>
          </c:val>
          <c:extLst>
            <c:ext xmlns:c16="http://schemas.microsoft.com/office/drawing/2014/chart" uri="{C3380CC4-5D6E-409C-BE32-E72D297353CC}">
              <c16:uniqueId val="{00000002-EEEF-4053-89E9-C6AF989AD498}"/>
            </c:ext>
          </c:extLst>
        </c:ser>
        <c:ser>
          <c:idx val="3"/>
          <c:order val="3"/>
          <c:tx>
            <c:strRef>
              <c:f>Visualization_Average!$P$5</c:f>
              <c:strCache>
                <c:ptCount val="1"/>
                <c:pt idx="0">
                  <c:v>Model Developer</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Visualization_Average!$L$6:$L$12</c:f>
              <c:strCache>
                <c:ptCount val="7"/>
                <c:pt idx="0">
                  <c:v>Conceptual Validation</c:v>
                </c:pt>
                <c:pt idx="1">
                  <c:v>Model robustness</c:v>
                </c:pt>
                <c:pt idx="2">
                  <c:v>Applicability</c:v>
                </c:pt>
                <c:pt idx="3">
                  <c:v>Tractability</c:v>
                </c:pt>
                <c:pt idx="4">
                  <c:v>Integration of Network Hierarchies - Urban and Motorway roads</c:v>
                </c:pt>
                <c:pt idx="5">
                  <c:v>Computational efficiency</c:v>
                </c:pt>
                <c:pt idx="6">
                  <c:v>Usability</c:v>
                </c:pt>
              </c:strCache>
            </c:strRef>
          </c:cat>
          <c:val>
            <c:numRef>
              <c:f>Visualization_Average!$P$6:$P$12</c:f>
              <c:numCache>
                <c:formatCode>0</c:formatCode>
                <c:ptCount val="7"/>
                <c:pt idx="0">
                  <c:v>6.1071428571428568</c:v>
                </c:pt>
                <c:pt idx="1">
                  <c:v>8.5</c:v>
                </c:pt>
                <c:pt idx="2">
                  <c:v>8.5</c:v>
                </c:pt>
                <c:pt idx="3">
                  <c:v>7.8125</c:v>
                </c:pt>
                <c:pt idx="4">
                  <c:v>6.75</c:v>
                </c:pt>
                <c:pt idx="5">
                  <c:v>7.25</c:v>
                </c:pt>
                <c:pt idx="6">
                  <c:v>5.25</c:v>
                </c:pt>
              </c:numCache>
            </c:numRef>
          </c:val>
          <c:extLst>
            <c:ext xmlns:c16="http://schemas.microsoft.com/office/drawing/2014/chart" uri="{C3380CC4-5D6E-409C-BE32-E72D297353CC}">
              <c16:uniqueId val="{00000003-EEEF-4053-89E9-C6AF989AD498}"/>
            </c:ext>
          </c:extLst>
        </c:ser>
        <c:dLbls>
          <c:showLegendKey val="0"/>
          <c:showVal val="0"/>
          <c:showCatName val="0"/>
          <c:showSerName val="0"/>
          <c:showPercent val="0"/>
          <c:showBubbleSize val="0"/>
        </c:dLbls>
        <c:axId val="679479464"/>
        <c:axId val="679471920"/>
      </c:radarChart>
      <c:catAx>
        <c:axId val="6794794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rgbClr val="FF0000"/>
                </a:solidFill>
                <a:latin typeface="+mn-lt"/>
                <a:ea typeface="+mn-ea"/>
                <a:cs typeface="+mn-cs"/>
              </a:defRPr>
            </a:pPr>
            <a:endParaRPr lang="en-US"/>
          </a:p>
        </c:txPr>
        <c:crossAx val="679471920"/>
        <c:crosses val="autoZero"/>
        <c:auto val="1"/>
        <c:lblAlgn val="ctr"/>
        <c:lblOffset val="100"/>
        <c:noMultiLvlLbl val="0"/>
      </c:catAx>
      <c:valAx>
        <c:axId val="679471920"/>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6794794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 (2)'!$O$17</c:f>
          <c:strCache>
            <c:ptCount val="1"/>
            <c:pt idx="0">
              <c:v>Sensitivity - StreamLine-eGLTM , Base Case - Policy Maker</c:v>
            </c:pt>
          </c:strCache>
        </c:strRef>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lotArea>
      <c:layout/>
      <c:lineChart>
        <c:grouping val="standard"/>
        <c:varyColors val="0"/>
        <c:ser>
          <c:idx val="0"/>
          <c:order val="0"/>
          <c:tx>
            <c:strRef>
              <c:f>'Score_summary_Average (2)'!$P$3</c:f>
              <c:strCache>
                <c:ptCount val="1"/>
                <c:pt idx="0">
                  <c:v>Strategic Planning</c:v>
                </c:pt>
              </c:strCache>
            </c:strRef>
          </c:tx>
          <c:spPr>
            <a:ln w="31750" cap="rnd">
              <a:solidFill>
                <a:schemeClr val="accent1"/>
              </a:solidFill>
              <a:round/>
            </a:ln>
            <a:effectLst/>
          </c:spPr>
          <c:marker>
            <c:symbol val="none"/>
          </c:marker>
          <c:cat>
            <c:strRef>
              <c:f>'Score_summary_Average (2)'!$V$2:$Y$2</c:f>
              <c:strCache>
                <c:ptCount val="4"/>
                <c:pt idx="0">
                  <c:v>Policy Maker</c:v>
                </c:pt>
                <c:pt idx="1">
                  <c:v>Mobility Consultant</c:v>
                </c:pt>
                <c:pt idx="2">
                  <c:v>Scientific Researcher</c:v>
                </c:pt>
                <c:pt idx="3">
                  <c:v>Model Developer</c:v>
                </c:pt>
              </c:strCache>
            </c:strRef>
          </c:cat>
          <c:val>
            <c:numRef>
              <c:f>'Score_summary_Average (2)'!$V$3:$Y$3</c:f>
              <c:numCache>
                <c:formatCode>0.0%</c:formatCode>
                <c:ptCount val="4"/>
                <c:pt idx="0">
                  <c:v>0</c:v>
                </c:pt>
                <c:pt idx="1">
                  <c:v>4.044422876239271E-3</c:v>
                </c:pt>
                <c:pt idx="2">
                  <c:v>-8.5944940038863509E-4</c:v>
                </c:pt>
                <c:pt idx="3">
                  <c:v>-2.783713466722734E-3</c:v>
                </c:pt>
              </c:numCache>
            </c:numRef>
          </c:val>
          <c:smooth val="0"/>
          <c:extLst>
            <c:ext xmlns:c16="http://schemas.microsoft.com/office/drawing/2014/chart" uri="{C3380CC4-5D6E-409C-BE32-E72D297353CC}">
              <c16:uniqueId val="{00000000-0C90-448D-8EFB-54F3E1E473D3}"/>
            </c:ext>
          </c:extLst>
        </c:ser>
        <c:ser>
          <c:idx val="1"/>
          <c:order val="1"/>
          <c:tx>
            <c:strRef>
              <c:f>'Score_summary_Average (2)'!$P$4</c:f>
              <c:strCache>
                <c:ptCount val="1"/>
                <c:pt idx="0">
                  <c:v>Tactical Planning</c:v>
                </c:pt>
              </c:strCache>
            </c:strRef>
          </c:tx>
          <c:spPr>
            <a:ln w="31750" cap="rnd">
              <a:solidFill>
                <a:schemeClr val="accent2"/>
              </a:solidFill>
              <a:round/>
            </a:ln>
            <a:effectLst/>
          </c:spPr>
          <c:marker>
            <c:symbol val="none"/>
          </c:marker>
          <c:val>
            <c:numRef>
              <c:f>'Score_summary_Average (2)'!$V$4:$Y$4</c:f>
              <c:numCache>
                <c:formatCode>0.0%</c:formatCode>
                <c:ptCount val="4"/>
                <c:pt idx="0">
                  <c:v>0</c:v>
                </c:pt>
                <c:pt idx="1">
                  <c:v>6.1577261054457114E-2</c:v>
                </c:pt>
                <c:pt idx="2">
                  <c:v>-0.10529100358352073</c:v>
                </c:pt>
                <c:pt idx="3">
                  <c:v>2.1061625910468732E-2</c:v>
                </c:pt>
              </c:numCache>
            </c:numRef>
          </c:val>
          <c:smooth val="0"/>
          <c:extLst>
            <c:ext xmlns:c16="http://schemas.microsoft.com/office/drawing/2014/chart" uri="{C3380CC4-5D6E-409C-BE32-E72D297353CC}">
              <c16:uniqueId val="{00000001-0C90-448D-8EFB-54F3E1E473D3}"/>
            </c:ext>
          </c:extLst>
        </c:ser>
        <c:ser>
          <c:idx val="2"/>
          <c:order val="2"/>
          <c:tx>
            <c:strRef>
              <c:f>'Score_summary_Average (2)'!$P$5</c:f>
              <c:strCache>
                <c:ptCount val="1"/>
                <c:pt idx="0">
                  <c:v>Operational Planning</c:v>
                </c:pt>
              </c:strCache>
            </c:strRef>
          </c:tx>
          <c:spPr>
            <a:ln w="31750" cap="rnd">
              <a:solidFill>
                <a:schemeClr val="accent3"/>
              </a:solidFill>
              <a:round/>
            </a:ln>
            <a:effectLst/>
          </c:spPr>
          <c:marker>
            <c:symbol val="none"/>
          </c:marker>
          <c:val>
            <c:numRef>
              <c:f>'Score_summary_Average (2)'!$V$5:$Y$5</c:f>
              <c:numCache>
                <c:formatCode>0.0%</c:formatCode>
                <c:ptCount val="4"/>
                <c:pt idx="0">
                  <c:v>0</c:v>
                </c:pt>
                <c:pt idx="1">
                  <c:v>8.1099531338410316E-2</c:v>
                </c:pt>
                <c:pt idx="2">
                  <c:v>-0.10875776194728017</c:v>
                </c:pt>
                <c:pt idx="3">
                  <c:v>2.9159036042569024E-2</c:v>
                </c:pt>
              </c:numCache>
            </c:numRef>
          </c:val>
          <c:smooth val="0"/>
          <c:extLst>
            <c:ext xmlns:c16="http://schemas.microsoft.com/office/drawing/2014/chart" uri="{C3380CC4-5D6E-409C-BE32-E72D297353CC}">
              <c16:uniqueId val="{00000002-0C90-448D-8EFB-54F3E1E473D3}"/>
            </c:ext>
          </c:extLst>
        </c:ser>
        <c:dLbls>
          <c:showLegendKey val="0"/>
          <c:showVal val="0"/>
          <c:showCatName val="0"/>
          <c:showSerName val="0"/>
          <c:showPercent val="0"/>
          <c:showBubbleSize val="0"/>
        </c:dLbls>
        <c:smooth val="0"/>
        <c:axId val="838035168"/>
        <c:axId val="838034184"/>
      </c:lineChart>
      <c:catAx>
        <c:axId val="838035168"/>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4184"/>
        <c:crosses val="autoZero"/>
        <c:auto val="1"/>
        <c:lblAlgn val="ctr"/>
        <c:lblOffset val="100"/>
        <c:noMultiLvlLbl val="0"/>
      </c:catAx>
      <c:valAx>
        <c:axId val="838034184"/>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5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 (2)'!$AE$17</c:f>
          <c:strCache>
            <c:ptCount val="1"/>
            <c:pt idx="0">
              <c:v>Sensitivity - MARPLE , Base Case - Policy Maker</c:v>
            </c:pt>
          </c:strCache>
        </c:strRef>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lotArea>
      <c:layout/>
      <c:lineChart>
        <c:grouping val="standard"/>
        <c:varyColors val="0"/>
        <c:ser>
          <c:idx val="0"/>
          <c:order val="0"/>
          <c:tx>
            <c:strRef>
              <c:f>'Score_summary_Average (2)'!$P$3</c:f>
              <c:strCache>
                <c:ptCount val="1"/>
                <c:pt idx="0">
                  <c:v>Strategic Planning</c:v>
                </c:pt>
              </c:strCache>
            </c:strRef>
          </c:tx>
          <c:spPr>
            <a:ln w="31750" cap="rnd">
              <a:solidFill>
                <a:schemeClr val="accent1"/>
              </a:solidFill>
              <a:round/>
            </a:ln>
            <a:effectLst/>
          </c:spPr>
          <c:marker>
            <c:symbol val="none"/>
          </c:marker>
          <c:cat>
            <c:strRef>
              <c:f>'Score_summary_Average (2)'!$V$2:$Y$2</c:f>
              <c:strCache>
                <c:ptCount val="4"/>
                <c:pt idx="0">
                  <c:v>Policy Maker</c:v>
                </c:pt>
                <c:pt idx="1">
                  <c:v>Mobility Consultant</c:v>
                </c:pt>
                <c:pt idx="2">
                  <c:v>Scientific Researcher</c:v>
                </c:pt>
                <c:pt idx="3">
                  <c:v>Model Developer</c:v>
                </c:pt>
              </c:strCache>
            </c:strRef>
          </c:cat>
          <c:val>
            <c:numRef>
              <c:f>'Score_summary_Average (2)'!$V$13:$Y$13</c:f>
              <c:numCache>
                <c:formatCode>0.0%</c:formatCode>
                <c:ptCount val="4"/>
                <c:pt idx="0">
                  <c:v>0</c:v>
                </c:pt>
                <c:pt idx="1">
                  <c:v>1.8064451566373423E-2</c:v>
                </c:pt>
                <c:pt idx="2">
                  <c:v>3.7533039157667487E-2</c:v>
                </c:pt>
                <c:pt idx="3">
                  <c:v>3.393429449829883E-2</c:v>
                </c:pt>
              </c:numCache>
            </c:numRef>
          </c:val>
          <c:smooth val="0"/>
          <c:extLst>
            <c:ext xmlns:c16="http://schemas.microsoft.com/office/drawing/2014/chart" uri="{C3380CC4-5D6E-409C-BE32-E72D297353CC}">
              <c16:uniqueId val="{00000000-BE6F-470F-9F22-DE4759AF45EA}"/>
            </c:ext>
          </c:extLst>
        </c:ser>
        <c:ser>
          <c:idx val="1"/>
          <c:order val="1"/>
          <c:tx>
            <c:strRef>
              <c:f>'Score_summary_Average (2)'!$P$4</c:f>
              <c:strCache>
                <c:ptCount val="1"/>
                <c:pt idx="0">
                  <c:v>Tactical Planning</c:v>
                </c:pt>
              </c:strCache>
            </c:strRef>
          </c:tx>
          <c:spPr>
            <a:ln w="31750" cap="rnd">
              <a:solidFill>
                <a:schemeClr val="accent2"/>
              </a:solidFill>
              <a:round/>
            </a:ln>
            <a:effectLst/>
          </c:spPr>
          <c:marker>
            <c:symbol val="none"/>
          </c:marker>
          <c:val>
            <c:numRef>
              <c:f>'Score_summary_Average (2)'!$V$14:$Y$14</c:f>
              <c:numCache>
                <c:formatCode>0.0%</c:formatCode>
                <c:ptCount val="4"/>
                <c:pt idx="0">
                  <c:v>0</c:v>
                </c:pt>
                <c:pt idx="1">
                  <c:v>7.6730517527792405E-2</c:v>
                </c:pt>
                <c:pt idx="2">
                  <c:v>-7.3603021481051564E-2</c:v>
                </c:pt>
                <c:pt idx="3">
                  <c:v>5.2289115285027998E-2</c:v>
                </c:pt>
              </c:numCache>
            </c:numRef>
          </c:val>
          <c:smooth val="0"/>
          <c:extLst>
            <c:ext xmlns:c16="http://schemas.microsoft.com/office/drawing/2014/chart" uri="{C3380CC4-5D6E-409C-BE32-E72D297353CC}">
              <c16:uniqueId val="{00000001-BE6F-470F-9F22-DE4759AF45EA}"/>
            </c:ext>
          </c:extLst>
        </c:ser>
        <c:ser>
          <c:idx val="2"/>
          <c:order val="2"/>
          <c:tx>
            <c:strRef>
              <c:f>'Score_summary_Average (2)'!$P$5</c:f>
              <c:strCache>
                <c:ptCount val="1"/>
                <c:pt idx="0">
                  <c:v>Operational Planning</c:v>
                </c:pt>
              </c:strCache>
            </c:strRef>
          </c:tx>
          <c:spPr>
            <a:ln w="31750" cap="rnd">
              <a:solidFill>
                <a:schemeClr val="accent3"/>
              </a:solidFill>
              <a:round/>
            </a:ln>
            <a:effectLst/>
          </c:spPr>
          <c:marker>
            <c:symbol val="none"/>
          </c:marker>
          <c:val>
            <c:numRef>
              <c:f>'Score_summary_Average (2)'!$V$15:$Y$15</c:f>
              <c:numCache>
                <c:formatCode>0.0%</c:formatCode>
                <c:ptCount val="4"/>
                <c:pt idx="0">
                  <c:v>0</c:v>
                </c:pt>
                <c:pt idx="1">
                  <c:v>8.4645559028178732E-2</c:v>
                </c:pt>
                <c:pt idx="2">
                  <c:v>-6.6954518189454901E-2</c:v>
                </c:pt>
                <c:pt idx="3">
                  <c:v>4.6601687614100926E-2</c:v>
                </c:pt>
              </c:numCache>
            </c:numRef>
          </c:val>
          <c:smooth val="0"/>
          <c:extLst>
            <c:ext xmlns:c16="http://schemas.microsoft.com/office/drawing/2014/chart" uri="{C3380CC4-5D6E-409C-BE32-E72D297353CC}">
              <c16:uniqueId val="{00000002-BE6F-470F-9F22-DE4759AF45EA}"/>
            </c:ext>
          </c:extLst>
        </c:ser>
        <c:dLbls>
          <c:showLegendKey val="0"/>
          <c:showVal val="0"/>
          <c:showCatName val="0"/>
          <c:showSerName val="0"/>
          <c:showPercent val="0"/>
          <c:showBubbleSize val="0"/>
        </c:dLbls>
        <c:smooth val="0"/>
        <c:axId val="838035168"/>
        <c:axId val="838034184"/>
      </c:lineChart>
      <c:catAx>
        <c:axId val="838035168"/>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4184"/>
        <c:crosses val="autoZero"/>
        <c:auto val="1"/>
        <c:lblAlgn val="ctr"/>
        <c:lblOffset val="100"/>
        <c:noMultiLvlLbl val="0"/>
      </c:catAx>
      <c:valAx>
        <c:axId val="838034184"/>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5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 (2)'!$V$17</c:f>
          <c:strCache>
            <c:ptCount val="1"/>
            <c:pt idx="0">
              <c:v>Sensitivity - StreamLine-MaDAM , Base Case - Policy Maker</c:v>
            </c:pt>
          </c:strCache>
        </c:strRef>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lotArea>
      <c:layout/>
      <c:lineChart>
        <c:grouping val="standard"/>
        <c:varyColors val="0"/>
        <c:ser>
          <c:idx val="0"/>
          <c:order val="0"/>
          <c:tx>
            <c:strRef>
              <c:f>'Score_summary_Average (2)'!$P$3</c:f>
              <c:strCache>
                <c:ptCount val="1"/>
                <c:pt idx="0">
                  <c:v>Strategic Planning</c:v>
                </c:pt>
              </c:strCache>
            </c:strRef>
          </c:tx>
          <c:spPr>
            <a:ln w="31750" cap="rnd">
              <a:solidFill>
                <a:schemeClr val="accent1"/>
              </a:solidFill>
              <a:round/>
            </a:ln>
            <a:effectLst/>
          </c:spPr>
          <c:marker>
            <c:symbol val="none"/>
          </c:marker>
          <c:cat>
            <c:strRef>
              <c:f>'Score_summary_Average (2)'!$V$2:$Y$2</c:f>
              <c:strCache>
                <c:ptCount val="4"/>
                <c:pt idx="0">
                  <c:v>Policy Maker</c:v>
                </c:pt>
                <c:pt idx="1">
                  <c:v>Mobility Consultant</c:v>
                </c:pt>
                <c:pt idx="2">
                  <c:v>Scientific Researcher</c:v>
                </c:pt>
                <c:pt idx="3">
                  <c:v>Model Developer</c:v>
                </c:pt>
              </c:strCache>
            </c:strRef>
          </c:cat>
          <c:val>
            <c:numRef>
              <c:f>'Score_summary_Average (2)'!$V$8:$Y$8</c:f>
              <c:numCache>
                <c:formatCode>0.0%</c:formatCode>
                <c:ptCount val="4"/>
                <c:pt idx="0">
                  <c:v>0</c:v>
                </c:pt>
                <c:pt idx="1">
                  <c:v>2.8635010361876753E-2</c:v>
                </c:pt>
                <c:pt idx="2">
                  <c:v>-1.1158359729725361E-2</c:v>
                </c:pt>
                <c:pt idx="3">
                  <c:v>2.9348689617098474E-2</c:v>
                </c:pt>
              </c:numCache>
            </c:numRef>
          </c:val>
          <c:smooth val="0"/>
          <c:extLst>
            <c:ext xmlns:c16="http://schemas.microsoft.com/office/drawing/2014/chart" uri="{C3380CC4-5D6E-409C-BE32-E72D297353CC}">
              <c16:uniqueId val="{00000000-174C-4D56-8844-E0C216BA42A1}"/>
            </c:ext>
          </c:extLst>
        </c:ser>
        <c:ser>
          <c:idx val="1"/>
          <c:order val="1"/>
          <c:tx>
            <c:strRef>
              <c:f>'Score_summary_Average (2)'!$P$4</c:f>
              <c:strCache>
                <c:ptCount val="1"/>
                <c:pt idx="0">
                  <c:v>Tactical Planning</c:v>
                </c:pt>
              </c:strCache>
            </c:strRef>
          </c:tx>
          <c:spPr>
            <a:ln w="31750" cap="rnd">
              <a:solidFill>
                <a:schemeClr val="accent2"/>
              </a:solidFill>
              <a:round/>
            </a:ln>
            <a:effectLst/>
          </c:spPr>
          <c:marker>
            <c:symbol val="none"/>
          </c:marker>
          <c:val>
            <c:numRef>
              <c:f>'Score_summary_Average (2)'!$V$9:$Y$9</c:f>
              <c:numCache>
                <c:formatCode>0.0%</c:formatCode>
                <c:ptCount val="4"/>
                <c:pt idx="0">
                  <c:v>0</c:v>
                </c:pt>
                <c:pt idx="1">
                  <c:v>8.3416998427760597E-2</c:v>
                </c:pt>
                <c:pt idx="2">
                  <c:v>-2.9710268817638021E-2</c:v>
                </c:pt>
                <c:pt idx="3">
                  <c:v>2.3983171414556644E-2</c:v>
                </c:pt>
              </c:numCache>
            </c:numRef>
          </c:val>
          <c:smooth val="0"/>
          <c:extLst>
            <c:ext xmlns:c16="http://schemas.microsoft.com/office/drawing/2014/chart" uri="{C3380CC4-5D6E-409C-BE32-E72D297353CC}">
              <c16:uniqueId val="{00000001-174C-4D56-8844-E0C216BA42A1}"/>
            </c:ext>
          </c:extLst>
        </c:ser>
        <c:ser>
          <c:idx val="2"/>
          <c:order val="2"/>
          <c:tx>
            <c:strRef>
              <c:f>'Score_summary_Average (2)'!$P$5</c:f>
              <c:strCache>
                <c:ptCount val="1"/>
                <c:pt idx="0">
                  <c:v>Operational Planning</c:v>
                </c:pt>
              </c:strCache>
            </c:strRef>
          </c:tx>
          <c:spPr>
            <a:ln w="31750" cap="rnd">
              <a:solidFill>
                <a:schemeClr val="accent3"/>
              </a:solidFill>
              <a:round/>
            </a:ln>
            <a:effectLst/>
          </c:spPr>
          <c:marker>
            <c:symbol val="none"/>
          </c:marker>
          <c:val>
            <c:numRef>
              <c:f>'Score_summary_Average (2)'!$V$10:$Y$10</c:f>
              <c:numCache>
                <c:formatCode>0.0%</c:formatCode>
                <c:ptCount val="4"/>
                <c:pt idx="0">
                  <c:v>0</c:v>
                </c:pt>
                <c:pt idx="1">
                  <c:v>0.1242436928099741</c:v>
                </c:pt>
                <c:pt idx="2">
                  <c:v>-1.8177251237800507E-2</c:v>
                </c:pt>
                <c:pt idx="3">
                  <c:v>8.9835858979891825E-2</c:v>
                </c:pt>
              </c:numCache>
            </c:numRef>
          </c:val>
          <c:smooth val="0"/>
          <c:extLst>
            <c:ext xmlns:c16="http://schemas.microsoft.com/office/drawing/2014/chart" uri="{C3380CC4-5D6E-409C-BE32-E72D297353CC}">
              <c16:uniqueId val="{00000002-174C-4D56-8844-E0C216BA42A1}"/>
            </c:ext>
          </c:extLst>
        </c:ser>
        <c:dLbls>
          <c:showLegendKey val="0"/>
          <c:showVal val="0"/>
          <c:showCatName val="0"/>
          <c:showSerName val="0"/>
          <c:showPercent val="0"/>
          <c:showBubbleSize val="0"/>
        </c:dLbls>
        <c:smooth val="0"/>
        <c:axId val="838035168"/>
        <c:axId val="838034184"/>
      </c:lineChart>
      <c:catAx>
        <c:axId val="838035168"/>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4184"/>
        <c:crosses val="autoZero"/>
        <c:auto val="1"/>
        <c:lblAlgn val="ctr"/>
        <c:lblOffset val="100"/>
        <c:noMultiLvlLbl val="0"/>
      </c:catAx>
      <c:valAx>
        <c:axId val="838034184"/>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5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 (2)'!$O$53</c:f>
          <c:strCache>
            <c:ptCount val="1"/>
            <c:pt idx="0">
              <c:v>Sensitivity - StreamLine-eGLTM , Base Case - Strategic Planning</c:v>
            </c:pt>
          </c:strCache>
        </c:strRef>
      </c:tx>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'Score_summary_Average (2)'!$V$38</c:f>
              <c:strCache>
                <c:ptCount val="1"/>
                <c:pt idx="0">
                  <c:v>Policy Maker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'Score_summary_Average (2)'!$P$39:$P$41</c:f>
              <c:strCache>
                <c:ptCount val="3"/>
                <c:pt idx="0">
                  <c:v>Strategic Planning</c:v>
                </c:pt>
                <c:pt idx="1">
                  <c:v>Tactical Planning</c:v>
                </c:pt>
                <c:pt idx="2">
                  <c:v>Operational Planning</c:v>
                </c:pt>
              </c:strCache>
            </c:strRef>
          </c:cat>
          <c:val>
            <c:numRef>
              <c:f>'Score_summary_Average (2)'!$V$39:$V$41</c:f>
              <c:numCache>
                <c:formatCode>0.0%</c:formatCode>
                <c:ptCount val="3"/>
                <c:pt idx="0">
                  <c:v>0</c:v>
                </c:pt>
                <c:pt idx="1">
                  <c:v>-1.8600892199597053E-3</c:v>
                </c:pt>
                <c:pt idx="2">
                  <c:v>-5.462276406846369E-2</c:v>
                </c:pt>
              </c:numCache>
            </c:numRef>
          </c:val>
          <c:smooth val="0"/>
          <c:extLst>
            <c:ext xmlns:c16="http://schemas.microsoft.com/office/drawing/2014/chart" uri="{C3380CC4-5D6E-409C-BE32-E72D297353CC}">
              <c16:uniqueId val="{00000000-0917-4906-8CD6-813A6869189F}"/>
            </c:ext>
          </c:extLst>
        </c:ser>
        <c:ser>
          <c:idx val="1"/>
          <c:order val="1"/>
          <c:tx>
            <c:strRef>
              <c:f>'Score_summary_Average (2)'!$W$38</c:f>
              <c:strCache>
                <c:ptCount val="1"/>
                <c:pt idx="0">
                  <c:v>Mobility Consultant</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'Score_summary_Average (2)'!$W$39:$W$41</c:f>
              <c:numCache>
                <c:formatCode>0.0%</c:formatCode>
                <c:ptCount val="3"/>
                <c:pt idx="0">
                  <c:v>0</c:v>
                </c:pt>
                <c:pt idx="1">
                  <c:v>5.5334413988995711E-2</c:v>
                </c:pt>
                <c:pt idx="2">
                  <c:v>1.7929947537356532E-2</c:v>
                </c:pt>
              </c:numCache>
            </c:numRef>
          </c:val>
          <c:smooth val="0"/>
          <c:extLst>
            <c:ext xmlns:c16="http://schemas.microsoft.com/office/drawing/2014/chart" uri="{C3380CC4-5D6E-409C-BE32-E72D297353CC}">
              <c16:uniqueId val="{00000001-0917-4906-8CD6-813A6869189F}"/>
            </c:ext>
          </c:extLst>
        </c:ser>
        <c:ser>
          <c:idx val="2"/>
          <c:order val="2"/>
          <c:tx>
            <c:strRef>
              <c:f>'Score_summary_Average (2)'!$X$38</c:f>
              <c:strCache>
                <c:ptCount val="1"/>
                <c:pt idx="0">
                  <c:v>Scientific Researcher</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'Score_summary_Average (2)'!$X$39:$X$41</c:f>
              <c:numCache>
                <c:formatCode>0.0%</c:formatCode>
                <c:ptCount val="3"/>
                <c:pt idx="0">
                  <c:v>0</c:v>
                </c:pt>
                <c:pt idx="1">
                  <c:v>-0.10618705514323924</c:v>
                </c:pt>
                <c:pt idx="2">
                  <c:v>-0.15671511575616326</c:v>
                </c:pt>
              </c:numCache>
            </c:numRef>
          </c:val>
          <c:smooth val="0"/>
          <c:extLst>
            <c:ext xmlns:c16="http://schemas.microsoft.com/office/drawing/2014/chart" uri="{C3380CC4-5D6E-409C-BE32-E72D297353CC}">
              <c16:uniqueId val="{00000002-0917-4906-8CD6-813A6869189F}"/>
            </c:ext>
          </c:extLst>
        </c:ser>
        <c:ser>
          <c:idx val="3"/>
          <c:order val="3"/>
          <c:tx>
            <c:strRef>
              <c:f>'Score_summary_Average (2)'!$Y$38</c:f>
              <c:strCache>
                <c:ptCount val="1"/>
                <c:pt idx="0">
                  <c:v>Model Developer</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val>
            <c:numRef>
              <c:f>'Score_summary_Average (2)'!$Y$39:$Y$41</c:f>
              <c:numCache>
                <c:formatCode>0.0%</c:formatCode>
                <c:ptCount val="3"/>
                <c:pt idx="0">
                  <c:v>0</c:v>
                </c:pt>
                <c:pt idx="1">
                  <c:v>2.2007335770872941E-2</c:v>
                </c:pt>
                <c:pt idx="2">
                  <c:v>-2.4340518735179145E-2</c:v>
                </c:pt>
              </c:numCache>
            </c:numRef>
          </c:val>
          <c:smooth val="0"/>
          <c:extLst>
            <c:ext xmlns:c16="http://schemas.microsoft.com/office/drawing/2014/chart" uri="{C3380CC4-5D6E-409C-BE32-E72D297353CC}">
              <c16:uniqueId val="{00000003-0917-4906-8CD6-813A6869189F}"/>
            </c:ext>
          </c:extLst>
        </c:ser>
        <c:dLbls>
          <c:showLegendKey val="0"/>
          <c:showVal val="0"/>
          <c:showCatName val="0"/>
          <c:showSerName val="0"/>
          <c:showPercent val="0"/>
          <c:showBubbleSize val="0"/>
        </c:dLbls>
        <c:marker val="1"/>
        <c:smooth val="0"/>
        <c:axId val="821502840"/>
        <c:axId val="821504152"/>
      </c:lineChart>
      <c:catAx>
        <c:axId val="821502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4152"/>
        <c:crosses val="autoZero"/>
        <c:auto val="1"/>
        <c:lblAlgn val="ctr"/>
        <c:lblOffset val="100"/>
        <c:noMultiLvlLbl val="0"/>
      </c:catAx>
      <c:valAx>
        <c:axId val="8215041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28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b="1"/>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 (2)'!$V$53</c:f>
          <c:strCache>
            <c:ptCount val="1"/>
            <c:pt idx="0">
              <c:v>Sensitivity - StreamLine-MaDAM , Base Case - Strategic Planning</c:v>
            </c:pt>
          </c:strCache>
        </c:strRef>
      </c:tx>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'Score_summary_Average (2)'!$V$38</c:f>
              <c:strCache>
                <c:ptCount val="1"/>
                <c:pt idx="0">
                  <c:v>Policy Maker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'Score_summary_Average (2)'!$P$39:$P$41</c:f>
              <c:strCache>
                <c:ptCount val="3"/>
                <c:pt idx="0">
                  <c:v>Strategic Planning</c:v>
                </c:pt>
                <c:pt idx="1">
                  <c:v>Tactical Planning</c:v>
                </c:pt>
                <c:pt idx="2">
                  <c:v>Operational Planning</c:v>
                </c:pt>
              </c:strCache>
            </c:strRef>
          </c:cat>
          <c:val>
            <c:numRef>
              <c:f>'Score_summary_Average (2)'!$V$44:$V$46</c:f>
              <c:numCache>
                <c:formatCode>0.0%</c:formatCode>
                <c:ptCount val="3"/>
                <c:pt idx="0">
                  <c:v>0</c:v>
                </c:pt>
                <c:pt idx="1">
                  <c:v>6.3811687974150447E-2</c:v>
                </c:pt>
                <c:pt idx="2">
                  <c:v>4.1259915176997265E-2</c:v>
                </c:pt>
              </c:numCache>
            </c:numRef>
          </c:val>
          <c:smooth val="0"/>
          <c:extLst>
            <c:ext xmlns:c16="http://schemas.microsoft.com/office/drawing/2014/chart" uri="{C3380CC4-5D6E-409C-BE32-E72D297353CC}">
              <c16:uniqueId val="{00000000-56FB-4BD4-BD2E-B2B8576BF622}"/>
            </c:ext>
          </c:extLst>
        </c:ser>
        <c:ser>
          <c:idx val="1"/>
          <c:order val="1"/>
          <c:tx>
            <c:strRef>
              <c:f>'Score_summary_Average (2)'!$W$38</c:f>
              <c:strCache>
                <c:ptCount val="1"/>
                <c:pt idx="0">
                  <c:v>Mobility Consultant</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'Score_summary_Average (2)'!$W$44:$W$46</c:f>
              <c:numCache>
                <c:formatCode>0.0%</c:formatCode>
                <c:ptCount val="3"/>
                <c:pt idx="0">
                  <c:v>0</c:v>
                </c:pt>
                <c:pt idx="1">
                  <c:v>0.12046707944721083</c:v>
                </c:pt>
                <c:pt idx="2">
                  <c:v>0.13804204642204124</c:v>
                </c:pt>
              </c:numCache>
            </c:numRef>
          </c:val>
          <c:smooth val="0"/>
          <c:extLst>
            <c:ext xmlns:c16="http://schemas.microsoft.com/office/drawing/2014/chart" uri="{C3380CC4-5D6E-409C-BE32-E72D297353CC}">
              <c16:uniqueId val="{00000001-56FB-4BD4-BD2E-B2B8576BF622}"/>
            </c:ext>
          </c:extLst>
        </c:ser>
        <c:ser>
          <c:idx val="2"/>
          <c:order val="2"/>
          <c:tx>
            <c:strRef>
              <c:f>'Score_summary_Average (2)'!$X$38</c:f>
              <c:strCache>
                <c:ptCount val="1"/>
                <c:pt idx="0">
                  <c:v>Scientific Researcher</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'Score_summary_Average (2)'!$X$44:$X$46</c:f>
              <c:numCache>
                <c:formatCode>0.0%</c:formatCode>
                <c:ptCount val="3"/>
                <c:pt idx="0">
                  <c:v>0</c:v>
                </c:pt>
                <c:pt idx="1">
                  <c:v>4.3853246785770586E-2</c:v>
                </c:pt>
                <c:pt idx="2">
                  <c:v>3.3868953794811453E-2</c:v>
                </c:pt>
              </c:numCache>
            </c:numRef>
          </c:val>
          <c:smooth val="0"/>
          <c:extLst>
            <c:ext xmlns:c16="http://schemas.microsoft.com/office/drawing/2014/chart" uri="{C3380CC4-5D6E-409C-BE32-E72D297353CC}">
              <c16:uniqueId val="{00000002-56FB-4BD4-BD2E-B2B8576BF622}"/>
            </c:ext>
          </c:extLst>
        </c:ser>
        <c:ser>
          <c:idx val="3"/>
          <c:order val="3"/>
          <c:tx>
            <c:strRef>
              <c:f>'Score_summary_Average (2)'!$Y$38</c:f>
              <c:strCache>
                <c:ptCount val="1"/>
                <c:pt idx="0">
                  <c:v>Model Developer</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val>
            <c:numRef>
              <c:f>'Score_summary_Average (2)'!$Y$44:$Y$46</c:f>
              <c:numCache>
                <c:formatCode>0.0%</c:formatCode>
                <c:ptCount val="3"/>
                <c:pt idx="0">
                  <c:v>0</c:v>
                </c:pt>
                <c:pt idx="1">
                  <c:v>5.8266530115130576E-2</c:v>
                </c:pt>
                <c:pt idx="2">
                  <c:v>0.10244701870692696</c:v>
                </c:pt>
              </c:numCache>
            </c:numRef>
          </c:val>
          <c:smooth val="0"/>
          <c:extLst>
            <c:ext xmlns:c16="http://schemas.microsoft.com/office/drawing/2014/chart" uri="{C3380CC4-5D6E-409C-BE32-E72D297353CC}">
              <c16:uniqueId val="{00000003-56FB-4BD4-BD2E-B2B8576BF622}"/>
            </c:ext>
          </c:extLst>
        </c:ser>
        <c:dLbls>
          <c:showLegendKey val="0"/>
          <c:showVal val="0"/>
          <c:showCatName val="0"/>
          <c:showSerName val="0"/>
          <c:showPercent val="0"/>
          <c:showBubbleSize val="0"/>
        </c:dLbls>
        <c:marker val="1"/>
        <c:smooth val="0"/>
        <c:axId val="821502840"/>
        <c:axId val="821504152"/>
      </c:lineChart>
      <c:catAx>
        <c:axId val="821502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4152"/>
        <c:crosses val="autoZero"/>
        <c:auto val="1"/>
        <c:lblAlgn val="ctr"/>
        <c:lblOffset val="100"/>
        <c:noMultiLvlLbl val="0"/>
      </c:catAx>
      <c:valAx>
        <c:axId val="8215041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28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b="1"/>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 (2)'!$AE$53</c:f>
          <c:strCache>
            <c:ptCount val="1"/>
            <c:pt idx="0">
              <c:v>Sensitivity - MARPLE , Base Case - Strategic Planning</c:v>
            </c:pt>
          </c:strCache>
        </c:strRef>
      </c:tx>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'Score_summary_Average (2)'!$V$38</c:f>
              <c:strCache>
                <c:ptCount val="1"/>
                <c:pt idx="0">
                  <c:v>Policy Maker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'Score_summary_Average (2)'!$P$39:$P$41</c:f>
              <c:strCache>
                <c:ptCount val="3"/>
                <c:pt idx="0">
                  <c:v>Strategic Planning</c:v>
                </c:pt>
                <c:pt idx="1">
                  <c:v>Tactical Planning</c:v>
                </c:pt>
                <c:pt idx="2">
                  <c:v>Operational Planning</c:v>
                </c:pt>
              </c:strCache>
            </c:strRef>
          </c:cat>
          <c:val>
            <c:numRef>
              <c:f>'Score_summary_Average (2)'!$V$49:$V$52</c:f>
              <c:numCache>
                <c:formatCode>0.0%</c:formatCode>
                <c:ptCount val="4"/>
                <c:pt idx="0">
                  <c:v>0</c:v>
                </c:pt>
                <c:pt idx="1">
                  <c:v>1.085342728463292E-2</c:v>
                </c:pt>
                <c:pt idx="2">
                  <c:v>-1.0769895013273178E-2</c:v>
                </c:pt>
              </c:numCache>
            </c:numRef>
          </c:val>
          <c:smooth val="0"/>
          <c:extLst>
            <c:ext xmlns:c16="http://schemas.microsoft.com/office/drawing/2014/chart" uri="{C3380CC4-5D6E-409C-BE32-E72D297353CC}">
              <c16:uniqueId val="{00000000-567A-43F2-A417-9889FC5A72B9}"/>
            </c:ext>
          </c:extLst>
        </c:ser>
        <c:ser>
          <c:idx val="1"/>
          <c:order val="1"/>
          <c:tx>
            <c:strRef>
              <c:f>'Score_summary_Average (2)'!$W$38</c:f>
              <c:strCache>
                <c:ptCount val="1"/>
                <c:pt idx="0">
                  <c:v>Mobility Consultant</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'Score_summary_Average (2)'!$W$49:$W$52</c:f>
              <c:numCache>
                <c:formatCode>0.0%</c:formatCode>
                <c:ptCount val="4"/>
                <c:pt idx="0">
                  <c:v>0</c:v>
                </c:pt>
                <c:pt idx="1">
                  <c:v>6.9103957249768852E-2</c:v>
                </c:pt>
                <c:pt idx="2">
                  <c:v>5.3925454896290144E-2</c:v>
                </c:pt>
              </c:numCache>
            </c:numRef>
          </c:val>
          <c:smooth val="0"/>
          <c:extLst>
            <c:ext xmlns:c16="http://schemas.microsoft.com/office/drawing/2014/chart" uri="{C3380CC4-5D6E-409C-BE32-E72D297353CC}">
              <c16:uniqueId val="{00000001-567A-43F2-A417-9889FC5A72B9}"/>
            </c:ext>
          </c:extLst>
        </c:ser>
        <c:ser>
          <c:idx val="2"/>
          <c:order val="2"/>
          <c:tx>
            <c:strRef>
              <c:f>'Score_summary_Average (2)'!$X$38</c:f>
              <c:strCache>
                <c:ptCount val="1"/>
                <c:pt idx="0">
                  <c:v>Scientific Researcher</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'Score_summary_Average (2)'!$X$49:$X$52</c:f>
              <c:numCache>
                <c:formatCode>0.0%</c:formatCode>
                <c:ptCount val="4"/>
                <c:pt idx="0">
                  <c:v>0</c:v>
                </c:pt>
                <c:pt idx="1">
                  <c:v>-9.7424828492906693E-2</c:v>
                </c:pt>
                <c:pt idx="2">
                  <c:v>-0.11039297536184335</c:v>
                </c:pt>
              </c:numCache>
            </c:numRef>
          </c:val>
          <c:smooth val="0"/>
          <c:extLst>
            <c:ext xmlns:c16="http://schemas.microsoft.com/office/drawing/2014/chart" uri="{C3380CC4-5D6E-409C-BE32-E72D297353CC}">
              <c16:uniqueId val="{00000002-567A-43F2-A417-9889FC5A72B9}"/>
            </c:ext>
          </c:extLst>
        </c:ser>
        <c:ser>
          <c:idx val="3"/>
          <c:order val="3"/>
          <c:tx>
            <c:strRef>
              <c:f>'Score_summary_Average (2)'!$Y$38</c:f>
              <c:strCache>
                <c:ptCount val="1"/>
                <c:pt idx="0">
                  <c:v>Model Developer</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val>
            <c:numRef>
              <c:f>'Score_summary_Average (2)'!$Y$49:$Y$52</c:f>
              <c:numCache>
                <c:formatCode>0.0%</c:formatCode>
                <c:ptCount val="4"/>
                <c:pt idx="0">
                  <c:v>0</c:v>
                </c:pt>
                <c:pt idx="1">
                  <c:v>2.8798507158846274E-2</c:v>
                </c:pt>
                <c:pt idx="2">
                  <c:v>1.3497983642770037E-3</c:v>
                </c:pt>
              </c:numCache>
            </c:numRef>
          </c:val>
          <c:smooth val="0"/>
          <c:extLst>
            <c:ext xmlns:c16="http://schemas.microsoft.com/office/drawing/2014/chart" uri="{C3380CC4-5D6E-409C-BE32-E72D297353CC}">
              <c16:uniqueId val="{00000003-567A-43F2-A417-9889FC5A72B9}"/>
            </c:ext>
          </c:extLst>
        </c:ser>
        <c:dLbls>
          <c:showLegendKey val="0"/>
          <c:showVal val="0"/>
          <c:showCatName val="0"/>
          <c:showSerName val="0"/>
          <c:showPercent val="0"/>
          <c:showBubbleSize val="0"/>
        </c:dLbls>
        <c:marker val="1"/>
        <c:smooth val="0"/>
        <c:axId val="821502840"/>
        <c:axId val="821504152"/>
      </c:lineChart>
      <c:catAx>
        <c:axId val="821502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4152"/>
        <c:crosses val="autoZero"/>
        <c:auto val="1"/>
        <c:lblAlgn val="ctr"/>
        <c:lblOffset val="100"/>
        <c:noMultiLvlLbl val="0"/>
      </c:catAx>
      <c:valAx>
        <c:axId val="8215041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28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b="1"/>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[EMMa_Final Version.xlsx]Score_summary_Average!PivotTable15</c:name>
    <c:fmtId val="29"/>
  </c:pivotSource>
  <c:chart>
    <c:title>
      <c:tx>
        <c:strRef>
          <c:f>'Score_summary_Average (2)'!$G$23</c:f>
          <c:strCache>
            <c:ptCount val="1"/>
            <c:pt idx="0">
              <c:v>Evaluation scores of the DTA Models - </c:v>
            </c:pt>
          </c:strCache>
        </c:strRef>
      </c:tx>
      <c:overlay val="0"/>
      <c:spPr>
        <a:noFill/>
        <a:ln>
          <a:noFill/>
        </a:ln>
        <a:effectLst/>
      </c:spPr>
      <c:txPr>
        <a:bodyPr rot="0" spcFirstLastPara="1" vertOverflow="ellipsis" vert="horz" wrap="square" anchor="ctr" anchorCtr="1"/>
        <a:lstStyle/>
        <a:p>
          <a:pPr>
            <a:defRPr sz="1800" b="1" i="0" u="none" strike="noStrike" kern="1200" cap="all" baseline="0">
              <a:solidFill>
                <a:schemeClr val="lt1"/>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dLbl>
          <c:idx val="0"/>
          <c:showLegendKey val="0"/>
          <c:showVal val="0"/>
          <c:showCatName val="0"/>
          <c:showSerName val="0"/>
          <c:showPercent val="0"/>
          <c:showBubbleSize val="0"/>
          <c:extLst>
            <c:ext xmlns:c15="http://schemas.microsoft.com/office/drawing/2012/chart" uri="{CE6537A1-D6FC-4f65-9D91-7224C49458BB}"/>
          </c:extLst>
        </c:dLbl>
      </c:pivotFmt>
      <c:pivotFmt>
        <c:idx val="3"/>
        <c:dLbl>
          <c:idx val="0"/>
          <c:showLegendKey val="0"/>
          <c:showVal val="0"/>
          <c:showCatName val="0"/>
          <c:showSerName val="0"/>
          <c:showPercent val="0"/>
          <c:showBubbleSize val="0"/>
          <c:extLst>
            <c:ext xmlns:c15="http://schemas.microsoft.com/office/drawing/2012/chart" uri="{CE6537A1-D6FC-4f65-9D91-7224C49458BB}"/>
          </c:extLst>
        </c:dLbl>
      </c:pivotFmt>
      <c:pivotFmt>
        <c:idx val="4"/>
        <c:dLbl>
          <c:idx val="0"/>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circle"/>
          <c:size val="6"/>
          <c:spPr>
            <a:solidFill>
              <a:schemeClr val="accent3"/>
            </a:solidFill>
            <a:ln w="9525">
              <a:solidFill>
                <a:schemeClr val="dk1">
                  <a:lumMod val="75000"/>
                  <a:lumOff val="25000"/>
                </a:schemeClr>
              </a:solidFill>
            </a:ln>
            <a:effectLst/>
          </c:spPr>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circle"/>
          <c:size val="6"/>
          <c:spPr>
            <a:solidFill>
              <a:schemeClr val="accent2"/>
            </a:solidFill>
            <a:ln w="9525">
              <a:solidFill>
                <a:schemeClr val="dk1">
                  <a:lumMod val="75000"/>
                  <a:lumOff val="25000"/>
                </a:schemeClr>
              </a:solidFill>
            </a:ln>
            <a:effectLst/>
          </c:spPr>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circle"/>
          <c:size val="6"/>
          <c:spPr>
            <a:solidFill>
              <a:schemeClr val="accent1"/>
            </a:solidFill>
            <a:ln w="9525">
              <a:solidFill>
                <a:schemeClr val="dk1">
                  <a:lumMod val="75000"/>
                  <a:lumOff val="25000"/>
                </a:schemeClr>
              </a:solidFill>
            </a:ln>
            <a:effectLst/>
          </c:spPr>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9"/>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0"/>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1"/>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2"/>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3"/>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4"/>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5"/>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6"/>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7"/>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8"/>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9"/>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0"/>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1"/>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2"/>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3"/>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4"/>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5"/>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6"/>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7"/>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8"/>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9"/>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0"/>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1"/>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2"/>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3"/>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4"/>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5"/>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6"/>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7"/>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view3D>
      <c:rotX val="15"/>
      <c:rotY val="20"/>
      <c:depthPercent val="100"/>
      <c:rAngAx val="1"/>
    </c:view3D>
    <c:floor>
      <c:thickness val="0"/>
      <c:spPr>
        <a:solidFill>
          <a:schemeClr val="bg2">
            <a:lumMod val="75000"/>
            <a:alpha val="27000"/>
          </a:schemeClr>
        </a:solid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'Score_summary_Average (2)'!$G$23</c:f>
              <c:strCache>
                <c:ptCount val="1"/>
                <c:pt idx="0">
                  <c:v>MARPLE</c:v>
                </c:pt>
              </c:strCache>
            </c:strRef>
          </c:tx>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invertIfNegative val="0"/>
          <c:dLbls>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'Score_summary_Average (2)'!$G$23</c:f>
              <c:strCache>
                <c:ptCount val="4"/>
                <c:pt idx="0">
                  <c:v>Policy Maker</c:v>
                </c:pt>
                <c:pt idx="1">
                  <c:v>Mobility Consultant</c:v>
                </c:pt>
                <c:pt idx="2">
                  <c:v>Scientific Researcher</c:v>
                </c:pt>
                <c:pt idx="3">
                  <c:v>Model Developer</c:v>
                </c:pt>
              </c:strCache>
            </c:strRef>
          </c:cat>
          <c:val>
            <c:numRef>
              <c:f>'Score_summary_Average (2)'!$G$23</c:f>
              <c:numCache>
                <c:formatCode>0</c:formatCode>
                <c:ptCount val="4"/>
                <c:pt idx="0">
                  <c:v>34.718543592694466</c:v>
                </c:pt>
                <c:pt idx="1">
                  <c:v>36.794211388357859</c:v>
                </c:pt>
                <c:pt idx="2">
                  <c:v>33.525390133218096</c:v>
                </c:pt>
                <c:pt idx="3">
                  <c:v>36.256424836375302</c:v>
                </c:pt>
              </c:numCache>
            </c:numRef>
          </c:val>
          <c:extLst>
            <c:ext xmlns:c16="http://schemas.microsoft.com/office/drawing/2014/chart" uri="{C3380CC4-5D6E-409C-BE32-E72D297353CC}">
              <c16:uniqueId val="{00000000-0AEE-47E4-8BCB-2077EC5BF80D}"/>
            </c:ext>
          </c:extLst>
        </c:ser>
        <c:ser>
          <c:idx val="1"/>
          <c:order val="1"/>
          <c:tx>
            <c:strRef>
              <c:f>'Score_summary_Average (2)'!$G$23</c:f>
              <c:strCache>
                <c:ptCount val="1"/>
                <c:pt idx="0">
                  <c:v>StreamLine-MaDAM</c:v>
                </c:pt>
              </c:strCache>
            </c:strRef>
          </c:tx>
          <c:spPr>
            <a:solidFill>
              <a:schemeClr val="accent2">
                <a:alpha val="88000"/>
              </a:schemeClr>
            </a:solidFill>
            <a:ln>
              <a:solidFill>
                <a:schemeClr val="accent2">
                  <a:lumMod val="50000"/>
                </a:schemeClr>
              </a:solidFill>
            </a:ln>
            <a:effectLst/>
            <a:scene3d>
              <a:camera prst="orthographicFront"/>
              <a:lightRig rig="threePt" dir="t"/>
            </a:scene3d>
            <a:sp3d prstMaterial="flat">
              <a:contourClr>
                <a:schemeClr val="accent2">
                  <a:lumMod val="50000"/>
                </a:schemeClr>
              </a:contourClr>
            </a:sp3d>
          </c:spPr>
          <c:invertIfNegative val="0"/>
          <c:dLbls>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'Score_summary_Average (2)'!$G$23</c:f>
              <c:strCache>
                <c:ptCount val="4"/>
                <c:pt idx="0">
                  <c:v>Policy Maker</c:v>
                </c:pt>
                <c:pt idx="1">
                  <c:v>Mobility Consultant</c:v>
                </c:pt>
                <c:pt idx="2">
                  <c:v>Scientific Researcher</c:v>
                </c:pt>
                <c:pt idx="3">
                  <c:v>Model Developer</c:v>
                </c:pt>
              </c:strCache>
            </c:strRef>
          </c:cat>
          <c:val>
            <c:numRef>
              <c:f>'Score_summary_Average (2)'!$G$23</c:f>
              <c:numCache>
                <c:formatCode>0</c:formatCode>
                <c:ptCount val="4"/>
                <c:pt idx="0">
                  <c:v>32.38649699637832</c:v>
                </c:pt>
                <c:pt idx="1">
                  <c:v>34.960094677508529</c:v>
                </c:pt>
                <c:pt idx="2">
                  <c:v>31.743040286095958</c:v>
                </c:pt>
                <c:pt idx="3">
                  <c:v>33.934387188220718</c:v>
                </c:pt>
              </c:numCache>
            </c:numRef>
          </c:val>
          <c:extLst>
            <c:ext xmlns:c16="http://schemas.microsoft.com/office/drawing/2014/chart" uri="{C3380CC4-5D6E-409C-BE32-E72D297353CC}">
              <c16:uniqueId val="{00000001-0AEE-47E4-8BCB-2077EC5BF80D}"/>
            </c:ext>
          </c:extLst>
        </c:ser>
        <c:ser>
          <c:idx val="2"/>
          <c:order val="2"/>
          <c:tx>
            <c:strRef>
              <c:f>'Score_summary_Average (2)'!$G$23</c:f>
              <c:strCache>
                <c:ptCount val="1"/>
                <c:pt idx="0">
                  <c:v>StreamLine-eGLTM</c:v>
                </c:pt>
              </c:strCache>
            </c:strRef>
          </c:tx>
          <c:spPr>
            <a:solidFill>
              <a:schemeClr val="accent3">
                <a:alpha val="88000"/>
              </a:schemeClr>
            </a:solidFill>
            <a:ln>
              <a:solidFill>
                <a:schemeClr val="accent3">
                  <a:lumMod val="50000"/>
                </a:schemeClr>
              </a:solidFill>
            </a:ln>
            <a:effectLst/>
            <a:scene3d>
              <a:camera prst="orthographicFront"/>
              <a:lightRig rig="threePt" dir="t"/>
            </a:scene3d>
            <a:sp3d prstMaterial="flat">
              <a:contourClr>
                <a:schemeClr val="accent3">
                  <a:lumMod val="50000"/>
                </a:schemeClr>
              </a:contourClr>
            </a:sp3d>
          </c:spPr>
          <c:invertIfNegative val="0"/>
          <c:dLbls>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'Score_summary_Average (2)'!$G$23</c:f>
              <c:strCache>
                <c:ptCount val="4"/>
                <c:pt idx="0">
                  <c:v>Policy Maker</c:v>
                </c:pt>
                <c:pt idx="1">
                  <c:v>Mobility Consultant</c:v>
                </c:pt>
                <c:pt idx="2">
                  <c:v>Scientific Researcher</c:v>
                </c:pt>
                <c:pt idx="3">
                  <c:v>Model Developer</c:v>
                </c:pt>
              </c:strCache>
            </c:strRef>
          </c:cat>
          <c:val>
            <c:numRef>
              <c:f>'Score_summary_Average (2)'!$G$23</c:f>
              <c:numCache>
                <c:formatCode>0</c:formatCode>
                <c:ptCount val="4"/>
                <c:pt idx="0">
                  <c:v>32.922669861823842</c:v>
                </c:pt>
                <c:pt idx="1">
                  <c:v>34.51288981539038</c:v>
                </c:pt>
                <c:pt idx="2">
                  <c:v>30.587598619857101</c:v>
                </c:pt>
                <c:pt idx="3">
                  <c:v>33.434990203629532</c:v>
                </c:pt>
              </c:numCache>
            </c:numRef>
          </c:val>
          <c:extLst>
            <c:ext xmlns:c16="http://schemas.microsoft.com/office/drawing/2014/chart" uri="{C3380CC4-5D6E-409C-BE32-E72D297353CC}">
              <c16:uniqueId val="{00000002-0AEE-47E4-8BCB-2077EC5BF80D}"/>
            </c:ext>
          </c:extLst>
        </c:ser>
        <c:dLbls>
          <c:showLegendKey val="0"/>
          <c:showVal val="1"/>
          <c:showCatName val="0"/>
          <c:showSerName val="0"/>
          <c:showPercent val="0"/>
          <c:showBubbleSize val="0"/>
        </c:dLbls>
        <c:gapWidth val="84"/>
        <c:gapDepth val="53"/>
        <c:shape val="box"/>
        <c:axId val="814025192"/>
        <c:axId val="814017976"/>
        <c:axId val="0"/>
      </c:bar3DChart>
      <c:catAx>
        <c:axId val="81402519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lt1">
                    <a:lumMod val="75000"/>
                  </a:schemeClr>
                </a:solidFill>
                <a:latin typeface="+mn-lt"/>
                <a:ea typeface="+mn-ea"/>
                <a:cs typeface="+mn-cs"/>
              </a:defRPr>
            </a:pPr>
            <a:endParaRPr lang="en-US"/>
          </a:p>
        </c:txPr>
        <c:crossAx val="814017976"/>
        <c:crosses val="autoZero"/>
        <c:auto val="1"/>
        <c:lblAlgn val="ctr"/>
        <c:lblOffset val="100"/>
        <c:noMultiLvlLbl val="0"/>
      </c:catAx>
      <c:valAx>
        <c:axId val="814017976"/>
        <c:scaling>
          <c:orientation val="minMax"/>
        </c:scaling>
        <c:delete val="1"/>
        <c:axPos val="l"/>
        <c:numFmt formatCode="0" sourceLinked="1"/>
        <c:majorTickMark val="out"/>
        <c:minorTickMark val="none"/>
        <c:tickLblPos val="nextTo"/>
        <c:crossAx val="81402519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1" i="0" u="none" strike="noStrike" kern="1200" baseline="0">
              <a:solidFill>
                <a:schemeClr val="lt1">
                  <a:lumMod val="7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dk1">
        <a:lumMod val="75000"/>
        <a:lumOff val="25000"/>
      </a:schemeClr>
    </a:solidFill>
    <a:ln w="6350" cap="flat" cmpd="sng" algn="ctr">
      <a:solidFill>
        <a:schemeClr val="dk1">
          <a:tint val="7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Visualization!$A$38</c:f>
          <c:strCache>
            <c:ptCount val="1"/>
            <c:pt idx="0">
              <c:v>Final Scores - Operational Planning , Model Developer</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Visualization!$A$14</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Visualization!$B$5:$D$5</c:f>
              <c:strCache>
                <c:ptCount val="3"/>
                <c:pt idx="0">
                  <c:v>MARPLE</c:v>
                </c:pt>
                <c:pt idx="1">
                  <c:v>StreamLine-MaDAM</c:v>
                </c:pt>
                <c:pt idx="2">
                  <c:v>StreamLine-eGLTM</c:v>
                </c:pt>
              </c:strCache>
            </c:strRef>
          </c:cat>
          <c:val>
            <c:numRef>
              <c:f>Visualization!$B$14:$D$14</c:f>
              <c:numCache>
                <c:formatCode>0</c:formatCode>
                <c:ptCount val="3"/>
                <c:pt idx="0">
                  <c:v>121.47221530913873</c:v>
                </c:pt>
                <c:pt idx="1">
                  <c:v>128.17645844654425</c:v>
                </c:pt>
                <c:pt idx="2">
                  <c:v>122.05535566885115</c:v>
                </c:pt>
              </c:numCache>
            </c:numRef>
          </c:val>
          <c:extLst>
            <c:ext xmlns:c16="http://schemas.microsoft.com/office/drawing/2014/chart" uri="{C3380CC4-5D6E-409C-BE32-E72D297353CC}">
              <c16:uniqueId val="{00000000-E160-41FE-8423-5DBF2A767668}"/>
            </c:ext>
          </c:extLst>
        </c:ser>
        <c:dLbls>
          <c:dLblPos val="outEnd"/>
          <c:showLegendKey val="0"/>
          <c:showVal val="1"/>
          <c:showCatName val="0"/>
          <c:showSerName val="0"/>
          <c:showPercent val="0"/>
          <c:showBubbleSize val="0"/>
        </c:dLbls>
        <c:gapWidth val="219"/>
        <c:overlap val="-27"/>
        <c:axId val="705512696"/>
        <c:axId val="705506464"/>
      </c:barChart>
      <c:catAx>
        <c:axId val="705512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705506464"/>
        <c:crosses val="autoZero"/>
        <c:auto val="1"/>
        <c:lblAlgn val="ctr"/>
        <c:lblOffset val="100"/>
        <c:noMultiLvlLbl val="0"/>
      </c:catAx>
      <c:valAx>
        <c:axId val="7055064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705512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[EMMa_Final Version.xlsx]Score_summary_Average (2)!PivotTable15</c:name>
    <c:fmtId val="32"/>
  </c:pivotSource>
  <c:chart>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dLbl>
          <c:idx val="0"/>
          <c:showLegendKey val="0"/>
          <c:showVal val="0"/>
          <c:showCatName val="0"/>
          <c:showSerName val="0"/>
          <c:showPercent val="0"/>
          <c:showBubbleSize val="0"/>
          <c:extLst>
            <c:ext xmlns:c15="http://schemas.microsoft.com/office/drawing/2012/chart" uri="{CE6537A1-D6FC-4f65-9D91-7224C49458BB}"/>
          </c:extLst>
        </c:dLbl>
      </c:pivotFmt>
      <c:pivotFmt>
        <c:idx val="3"/>
        <c:dLbl>
          <c:idx val="0"/>
          <c:showLegendKey val="0"/>
          <c:showVal val="0"/>
          <c:showCatName val="0"/>
          <c:showSerName val="0"/>
          <c:showPercent val="0"/>
          <c:showBubbleSize val="0"/>
          <c:extLst>
            <c:ext xmlns:c15="http://schemas.microsoft.com/office/drawing/2012/chart" uri="{CE6537A1-D6FC-4f65-9D91-7224C49458BB}"/>
          </c:extLst>
        </c:dLbl>
      </c:pivotFmt>
      <c:pivotFmt>
        <c:idx val="4"/>
        <c:dLbl>
          <c:idx val="0"/>
          <c:showLegendKey val="0"/>
          <c:showVal val="0"/>
          <c:showCatName val="0"/>
          <c:showSerName val="0"/>
          <c:showPercent val="0"/>
          <c:showBubbleSize val="0"/>
          <c:extLst>
            <c:ext xmlns:c15="http://schemas.microsoft.com/office/drawing/2012/chart" uri="{CE6537A1-D6FC-4f65-9D91-7224C49458BB}"/>
          </c:extLst>
        </c:dLbl>
      </c:pivotFmt>
      <c:pivotFmt>
        <c:idx val="5"/>
        <c:dLbl>
          <c:idx val="0"/>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alpha val="85000"/>
            </a:schemeClr>
          </a:solidFill>
          <a:ln w="9525" cap="flat" cmpd="sng" algn="ctr">
            <a:solidFill>
              <a:schemeClr val="lt1">
                <a:alpha val="50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alpha val="85000"/>
            </a:schemeClr>
          </a:solidFill>
          <a:ln w="9525" cap="flat" cmpd="sng" algn="ctr">
            <a:solidFill>
              <a:schemeClr val="lt1">
                <a:alpha val="50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1">
              <a:alpha val="85000"/>
            </a:schemeClr>
          </a:solidFill>
          <a:ln w="9525" cap="flat" cmpd="sng" algn="ctr">
            <a:solidFill>
              <a:schemeClr val="lt1">
                <a:alpha val="50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'Score_summary_Average (2)'!$H$3:$H$4</c:f>
              <c:strCache>
                <c:ptCount val="1"/>
                <c:pt idx="0">
                  <c:v>MARPLE</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multiLvlStrRef>
              <c:f>'Score_summary_Average (2)'!$G$5:$G$19</c:f>
              <c:multiLvlStrCache>
                <c:ptCount val="12"/>
                <c:lvl>
                  <c:pt idx="0">
                    <c:v>Policy Maker</c:v>
                  </c:pt>
                  <c:pt idx="1">
                    <c:v>Mobility Consultant</c:v>
                  </c:pt>
                  <c:pt idx="2">
                    <c:v>Scientific Researcher</c:v>
                  </c:pt>
                  <c:pt idx="3">
                    <c:v>Model Developer</c:v>
                  </c:pt>
                  <c:pt idx="4">
                    <c:v>Policy Maker</c:v>
                  </c:pt>
                  <c:pt idx="5">
                    <c:v>Mobility Consultant</c:v>
                  </c:pt>
                  <c:pt idx="6">
                    <c:v>Scientific Researcher</c:v>
                  </c:pt>
                  <c:pt idx="7">
                    <c:v>Model Developer</c:v>
                  </c:pt>
                  <c:pt idx="8">
                    <c:v>Policy Maker</c:v>
                  </c:pt>
                  <c:pt idx="9">
                    <c:v>Mobility Consultant</c:v>
                  </c:pt>
                  <c:pt idx="10">
                    <c:v>Scientific Researcher</c:v>
                  </c:pt>
                  <c:pt idx="11">
                    <c:v>Model Developer</c:v>
                  </c:pt>
                </c:lvl>
                <c:lvl>
                  <c:pt idx="0">
                    <c:v>Strategic Planning</c:v>
                  </c:pt>
                  <c:pt idx="4">
                    <c:v>Tactical Planning</c:v>
                  </c:pt>
                  <c:pt idx="8">
                    <c:v>Operational Planning</c:v>
                  </c:pt>
                </c:lvl>
              </c:multiLvlStrCache>
            </c:multiLvlStrRef>
          </c:cat>
          <c:val>
            <c:numRef>
              <c:f>'Score_summary_Average (2)'!$H$5:$H$19</c:f>
              <c:numCache>
                <c:formatCode>0</c:formatCode>
                <c:ptCount val="12"/>
                <c:pt idx="0">
                  <c:v>34.717576913342569</c:v>
                </c:pt>
                <c:pt idx="1">
                  <c:v>35.34473089999549</c:v>
                </c:pt>
                <c:pt idx="2">
                  <c:v>36.020633087090388</c:v>
                </c:pt>
                <c:pt idx="3">
                  <c:v>35.895693392587276</c:v>
                </c:pt>
                <c:pt idx="4">
                  <c:v>35.094381609870183</c:v>
                </c:pt>
                <c:pt idx="5">
                  <c:v>37.787191673113362</c:v>
                </c:pt>
                <c:pt idx="6">
                  <c:v>32.511329086374687</c:v>
                </c:pt>
                <c:pt idx="7">
                  <c:v>36.929435775725452</c:v>
                </c:pt>
                <c:pt idx="8">
                  <c:v>34.343672254870633</c:v>
                </c:pt>
                <c:pt idx="9">
                  <c:v>37.250711591964709</c:v>
                </c:pt>
                <c:pt idx="10">
                  <c:v>32.04420822618922</c:v>
                </c:pt>
                <c:pt idx="11">
                  <c:v>35.944145340813179</c:v>
                </c:pt>
              </c:numCache>
            </c:numRef>
          </c:val>
          <c:extLst>
            <c:ext xmlns:c16="http://schemas.microsoft.com/office/drawing/2014/chart" uri="{C3380CC4-5D6E-409C-BE32-E72D297353CC}">
              <c16:uniqueId val="{00000000-F7B1-40C1-B385-236A3C77220C}"/>
            </c:ext>
          </c:extLst>
        </c:ser>
        <c:ser>
          <c:idx val="1"/>
          <c:order val="1"/>
          <c:tx>
            <c:strRef>
              <c:f>'Score_summary_Average (2)'!$I$3:$I$4</c:f>
              <c:strCache>
                <c:ptCount val="1"/>
                <c:pt idx="0">
                  <c:v>StreamLine-MaDAM</c:v>
                </c:pt>
              </c:strCache>
            </c:strRef>
          </c:tx>
          <c:spPr>
            <a:solidFill>
              <a:schemeClr val="accent2">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multiLvlStrRef>
              <c:f>'Score_summary_Average (2)'!$G$5:$G$19</c:f>
              <c:multiLvlStrCache>
                <c:ptCount val="12"/>
                <c:lvl>
                  <c:pt idx="0">
                    <c:v>Policy Maker</c:v>
                  </c:pt>
                  <c:pt idx="1">
                    <c:v>Mobility Consultant</c:v>
                  </c:pt>
                  <c:pt idx="2">
                    <c:v>Scientific Researcher</c:v>
                  </c:pt>
                  <c:pt idx="3">
                    <c:v>Model Developer</c:v>
                  </c:pt>
                  <c:pt idx="4">
                    <c:v>Policy Maker</c:v>
                  </c:pt>
                  <c:pt idx="5">
                    <c:v>Mobility Consultant</c:v>
                  </c:pt>
                  <c:pt idx="6">
                    <c:v>Scientific Researcher</c:v>
                  </c:pt>
                  <c:pt idx="7">
                    <c:v>Model Developer</c:v>
                  </c:pt>
                  <c:pt idx="8">
                    <c:v>Policy Maker</c:v>
                  </c:pt>
                  <c:pt idx="9">
                    <c:v>Mobility Consultant</c:v>
                  </c:pt>
                  <c:pt idx="10">
                    <c:v>Scientific Researcher</c:v>
                  </c:pt>
                  <c:pt idx="11">
                    <c:v>Model Developer</c:v>
                  </c:pt>
                </c:lvl>
                <c:lvl>
                  <c:pt idx="0">
                    <c:v>Strategic Planning</c:v>
                  </c:pt>
                  <c:pt idx="4">
                    <c:v>Tactical Planning</c:v>
                  </c:pt>
                  <c:pt idx="8">
                    <c:v>Operational Planning</c:v>
                  </c:pt>
                </c:lvl>
              </c:multiLvlStrCache>
            </c:multiLvlStrRef>
          </c:cat>
          <c:val>
            <c:numRef>
              <c:f>'Score_summary_Average (2)'!$I$5:$I$19</c:f>
              <c:numCache>
                <c:formatCode>0</c:formatCode>
                <c:ptCount val="12"/>
                <c:pt idx="0">
                  <c:v>31.290579866349532</c:v>
                </c:pt>
                <c:pt idx="1">
                  <c:v>32.186585945051583</c:v>
                </c:pt>
                <c:pt idx="2">
                  <c:v>30.941428320049102</c:v>
                </c:pt>
                <c:pt idx="3">
                  <c:v>32.208917382786055</c:v>
                </c:pt>
                <c:pt idx="4">
                  <c:v>33.287284585311262</c:v>
                </c:pt>
                <c:pt idx="5">
                  <c:v>36.064009951228591</c:v>
                </c:pt>
                <c:pt idx="6">
                  <c:v>32.298310412072446</c:v>
                </c:pt>
                <c:pt idx="7">
                  <c:v>34.085619237445911</c:v>
                </c:pt>
                <c:pt idx="8">
                  <c:v>32.581626537474172</c:v>
                </c:pt>
                <c:pt idx="9">
                  <c:v>36.629688136245413</c:v>
                </c:pt>
                <c:pt idx="10">
                  <c:v>31.989382126166316</c:v>
                </c:pt>
                <c:pt idx="11">
                  <c:v>35.508624944430203</c:v>
                </c:pt>
              </c:numCache>
            </c:numRef>
          </c:val>
          <c:extLst>
            <c:ext xmlns:c16="http://schemas.microsoft.com/office/drawing/2014/chart" uri="{C3380CC4-5D6E-409C-BE32-E72D297353CC}">
              <c16:uniqueId val="{00000001-F7B1-40C1-B385-236A3C77220C}"/>
            </c:ext>
          </c:extLst>
        </c:ser>
        <c:ser>
          <c:idx val="2"/>
          <c:order val="2"/>
          <c:tx>
            <c:strRef>
              <c:f>'Score_summary_Average (2)'!$J$3:$J$4</c:f>
              <c:strCache>
                <c:ptCount val="1"/>
                <c:pt idx="0">
                  <c:v>StreamLine-eGLTM</c:v>
                </c:pt>
              </c:strCache>
            </c:strRef>
          </c:tx>
          <c:spPr>
            <a:solidFill>
              <a:schemeClr val="accent3">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multiLvlStrRef>
              <c:f>'Score_summary_Average (2)'!$G$5:$G$19</c:f>
              <c:multiLvlStrCache>
                <c:ptCount val="12"/>
                <c:lvl>
                  <c:pt idx="0">
                    <c:v>Policy Maker</c:v>
                  </c:pt>
                  <c:pt idx="1">
                    <c:v>Mobility Consultant</c:v>
                  </c:pt>
                  <c:pt idx="2">
                    <c:v>Scientific Researcher</c:v>
                  </c:pt>
                  <c:pt idx="3">
                    <c:v>Model Developer</c:v>
                  </c:pt>
                  <c:pt idx="4">
                    <c:v>Policy Maker</c:v>
                  </c:pt>
                  <c:pt idx="5">
                    <c:v>Mobility Consultant</c:v>
                  </c:pt>
                  <c:pt idx="6">
                    <c:v>Scientific Researcher</c:v>
                  </c:pt>
                  <c:pt idx="7">
                    <c:v>Model Developer</c:v>
                  </c:pt>
                  <c:pt idx="8">
                    <c:v>Policy Maker</c:v>
                  </c:pt>
                  <c:pt idx="9">
                    <c:v>Mobility Consultant</c:v>
                  </c:pt>
                  <c:pt idx="10">
                    <c:v>Scientific Researcher</c:v>
                  </c:pt>
                  <c:pt idx="11">
                    <c:v>Model Developer</c:v>
                  </c:pt>
                </c:lvl>
                <c:lvl>
                  <c:pt idx="0">
                    <c:v>Strategic Planning</c:v>
                  </c:pt>
                  <c:pt idx="4">
                    <c:v>Tactical Planning</c:v>
                  </c:pt>
                  <c:pt idx="8">
                    <c:v>Operational Planning</c:v>
                  </c:pt>
                </c:lvl>
              </c:multiLvlStrCache>
            </c:multiLvlStrRef>
          </c:cat>
          <c:val>
            <c:numRef>
              <c:f>'Score_summary_Average (2)'!$J$5:$J$19</c:f>
              <c:numCache>
                <c:formatCode>0</c:formatCode>
                <c:ptCount val="12"/>
                <c:pt idx="0">
                  <c:v>33.554419649232436</c:v>
                </c:pt>
                <c:pt idx="1">
                  <c:v>33.690127911660724</c:v>
                </c:pt>
                <c:pt idx="2">
                  <c:v>33.525581323384515</c:v>
                </c:pt>
                <c:pt idx="3">
                  <c:v>33.461013759386802</c:v>
                </c:pt>
                <c:pt idx="4">
                  <c:v>33.492005434960895</c:v>
                </c:pt>
                <c:pt idx="5">
                  <c:v>35.554351396866778</c:v>
                </c:pt>
                <c:pt idx="6">
                  <c:v>29.965598570689131</c:v>
                </c:pt>
                <c:pt idx="7">
                  <c:v>34.197401524423427</c:v>
                </c:pt>
                <c:pt idx="8">
                  <c:v>31.721584501278191</c:v>
                </c:pt>
                <c:pt idx="9">
                  <c:v>34.294190137643632</c:v>
                </c:pt>
                <c:pt idx="10">
                  <c:v>28.271615965497645</c:v>
                </c:pt>
                <c:pt idx="11">
                  <c:v>32.64655532707836</c:v>
                </c:pt>
              </c:numCache>
            </c:numRef>
          </c:val>
          <c:extLst>
            <c:ext xmlns:c16="http://schemas.microsoft.com/office/drawing/2014/chart" uri="{C3380CC4-5D6E-409C-BE32-E72D297353CC}">
              <c16:uniqueId val="{00000002-F7B1-40C1-B385-236A3C77220C}"/>
            </c:ext>
          </c:extLst>
        </c:ser>
        <c:dLbls>
          <c:dLblPos val="inEnd"/>
          <c:showLegendKey val="0"/>
          <c:showVal val="1"/>
          <c:showCatName val="0"/>
          <c:showSerName val="0"/>
          <c:showPercent val="0"/>
          <c:showBubbleSize val="0"/>
        </c:dLbls>
        <c:gapWidth val="65"/>
        <c:axId val="656237056"/>
        <c:axId val="656242960"/>
      </c:barChart>
      <c:catAx>
        <c:axId val="656237056"/>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1" i="0" u="none" strike="noStrike" kern="1200" cap="all" baseline="0">
                <a:solidFill>
                  <a:schemeClr val="dk1">
                    <a:lumMod val="75000"/>
                    <a:lumOff val="25000"/>
                  </a:schemeClr>
                </a:solidFill>
                <a:latin typeface="+mn-lt"/>
                <a:ea typeface="+mn-ea"/>
                <a:cs typeface="+mn-cs"/>
              </a:defRPr>
            </a:pPr>
            <a:endParaRPr lang="en-US"/>
          </a:p>
        </c:txPr>
        <c:crossAx val="656242960"/>
        <c:crosses val="autoZero"/>
        <c:auto val="1"/>
        <c:lblAlgn val="ctr"/>
        <c:lblOffset val="100"/>
        <c:noMultiLvlLbl val="0"/>
      </c:catAx>
      <c:valAx>
        <c:axId val="656242960"/>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56237056"/>
        <c:crosses val="autoZero"/>
        <c:crossBetween val="between"/>
      </c:valAx>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1"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b="1"/>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[EMMa_Final Version.xlsx]Score_summary_Average!PivotTable15</c:name>
    <c:fmtId val="9"/>
  </c:pivotSource>
  <c:chart>
    <c:title>
      <c:tx>
        <c:strRef>
          <c:f>Score_summary_Average!$G$9</c:f>
          <c:strCache>
            <c:ptCount val="1"/>
            <c:pt idx="0">
              <c:v>Evaluation scores of the DTA Models - (All)</c:v>
            </c:pt>
          </c:strCache>
        </c:strRef>
      </c:tx>
      <c:overlay val="0"/>
      <c:spPr>
        <a:noFill/>
        <a:ln>
          <a:noFill/>
        </a:ln>
        <a:effectLst/>
      </c:spPr>
      <c:txPr>
        <a:bodyPr rot="0" spcFirstLastPara="1" vertOverflow="ellipsis" vert="horz" wrap="square" anchor="ctr" anchorCtr="1"/>
        <a:lstStyle/>
        <a:p>
          <a:pPr>
            <a:defRPr sz="1800" b="1" i="0" u="none" strike="noStrike" kern="1200" cap="all" baseline="0">
              <a:solidFill>
                <a:schemeClr val="lt1"/>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dLbl>
          <c:idx val="0"/>
          <c:showLegendKey val="0"/>
          <c:showVal val="0"/>
          <c:showCatName val="0"/>
          <c:showSerName val="0"/>
          <c:showPercent val="0"/>
          <c:showBubbleSize val="0"/>
          <c:extLst>
            <c:ext xmlns:c15="http://schemas.microsoft.com/office/drawing/2012/chart" uri="{CE6537A1-D6FC-4f65-9D91-7224C49458BB}"/>
          </c:extLst>
        </c:dLbl>
      </c:pivotFmt>
      <c:pivotFmt>
        <c:idx val="3"/>
        <c:dLbl>
          <c:idx val="0"/>
          <c:showLegendKey val="0"/>
          <c:showVal val="0"/>
          <c:showCatName val="0"/>
          <c:showSerName val="0"/>
          <c:showPercent val="0"/>
          <c:showBubbleSize val="0"/>
          <c:extLst>
            <c:ext xmlns:c15="http://schemas.microsoft.com/office/drawing/2012/chart" uri="{CE6537A1-D6FC-4f65-9D91-7224C49458BB}"/>
          </c:extLst>
        </c:dLbl>
      </c:pivotFmt>
      <c:pivotFmt>
        <c:idx val="4"/>
        <c:dLbl>
          <c:idx val="0"/>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circle"/>
          <c:size val="6"/>
          <c:spPr>
            <a:solidFill>
              <a:schemeClr val="accent3"/>
            </a:solidFill>
            <a:ln w="9525">
              <a:solidFill>
                <a:schemeClr val="dk1">
                  <a:lumMod val="75000"/>
                  <a:lumOff val="25000"/>
                </a:schemeClr>
              </a:solidFill>
            </a:ln>
            <a:effectLst/>
          </c:spPr>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circle"/>
          <c:size val="6"/>
          <c:spPr>
            <a:solidFill>
              <a:schemeClr val="accent2"/>
            </a:solidFill>
            <a:ln w="9525">
              <a:solidFill>
                <a:schemeClr val="dk1">
                  <a:lumMod val="75000"/>
                  <a:lumOff val="25000"/>
                </a:schemeClr>
              </a:solidFill>
            </a:ln>
            <a:effectLst/>
          </c:spPr>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circle"/>
          <c:size val="6"/>
          <c:spPr>
            <a:solidFill>
              <a:schemeClr val="accent1"/>
            </a:solidFill>
            <a:ln w="9525">
              <a:solidFill>
                <a:schemeClr val="dk1">
                  <a:lumMod val="75000"/>
                  <a:lumOff val="25000"/>
                </a:schemeClr>
              </a:solidFill>
            </a:ln>
            <a:effectLst/>
          </c:spPr>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9"/>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0"/>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view3D>
      <c:rotX val="15"/>
      <c:rotY val="20"/>
      <c:depthPercent val="100"/>
      <c:rAngAx val="1"/>
    </c:view3D>
    <c:floor>
      <c:thickness val="0"/>
      <c:spPr>
        <a:solidFill>
          <a:schemeClr val="bg2">
            <a:lumMod val="75000"/>
            <a:alpha val="27000"/>
          </a:schemeClr>
        </a:solid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Score_summary_Average!$G$9</c:f>
              <c:strCache>
                <c:ptCount val="1"/>
                <c:pt idx="0">
                  <c:v>MARPLE</c:v>
                </c:pt>
              </c:strCache>
            </c:strRef>
          </c:tx>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invertIfNegative val="0"/>
          <c:dLbls>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Score_summary_Average!$G$9</c:f>
              <c:strCache>
                <c:ptCount val="4"/>
                <c:pt idx="0">
                  <c:v>Policy Maker</c:v>
                </c:pt>
                <c:pt idx="1">
                  <c:v>Mobility Consultant</c:v>
                </c:pt>
                <c:pt idx="2">
                  <c:v>Scientific Researcher</c:v>
                </c:pt>
                <c:pt idx="3">
                  <c:v>Model Developer</c:v>
                </c:pt>
              </c:strCache>
            </c:strRef>
          </c:cat>
          <c:val>
            <c:numRef>
              <c:f>Score_summary_Average!$G$9</c:f>
              <c:numCache>
                <c:formatCode>0</c:formatCode>
                <c:ptCount val="4"/>
                <c:pt idx="0">
                  <c:v>34.718543592694466</c:v>
                </c:pt>
                <c:pt idx="1">
                  <c:v>36.794211388357859</c:v>
                </c:pt>
                <c:pt idx="2">
                  <c:v>33.525390133218096</c:v>
                </c:pt>
                <c:pt idx="3">
                  <c:v>36.256424836375302</c:v>
                </c:pt>
              </c:numCache>
            </c:numRef>
          </c:val>
          <c:extLst>
            <c:ext xmlns:c16="http://schemas.microsoft.com/office/drawing/2014/chart" uri="{C3380CC4-5D6E-409C-BE32-E72D297353CC}">
              <c16:uniqueId val="{00000000-1E24-4A3C-B69E-4F38F39CB726}"/>
            </c:ext>
          </c:extLst>
        </c:ser>
        <c:ser>
          <c:idx val="1"/>
          <c:order val="1"/>
          <c:tx>
            <c:strRef>
              <c:f>Score_summary_Average!$G$9</c:f>
              <c:strCache>
                <c:ptCount val="1"/>
                <c:pt idx="0">
                  <c:v>StreamLine-MaDAM</c:v>
                </c:pt>
              </c:strCache>
            </c:strRef>
          </c:tx>
          <c:spPr>
            <a:solidFill>
              <a:schemeClr val="accent2">
                <a:alpha val="88000"/>
              </a:schemeClr>
            </a:solidFill>
            <a:ln>
              <a:solidFill>
                <a:schemeClr val="accent2">
                  <a:lumMod val="50000"/>
                </a:schemeClr>
              </a:solidFill>
            </a:ln>
            <a:effectLst/>
            <a:scene3d>
              <a:camera prst="orthographicFront"/>
              <a:lightRig rig="threePt" dir="t"/>
            </a:scene3d>
            <a:sp3d prstMaterial="flat">
              <a:contourClr>
                <a:schemeClr val="accent2">
                  <a:lumMod val="50000"/>
                </a:schemeClr>
              </a:contourClr>
            </a:sp3d>
          </c:spPr>
          <c:invertIfNegative val="0"/>
          <c:dLbls>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Score_summary_Average!$G$9</c:f>
              <c:strCache>
                <c:ptCount val="4"/>
                <c:pt idx="0">
                  <c:v>Policy Maker</c:v>
                </c:pt>
                <c:pt idx="1">
                  <c:v>Mobility Consultant</c:v>
                </c:pt>
                <c:pt idx="2">
                  <c:v>Scientific Researcher</c:v>
                </c:pt>
                <c:pt idx="3">
                  <c:v>Model Developer</c:v>
                </c:pt>
              </c:strCache>
            </c:strRef>
          </c:cat>
          <c:val>
            <c:numRef>
              <c:f>Score_summary_Average!$G$9</c:f>
              <c:numCache>
                <c:formatCode>0</c:formatCode>
                <c:ptCount val="4"/>
                <c:pt idx="0">
                  <c:v>32.38649699637832</c:v>
                </c:pt>
                <c:pt idx="1">
                  <c:v>34.960094677508529</c:v>
                </c:pt>
                <c:pt idx="2">
                  <c:v>31.743040286095958</c:v>
                </c:pt>
                <c:pt idx="3">
                  <c:v>33.934387188220718</c:v>
                </c:pt>
              </c:numCache>
            </c:numRef>
          </c:val>
          <c:extLst>
            <c:ext xmlns:c16="http://schemas.microsoft.com/office/drawing/2014/chart" uri="{C3380CC4-5D6E-409C-BE32-E72D297353CC}">
              <c16:uniqueId val="{00000001-1E24-4A3C-B69E-4F38F39CB726}"/>
            </c:ext>
          </c:extLst>
        </c:ser>
        <c:ser>
          <c:idx val="2"/>
          <c:order val="2"/>
          <c:tx>
            <c:strRef>
              <c:f>Score_summary_Average!$G$9</c:f>
              <c:strCache>
                <c:ptCount val="1"/>
                <c:pt idx="0">
                  <c:v>StreamLine-eGLTM</c:v>
                </c:pt>
              </c:strCache>
            </c:strRef>
          </c:tx>
          <c:spPr>
            <a:solidFill>
              <a:schemeClr val="accent3">
                <a:alpha val="88000"/>
              </a:schemeClr>
            </a:solidFill>
            <a:ln>
              <a:solidFill>
                <a:schemeClr val="accent3">
                  <a:lumMod val="50000"/>
                </a:schemeClr>
              </a:solidFill>
            </a:ln>
            <a:effectLst/>
            <a:scene3d>
              <a:camera prst="orthographicFront"/>
              <a:lightRig rig="threePt" dir="t"/>
            </a:scene3d>
            <a:sp3d prstMaterial="flat">
              <a:contourClr>
                <a:schemeClr val="accent3">
                  <a:lumMod val="50000"/>
                </a:schemeClr>
              </a:contourClr>
            </a:sp3d>
          </c:spPr>
          <c:invertIfNegative val="0"/>
          <c:dLbls>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Score_summary_Average!$G$9</c:f>
              <c:strCache>
                <c:ptCount val="4"/>
                <c:pt idx="0">
                  <c:v>Policy Maker</c:v>
                </c:pt>
                <c:pt idx="1">
                  <c:v>Mobility Consultant</c:v>
                </c:pt>
                <c:pt idx="2">
                  <c:v>Scientific Researcher</c:v>
                </c:pt>
                <c:pt idx="3">
                  <c:v>Model Developer</c:v>
                </c:pt>
              </c:strCache>
            </c:strRef>
          </c:cat>
          <c:val>
            <c:numRef>
              <c:f>Score_summary_Average!$G$9</c:f>
              <c:numCache>
                <c:formatCode>0</c:formatCode>
                <c:ptCount val="4"/>
                <c:pt idx="0">
                  <c:v>32.922669861823842</c:v>
                </c:pt>
                <c:pt idx="1">
                  <c:v>34.51288981539038</c:v>
                </c:pt>
                <c:pt idx="2">
                  <c:v>30.587598619857101</c:v>
                </c:pt>
                <c:pt idx="3">
                  <c:v>33.434990203629532</c:v>
                </c:pt>
              </c:numCache>
            </c:numRef>
          </c:val>
          <c:extLst>
            <c:ext xmlns:c16="http://schemas.microsoft.com/office/drawing/2014/chart" uri="{C3380CC4-5D6E-409C-BE32-E72D297353CC}">
              <c16:uniqueId val="{00000002-1E24-4A3C-B69E-4F38F39CB726}"/>
            </c:ext>
          </c:extLst>
        </c:ser>
        <c:dLbls>
          <c:showLegendKey val="0"/>
          <c:showVal val="1"/>
          <c:showCatName val="0"/>
          <c:showSerName val="0"/>
          <c:showPercent val="0"/>
          <c:showBubbleSize val="0"/>
        </c:dLbls>
        <c:gapWidth val="84"/>
        <c:gapDepth val="53"/>
        <c:shape val="box"/>
        <c:axId val="814025192"/>
        <c:axId val="814017976"/>
        <c:axId val="0"/>
      </c:bar3DChart>
      <c:catAx>
        <c:axId val="81402519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lt1">
                    <a:lumMod val="75000"/>
                  </a:schemeClr>
                </a:solidFill>
                <a:latin typeface="+mn-lt"/>
                <a:ea typeface="+mn-ea"/>
                <a:cs typeface="+mn-cs"/>
              </a:defRPr>
            </a:pPr>
            <a:endParaRPr lang="en-US"/>
          </a:p>
        </c:txPr>
        <c:crossAx val="814017976"/>
        <c:crosses val="autoZero"/>
        <c:auto val="1"/>
        <c:lblAlgn val="ctr"/>
        <c:lblOffset val="100"/>
        <c:noMultiLvlLbl val="0"/>
      </c:catAx>
      <c:valAx>
        <c:axId val="814017976"/>
        <c:scaling>
          <c:orientation val="minMax"/>
        </c:scaling>
        <c:delete val="1"/>
        <c:axPos val="l"/>
        <c:numFmt formatCode="0" sourceLinked="1"/>
        <c:majorTickMark val="out"/>
        <c:minorTickMark val="none"/>
        <c:tickLblPos val="nextTo"/>
        <c:crossAx val="81402519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1" i="0" u="none" strike="noStrike" kern="1200" baseline="0">
              <a:solidFill>
                <a:schemeClr val="lt1">
                  <a:lumMod val="7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dk1">
        <a:lumMod val="75000"/>
        <a:lumOff val="25000"/>
      </a:schemeClr>
    </a:solidFill>
    <a:ln w="6350" cap="flat" cmpd="sng" algn="ctr">
      <a:solidFill>
        <a:schemeClr val="dk1">
          <a:tint val="7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Score_summary_Average!$O$17</c:f>
          <c:strCache>
            <c:ptCount val="1"/>
            <c:pt idx="0">
              <c:v>Sensitivity - StreamLine-eGLTM , Base Case - Policy Maker</c:v>
            </c:pt>
          </c:strCache>
        </c:strRef>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lotArea>
      <c:layout/>
      <c:lineChart>
        <c:grouping val="standard"/>
        <c:varyColors val="0"/>
        <c:ser>
          <c:idx val="0"/>
          <c:order val="0"/>
          <c:tx>
            <c:strRef>
              <c:f>Score_summary_Average!$P$3</c:f>
              <c:strCache>
                <c:ptCount val="1"/>
                <c:pt idx="0">
                  <c:v>Strategic Planning</c:v>
                </c:pt>
              </c:strCache>
            </c:strRef>
          </c:tx>
          <c:spPr>
            <a:ln w="31750" cap="rnd">
              <a:solidFill>
                <a:schemeClr val="accent1"/>
              </a:solidFill>
              <a:round/>
            </a:ln>
            <a:effectLst/>
          </c:spPr>
          <c:marker>
            <c:symbol val="none"/>
          </c:marker>
          <c:cat>
            <c:strRef>
              <c:f>Score_summary_Average!$V$2:$Y$2</c:f>
              <c:strCache>
                <c:ptCount val="4"/>
                <c:pt idx="0">
                  <c:v>Policy Maker</c:v>
                </c:pt>
                <c:pt idx="1">
                  <c:v>Mobility Consultant</c:v>
                </c:pt>
                <c:pt idx="2">
                  <c:v>Scientific Researcher</c:v>
                </c:pt>
                <c:pt idx="3">
                  <c:v>Model Developer</c:v>
                </c:pt>
              </c:strCache>
            </c:strRef>
          </c:cat>
          <c:val>
            <c:numRef>
              <c:f>Score_summary_Average!$V$3:$Y$3</c:f>
              <c:numCache>
                <c:formatCode>0.0%</c:formatCode>
                <c:ptCount val="4"/>
                <c:pt idx="0">
                  <c:v>0</c:v>
                </c:pt>
                <c:pt idx="1">
                  <c:v>4.044422876239271E-3</c:v>
                </c:pt>
                <c:pt idx="2">
                  <c:v>-8.5944940038863509E-4</c:v>
                </c:pt>
                <c:pt idx="3">
                  <c:v>-2.783713466722734E-3</c:v>
                </c:pt>
              </c:numCache>
            </c:numRef>
          </c:val>
          <c:smooth val="0"/>
          <c:extLst>
            <c:ext xmlns:c16="http://schemas.microsoft.com/office/drawing/2014/chart" uri="{C3380CC4-5D6E-409C-BE32-E72D297353CC}">
              <c16:uniqueId val="{00000000-2A3B-462B-A244-F108AAF32E0B}"/>
            </c:ext>
          </c:extLst>
        </c:ser>
        <c:ser>
          <c:idx val="1"/>
          <c:order val="1"/>
          <c:tx>
            <c:strRef>
              <c:f>Score_summary_Average!$P$4</c:f>
              <c:strCache>
                <c:ptCount val="1"/>
                <c:pt idx="0">
                  <c:v>Tactical Planning</c:v>
                </c:pt>
              </c:strCache>
            </c:strRef>
          </c:tx>
          <c:spPr>
            <a:ln w="31750" cap="rnd">
              <a:solidFill>
                <a:schemeClr val="accent2"/>
              </a:solidFill>
              <a:round/>
            </a:ln>
            <a:effectLst/>
          </c:spPr>
          <c:marker>
            <c:symbol val="none"/>
          </c:marker>
          <c:val>
            <c:numRef>
              <c:f>Score_summary_Average!$V$4:$Y$4</c:f>
              <c:numCache>
                <c:formatCode>0.0%</c:formatCode>
                <c:ptCount val="4"/>
                <c:pt idx="0">
                  <c:v>0</c:v>
                </c:pt>
                <c:pt idx="1">
                  <c:v>6.1577261054457114E-2</c:v>
                </c:pt>
                <c:pt idx="2">
                  <c:v>-0.10529100358352073</c:v>
                </c:pt>
                <c:pt idx="3">
                  <c:v>2.1061625910468732E-2</c:v>
                </c:pt>
              </c:numCache>
            </c:numRef>
          </c:val>
          <c:smooth val="0"/>
          <c:extLst>
            <c:ext xmlns:c16="http://schemas.microsoft.com/office/drawing/2014/chart" uri="{C3380CC4-5D6E-409C-BE32-E72D297353CC}">
              <c16:uniqueId val="{00000001-2A3B-462B-A244-F108AAF32E0B}"/>
            </c:ext>
          </c:extLst>
        </c:ser>
        <c:ser>
          <c:idx val="2"/>
          <c:order val="2"/>
          <c:tx>
            <c:strRef>
              <c:f>Score_summary_Average!$P$5</c:f>
              <c:strCache>
                <c:ptCount val="1"/>
                <c:pt idx="0">
                  <c:v>Operational Planning</c:v>
                </c:pt>
              </c:strCache>
            </c:strRef>
          </c:tx>
          <c:spPr>
            <a:ln w="31750" cap="rnd">
              <a:solidFill>
                <a:schemeClr val="accent3"/>
              </a:solidFill>
              <a:round/>
            </a:ln>
            <a:effectLst/>
          </c:spPr>
          <c:marker>
            <c:symbol val="none"/>
          </c:marker>
          <c:val>
            <c:numRef>
              <c:f>Score_summary_Average!$V$5:$Y$5</c:f>
              <c:numCache>
                <c:formatCode>0.0%</c:formatCode>
                <c:ptCount val="4"/>
                <c:pt idx="0">
                  <c:v>0</c:v>
                </c:pt>
                <c:pt idx="1">
                  <c:v>8.1099531338410316E-2</c:v>
                </c:pt>
                <c:pt idx="2">
                  <c:v>-0.10875776194728017</c:v>
                </c:pt>
                <c:pt idx="3">
                  <c:v>2.9159036042569024E-2</c:v>
                </c:pt>
              </c:numCache>
            </c:numRef>
          </c:val>
          <c:smooth val="0"/>
          <c:extLst>
            <c:ext xmlns:c16="http://schemas.microsoft.com/office/drawing/2014/chart" uri="{C3380CC4-5D6E-409C-BE32-E72D297353CC}">
              <c16:uniqueId val="{00000002-2A3B-462B-A244-F108AAF32E0B}"/>
            </c:ext>
          </c:extLst>
        </c:ser>
        <c:dLbls>
          <c:showLegendKey val="0"/>
          <c:showVal val="0"/>
          <c:showCatName val="0"/>
          <c:showSerName val="0"/>
          <c:showPercent val="0"/>
          <c:showBubbleSize val="0"/>
        </c:dLbls>
        <c:smooth val="0"/>
        <c:axId val="838035168"/>
        <c:axId val="838034184"/>
      </c:lineChart>
      <c:catAx>
        <c:axId val="838035168"/>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4184"/>
        <c:crosses val="autoZero"/>
        <c:auto val="1"/>
        <c:lblAlgn val="ctr"/>
        <c:lblOffset val="100"/>
        <c:noMultiLvlLbl val="0"/>
      </c:catAx>
      <c:valAx>
        <c:axId val="838034184"/>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5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Score_summary_Average!$AE$17</c:f>
          <c:strCache>
            <c:ptCount val="1"/>
            <c:pt idx="0">
              <c:v>Sensitivity - MARPLE , Base Case - Policy Maker</c:v>
            </c:pt>
          </c:strCache>
        </c:strRef>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lotArea>
      <c:layout/>
      <c:lineChart>
        <c:grouping val="standard"/>
        <c:varyColors val="0"/>
        <c:ser>
          <c:idx val="0"/>
          <c:order val="0"/>
          <c:tx>
            <c:strRef>
              <c:f>Score_summary_Average!$P$3</c:f>
              <c:strCache>
                <c:ptCount val="1"/>
                <c:pt idx="0">
                  <c:v>Strategic Planning</c:v>
                </c:pt>
              </c:strCache>
            </c:strRef>
          </c:tx>
          <c:spPr>
            <a:ln w="31750" cap="rnd">
              <a:solidFill>
                <a:schemeClr val="accent1"/>
              </a:solidFill>
              <a:round/>
            </a:ln>
            <a:effectLst/>
          </c:spPr>
          <c:marker>
            <c:symbol val="none"/>
          </c:marker>
          <c:cat>
            <c:strRef>
              <c:f>Score_summary_Average!$V$2:$Y$2</c:f>
              <c:strCache>
                <c:ptCount val="4"/>
                <c:pt idx="0">
                  <c:v>Policy Maker</c:v>
                </c:pt>
                <c:pt idx="1">
                  <c:v>Mobility Consultant</c:v>
                </c:pt>
                <c:pt idx="2">
                  <c:v>Scientific Researcher</c:v>
                </c:pt>
                <c:pt idx="3">
                  <c:v>Model Developer</c:v>
                </c:pt>
              </c:strCache>
            </c:strRef>
          </c:cat>
          <c:val>
            <c:numRef>
              <c:f>Score_summary_Average!$V$13:$Y$13</c:f>
              <c:numCache>
                <c:formatCode>0.0%</c:formatCode>
                <c:ptCount val="4"/>
                <c:pt idx="0">
                  <c:v>0</c:v>
                </c:pt>
                <c:pt idx="1">
                  <c:v>1.8064451566373423E-2</c:v>
                </c:pt>
                <c:pt idx="2">
                  <c:v>3.7533039157667487E-2</c:v>
                </c:pt>
                <c:pt idx="3">
                  <c:v>3.393429449829883E-2</c:v>
                </c:pt>
              </c:numCache>
            </c:numRef>
          </c:val>
          <c:smooth val="0"/>
          <c:extLst>
            <c:ext xmlns:c16="http://schemas.microsoft.com/office/drawing/2014/chart" uri="{C3380CC4-5D6E-409C-BE32-E72D297353CC}">
              <c16:uniqueId val="{00000000-A801-4B01-B1EE-286B33D44E0E}"/>
            </c:ext>
          </c:extLst>
        </c:ser>
        <c:ser>
          <c:idx val="1"/>
          <c:order val="1"/>
          <c:tx>
            <c:strRef>
              <c:f>Score_summary_Average!$P$4</c:f>
              <c:strCache>
                <c:ptCount val="1"/>
                <c:pt idx="0">
                  <c:v>Tactical Planning</c:v>
                </c:pt>
              </c:strCache>
            </c:strRef>
          </c:tx>
          <c:spPr>
            <a:ln w="31750" cap="rnd">
              <a:solidFill>
                <a:schemeClr val="accent2"/>
              </a:solidFill>
              <a:round/>
            </a:ln>
            <a:effectLst/>
          </c:spPr>
          <c:marker>
            <c:symbol val="none"/>
          </c:marker>
          <c:val>
            <c:numRef>
              <c:f>Score_summary_Average!$V$14:$Y$14</c:f>
              <c:numCache>
                <c:formatCode>0.0%</c:formatCode>
                <c:ptCount val="4"/>
                <c:pt idx="0">
                  <c:v>0</c:v>
                </c:pt>
                <c:pt idx="1">
                  <c:v>7.6730517527792405E-2</c:v>
                </c:pt>
                <c:pt idx="2">
                  <c:v>-7.3603021481051564E-2</c:v>
                </c:pt>
                <c:pt idx="3">
                  <c:v>5.2289115285027998E-2</c:v>
                </c:pt>
              </c:numCache>
            </c:numRef>
          </c:val>
          <c:smooth val="0"/>
          <c:extLst>
            <c:ext xmlns:c16="http://schemas.microsoft.com/office/drawing/2014/chart" uri="{C3380CC4-5D6E-409C-BE32-E72D297353CC}">
              <c16:uniqueId val="{00000001-A801-4B01-B1EE-286B33D44E0E}"/>
            </c:ext>
          </c:extLst>
        </c:ser>
        <c:ser>
          <c:idx val="2"/>
          <c:order val="2"/>
          <c:tx>
            <c:strRef>
              <c:f>Score_summary_Average!$P$5</c:f>
              <c:strCache>
                <c:ptCount val="1"/>
                <c:pt idx="0">
                  <c:v>Operational Planning</c:v>
                </c:pt>
              </c:strCache>
            </c:strRef>
          </c:tx>
          <c:spPr>
            <a:ln w="31750" cap="rnd">
              <a:solidFill>
                <a:schemeClr val="accent3"/>
              </a:solidFill>
              <a:round/>
            </a:ln>
            <a:effectLst/>
          </c:spPr>
          <c:marker>
            <c:symbol val="none"/>
          </c:marker>
          <c:val>
            <c:numRef>
              <c:f>Score_summary_Average!$V$15:$Y$15</c:f>
              <c:numCache>
                <c:formatCode>0.0%</c:formatCode>
                <c:ptCount val="4"/>
                <c:pt idx="0">
                  <c:v>0</c:v>
                </c:pt>
                <c:pt idx="1">
                  <c:v>8.4645559028178732E-2</c:v>
                </c:pt>
                <c:pt idx="2">
                  <c:v>-6.6954518189454901E-2</c:v>
                </c:pt>
                <c:pt idx="3">
                  <c:v>4.6601687614100926E-2</c:v>
                </c:pt>
              </c:numCache>
            </c:numRef>
          </c:val>
          <c:smooth val="0"/>
          <c:extLst>
            <c:ext xmlns:c16="http://schemas.microsoft.com/office/drawing/2014/chart" uri="{C3380CC4-5D6E-409C-BE32-E72D297353CC}">
              <c16:uniqueId val="{00000002-A801-4B01-B1EE-286B33D44E0E}"/>
            </c:ext>
          </c:extLst>
        </c:ser>
        <c:dLbls>
          <c:showLegendKey val="0"/>
          <c:showVal val="0"/>
          <c:showCatName val="0"/>
          <c:showSerName val="0"/>
          <c:showPercent val="0"/>
          <c:showBubbleSize val="0"/>
        </c:dLbls>
        <c:smooth val="0"/>
        <c:axId val="838035168"/>
        <c:axId val="838034184"/>
      </c:lineChart>
      <c:catAx>
        <c:axId val="838035168"/>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4184"/>
        <c:crosses val="autoZero"/>
        <c:auto val="1"/>
        <c:lblAlgn val="ctr"/>
        <c:lblOffset val="100"/>
        <c:noMultiLvlLbl val="0"/>
      </c:catAx>
      <c:valAx>
        <c:axId val="838034184"/>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5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Score_summary_Average!$V$17</c:f>
          <c:strCache>
            <c:ptCount val="1"/>
            <c:pt idx="0">
              <c:v>Sensitivity - StreamLine-MaDAM , Base Case - Policy Maker</c:v>
            </c:pt>
          </c:strCache>
        </c:strRef>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lotArea>
      <c:layout/>
      <c:lineChart>
        <c:grouping val="standard"/>
        <c:varyColors val="0"/>
        <c:ser>
          <c:idx val="0"/>
          <c:order val="0"/>
          <c:tx>
            <c:strRef>
              <c:f>Score_summary_Average!$P$3</c:f>
              <c:strCache>
                <c:ptCount val="1"/>
                <c:pt idx="0">
                  <c:v>Strategic Planning</c:v>
                </c:pt>
              </c:strCache>
            </c:strRef>
          </c:tx>
          <c:spPr>
            <a:ln w="31750" cap="rnd">
              <a:solidFill>
                <a:schemeClr val="accent1"/>
              </a:solidFill>
              <a:round/>
            </a:ln>
            <a:effectLst/>
          </c:spPr>
          <c:marker>
            <c:symbol val="none"/>
          </c:marker>
          <c:cat>
            <c:strRef>
              <c:f>Score_summary_Average!$V$2:$Y$2</c:f>
              <c:strCache>
                <c:ptCount val="4"/>
                <c:pt idx="0">
                  <c:v>Policy Maker</c:v>
                </c:pt>
                <c:pt idx="1">
                  <c:v>Mobility Consultant</c:v>
                </c:pt>
                <c:pt idx="2">
                  <c:v>Scientific Researcher</c:v>
                </c:pt>
                <c:pt idx="3">
                  <c:v>Model Developer</c:v>
                </c:pt>
              </c:strCache>
            </c:strRef>
          </c:cat>
          <c:val>
            <c:numRef>
              <c:f>Score_summary_Average!$V$8:$Y$8</c:f>
              <c:numCache>
                <c:formatCode>0.0%</c:formatCode>
                <c:ptCount val="4"/>
                <c:pt idx="0">
                  <c:v>0</c:v>
                </c:pt>
                <c:pt idx="1">
                  <c:v>2.8635010361876753E-2</c:v>
                </c:pt>
                <c:pt idx="2">
                  <c:v>-1.1158359729725361E-2</c:v>
                </c:pt>
                <c:pt idx="3">
                  <c:v>2.9348689617098474E-2</c:v>
                </c:pt>
              </c:numCache>
            </c:numRef>
          </c:val>
          <c:smooth val="0"/>
          <c:extLst>
            <c:ext xmlns:c16="http://schemas.microsoft.com/office/drawing/2014/chart" uri="{C3380CC4-5D6E-409C-BE32-E72D297353CC}">
              <c16:uniqueId val="{00000000-A8C7-4DD0-92DC-AD5DA129F701}"/>
            </c:ext>
          </c:extLst>
        </c:ser>
        <c:ser>
          <c:idx val="1"/>
          <c:order val="1"/>
          <c:tx>
            <c:strRef>
              <c:f>Score_summary_Average!$P$4</c:f>
              <c:strCache>
                <c:ptCount val="1"/>
                <c:pt idx="0">
                  <c:v>Tactical Planning</c:v>
                </c:pt>
              </c:strCache>
            </c:strRef>
          </c:tx>
          <c:spPr>
            <a:ln w="31750" cap="rnd">
              <a:solidFill>
                <a:schemeClr val="accent2"/>
              </a:solidFill>
              <a:round/>
            </a:ln>
            <a:effectLst/>
          </c:spPr>
          <c:marker>
            <c:symbol val="none"/>
          </c:marker>
          <c:val>
            <c:numRef>
              <c:f>Score_summary_Average!$V$9:$Y$9</c:f>
              <c:numCache>
                <c:formatCode>0.0%</c:formatCode>
                <c:ptCount val="4"/>
                <c:pt idx="0">
                  <c:v>0</c:v>
                </c:pt>
                <c:pt idx="1">
                  <c:v>8.3416998427760597E-2</c:v>
                </c:pt>
                <c:pt idx="2">
                  <c:v>-2.9710268817638021E-2</c:v>
                </c:pt>
                <c:pt idx="3">
                  <c:v>2.3983171414556644E-2</c:v>
                </c:pt>
              </c:numCache>
            </c:numRef>
          </c:val>
          <c:smooth val="0"/>
          <c:extLst>
            <c:ext xmlns:c16="http://schemas.microsoft.com/office/drawing/2014/chart" uri="{C3380CC4-5D6E-409C-BE32-E72D297353CC}">
              <c16:uniqueId val="{00000001-A8C7-4DD0-92DC-AD5DA129F701}"/>
            </c:ext>
          </c:extLst>
        </c:ser>
        <c:ser>
          <c:idx val="2"/>
          <c:order val="2"/>
          <c:tx>
            <c:strRef>
              <c:f>Score_summary_Average!$P$5</c:f>
              <c:strCache>
                <c:ptCount val="1"/>
                <c:pt idx="0">
                  <c:v>Operational Planning</c:v>
                </c:pt>
              </c:strCache>
            </c:strRef>
          </c:tx>
          <c:spPr>
            <a:ln w="31750" cap="rnd">
              <a:solidFill>
                <a:schemeClr val="accent3"/>
              </a:solidFill>
              <a:round/>
            </a:ln>
            <a:effectLst/>
          </c:spPr>
          <c:marker>
            <c:symbol val="none"/>
          </c:marker>
          <c:val>
            <c:numRef>
              <c:f>Score_summary_Average!$V$10:$Y$10</c:f>
              <c:numCache>
                <c:formatCode>0.0%</c:formatCode>
                <c:ptCount val="4"/>
                <c:pt idx="0">
                  <c:v>0</c:v>
                </c:pt>
                <c:pt idx="1">
                  <c:v>0.1242436928099741</c:v>
                </c:pt>
                <c:pt idx="2">
                  <c:v>-1.8177251237800507E-2</c:v>
                </c:pt>
                <c:pt idx="3">
                  <c:v>8.9835858979891825E-2</c:v>
                </c:pt>
              </c:numCache>
            </c:numRef>
          </c:val>
          <c:smooth val="0"/>
          <c:extLst>
            <c:ext xmlns:c16="http://schemas.microsoft.com/office/drawing/2014/chart" uri="{C3380CC4-5D6E-409C-BE32-E72D297353CC}">
              <c16:uniqueId val="{00000002-A8C7-4DD0-92DC-AD5DA129F701}"/>
            </c:ext>
          </c:extLst>
        </c:ser>
        <c:dLbls>
          <c:showLegendKey val="0"/>
          <c:showVal val="0"/>
          <c:showCatName val="0"/>
          <c:showSerName val="0"/>
          <c:showPercent val="0"/>
          <c:showBubbleSize val="0"/>
        </c:dLbls>
        <c:smooth val="0"/>
        <c:axId val="838035168"/>
        <c:axId val="838034184"/>
      </c:lineChart>
      <c:catAx>
        <c:axId val="838035168"/>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4184"/>
        <c:crosses val="autoZero"/>
        <c:auto val="1"/>
        <c:lblAlgn val="ctr"/>
        <c:lblOffset val="100"/>
        <c:noMultiLvlLbl val="0"/>
      </c:catAx>
      <c:valAx>
        <c:axId val="838034184"/>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38035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Score_summary_Average!$O$53</c:f>
          <c:strCache>
            <c:ptCount val="1"/>
            <c:pt idx="0">
              <c:v>Sensitivity - StreamLine-eGLTM , Base Case - Strategic Planning</c:v>
            </c:pt>
          </c:strCache>
        </c:strRef>
      </c:tx>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Score_summary_Average!$V$38</c:f>
              <c:strCache>
                <c:ptCount val="1"/>
                <c:pt idx="0">
                  <c:v>Policy Maker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Score_summary_Average!$P$39:$P$41</c:f>
              <c:strCache>
                <c:ptCount val="3"/>
                <c:pt idx="0">
                  <c:v>Strategic Planning</c:v>
                </c:pt>
                <c:pt idx="1">
                  <c:v>Tactical Planning</c:v>
                </c:pt>
                <c:pt idx="2">
                  <c:v>Operational Planning</c:v>
                </c:pt>
              </c:strCache>
            </c:strRef>
          </c:cat>
          <c:val>
            <c:numRef>
              <c:f>Score_summary_Average!$V$39:$V$41</c:f>
              <c:numCache>
                <c:formatCode>0.0%</c:formatCode>
                <c:ptCount val="3"/>
                <c:pt idx="0">
                  <c:v>0</c:v>
                </c:pt>
                <c:pt idx="1">
                  <c:v>-1.8600892199597053E-3</c:v>
                </c:pt>
                <c:pt idx="2">
                  <c:v>-5.462276406846369E-2</c:v>
                </c:pt>
              </c:numCache>
            </c:numRef>
          </c:val>
          <c:smooth val="0"/>
          <c:extLst>
            <c:ext xmlns:c16="http://schemas.microsoft.com/office/drawing/2014/chart" uri="{C3380CC4-5D6E-409C-BE32-E72D297353CC}">
              <c16:uniqueId val="{00000000-2858-4375-9D36-589785408FDA}"/>
            </c:ext>
          </c:extLst>
        </c:ser>
        <c:ser>
          <c:idx val="1"/>
          <c:order val="1"/>
          <c:tx>
            <c:strRef>
              <c:f>Score_summary_Average!$W$38</c:f>
              <c:strCache>
                <c:ptCount val="1"/>
                <c:pt idx="0">
                  <c:v>Mobility Consultant</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Score_summary_Average!$W$39:$W$41</c:f>
              <c:numCache>
                <c:formatCode>0.0%</c:formatCode>
                <c:ptCount val="3"/>
                <c:pt idx="0">
                  <c:v>0</c:v>
                </c:pt>
                <c:pt idx="1">
                  <c:v>5.5334413988995711E-2</c:v>
                </c:pt>
                <c:pt idx="2">
                  <c:v>1.7929947537356532E-2</c:v>
                </c:pt>
              </c:numCache>
            </c:numRef>
          </c:val>
          <c:smooth val="0"/>
          <c:extLst>
            <c:ext xmlns:c16="http://schemas.microsoft.com/office/drawing/2014/chart" uri="{C3380CC4-5D6E-409C-BE32-E72D297353CC}">
              <c16:uniqueId val="{00000002-2858-4375-9D36-589785408FDA}"/>
            </c:ext>
          </c:extLst>
        </c:ser>
        <c:ser>
          <c:idx val="2"/>
          <c:order val="2"/>
          <c:tx>
            <c:strRef>
              <c:f>Score_summary_Average!$X$38</c:f>
              <c:strCache>
                <c:ptCount val="1"/>
                <c:pt idx="0">
                  <c:v>Scientific Researcher</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Score_summary_Average!$X$39:$X$41</c:f>
              <c:numCache>
                <c:formatCode>0.0%</c:formatCode>
                <c:ptCount val="3"/>
                <c:pt idx="0">
                  <c:v>0</c:v>
                </c:pt>
                <c:pt idx="1">
                  <c:v>-0.10618705514323924</c:v>
                </c:pt>
                <c:pt idx="2">
                  <c:v>-0.15671511575616326</c:v>
                </c:pt>
              </c:numCache>
            </c:numRef>
          </c:val>
          <c:smooth val="0"/>
          <c:extLst>
            <c:ext xmlns:c16="http://schemas.microsoft.com/office/drawing/2014/chart" uri="{C3380CC4-5D6E-409C-BE32-E72D297353CC}">
              <c16:uniqueId val="{00000003-2858-4375-9D36-589785408FDA}"/>
            </c:ext>
          </c:extLst>
        </c:ser>
        <c:ser>
          <c:idx val="3"/>
          <c:order val="3"/>
          <c:tx>
            <c:strRef>
              <c:f>Score_summary_Average!$Y$38</c:f>
              <c:strCache>
                <c:ptCount val="1"/>
                <c:pt idx="0">
                  <c:v>Model Developer</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val>
            <c:numRef>
              <c:f>Score_summary_Average!$Y$39:$Y$41</c:f>
              <c:numCache>
                <c:formatCode>0.0%</c:formatCode>
                <c:ptCount val="3"/>
                <c:pt idx="0">
                  <c:v>0</c:v>
                </c:pt>
                <c:pt idx="1">
                  <c:v>2.2007335770872941E-2</c:v>
                </c:pt>
                <c:pt idx="2">
                  <c:v>-2.4340518735179145E-2</c:v>
                </c:pt>
              </c:numCache>
            </c:numRef>
          </c:val>
          <c:smooth val="0"/>
          <c:extLst>
            <c:ext xmlns:c16="http://schemas.microsoft.com/office/drawing/2014/chart" uri="{C3380CC4-5D6E-409C-BE32-E72D297353CC}">
              <c16:uniqueId val="{00000004-2858-4375-9D36-589785408FDA}"/>
            </c:ext>
          </c:extLst>
        </c:ser>
        <c:dLbls>
          <c:showLegendKey val="0"/>
          <c:showVal val="0"/>
          <c:showCatName val="0"/>
          <c:showSerName val="0"/>
          <c:showPercent val="0"/>
          <c:showBubbleSize val="0"/>
        </c:dLbls>
        <c:marker val="1"/>
        <c:smooth val="0"/>
        <c:axId val="821502840"/>
        <c:axId val="821504152"/>
      </c:lineChart>
      <c:catAx>
        <c:axId val="821502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4152"/>
        <c:crosses val="autoZero"/>
        <c:auto val="1"/>
        <c:lblAlgn val="ctr"/>
        <c:lblOffset val="100"/>
        <c:noMultiLvlLbl val="0"/>
      </c:catAx>
      <c:valAx>
        <c:axId val="8215041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28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b="1"/>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Score_summary_Average!$V$53</c:f>
          <c:strCache>
            <c:ptCount val="1"/>
            <c:pt idx="0">
              <c:v>Sensitivity - StreamLine-MaDAM , Base Case - Strategic Planning</c:v>
            </c:pt>
          </c:strCache>
        </c:strRef>
      </c:tx>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Score_summary_Average!$V$38</c:f>
              <c:strCache>
                <c:ptCount val="1"/>
                <c:pt idx="0">
                  <c:v>Policy Maker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Score_summary_Average!$P$39:$P$41</c:f>
              <c:strCache>
                <c:ptCount val="3"/>
                <c:pt idx="0">
                  <c:v>Strategic Planning</c:v>
                </c:pt>
                <c:pt idx="1">
                  <c:v>Tactical Planning</c:v>
                </c:pt>
                <c:pt idx="2">
                  <c:v>Operational Planning</c:v>
                </c:pt>
              </c:strCache>
            </c:strRef>
          </c:cat>
          <c:val>
            <c:numRef>
              <c:f>Score_summary_Average!$V$44:$V$46</c:f>
              <c:numCache>
                <c:formatCode>0.0%</c:formatCode>
                <c:ptCount val="3"/>
                <c:pt idx="0">
                  <c:v>0</c:v>
                </c:pt>
                <c:pt idx="1">
                  <c:v>6.3811687974150447E-2</c:v>
                </c:pt>
                <c:pt idx="2">
                  <c:v>4.1259915176997265E-2</c:v>
                </c:pt>
              </c:numCache>
            </c:numRef>
          </c:val>
          <c:smooth val="0"/>
          <c:extLst>
            <c:ext xmlns:c16="http://schemas.microsoft.com/office/drawing/2014/chart" uri="{C3380CC4-5D6E-409C-BE32-E72D297353CC}">
              <c16:uniqueId val="{00000000-D2F4-4837-BF28-B59580D7DE9C}"/>
            </c:ext>
          </c:extLst>
        </c:ser>
        <c:ser>
          <c:idx val="1"/>
          <c:order val="1"/>
          <c:tx>
            <c:strRef>
              <c:f>Score_summary_Average!$W$38</c:f>
              <c:strCache>
                <c:ptCount val="1"/>
                <c:pt idx="0">
                  <c:v>Mobility Consultant</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Score_summary_Average!$W$44:$W$46</c:f>
              <c:numCache>
                <c:formatCode>0.0%</c:formatCode>
                <c:ptCount val="3"/>
                <c:pt idx="0">
                  <c:v>0</c:v>
                </c:pt>
                <c:pt idx="1">
                  <c:v>0.12046707944721083</c:v>
                </c:pt>
                <c:pt idx="2">
                  <c:v>0.13804204642204124</c:v>
                </c:pt>
              </c:numCache>
            </c:numRef>
          </c:val>
          <c:smooth val="0"/>
          <c:extLst>
            <c:ext xmlns:c16="http://schemas.microsoft.com/office/drawing/2014/chart" uri="{C3380CC4-5D6E-409C-BE32-E72D297353CC}">
              <c16:uniqueId val="{00000001-D2F4-4837-BF28-B59580D7DE9C}"/>
            </c:ext>
          </c:extLst>
        </c:ser>
        <c:ser>
          <c:idx val="2"/>
          <c:order val="2"/>
          <c:tx>
            <c:strRef>
              <c:f>Score_summary_Average!$X$38</c:f>
              <c:strCache>
                <c:ptCount val="1"/>
                <c:pt idx="0">
                  <c:v>Scientific Researcher</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Score_summary_Average!$X$44:$X$46</c:f>
              <c:numCache>
                <c:formatCode>0.0%</c:formatCode>
                <c:ptCount val="3"/>
                <c:pt idx="0">
                  <c:v>0</c:v>
                </c:pt>
                <c:pt idx="1">
                  <c:v>4.3853246785770586E-2</c:v>
                </c:pt>
                <c:pt idx="2">
                  <c:v>3.3868953794811453E-2</c:v>
                </c:pt>
              </c:numCache>
            </c:numRef>
          </c:val>
          <c:smooth val="0"/>
          <c:extLst>
            <c:ext xmlns:c16="http://schemas.microsoft.com/office/drawing/2014/chart" uri="{C3380CC4-5D6E-409C-BE32-E72D297353CC}">
              <c16:uniqueId val="{00000002-D2F4-4837-BF28-B59580D7DE9C}"/>
            </c:ext>
          </c:extLst>
        </c:ser>
        <c:ser>
          <c:idx val="3"/>
          <c:order val="3"/>
          <c:tx>
            <c:strRef>
              <c:f>Score_summary_Average!$Y$38</c:f>
              <c:strCache>
                <c:ptCount val="1"/>
                <c:pt idx="0">
                  <c:v>Model Developer</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val>
            <c:numRef>
              <c:f>Score_summary_Average!$Y$44:$Y$46</c:f>
              <c:numCache>
                <c:formatCode>0.0%</c:formatCode>
                <c:ptCount val="3"/>
                <c:pt idx="0">
                  <c:v>0</c:v>
                </c:pt>
                <c:pt idx="1">
                  <c:v>5.8266530115130576E-2</c:v>
                </c:pt>
                <c:pt idx="2">
                  <c:v>0.10244701870692696</c:v>
                </c:pt>
              </c:numCache>
            </c:numRef>
          </c:val>
          <c:smooth val="0"/>
          <c:extLst>
            <c:ext xmlns:c16="http://schemas.microsoft.com/office/drawing/2014/chart" uri="{C3380CC4-5D6E-409C-BE32-E72D297353CC}">
              <c16:uniqueId val="{00000003-D2F4-4837-BF28-B59580D7DE9C}"/>
            </c:ext>
          </c:extLst>
        </c:ser>
        <c:dLbls>
          <c:showLegendKey val="0"/>
          <c:showVal val="0"/>
          <c:showCatName val="0"/>
          <c:showSerName val="0"/>
          <c:showPercent val="0"/>
          <c:showBubbleSize val="0"/>
        </c:dLbls>
        <c:marker val="1"/>
        <c:smooth val="0"/>
        <c:axId val="821502840"/>
        <c:axId val="821504152"/>
      </c:lineChart>
      <c:catAx>
        <c:axId val="821502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4152"/>
        <c:crosses val="autoZero"/>
        <c:auto val="1"/>
        <c:lblAlgn val="ctr"/>
        <c:lblOffset val="100"/>
        <c:noMultiLvlLbl val="0"/>
      </c:catAx>
      <c:valAx>
        <c:axId val="8215041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28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b="1"/>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Score_summary_Average!$AE$53</c:f>
          <c:strCache>
            <c:ptCount val="1"/>
            <c:pt idx="0">
              <c:v>Sensitivity - MARPLE , Base Case - Strategic Planning</c:v>
            </c:pt>
          </c:strCache>
        </c:strRef>
      </c:tx>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Score_summary_Average!$V$38</c:f>
              <c:strCache>
                <c:ptCount val="1"/>
                <c:pt idx="0">
                  <c:v>Policy Maker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Score_summary_Average!$P$39:$P$41</c:f>
              <c:strCache>
                <c:ptCount val="3"/>
                <c:pt idx="0">
                  <c:v>Strategic Planning</c:v>
                </c:pt>
                <c:pt idx="1">
                  <c:v>Tactical Planning</c:v>
                </c:pt>
                <c:pt idx="2">
                  <c:v>Operational Planning</c:v>
                </c:pt>
              </c:strCache>
            </c:strRef>
          </c:cat>
          <c:val>
            <c:numRef>
              <c:f>Score_summary_Average!$V$49:$V$52</c:f>
              <c:numCache>
                <c:formatCode>0.0%</c:formatCode>
                <c:ptCount val="4"/>
                <c:pt idx="0">
                  <c:v>0</c:v>
                </c:pt>
                <c:pt idx="1">
                  <c:v>1.085342728463292E-2</c:v>
                </c:pt>
                <c:pt idx="2">
                  <c:v>-1.0769895013273178E-2</c:v>
                </c:pt>
              </c:numCache>
            </c:numRef>
          </c:val>
          <c:smooth val="0"/>
          <c:extLst>
            <c:ext xmlns:c16="http://schemas.microsoft.com/office/drawing/2014/chart" uri="{C3380CC4-5D6E-409C-BE32-E72D297353CC}">
              <c16:uniqueId val="{00000000-7163-4647-917A-C699245A1F48}"/>
            </c:ext>
          </c:extLst>
        </c:ser>
        <c:ser>
          <c:idx val="1"/>
          <c:order val="1"/>
          <c:tx>
            <c:strRef>
              <c:f>Score_summary_Average!$W$38</c:f>
              <c:strCache>
                <c:ptCount val="1"/>
                <c:pt idx="0">
                  <c:v>Mobility Consultant</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Score_summary_Average!$W$49:$W$52</c:f>
              <c:numCache>
                <c:formatCode>0.0%</c:formatCode>
                <c:ptCount val="4"/>
                <c:pt idx="0">
                  <c:v>0</c:v>
                </c:pt>
                <c:pt idx="1">
                  <c:v>6.9103957249768852E-2</c:v>
                </c:pt>
                <c:pt idx="2">
                  <c:v>5.3925454896290144E-2</c:v>
                </c:pt>
              </c:numCache>
            </c:numRef>
          </c:val>
          <c:smooth val="0"/>
          <c:extLst>
            <c:ext xmlns:c16="http://schemas.microsoft.com/office/drawing/2014/chart" uri="{C3380CC4-5D6E-409C-BE32-E72D297353CC}">
              <c16:uniqueId val="{00000001-7163-4647-917A-C699245A1F48}"/>
            </c:ext>
          </c:extLst>
        </c:ser>
        <c:ser>
          <c:idx val="2"/>
          <c:order val="2"/>
          <c:tx>
            <c:strRef>
              <c:f>Score_summary_Average!$X$38</c:f>
              <c:strCache>
                <c:ptCount val="1"/>
                <c:pt idx="0">
                  <c:v>Scientific Researcher</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Score_summary_Average!$X$49:$X$52</c:f>
              <c:numCache>
                <c:formatCode>0.0%</c:formatCode>
                <c:ptCount val="4"/>
                <c:pt idx="0">
                  <c:v>0</c:v>
                </c:pt>
                <c:pt idx="1">
                  <c:v>-9.7424828492906693E-2</c:v>
                </c:pt>
                <c:pt idx="2">
                  <c:v>-0.11039297536184335</c:v>
                </c:pt>
              </c:numCache>
            </c:numRef>
          </c:val>
          <c:smooth val="0"/>
          <c:extLst>
            <c:ext xmlns:c16="http://schemas.microsoft.com/office/drawing/2014/chart" uri="{C3380CC4-5D6E-409C-BE32-E72D297353CC}">
              <c16:uniqueId val="{00000002-7163-4647-917A-C699245A1F48}"/>
            </c:ext>
          </c:extLst>
        </c:ser>
        <c:ser>
          <c:idx val="3"/>
          <c:order val="3"/>
          <c:tx>
            <c:strRef>
              <c:f>Score_summary_Average!$Y$38</c:f>
              <c:strCache>
                <c:ptCount val="1"/>
                <c:pt idx="0">
                  <c:v>Model Developer</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val>
            <c:numRef>
              <c:f>Score_summary_Average!$Y$49:$Y$52</c:f>
              <c:numCache>
                <c:formatCode>0.0%</c:formatCode>
                <c:ptCount val="4"/>
                <c:pt idx="0">
                  <c:v>0</c:v>
                </c:pt>
                <c:pt idx="1">
                  <c:v>2.8798507158846274E-2</c:v>
                </c:pt>
                <c:pt idx="2">
                  <c:v>1.3497983642770037E-3</c:v>
                </c:pt>
              </c:numCache>
            </c:numRef>
          </c:val>
          <c:smooth val="0"/>
          <c:extLst>
            <c:ext xmlns:c16="http://schemas.microsoft.com/office/drawing/2014/chart" uri="{C3380CC4-5D6E-409C-BE32-E72D297353CC}">
              <c16:uniqueId val="{00000003-7163-4647-917A-C699245A1F48}"/>
            </c:ext>
          </c:extLst>
        </c:ser>
        <c:dLbls>
          <c:showLegendKey val="0"/>
          <c:showVal val="0"/>
          <c:showCatName val="0"/>
          <c:showSerName val="0"/>
          <c:showPercent val="0"/>
          <c:showBubbleSize val="0"/>
        </c:dLbls>
        <c:marker val="1"/>
        <c:smooth val="0"/>
        <c:axId val="821502840"/>
        <c:axId val="821504152"/>
      </c:lineChart>
      <c:catAx>
        <c:axId val="821502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4152"/>
        <c:crosses val="autoZero"/>
        <c:auto val="1"/>
        <c:lblAlgn val="ctr"/>
        <c:lblOffset val="100"/>
        <c:noMultiLvlLbl val="0"/>
      </c:catAx>
      <c:valAx>
        <c:axId val="8215041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15028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b="1"/>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Comparison</a:t>
            </a:r>
            <a:r>
              <a:rPr lang="en-US" b="1" baseline="0"/>
              <a:t> of Standaradization techniques - Standardized Scores</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Standardization!$C$52</c:f>
              <c:strCache>
                <c:ptCount val="1"/>
                <c:pt idx="0">
                  <c:v>MARPLE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Standardization!$B$53:$B$58</c:f>
            </c:multiLvlStrRef>
          </c:cat>
          <c:val>
            <c:numRef>
              <c:f>Standardization!$C$53:$C$58</c:f>
            </c:numRef>
          </c:val>
          <c:extLst>
            <c:ext xmlns:c16="http://schemas.microsoft.com/office/drawing/2014/chart" uri="{C3380CC4-5D6E-409C-BE32-E72D297353CC}">
              <c16:uniqueId val="{00000000-38D1-4387-A205-B108F37D84D6}"/>
            </c:ext>
          </c:extLst>
        </c:ser>
        <c:ser>
          <c:idx val="1"/>
          <c:order val="1"/>
          <c:tx>
            <c:strRef>
              <c:f>Standardization!$D$52</c:f>
              <c:strCache>
                <c:ptCount val="1"/>
                <c:pt idx="0">
                  <c:v>StreamLine-MaDAM</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Standardization!$B$53:$B$58</c:f>
            </c:multiLvlStrRef>
          </c:cat>
          <c:val>
            <c:numRef>
              <c:f>Standardization!$D$53:$D$58</c:f>
            </c:numRef>
          </c:val>
          <c:extLst>
            <c:ext xmlns:c16="http://schemas.microsoft.com/office/drawing/2014/chart" uri="{C3380CC4-5D6E-409C-BE32-E72D297353CC}">
              <c16:uniqueId val="{00000001-38D1-4387-A205-B108F37D84D6}"/>
            </c:ext>
          </c:extLst>
        </c:ser>
        <c:ser>
          <c:idx val="2"/>
          <c:order val="2"/>
          <c:tx>
            <c:strRef>
              <c:f>Standardization!$E$52</c:f>
              <c:strCache>
                <c:ptCount val="1"/>
                <c:pt idx="0">
                  <c:v>StreamLine-eGLTM</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Standardization!$B$53:$B$58</c:f>
            </c:multiLvlStrRef>
          </c:cat>
          <c:val>
            <c:numRef>
              <c:f>Standardization!$E$53:$E$58</c:f>
            </c:numRef>
          </c:val>
          <c:extLst>
            <c:ext xmlns:c16="http://schemas.microsoft.com/office/drawing/2014/chart" uri="{C3380CC4-5D6E-409C-BE32-E72D297353CC}">
              <c16:uniqueId val="{00000002-38D1-4387-A205-B108F37D84D6}"/>
            </c:ext>
          </c:extLst>
        </c:ser>
        <c:dLbls>
          <c:dLblPos val="outEnd"/>
          <c:showLegendKey val="0"/>
          <c:showVal val="1"/>
          <c:showCatName val="0"/>
          <c:showSerName val="0"/>
          <c:showPercent val="0"/>
          <c:showBubbleSize val="0"/>
        </c:dLbls>
        <c:gapWidth val="219"/>
        <c:overlap val="-27"/>
        <c:axId val="793079136"/>
        <c:axId val="793084712"/>
      </c:barChart>
      <c:catAx>
        <c:axId val="793079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793084712"/>
        <c:crosses val="autoZero"/>
        <c:auto val="1"/>
        <c:lblAlgn val="ctr"/>
        <c:lblOffset val="100"/>
        <c:noMultiLvlLbl val="0"/>
      </c:catAx>
      <c:valAx>
        <c:axId val="79308471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30791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Comparison of Normalization techniques - Final Scores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Standardization!$C$85</c:f>
              <c:strCache>
                <c:ptCount val="1"/>
                <c:pt idx="0">
                  <c:v>MARPLE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Standardization!$B$86:$B$88</c:f>
              <c:strCache>
                <c:ptCount val="3"/>
                <c:pt idx="0">
                  <c:v>linear Max</c:v>
                </c:pt>
                <c:pt idx="1">
                  <c:v>linear Sum</c:v>
                </c:pt>
                <c:pt idx="2">
                  <c:v>Vector</c:v>
                </c:pt>
              </c:strCache>
            </c:strRef>
          </c:cat>
          <c:val>
            <c:numRef>
              <c:f>Standardization!$C$86:$C$88</c:f>
              <c:numCache>
                <c:formatCode>0.0</c:formatCode>
                <c:ptCount val="3"/>
                <c:pt idx="0">
                  <c:v>34.717576913342569</c:v>
                </c:pt>
                <c:pt idx="1">
                  <c:v>18.638279943548287</c:v>
                </c:pt>
                <c:pt idx="2">
                  <c:v>27.172149225491246</c:v>
                </c:pt>
              </c:numCache>
            </c:numRef>
          </c:val>
          <c:extLst>
            <c:ext xmlns:c16="http://schemas.microsoft.com/office/drawing/2014/chart" uri="{C3380CC4-5D6E-409C-BE32-E72D297353CC}">
              <c16:uniqueId val="{00000000-5A76-4879-84E1-FD9F220818A7}"/>
            </c:ext>
          </c:extLst>
        </c:ser>
        <c:ser>
          <c:idx val="1"/>
          <c:order val="1"/>
          <c:tx>
            <c:strRef>
              <c:f>Standardization!$D$85</c:f>
              <c:strCache>
                <c:ptCount val="1"/>
                <c:pt idx="0">
                  <c:v>StreamLine-MaDAM</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Standardization!$B$86:$B$88</c:f>
              <c:strCache>
                <c:ptCount val="3"/>
                <c:pt idx="0">
                  <c:v>linear Max</c:v>
                </c:pt>
                <c:pt idx="1">
                  <c:v>linear Sum</c:v>
                </c:pt>
                <c:pt idx="2">
                  <c:v>Vector</c:v>
                </c:pt>
              </c:strCache>
            </c:strRef>
          </c:cat>
          <c:val>
            <c:numRef>
              <c:f>Standardization!$D$86:$D$88</c:f>
              <c:numCache>
                <c:formatCode>0.0</c:formatCode>
                <c:ptCount val="3"/>
                <c:pt idx="0">
                  <c:v>31.290579866349532</c:v>
                </c:pt>
                <c:pt idx="1">
                  <c:v>16.570158046779078</c:v>
                </c:pt>
                <c:pt idx="2">
                  <c:v>23.233351060355421</c:v>
                </c:pt>
              </c:numCache>
            </c:numRef>
          </c:val>
          <c:extLst>
            <c:ext xmlns:c16="http://schemas.microsoft.com/office/drawing/2014/chart" uri="{C3380CC4-5D6E-409C-BE32-E72D297353CC}">
              <c16:uniqueId val="{00000001-5A76-4879-84E1-FD9F220818A7}"/>
            </c:ext>
          </c:extLst>
        </c:ser>
        <c:ser>
          <c:idx val="2"/>
          <c:order val="2"/>
          <c:tx>
            <c:strRef>
              <c:f>Standardization!$E$85</c:f>
              <c:strCache>
                <c:ptCount val="1"/>
                <c:pt idx="0">
                  <c:v>StreamLine-eGLTM</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Standardization!$B$86:$B$88</c:f>
              <c:strCache>
                <c:ptCount val="3"/>
                <c:pt idx="0">
                  <c:v>linear Max</c:v>
                </c:pt>
                <c:pt idx="1">
                  <c:v>linear Sum</c:v>
                </c:pt>
                <c:pt idx="2">
                  <c:v>Vector</c:v>
                </c:pt>
              </c:strCache>
            </c:strRef>
          </c:cat>
          <c:val>
            <c:numRef>
              <c:f>Standardization!$E$86:$E$88</c:f>
              <c:numCache>
                <c:formatCode>0.0</c:formatCode>
                <c:ptCount val="3"/>
                <c:pt idx="0">
                  <c:v>33.554419649232436</c:v>
                </c:pt>
                <c:pt idx="1">
                  <c:v>10.970133438244066</c:v>
                </c:pt>
                <c:pt idx="2">
                  <c:v>25.815684466636394</c:v>
                </c:pt>
              </c:numCache>
            </c:numRef>
          </c:val>
          <c:extLst>
            <c:ext xmlns:c16="http://schemas.microsoft.com/office/drawing/2014/chart" uri="{C3380CC4-5D6E-409C-BE32-E72D297353CC}">
              <c16:uniqueId val="{00000002-5A76-4879-84E1-FD9F220818A7}"/>
            </c:ext>
          </c:extLst>
        </c:ser>
        <c:dLbls>
          <c:dLblPos val="outEnd"/>
          <c:showLegendKey val="0"/>
          <c:showVal val="1"/>
          <c:showCatName val="0"/>
          <c:showSerName val="0"/>
          <c:showPercent val="0"/>
          <c:showBubbleSize val="0"/>
        </c:dLbls>
        <c:gapWidth val="219"/>
        <c:overlap val="-27"/>
        <c:axId val="793079136"/>
        <c:axId val="793084712"/>
      </c:barChart>
      <c:catAx>
        <c:axId val="793079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793084712"/>
        <c:crosses val="autoZero"/>
        <c:auto val="1"/>
        <c:lblAlgn val="ctr"/>
        <c:lblOffset val="100"/>
        <c:noMultiLvlLbl val="0"/>
      </c:catAx>
      <c:valAx>
        <c:axId val="79308471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30791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Visualization!$L$13</c:f>
          <c:strCache>
            <c:ptCount val="1"/>
            <c:pt idx="0">
              <c:v>Model User Weights - Operational Planning</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Visualization!$L$6</c:f>
              <c:strCache>
                <c:ptCount val="1"/>
                <c:pt idx="0">
                  <c:v>Conceptual Validation</c:v>
                </c:pt>
              </c:strCache>
            </c:strRef>
          </c:tx>
          <c:spPr>
            <a:solidFill>
              <a:schemeClr val="accent1"/>
            </a:solidFill>
            <a:ln>
              <a:noFill/>
            </a:ln>
            <a:effectLst/>
          </c:spPr>
          <c:invertIfNegative val="0"/>
          <c:cat>
            <c:strRef>
              <c:f>Visualization!$M$5:$P$5</c:f>
              <c:strCache>
                <c:ptCount val="4"/>
                <c:pt idx="0">
                  <c:v>Policy Maker</c:v>
                </c:pt>
                <c:pt idx="1">
                  <c:v>Mobility Consultant</c:v>
                </c:pt>
                <c:pt idx="2">
                  <c:v>Scientific Researcher</c:v>
                </c:pt>
                <c:pt idx="3">
                  <c:v>Model Developer</c:v>
                </c:pt>
              </c:strCache>
            </c:strRef>
          </c:cat>
          <c:val>
            <c:numRef>
              <c:f>Visualization!$M$6:$P$6</c:f>
              <c:numCache>
                <c:formatCode>0</c:formatCode>
                <c:ptCount val="4"/>
                <c:pt idx="0">
                  <c:v>5.8571428571428568</c:v>
                </c:pt>
                <c:pt idx="1">
                  <c:v>6.3492063492063489</c:v>
                </c:pt>
                <c:pt idx="2">
                  <c:v>6.0952380952380958</c:v>
                </c:pt>
                <c:pt idx="3">
                  <c:v>6.1071428571428568</c:v>
                </c:pt>
              </c:numCache>
            </c:numRef>
          </c:val>
          <c:extLst>
            <c:ext xmlns:c16="http://schemas.microsoft.com/office/drawing/2014/chart" uri="{C3380CC4-5D6E-409C-BE32-E72D297353CC}">
              <c16:uniqueId val="{00000000-765C-40F0-801D-15EEAFF3E248}"/>
            </c:ext>
          </c:extLst>
        </c:ser>
        <c:ser>
          <c:idx val="1"/>
          <c:order val="1"/>
          <c:tx>
            <c:strRef>
              <c:f>Visualization!$L$7</c:f>
              <c:strCache>
                <c:ptCount val="1"/>
                <c:pt idx="0">
                  <c:v>Model robustness</c:v>
                </c:pt>
              </c:strCache>
            </c:strRef>
          </c:tx>
          <c:spPr>
            <a:solidFill>
              <a:schemeClr val="accent2"/>
            </a:solidFill>
            <a:ln>
              <a:noFill/>
            </a:ln>
            <a:effectLst/>
          </c:spPr>
          <c:invertIfNegative val="0"/>
          <c:cat>
            <c:strRef>
              <c:f>Visualization!$M$5:$P$5</c:f>
              <c:strCache>
                <c:ptCount val="4"/>
                <c:pt idx="0">
                  <c:v>Policy Maker</c:v>
                </c:pt>
                <c:pt idx="1">
                  <c:v>Mobility Consultant</c:v>
                </c:pt>
                <c:pt idx="2">
                  <c:v>Scientific Researcher</c:v>
                </c:pt>
                <c:pt idx="3">
                  <c:v>Model Developer</c:v>
                </c:pt>
              </c:strCache>
            </c:strRef>
          </c:cat>
          <c:val>
            <c:numRef>
              <c:f>Visualization!$M$7:$P$7</c:f>
              <c:numCache>
                <c:formatCode>0</c:formatCode>
                <c:ptCount val="4"/>
                <c:pt idx="0">
                  <c:v>10</c:v>
                </c:pt>
                <c:pt idx="1">
                  <c:v>9.7222222222222214</c:v>
                </c:pt>
                <c:pt idx="2">
                  <c:v>7.666666666666667</c:v>
                </c:pt>
                <c:pt idx="3">
                  <c:v>8.5</c:v>
                </c:pt>
              </c:numCache>
            </c:numRef>
          </c:val>
          <c:extLst>
            <c:ext xmlns:c16="http://schemas.microsoft.com/office/drawing/2014/chart" uri="{C3380CC4-5D6E-409C-BE32-E72D297353CC}">
              <c16:uniqueId val="{00000001-765C-40F0-801D-15EEAFF3E248}"/>
            </c:ext>
          </c:extLst>
        </c:ser>
        <c:ser>
          <c:idx val="2"/>
          <c:order val="2"/>
          <c:tx>
            <c:strRef>
              <c:f>Visualization!$L$8</c:f>
              <c:strCache>
                <c:ptCount val="1"/>
                <c:pt idx="0">
                  <c:v>Applicability</c:v>
                </c:pt>
              </c:strCache>
            </c:strRef>
          </c:tx>
          <c:spPr>
            <a:solidFill>
              <a:schemeClr val="accent3"/>
            </a:solidFill>
            <a:ln>
              <a:noFill/>
            </a:ln>
            <a:effectLst/>
          </c:spPr>
          <c:invertIfNegative val="0"/>
          <c:cat>
            <c:strRef>
              <c:f>Visualization!$M$5:$P$5</c:f>
              <c:strCache>
                <c:ptCount val="4"/>
                <c:pt idx="0">
                  <c:v>Policy Maker</c:v>
                </c:pt>
                <c:pt idx="1">
                  <c:v>Mobility Consultant</c:v>
                </c:pt>
                <c:pt idx="2">
                  <c:v>Scientific Researcher</c:v>
                </c:pt>
                <c:pt idx="3">
                  <c:v>Model Developer</c:v>
                </c:pt>
              </c:strCache>
            </c:strRef>
          </c:cat>
          <c:val>
            <c:numRef>
              <c:f>Visualization!$M$8:$P$8</c:f>
              <c:numCache>
                <c:formatCode>0</c:formatCode>
                <c:ptCount val="4"/>
                <c:pt idx="0">
                  <c:v>10</c:v>
                </c:pt>
                <c:pt idx="1">
                  <c:v>6.7777777777777777</c:v>
                </c:pt>
                <c:pt idx="2">
                  <c:v>8.6666666666666661</c:v>
                </c:pt>
                <c:pt idx="3">
                  <c:v>8.5</c:v>
                </c:pt>
              </c:numCache>
            </c:numRef>
          </c:val>
          <c:extLst>
            <c:ext xmlns:c16="http://schemas.microsoft.com/office/drawing/2014/chart" uri="{C3380CC4-5D6E-409C-BE32-E72D297353CC}">
              <c16:uniqueId val="{00000002-765C-40F0-801D-15EEAFF3E248}"/>
            </c:ext>
          </c:extLst>
        </c:ser>
        <c:ser>
          <c:idx val="3"/>
          <c:order val="3"/>
          <c:tx>
            <c:strRef>
              <c:f>Visualization!$L$9</c:f>
              <c:strCache>
                <c:ptCount val="1"/>
                <c:pt idx="0">
                  <c:v>Tractability</c:v>
                </c:pt>
              </c:strCache>
            </c:strRef>
          </c:tx>
          <c:spPr>
            <a:solidFill>
              <a:schemeClr val="accent4"/>
            </a:solidFill>
            <a:ln>
              <a:noFill/>
            </a:ln>
            <a:effectLst/>
          </c:spPr>
          <c:invertIfNegative val="0"/>
          <c:cat>
            <c:strRef>
              <c:f>Visualization!$M$5:$P$5</c:f>
              <c:strCache>
                <c:ptCount val="4"/>
                <c:pt idx="0">
                  <c:v>Policy Maker</c:v>
                </c:pt>
                <c:pt idx="1">
                  <c:v>Mobility Consultant</c:v>
                </c:pt>
                <c:pt idx="2">
                  <c:v>Scientific Researcher</c:v>
                </c:pt>
                <c:pt idx="3">
                  <c:v>Model Developer</c:v>
                </c:pt>
              </c:strCache>
            </c:strRef>
          </c:cat>
          <c:val>
            <c:numRef>
              <c:f>Visualization!$M$9:$P$9</c:f>
              <c:numCache>
                <c:formatCode>0</c:formatCode>
                <c:ptCount val="4"/>
                <c:pt idx="0">
                  <c:v>7.75</c:v>
                </c:pt>
                <c:pt idx="1">
                  <c:v>8.0555555555555554</c:v>
                </c:pt>
                <c:pt idx="2">
                  <c:v>8.3333333333333339</c:v>
                </c:pt>
                <c:pt idx="3">
                  <c:v>7.8125</c:v>
                </c:pt>
              </c:numCache>
            </c:numRef>
          </c:val>
          <c:extLst>
            <c:ext xmlns:c16="http://schemas.microsoft.com/office/drawing/2014/chart" uri="{C3380CC4-5D6E-409C-BE32-E72D297353CC}">
              <c16:uniqueId val="{00000003-765C-40F0-801D-15EEAFF3E248}"/>
            </c:ext>
          </c:extLst>
        </c:ser>
        <c:ser>
          <c:idx val="4"/>
          <c:order val="4"/>
          <c:tx>
            <c:strRef>
              <c:f>Visualization!$L$10</c:f>
              <c:strCache>
                <c:ptCount val="1"/>
                <c:pt idx="0">
                  <c:v>Integration of Network Hierarchies - Urban and Motorway roads</c:v>
                </c:pt>
              </c:strCache>
            </c:strRef>
          </c:tx>
          <c:spPr>
            <a:solidFill>
              <a:schemeClr val="accent5"/>
            </a:solidFill>
            <a:ln>
              <a:noFill/>
            </a:ln>
            <a:effectLst/>
          </c:spPr>
          <c:invertIfNegative val="0"/>
          <c:cat>
            <c:strRef>
              <c:f>Visualization!$M$5:$P$5</c:f>
              <c:strCache>
                <c:ptCount val="4"/>
                <c:pt idx="0">
                  <c:v>Policy Maker</c:v>
                </c:pt>
                <c:pt idx="1">
                  <c:v>Mobility Consultant</c:v>
                </c:pt>
                <c:pt idx="2">
                  <c:v>Scientific Researcher</c:v>
                </c:pt>
                <c:pt idx="3">
                  <c:v>Model Developer</c:v>
                </c:pt>
              </c:strCache>
            </c:strRef>
          </c:cat>
          <c:val>
            <c:numRef>
              <c:f>Visualization!$M$10:$P$10</c:f>
              <c:numCache>
                <c:formatCode>0</c:formatCode>
                <c:ptCount val="4"/>
                <c:pt idx="0">
                  <c:v>7</c:v>
                </c:pt>
                <c:pt idx="1">
                  <c:v>7.5</c:v>
                </c:pt>
                <c:pt idx="2">
                  <c:v>5</c:v>
                </c:pt>
                <c:pt idx="3">
                  <c:v>6.75</c:v>
                </c:pt>
              </c:numCache>
            </c:numRef>
          </c:val>
          <c:extLst>
            <c:ext xmlns:c16="http://schemas.microsoft.com/office/drawing/2014/chart" uri="{C3380CC4-5D6E-409C-BE32-E72D297353CC}">
              <c16:uniqueId val="{00000001-B4AE-465E-8A41-A05AD957F749}"/>
            </c:ext>
          </c:extLst>
        </c:ser>
        <c:ser>
          <c:idx val="5"/>
          <c:order val="5"/>
          <c:tx>
            <c:strRef>
              <c:f>Visualization!$L$11</c:f>
              <c:strCache>
                <c:ptCount val="1"/>
                <c:pt idx="0">
                  <c:v>Computational efficiency</c:v>
                </c:pt>
              </c:strCache>
            </c:strRef>
          </c:tx>
          <c:spPr>
            <a:solidFill>
              <a:schemeClr val="accent6"/>
            </a:solidFill>
            <a:ln>
              <a:noFill/>
            </a:ln>
            <a:effectLst/>
          </c:spPr>
          <c:invertIfNegative val="0"/>
          <c:cat>
            <c:strRef>
              <c:f>Visualization!$M$5:$P$5</c:f>
              <c:strCache>
                <c:ptCount val="4"/>
                <c:pt idx="0">
                  <c:v>Policy Maker</c:v>
                </c:pt>
                <c:pt idx="1">
                  <c:v>Mobility Consultant</c:v>
                </c:pt>
                <c:pt idx="2">
                  <c:v>Scientific Researcher</c:v>
                </c:pt>
                <c:pt idx="3">
                  <c:v>Model Developer</c:v>
                </c:pt>
              </c:strCache>
            </c:strRef>
          </c:cat>
          <c:val>
            <c:numRef>
              <c:f>Visualization!$M$11:$P$11</c:f>
              <c:numCache>
                <c:formatCode>0</c:formatCode>
                <c:ptCount val="4"/>
                <c:pt idx="0">
                  <c:v>4</c:v>
                </c:pt>
                <c:pt idx="1">
                  <c:v>6.1111111111111107</c:v>
                </c:pt>
                <c:pt idx="2">
                  <c:v>7.666666666666667</c:v>
                </c:pt>
                <c:pt idx="3">
                  <c:v>7.25</c:v>
                </c:pt>
              </c:numCache>
            </c:numRef>
          </c:val>
          <c:extLst>
            <c:ext xmlns:c16="http://schemas.microsoft.com/office/drawing/2014/chart" uri="{C3380CC4-5D6E-409C-BE32-E72D297353CC}">
              <c16:uniqueId val="{00000002-B4AE-465E-8A41-A05AD957F749}"/>
            </c:ext>
          </c:extLst>
        </c:ser>
        <c:ser>
          <c:idx val="6"/>
          <c:order val="6"/>
          <c:tx>
            <c:strRef>
              <c:f>Visualization!$L$12</c:f>
              <c:strCache>
                <c:ptCount val="1"/>
                <c:pt idx="0">
                  <c:v>Usability</c:v>
                </c:pt>
              </c:strCache>
            </c:strRef>
          </c:tx>
          <c:spPr>
            <a:solidFill>
              <a:schemeClr val="accent1">
                <a:lumMod val="60000"/>
              </a:schemeClr>
            </a:solidFill>
            <a:ln>
              <a:noFill/>
            </a:ln>
            <a:effectLst/>
          </c:spPr>
          <c:invertIfNegative val="0"/>
          <c:cat>
            <c:strRef>
              <c:f>Visualization!$M$5:$P$5</c:f>
              <c:strCache>
                <c:ptCount val="4"/>
                <c:pt idx="0">
                  <c:v>Policy Maker</c:v>
                </c:pt>
                <c:pt idx="1">
                  <c:v>Mobility Consultant</c:v>
                </c:pt>
                <c:pt idx="2">
                  <c:v>Scientific Researcher</c:v>
                </c:pt>
                <c:pt idx="3">
                  <c:v>Model Developer</c:v>
                </c:pt>
              </c:strCache>
            </c:strRef>
          </c:cat>
          <c:val>
            <c:numRef>
              <c:f>Visualization!$M$12:$P$12</c:f>
              <c:numCache>
                <c:formatCode>0</c:formatCode>
                <c:ptCount val="4"/>
                <c:pt idx="0">
                  <c:v>4</c:v>
                </c:pt>
                <c:pt idx="1">
                  <c:v>6.5555555555555562</c:v>
                </c:pt>
                <c:pt idx="2">
                  <c:v>5.333333333333333</c:v>
                </c:pt>
                <c:pt idx="3">
                  <c:v>5.25</c:v>
                </c:pt>
              </c:numCache>
            </c:numRef>
          </c:val>
          <c:extLst>
            <c:ext xmlns:c16="http://schemas.microsoft.com/office/drawing/2014/chart" uri="{C3380CC4-5D6E-409C-BE32-E72D297353CC}">
              <c16:uniqueId val="{00000003-B4AE-465E-8A41-A05AD957F749}"/>
            </c:ext>
          </c:extLst>
        </c:ser>
        <c:dLbls>
          <c:showLegendKey val="0"/>
          <c:showVal val="0"/>
          <c:showCatName val="0"/>
          <c:showSerName val="0"/>
          <c:showPercent val="0"/>
          <c:showBubbleSize val="0"/>
        </c:dLbls>
        <c:gapWidth val="219"/>
        <c:overlap val="-27"/>
        <c:axId val="679479464"/>
        <c:axId val="679471920"/>
      </c:barChart>
      <c:catAx>
        <c:axId val="679479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679471920"/>
        <c:crosses val="autoZero"/>
        <c:auto val="1"/>
        <c:lblAlgn val="ctr"/>
        <c:lblOffset val="100"/>
        <c:noMultiLvlLbl val="0"/>
      </c:catAx>
      <c:valAx>
        <c:axId val="679471920"/>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6794794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Visualization!$V$14</c:f>
          <c:strCache>
            <c:ptCount val="1"/>
            <c:pt idx="0">
              <c:v>MoPs in Tractability - Operational Planning , Model Developer</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Visualization!$W$5</c:f>
              <c:strCache>
                <c:ptCount val="1"/>
                <c:pt idx="0">
                  <c:v>MARPLE</c:v>
                </c:pt>
              </c:strCache>
            </c:strRef>
          </c:tx>
          <c:spPr>
            <a:solidFill>
              <a:schemeClr val="accent1"/>
            </a:solidFill>
            <a:ln>
              <a:noFill/>
            </a:ln>
            <a:effectLst/>
          </c:spPr>
          <c:invertIfNegative val="0"/>
          <c:cat>
            <c:strRef>
              <c:f>Visualization!$V$6:$V$13</c:f>
              <c:strCache>
                <c:ptCount val="8"/>
                <c:pt idx="0">
                  <c:v>Propagation - Link flows</c:v>
                </c:pt>
                <c:pt idx="1">
                  <c:v>Propagation - Queuing</c:v>
                </c:pt>
                <c:pt idx="2">
                  <c:v>Propagation - Effect of link-level traffic controls</c:v>
                </c:pt>
                <c:pt idx="3">
                  <c:v>Node model-merge behaviour</c:v>
                </c:pt>
                <c:pt idx="4">
                  <c:v>Node model-diverge behaviour</c:v>
                </c:pt>
                <c:pt idx="5">
                  <c:v>Signalized Intersection</c:v>
                </c:pt>
                <c:pt idx="6">
                  <c:v>Route choice (general)</c:v>
                </c:pt>
                <c:pt idx="7">
                  <c:v>Route choice (route overlap)</c:v>
                </c:pt>
              </c:strCache>
            </c:strRef>
          </c:cat>
          <c:val>
            <c:numRef>
              <c:f>Visualization!$W$6:$W$13</c:f>
              <c:numCache>
                <c:formatCode>0.00</c:formatCode>
                <c:ptCount val="8"/>
                <c:pt idx="0">
                  <c:v>5.25</c:v>
                </c:pt>
                <c:pt idx="1">
                  <c:v>4.8039215686274517</c:v>
                </c:pt>
                <c:pt idx="2">
                  <c:v>7</c:v>
                </c:pt>
                <c:pt idx="3">
                  <c:v>4.9583333333333339</c:v>
                </c:pt>
                <c:pt idx="4">
                  <c:v>4.375</c:v>
                </c:pt>
                <c:pt idx="5">
                  <c:v>4.8125</c:v>
                </c:pt>
                <c:pt idx="6">
                  <c:v>10</c:v>
                </c:pt>
                <c:pt idx="7">
                  <c:v>10</c:v>
                </c:pt>
              </c:numCache>
            </c:numRef>
          </c:val>
          <c:extLst>
            <c:ext xmlns:c16="http://schemas.microsoft.com/office/drawing/2014/chart" uri="{C3380CC4-5D6E-409C-BE32-E72D297353CC}">
              <c16:uniqueId val="{00000000-7F2F-406A-89D2-B2648118D452}"/>
            </c:ext>
          </c:extLst>
        </c:ser>
        <c:ser>
          <c:idx val="1"/>
          <c:order val="1"/>
          <c:tx>
            <c:strRef>
              <c:f>Visualization!$X$5</c:f>
              <c:strCache>
                <c:ptCount val="1"/>
                <c:pt idx="0">
                  <c:v>StreamLine-MaDAM</c:v>
                </c:pt>
              </c:strCache>
            </c:strRef>
          </c:tx>
          <c:spPr>
            <a:solidFill>
              <a:schemeClr val="accent2"/>
            </a:solidFill>
            <a:ln>
              <a:noFill/>
            </a:ln>
            <a:effectLst/>
          </c:spPr>
          <c:invertIfNegative val="0"/>
          <c:cat>
            <c:strRef>
              <c:f>Visualization!$V$6:$V$13</c:f>
              <c:strCache>
                <c:ptCount val="8"/>
                <c:pt idx="0">
                  <c:v>Propagation - Link flows</c:v>
                </c:pt>
                <c:pt idx="1">
                  <c:v>Propagation - Queuing</c:v>
                </c:pt>
                <c:pt idx="2">
                  <c:v>Propagation - Effect of link-level traffic controls</c:v>
                </c:pt>
                <c:pt idx="3">
                  <c:v>Node model-merge behaviour</c:v>
                </c:pt>
                <c:pt idx="4">
                  <c:v>Node model-diverge behaviour</c:v>
                </c:pt>
                <c:pt idx="5">
                  <c:v>Signalized Intersection</c:v>
                </c:pt>
                <c:pt idx="6">
                  <c:v>Route choice (general)</c:v>
                </c:pt>
                <c:pt idx="7">
                  <c:v>Route choice (route overlap)</c:v>
                </c:pt>
              </c:strCache>
            </c:strRef>
          </c:cat>
          <c:val>
            <c:numRef>
              <c:f>Visualization!$X$6:$X$13</c:f>
              <c:numCache>
                <c:formatCode>0.00</c:formatCode>
                <c:ptCount val="8"/>
                <c:pt idx="0">
                  <c:v>5.25</c:v>
                </c:pt>
                <c:pt idx="1">
                  <c:v>7</c:v>
                </c:pt>
                <c:pt idx="2">
                  <c:v>5</c:v>
                </c:pt>
                <c:pt idx="3">
                  <c:v>4.9583333333333339</c:v>
                </c:pt>
                <c:pt idx="4">
                  <c:v>7</c:v>
                </c:pt>
                <c:pt idx="5">
                  <c:v>7</c:v>
                </c:pt>
                <c:pt idx="6">
                  <c:v>7.5</c:v>
                </c:pt>
                <c:pt idx="7">
                  <c:v>10</c:v>
                </c:pt>
              </c:numCache>
            </c:numRef>
          </c:val>
          <c:extLst>
            <c:ext xmlns:c16="http://schemas.microsoft.com/office/drawing/2014/chart" uri="{C3380CC4-5D6E-409C-BE32-E72D297353CC}">
              <c16:uniqueId val="{00000001-7F2F-406A-89D2-B2648118D452}"/>
            </c:ext>
          </c:extLst>
        </c:ser>
        <c:ser>
          <c:idx val="2"/>
          <c:order val="2"/>
          <c:tx>
            <c:strRef>
              <c:f>Visualization!$Y$5</c:f>
              <c:strCache>
                <c:ptCount val="1"/>
                <c:pt idx="0">
                  <c:v>StreamLine-eGLTM</c:v>
                </c:pt>
              </c:strCache>
            </c:strRef>
          </c:tx>
          <c:spPr>
            <a:solidFill>
              <a:schemeClr val="accent3"/>
            </a:solidFill>
            <a:ln>
              <a:noFill/>
            </a:ln>
            <a:effectLst/>
          </c:spPr>
          <c:invertIfNegative val="0"/>
          <c:cat>
            <c:strRef>
              <c:f>Visualization!$V$6:$V$13</c:f>
              <c:strCache>
                <c:ptCount val="8"/>
                <c:pt idx="0">
                  <c:v>Propagation - Link flows</c:v>
                </c:pt>
                <c:pt idx="1">
                  <c:v>Propagation - Queuing</c:v>
                </c:pt>
                <c:pt idx="2">
                  <c:v>Propagation - Effect of link-level traffic controls</c:v>
                </c:pt>
                <c:pt idx="3">
                  <c:v>Node model-merge behaviour</c:v>
                </c:pt>
                <c:pt idx="4">
                  <c:v>Node model-diverge behaviour</c:v>
                </c:pt>
                <c:pt idx="5">
                  <c:v>Signalized Intersection</c:v>
                </c:pt>
                <c:pt idx="6">
                  <c:v>Route choice (general)</c:v>
                </c:pt>
                <c:pt idx="7">
                  <c:v>Route choice (route overlap)</c:v>
                </c:pt>
              </c:strCache>
            </c:strRef>
          </c:cat>
          <c:val>
            <c:numRef>
              <c:f>Visualization!$Y$6:$Y$13</c:f>
              <c:numCache>
                <c:formatCode>0.00</c:formatCode>
                <c:ptCount val="8"/>
                <c:pt idx="0">
                  <c:v>7</c:v>
                </c:pt>
                <c:pt idx="1">
                  <c:v>6.8627450980392162</c:v>
                </c:pt>
                <c:pt idx="2">
                  <c:v>0</c:v>
                </c:pt>
                <c:pt idx="3">
                  <c:v>7</c:v>
                </c:pt>
                <c:pt idx="4">
                  <c:v>7</c:v>
                </c:pt>
                <c:pt idx="5">
                  <c:v>5.6875</c:v>
                </c:pt>
                <c:pt idx="6">
                  <c:v>7.5</c:v>
                </c:pt>
                <c:pt idx="7">
                  <c:v>10</c:v>
                </c:pt>
              </c:numCache>
            </c:numRef>
          </c:val>
          <c:extLst>
            <c:ext xmlns:c16="http://schemas.microsoft.com/office/drawing/2014/chart" uri="{C3380CC4-5D6E-409C-BE32-E72D297353CC}">
              <c16:uniqueId val="{00000002-7F2F-406A-89D2-B2648118D452}"/>
            </c:ext>
          </c:extLst>
        </c:ser>
        <c:dLbls>
          <c:showLegendKey val="0"/>
          <c:showVal val="0"/>
          <c:showCatName val="0"/>
          <c:showSerName val="0"/>
          <c:showPercent val="0"/>
          <c:showBubbleSize val="0"/>
        </c:dLbls>
        <c:gapWidth val="219"/>
        <c:overlap val="-27"/>
        <c:axId val="538379984"/>
        <c:axId val="538378672"/>
      </c:barChart>
      <c:catAx>
        <c:axId val="538379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538378672"/>
        <c:crosses val="autoZero"/>
        <c:auto val="1"/>
        <c:lblAlgn val="ctr"/>
        <c:lblOffset val="100"/>
        <c:noMultiLvlLbl val="0"/>
      </c:catAx>
      <c:valAx>
        <c:axId val="538378672"/>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83799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Visualization!$AF$14</c:f>
          <c:strCache>
            <c:ptCount val="1"/>
            <c:pt idx="0">
              <c:v>MoPs in Conceptual Validation - Operational Planning , Model Developer</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Visualization!$AG$5</c:f>
              <c:strCache>
                <c:ptCount val="1"/>
                <c:pt idx="0">
                  <c:v>MARPLE</c:v>
                </c:pt>
              </c:strCache>
            </c:strRef>
          </c:tx>
          <c:spPr>
            <a:solidFill>
              <a:schemeClr val="accent1"/>
            </a:solidFill>
            <a:ln>
              <a:noFill/>
            </a:ln>
            <a:effectLst/>
          </c:spPr>
          <c:invertIfNegative val="0"/>
          <c:cat>
            <c:strRef>
              <c:f>Visualization!$AF$6:$AF$12</c:f>
              <c:strCache>
                <c:ptCount val="7"/>
                <c:pt idx="0">
                  <c:v>Flow Metering or Blocking back - strict capacity constraint</c:v>
                </c:pt>
                <c:pt idx="1">
                  <c:v>Traffic Spillback - strict storage constraint</c:v>
                </c:pt>
                <c:pt idx="2">
                  <c:v>Capacity drop</c:v>
                </c:pt>
                <c:pt idx="3">
                  <c:v>Smoothness of temporal speed variations</c:v>
                </c:pt>
                <c:pt idx="4">
                  <c:v>Smoothness of temporal flow variations</c:v>
                </c:pt>
                <c:pt idx="5">
                  <c:v>Presence of variable route set</c:v>
                </c:pt>
                <c:pt idx="6">
                  <c:v>Modelling of stop and go waves</c:v>
                </c:pt>
              </c:strCache>
            </c:strRef>
          </c:cat>
          <c:val>
            <c:numRef>
              <c:f>Visualization!$AG$6:$AG$12</c:f>
              <c:numCache>
                <c:formatCode>0.00</c:formatCode>
                <c:ptCount val="7"/>
                <c:pt idx="0">
                  <c:v>4.6666666666666661</c:v>
                </c:pt>
                <c:pt idx="1">
                  <c:v>5.25</c:v>
                </c:pt>
                <c:pt idx="2">
                  <c:v>0</c:v>
                </c:pt>
                <c:pt idx="3">
                  <c:v>0</c:v>
                </c:pt>
                <c:pt idx="4">
                  <c:v>2.9493584458144673</c:v>
                </c:pt>
                <c:pt idx="5">
                  <c:v>0</c:v>
                </c:pt>
                <c:pt idx="6">
                  <c:v>0</c:v>
                </c:pt>
              </c:numCache>
            </c:numRef>
          </c:val>
          <c:extLst>
            <c:ext xmlns:c16="http://schemas.microsoft.com/office/drawing/2014/chart" uri="{C3380CC4-5D6E-409C-BE32-E72D297353CC}">
              <c16:uniqueId val="{00000000-6A7F-4193-B95D-3C3298BC47DF}"/>
            </c:ext>
          </c:extLst>
        </c:ser>
        <c:ser>
          <c:idx val="1"/>
          <c:order val="1"/>
          <c:tx>
            <c:strRef>
              <c:f>Visualization!$AH$5</c:f>
              <c:strCache>
                <c:ptCount val="1"/>
                <c:pt idx="0">
                  <c:v>StreamLine-MaDAM</c:v>
                </c:pt>
              </c:strCache>
            </c:strRef>
          </c:tx>
          <c:spPr>
            <a:solidFill>
              <a:schemeClr val="accent2"/>
            </a:solidFill>
            <a:ln>
              <a:noFill/>
            </a:ln>
            <a:effectLst/>
          </c:spPr>
          <c:invertIfNegative val="0"/>
          <c:cat>
            <c:strRef>
              <c:f>Visualization!$AF$6:$AF$12</c:f>
              <c:strCache>
                <c:ptCount val="7"/>
                <c:pt idx="0">
                  <c:v>Flow Metering or Blocking back - strict capacity constraint</c:v>
                </c:pt>
                <c:pt idx="1">
                  <c:v>Traffic Spillback - strict storage constraint</c:v>
                </c:pt>
                <c:pt idx="2">
                  <c:v>Capacity drop</c:v>
                </c:pt>
                <c:pt idx="3">
                  <c:v>Smoothness of temporal speed variations</c:v>
                </c:pt>
                <c:pt idx="4">
                  <c:v>Smoothness of temporal flow variations</c:v>
                </c:pt>
                <c:pt idx="5">
                  <c:v>Presence of variable route set</c:v>
                </c:pt>
                <c:pt idx="6">
                  <c:v>Modelling of stop and go waves</c:v>
                </c:pt>
              </c:strCache>
            </c:strRef>
          </c:cat>
          <c:val>
            <c:numRef>
              <c:f>Visualization!$AH$6:$AH$12</c:f>
              <c:numCache>
                <c:formatCode>0.00</c:formatCode>
                <c:ptCount val="7"/>
                <c:pt idx="0">
                  <c:v>7</c:v>
                </c:pt>
                <c:pt idx="1">
                  <c:v>7</c:v>
                </c:pt>
                <c:pt idx="2">
                  <c:v>4</c:v>
                </c:pt>
                <c:pt idx="3">
                  <c:v>0.73564016272826172</c:v>
                </c:pt>
                <c:pt idx="4">
                  <c:v>4.028036654991185E-3</c:v>
                </c:pt>
                <c:pt idx="5">
                  <c:v>0</c:v>
                </c:pt>
                <c:pt idx="6">
                  <c:v>0</c:v>
                </c:pt>
              </c:numCache>
            </c:numRef>
          </c:val>
          <c:extLst>
            <c:ext xmlns:c16="http://schemas.microsoft.com/office/drawing/2014/chart" uri="{C3380CC4-5D6E-409C-BE32-E72D297353CC}">
              <c16:uniqueId val="{00000001-6A7F-4193-B95D-3C3298BC47DF}"/>
            </c:ext>
          </c:extLst>
        </c:ser>
        <c:ser>
          <c:idx val="2"/>
          <c:order val="2"/>
          <c:tx>
            <c:strRef>
              <c:f>Visualization!$AI$5</c:f>
              <c:strCache>
                <c:ptCount val="1"/>
                <c:pt idx="0">
                  <c:v>StreamLine-eGLTM</c:v>
                </c:pt>
              </c:strCache>
            </c:strRef>
          </c:tx>
          <c:spPr>
            <a:solidFill>
              <a:schemeClr val="accent3"/>
            </a:solidFill>
            <a:ln>
              <a:noFill/>
            </a:ln>
            <a:effectLst/>
          </c:spPr>
          <c:invertIfNegative val="0"/>
          <c:cat>
            <c:strRef>
              <c:f>Visualization!$AF$6:$AF$12</c:f>
              <c:strCache>
                <c:ptCount val="7"/>
                <c:pt idx="0">
                  <c:v>Flow Metering or Blocking back - strict capacity constraint</c:v>
                </c:pt>
                <c:pt idx="1">
                  <c:v>Traffic Spillback - strict storage constraint</c:v>
                </c:pt>
                <c:pt idx="2">
                  <c:v>Capacity drop</c:v>
                </c:pt>
                <c:pt idx="3">
                  <c:v>Smoothness of temporal speed variations</c:v>
                </c:pt>
                <c:pt idx="4">
                  <c:v>Smoothness of temporal flow variations</c:v>
                </c:pt>
                <c:pt idx="5">
                  <c:v>Presence of variable route set</c:v>
                </c:pt>
                <c:pt idx="6">
                  <c:v>Modelling of stop and go waves</c:v>
                </c:pt>
              </c:strCache>
            </c:strRef>
          </c:cat>
          <c:val>
            <c:numRef>
              <c:f>Visualization!$AI$6:$AI$12</c:f>
              <c:numCache>
                <c:formatCode>0.00</c:formatCode>
                <c:ptCount val="7"/>
                <c:pt idx="0">
                  <c:v>7</c:v>
                </c:pt>
                <c:pt idx="1">
                  <c:v>5.25</c:v>
                </c:pt>
                <c:pt idx="2">
                  <c:v>0</c:v>
                </c:pt>
                <c:pt idx="3">
                  <c:v>0.65848906758454251</c:v>
                </c:pt>
                <c:pt idx="4">
                  <c:v>0</c:v>
                </c:pt>
                <c:pt idx="5">
                  <c:v>0</c:v>
                </c:pt>
                <c:pt idx="6">
                  <c:v>0</c:v>
                </c:pt>
              </c:numCache>
            </c:numRef>
          </c:val>
          <c:extLst>
            <c:ext xmlns:c16="http://schemas.microsoft.com/office/drawing/2014/chart" uri="{C3380CC4-5D6E-409C-BE32-E72D297353CC}">
              <c16:uniqueId val="{00000002-6A7F-4193-B95D-3C3298BC47DF}"/>
            </c:ext>
          </c:extLst>
        </c:ser>
        <c:dLbls>
          <c:showLegendKey val="0"/>
          <c:showVal val="0"/>
          <c:showCatName val="0"/>
          <c:showSerName val="0"/>
          <c:showPercent val="0"/>
          <c:showBubbleSize val="0"/>
        </c:dLbls>
        <c:gapWidth val="219"/>
        <c:overlap val="-27"/>
        <c:axId val="538379984"/>
        <c:axId val="538378672"/>
      </c:barChart>
      <c:catAx>
        <c:axId val="538379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538378672"/>
        <c:crosses val="autoZero"/>
        <c:auto val="1"/>
        <c:lblAlgn val="ctr"/>
        <c:lblOffset val="100"/>
        <c:noMultiLvlLbl val="0"/>
      </c:catAx>
      <c:valAx>
        <c:axId val="538378672"/>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83799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[EMMa_Final Version.xlsx]Score_summary!PivotTable15</c:name>
    <c:fmtId val="0"/>
  </c:pivotSource>
  <c:chart>
    <c:title>
      <c:tx>
        <c:strRef>
          <c:f>Score_summary!$K$8</c:f>
          <c:strCache>
            <c:ptCount val="1"/>
            <c:pt idx="0">
              <c:v>Evaluation scores of the DTA Models - Strategic Planning</c:v>
            </c:pt>
          </c:strCache>
        </c:strRef>
      </c:tx>
      <c:overlay val="0"/>
      <c:spPr>
        <a:noFill/>
        <a:ln>
          <a:noFill/>
        </a:ln>
        <a:effectLst/>
      </c:spPr>
      <c:txPr>
        <a:bodyPr rot="0" spcFirstLastPara="1" vertOverflow="ellipsis" vert="horz" wrap="square" anchor="ctr" anchorCtr="1"/>
        <a:lstStyle/>
        <a:p>
          <a:pPr>
            <a:defRPr sz="1800" b="1" i="0" u="none" strike="noStrike" kern="1200" cap="all" baseline="0">
              <a:solidFill>
                <a:schemeClr val="lt1"/>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dLbl>
          <c:idx val="0"/>
          <c:showLegendKey val="0"/>
          <c:showVal val="0"/>
          <c:showCatName val="0"/>
          <c:showSerName val="0"/>
          <c:showPercent val="0"/>
          <c:showBubbleSize val="0"/>
          <c:extLst>
            <c:ext xmlns:c15="http://schemas.microsoft.com/office/drawing/2012/chart" uri="{CE6537A1-D6FC-4f65-9D91-7224C49458BB}"/>
          </c:extLst>
        </c:dLbl>
      </c:pivotFmt>
      <c:pivotFmt>
        <c:idx val="3"/>
        <c:dLbl>
          <c:idx val="0"/>
          <c:showLegendKey val="0"/>
          <c:showVal val="0"/>
          <c:showCatName val="0"/>
          <c:showSerName val="0"/>
          <c:showPercent val="0"/>
          <c:showBubbleSize val="0"/>
          <c:extLst>
            <c:ext xmlns:c15="http://schemas.microsoft.com/office/drawing/2012/chart" uri="{CE6537A1-D6FC-4f65-9D91-7224C49458BB}"/>
          </c:extLst>
        </c:dLbl>
      </c:pivotFmt>
      <c:pivotFmt>
        <c:idx val="4"/>
        <c:dLbl>
          <c:idx val="0"/>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marker>
          <c:symbol val="none"/>
        </c:marker>
        <c:dLbl>
          <c:idx val="0"/>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view3D>
      <c:rotX val="15"/>
      <c:rotY val="20"/>
      <c:depthPercent val="100"/>
      <c:rAngAx val="1"/>
    </c:view3D>
    <c:floor>
      <c:thickness val="0"/>
      <c:spPr>
        <a:solidFill>
          <a:schemeClr val="bg2">
            <a:lumMod val="75000"/>
            <a:alpha val="27000"/>
          </a:schemeClr>
        </a:solid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Score_summary!$K$8</c:f>
              <c:strCache>
                <c:ptCount val="1"/>
                <c:pt idx="0">
                  <c:v>MARPLE</c:v>
                </c:pt>
              </c:strCache>
            </c:strRef>
          </c:tx>
          <c:spPr>
            <a:solidFill>
              <a:schemeClr val="accent1">
                <a:alpha val="88000"/>
              </a:schemeClr>
            </a:solidFill>
            <a:ln>
              <a:solidFill>
                <a:schemeClr val="accent1">
                  <a:lumMod val="50000"/>
                </a:schemeClr>
              </a:solidFill>
            </a:ln>
            <a:effectLst/>
            <a:scene3d>
              <a:camera prst="orthographicFront"/>
              <a:lightRig rig="threePt" dir="t"/>
            </a:scene3d>
            <a:sp3d prstMaterial="flat">
              <a:contourClr>
                <a:schemeClr val="accent1">
                  <a:lumMod val="50000"/>
                </a:schemeClr>
              </a:contourClr>
            </a:sp3d>
          </c:spPr>
          <c:invertIfNegative val="0"/>
          <c:dLbls>
            <c:spPr>
              <a:solidFill>
                <a:srgbClr val="4472C4">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Score_summary!$K$8</c:f>
              <c:strCache>
                <c:ptCount val="4"/>
                <c:pt idx="0">
                  <c:v>Policy Maker</c:v>
                </c:pt>
                <c:pt idx="1">
                  <c:v>Mobility Consultant</c:v>
                </c:pt>
                <c:pt idx="2">
                  <c:v>Scientific Researcher</c:v>
                </c:pt>
                <c:pt idx="3">
                  <c:v>Model Developer</c:v>
                </c:pt>
              </c:strCache>
            </c:strRef>
          </c:cat>
          <c:val>
            <c:numRef>
              <c:f>Score_summary!$K$8</c:f>
              <c:numCache>
                <c:formatCode>General</c:formatCode>
                <c:ptCount val="4"/>
                <c:pt idx="0">
                  <c:v>130</c:v>
                </c:pt>
                <c:pt idx="1">
                  <c:v>143</c:v>
                </c:pt>
                <c:pt idx="2">
                  <c:v>143</c:v>
                </c:pt>
                <c:pt idx="3">
                  <c:v>137</c:v>
                </c:pt>
              </c:numCache>
            </c:numRef>
          </c:val>
          <c:extLst>
            <c:ext xmlns:c16="http://schemas.microsoft.com/office/drawing/2014/chart" uri="{C3380CC4-5D6E-409C-BE32-E72D297353CC}">
              <c16:uniqueId val="{00000000-C652-499E-90E7-E7FDD2B25EED}"/>
            </c:ext>
          </c:extLst>
        </c:ser>
        <c:ser>
          <c:idx val="1"/>
          <c:order val="1"/>
          <c:tx>
            <c:strRef>
              <c:f>Score_summary!$K$8</c:f>
              <c:strCache>
                <c:ptCount val="1"/>
                <c:pt idx="0">
                  <c:v>StreamLine-MaDAM</c:v>
                </c:pt>
              </c:strCache>
            </c:strRef>
          </c:tx>
          <c:spPr>
            <a:solidFill>
              <a:schemeClr val="accent2">
                <a:alpha val="88000"/>
              </a:schemeClr>
            </a:solidFill>
            <a:ln>
              <a:solidFill>
                <a:schemeClr val="accent2">
                  <a:lumMod val="50000"/>
                </a:schemeClr>
              </a:solidFill>
            </a:ln>
            <a:effectLst/>
            <a:scene3d>
              <a:camera prst="orthographicFront"/>
              <a:lightRig rig="threePt" dir="t"/>
            </a:scene3d>
            <a:sp3d prstMaterial="flat">
              <a:contourClr>
                <a:schemeClr val="accent2">
                  <a:lumMod val="50000"/>
                </a:schemeClr>
              </a:contourClr>
            </a:sp3d>
          </c:spPr>
          <c:invertIfNegative val="0"/>
          <c:dLbls>
            <c:spPr>
              <a:solidFill>
                <a:srgbClr val="ED7D31">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Score_summary!$K$8</c:f>
              <c:strCache>
                <c:ptCount val="4"/>
                <c:pt idx="0">
                  <c:v>Policy Maker</c:v>
                </c:pt>
                <c:pt idx="1">
                  <c:v>Mobility Consultant</c:v>
                </c:pt>
                <c:pt idx="2">
                  <c:v>Scientific Researcher</c:v>
                </c:pt>
                <c:pt idx="3">
                  <c:v>Model Developer</c:v>
                </c:pt>
              </c:strCache>
            </c:strRef>
          </c:cat>
          <c:val>
            <c:numRef>
              <c:f>Score_summary!$K$8</c:f>
              <c:numCache>
                <c:formatCode>General</c:formatCode>
                <c:ptCount val="4"/>
                <c:pt idx="0">
                  <c:v>146</c:v>
                </c:pt>
                <c:pt idx="1">
                  <c:v>161</c:v>
                </c:pt>
                <c:pt idx="2">
                  <c:v>152</c:v>
                </c:pt>
                <c:pt idx="3">
                  <c:v>150</c:v>
                </c:pt>
              </c:numCache>
            </c:numRef>
          </c:val>
          <c:extLst>
            <c:ext xmlns:c16="http://schemas.microsoft.com/office/drawing/2014/chart" uri="{C3380CC4-5D6E-409C-BE32-E72D297353CC}">
              <c16:uniqueId val="{00000005-C652-499E-90E7-E7FDD2B25EED}"/>
            </c:ext>
          </c:extLst>
        </c:ser>
        <c:ser>
          <c:idx val="2"/>
          <c:order val="2"/>
          <c:tx>
            <c:strRef>
              <c:f>Score_summary!$K$8</c:f>
              <c:strCache>
                <c:ptCount val="1"/>
                <c:pt idx="0">
                  <c:v>StreamLine-eGLTM</c:v>
                </c:pt>
              </c:strCache>
            </c:strRef>
          </c:tx>
          <c:spPr>
            <a:solidFill>
              <a:schemeClr val="accent3">
                <a:alpha val="88000"/>
              </a:schemeClr>
            </a:solidFill>
            <a:ln>
              <a:solidFill>
                <a:schemeClr val="accent3">
                  <a:lumMod val="50000"/>
                </a:schemeClr>
              </a:solidFill>
            </a:ln>
            <a:effectLst/>
            <a:scene3d>
              <a:camera prst="orthographicFront"/>
              <a:lightRig rig="threePt" dir="t"/>
            </a:scene3d>
            <a:sp3d prstMaterial="flat">
              <a:contourClr>
                <a:schemeClr val="accent3">
                  <a:lumMod val="50000"/>
                </a:schemeClr>
              </a:contourClr>
            </a:sp3d>
          </c:spPr>
          <c:invertIfNegative val="0"/>
          <c:dLbls>
            <c:spPr>
              <a:solidFill>
                <a:srgbClr val="A5A5A5">
                  <a:alpha val="30000"/>
                </a:srgbClr>
              </a:solidFill>
              <a:ln>
                <a:solidFill>
                  <a:sysClr val="window" lastClr="FFFFFF">
                    <a:alpha val="50000"/>
                  </a:sysClr>
                </a:solidFill>
                <a:round/>
              </a:ln>
              <a:effectLst>
                <a:outerShdw blurRad="63500" dist="889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Score_summary!$K$8</c:f>
              <c:strCache>
                <c:ptCount val="4"/>
                <c:pt idx="0">
                  <c:v>Policy Maker</c:v>
                </c:pt>
                <c:pt idx="1">
                  <c:v>Mobility Consultant</c:v>
                </c:pt>
                <c:pt idx="2">
                  <c:v>Scientific Researcher</c:v>
                </c:pt>
                <c:pt idx="3">
                  <c:v>Model Developer</c:v>
                </c:pt>
              </c:strCache>
            </c:strRef>
          </c:cat>
          <c:val>
            <c:numRef>
              <c:f>Score_summary!$K$8</c:f>
              <c:numCache>
                <c:formatCode>General</c:formatCode>
                <c:ptCount val="4"/>
                <c:pt idx="0">
                  <c:v>132</c:v>
                </c:pt>
                <c:pt idx="1">
                  <c:v>146</c:v>
                </c:pt>
                <c:pt idx="2">
                  <c:v>144</c:v>
                </c:pt>
                <c:pt idx="3">
                  <c:v>138</c:v>
                </c:pt>
              </c:numCache>
            </c:numRef>
          </c:val>
          <c:extLst>
            <c:ext xmlns:c16="http://schemas.microsoft.com/office/drawing/2014/chart" uri="{C3380CC4-5D6E-409C-BE32-E72D297353CC}">
              <c16:uniqueId val="{00000006-C652-499E-90E7-E7FDD2B25EED}"/>
            </c:ext>
          </c:extLst>
        </c:ser>
        <c:dLbls>
          <c:showLegendKey val="0"/>
          <c:showVal val="1"/>
          <c:showCatName val="0"/>
          <c:showSerName val="0"/>
          <c:showPercent val="0"/>
          <c:showBubbleSize val="0"/>
        </c:dLbls>
        <c:gapWidth val="84"/>
        <c:gapDepth val="53"/>
        <c:shape val="box"/>
        <c:axId val="814025192"/>
        <c:axId val="814017976"/>
        <c:axId val="0"/>
      </c:bar3DChart>
      <c:catAx>
        <c:axId val="81402519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lt1">
                    <a:lumMod val="75000"/>
                  </a:schemeClr>
                </a:solidFill>
                <a:latin typeface="+mn-lt"/>
                <a:ea typeface="+mn-ea"/>
                <a:cs typeface="+mn-cs"/>
              </a:defRPr>
            </a:pPr>
            <a:endParaRPr lang="en-US"/>
          </a:p>
        </c:txPr>
        <c:crossAx val="814017976"/>
        <c:crosses val="autoZero"/>
        <c:auto val="1"/>
        <c:lblAlgn val="ctr"/>
        <c:lblOffset val="100"/>
        <c:noMultiLvlLbl val="0"/>
      </c:catAx>
      <c:valAx>
        <c:axId val="814017976"/>
        <c:scaling>
          <c:orientation val="minMax"/>
        </c:scaling>
        <c:delete val="1"/>
        <c:axPos val="l"/>
        <c:numFmt formatCode="General" sourceLinked="1"/>
        <c:majorTickMark val="out"/>
        <c:minorTickMark val="none"/>
        <c:tickLblPos val="nextTo"/>
        <c:crossAx val="81402519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1" i="0" u="none" strike="noStrike" kern="1200" baseline="0">
              <a:solidFill>
                <a:schemeClr val="lt1">
                  <a:lumMod val="7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dk1">
        <a:lumMod val="75000"/>
        <a:lumOff val="25000"/>
      </a:schemeClr>
    </a:solidFill>
    <a:ln w="6350" cap="flat" cmpd="sng" algn="ctr">
      <a:solidFill>
        <a:schemeClr val="dk1">
          <a:tint val="7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Visualization_Average!$A$15</c:f>
          <c:strCache>
            <c:ptCount val="1"/>
            <c:pt idx="0">
              <c:v>MoP Category-wise scores - Strategic Planning , Policy Maker</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Visualization_Average!$B$5</c:f>
              <c:strCache>
                <c:ptCount val="1"/>
                <c:pt idx="0">
                  <c:v>MARPLE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Visualization_Average!$A$6:$A$12</c:f>
              <c:strCache>
                <c:ptCount val="7"/>
                <c:pt idx="0">
                  <c:v>Conceptual Validation</c:v>
                </c:pt>
                <c:pt idx="1">
                  <c:v>Model robustness</c:v>
                </c:pt>
                <c:pt idx="2">
                  <c:v>Applicability</c:v>
                </c:pt>
                <c:pt idx="3">
                  <c:v>Tractability</c:v>
                </c:pt>
                <c:pt idx="4">
                  <c:v>Integration of Network Hierarchies - Urban and Motorway roads</c:v>
                </c:pt>
                <c:pt idx="5">
                  <c:v>Computational efficiency</c:v>
                </c:pt>
                <c:pt idx="6">
                  <c:v>Usability</c:v>
                </c:pt>
              </c:strCache>
            </c:strRef>
          </c:cat>
          <c:val>
            <c:numRef>
              <c:f>Visualization_Average!$B$6:$B$12</c:f>
              <c:numCache>
                <c:formatCode>0.0</c:formatCode>
                <c:ptCount val="7"/>
                <c:pt idx="0">
                  <c:v>1.8380035874973046</c:v>
                </c:pt>
                <c:pt idx="1">
                  <c:v>9.9745413389865281</c:v>
                </c:pt>
                <c:pt idx="2">
                  <c:v>10</c:v>
                </c:pt>
                <c:pt idx="3">
                  <c:v>6.3999693627450984</c:v>
                </c:pt>
                <c:pt idx="4">
                  <c:v>0</c:v>
                </c:pt>
                <c:pt idx="5">
                  <c:v>3.6207088826170426</c:v>
                </c:pt>
                <c:pt idx="6">
                  <c:v>2.8843537414965992</c:v>
                </c:pt>
              </c:numCache>
            </c:numRef>
          </c:val>
          <c:extLst>
            <c:ext xmlns:c16="http://schemas.microsoft.com/office/drawing/2014/chart" uri="{C3380CC4-5D6E-409C-BE32-E72D297353CC}">
              <c16:uniqueId val="{00000000-865D-4D14-AD31-615F1CAA45C7}"/>
            </c:ext>
          </c:extLst>
        </c:ser>
        <c:ser>
          <c:idx val="1"/>
          <c:order val="1"/>
          <c:tx>
            <c:strRef>
              <c:f>Visualization_Average!$C$5</c:f>
              <c:strCache>
                <c:ptCount val="1"/>
                <c:pt idx="0">
                  <c:v>StreamLine-MaDAM</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Visualization_Average!$A$6:$A$12</c:f>
              <c:strCache>
                <c:ptCount val="7"/>
                <c:pt idx="0">
                  <c:v>Conceptual Validation</c:v>
                </c:pt>
                <c:pt idx="1">
                  <c:v>Model robustness</c:v>
                </c:pt>
                <c:pt idx="2">
                  <c:v>Applicability</c:v>
                </c:pt>
                <c:pt idx="3">
                  <c:v>Tractability</c:v>
                </c:pt>
                <c:pt idx="4">
                  <c:v>Integration of Network Hierarchies - Urban and Motorway roads</c:v>
                </c:pt>
                <c:pt idx="5">
                  <c:v>Computational efficiency</c:v>
                </c:pt>
                <c:pt idx="6">
                  <c:v>Usability</c:v>
                </c:pt>
              </c:strCache>
            </c:strRef>
          </c:cat>
          <c:val>
            <c:numRef>
              <c:f>Visualization_Average!$C$6:$C$12</c:f>
              <c:numCache>
                <c:formatCode>0.0</c:formatCode>
                <c:ptCount val="7"/>
                <c:pt idx="0">
                  <c:v>2.6770954570547505</c:v>
                </c:pt>
                <c:pt idx="1">
                  <c:v>0</c:v>
                </c:pt>
                <c:pt idx="2">
                  <c:v>10</c:v>
                </c:pt>
                <c:pt idx="3">
                  <c:v>6.713541666666667</c:v>
                </c:pt>
                <c:pt idx="4">
                  <c:v>7</c:v>
                </c:pt>
                <c:pt idx="5">
                  <c:v>1.1142284569138277</c:v>
                </c:pt>
                <c:pt idx="6">
                  <c:v>3.7857142857142856</c:v>
                </c:pt>
              </c:numCache>
            </c:numRef>
          </c:val>
          <c:extLst>
            <c:ext xmlns:c16="http://schemas.microsoft.com/office/drawing/2014/chart" uri="{C3380CC4-5D6E-409C-BE32-E72D297353CC}">
              <c16:uniqueId val="{00000001-865D-4D14-AD31-615F1CAA45C7}"/>
            </c:ext>
          </c:extLst>
        </c:ser>
        <c:ser>
          <c:idx val="2"/>
          <c:order val="2"/>
          <c:tx>
            <c:strRef>
              <c:f>Visualization_Average!$D$5</c:f>
              <c:strCache>
                <c:ptCount val="1"/>
                <c:pt idx="0">
                  <c:v>StreamLine-eGLTM</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Visualization_Average!$A$6:$A$12</c:f>
              <c:strCache>
                <c:ptCount val="7"/>
                <c:pt idx="0">
                  <c:v>Conceptual Validation</c:v>
                </c:pt>
                <c:pt idx="1">
                  <c:v>Model robustness</c:v>
                </c:pt>
                <c:pt idx="2">
                  <c:v>Applicability</c:v>
                </c:pt>
                <c:pt idx="3">
                  <c:v>Tractability</c:v>
                </c:pt>
                <c:pt idx="4">
                  <c:v>Integration of Network Hierarchies - Urban and Motorway roads</c:v>
                </c:pt>
                <c:pt idx="5">
                  <c:v>Computational efficiency</c:v>
                </c:pt>
                <c:pt idx="6">
                  <c:v>Usability</c:v>
                </c:pt>
              </c:strCache>
            </c:strRef>
          </c:cat>
          <c:val>
            <c:numRef>
              <c:f>Visualization_Average!$D$6:$D$12</c:f>
              <c:numCache>
                <c:formatCode>0.0</c:formatCode>
                <c:ptCount val="7"/>
                <c:pt idx="0">
                  <c:v>1.8440698667977917</c:v>
                </c:pt>
                <c:pt idx="1">
                  <c:v>9.891448759921218</c:v>
                </c:pt>
                <c:pt idx="2">
                  <c:v>10</c:v>
                </c:pt>
                <c:pt idx="3">
                  <c:v>6.3812806372549016</c:v>
                </c:pt>
                <c:pt idx="4">
                  <c:v>0</c:v>
                </c:pt>
                <c:pt idx="5">
                  <c:v>1.9716339907007063</c:v>
                </c:pt>
                <c:pt idx="6">
                  <c:v>3.4659863945578233</c:v>
                </c:pt>
              </c:numCache>
            </c:numRef>
          </c:val>
          <c:extLst>
            <c:ext xmlns:c16="http://schemas.microsoft.com/office/drawing/2014/chart" uri="{C3380CC4-5D6E-409C-BE32-E72D297353CC}">
              <c16:uniqueId val="{00000002-865D-4D14-AD31-615F1CAA45C7}"/>
            </c:ext>
          </c:extLst>
        </c:ser>
        <c:dLbls>
          <c:dLblPos val="outEnd"/>
          <c:showLegendKey val="0"/>
          <c:showVal val="1"/>
          <c:showCatName val="0"/>
          <c:showSerName val="0"/>
          <c:showPercent val="0"/>
          <c:showBubbleSize val="0"/>
        </c:dLbls>
        <c:gapWidth val="219"/>
        <c:overlap val="-27"/>
        <c:axId val="538379984"/>
        <c:axId val="538378672"/>
      </c:barChart>
      <c:catAx>
        <c:axId val="538379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538378672"/>
        <c:crosses val="autoZero"/>
        <c:auto val="1"/>
        <c:lblAlgn val="ctr"/>
        <c:lblOffset val="100"/>
        <c:noMultiLvlLbl val="0"/>
      </c:catAx>
      <c:valAx>
        <c:axId val="53837867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83799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Visualization_Average!$A$40</c:f>
          <c:strCache>
            <c:ptCount val="1"/>
            <c:pt idx="0">
              <c:v>Final Scores - Strategic Planning , Policy Maker</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Visualization_Average!$A$14</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Visualization_Average!$B$5:$D$5</c:f>
              <c:strCache>
                <c:ptCount val="3"/>
                <c:pt idx="0">
                  <c:v>MARPLE</c:v>
                </c:pt>
                <c:pt idx="1">
                  <c:v>StreamLine-MaDAM</c:v>
                </c:pt>
                <c:pt idx="2">
                  <c:v>StreamLine-eGLTM</c:v>
                </c:pt>
              </c:strCache>
            </c:strRef>
          </c:cat>
          <c:val>
            <c:numRef>
              <c:f>Visualization_Average!$B$14:$D$14</c:f>
              <c:numCache>
                <c:formatCode>0</c:formatCode>
                <c:ptCount val="3"/>
                <c:pt idx="0">
                  <c:v>34.717576913342569</c:v>
                </c:pt>
                <c:pt idx="1">
                  <c:v>31.290579866349532</c:v>
                </c:pt>
                <c:pt idx="2">
                  <c:v>33.554419649232436</c:v>
                </c:pt>
              </c:numCache>
            </c:numRef>
          </c:val>
          <c:extLst>
            <c:ext xmlns:c16="http://schemas.microsoft.com/office/drawing/2014/chart" uri="{C3380CC4-5D6E-409C-BE32-E72D297353CC}">
              <c16:uniqueId val="{00000000-DF8D-4DFA-BBA8-16CC7E8003FF}"/>
            </c:ext>
          </c:extLst>
        </c:ser>
        <c:dLbls>
          <c:dLblPos val="outEnd"/>
          <c:showLegendKey val="0"/>
          <c:showVal val="1"/>
          <c:showCatName val="0"/>
          <c:showSerName val="0"/>
          <c:showPercent val="0"/>
          <c:showBubbleSize val="0"/>
        </c:dLbls>
        <c:gapWidth val="219"/>
        <c:overlap val="-27"/>
        <c:axId val="705512696"/>
        <c:axId val="705506464"/>
      </c:barChart>
      <c:catAx>
        <c:axId val="705512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705506464"/>
        <c:crosses val="autoZero"/>
        <c:auto val="1"/>
        <c:lblAlgn val="ctr"/>
        <c:lblOffset val="100"/>
        <c:noMultiLvlLbl val="0"/>
      </c:catAx>
      <c:valAx>
        <c:axId val="7055064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705512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Visualization_Average!$L$13</c:f>
          <c:strCache>
            <c:ptCount val="1"/>
            <c:pt idx="0">
              <c:v>Model User Weights - Strategic Planning</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Visualization_Average!$L$6</c:f>
              <c:strCache>
                <c:ptCount val="1"/>
                <c:pt idx="0">
                  <c:v>Conceptual Validation</c:v>
                </c:pt>
              </c:strCache>
            </c:strRef>
          </c:tx>
          <c:spPr>
            <a:solidFill>
              <a:schemeClr val="accent1"/>
            </a:solidFill>
            <a:ln>
              <a:noFill/>
            </a:ln>
            <a:effectLst/>
          </c:spPr>
          <c:invertIfNegative val="0"/>
          <c:cat>
            <c:strRef>
              <c:f>Visualization_Average!$M$5:$P$5</c:f>
              <c:strCache>
                <c:ptCount val="4"/>
                <c:pt idx="0">
                  <c:v>Policy Maker</c:v>
                </c:pt>
                <c:pt idx="1">
                  <c:v>Mobility Consultant</c:v>
                </c:pt>
                <c:pt idx="2">
                  <c:v>Scientific Researcher</c:v>
                </c:pt>
                <c:pt idx="3">
                  <c:v>Model Developer</c:v>
                </c:pt>
              </c:strCache>
            </c:strRef>
          </c:cat>
          <c:val>
            <c:numRef>
              <c:f>Visualization_Average!$M$6:$P$6</c:f>
              <c:numCache>
                <c:formatCode>0</c:formatCode>
                <c:ptCount val="4"/>
                <c:pt idx="0">
                  <c:v>5.8571428571428568</c:v>
                </c:pt>
                <c:pt idx="1">
                  <c:v>6.3492063492063489</c:v>
                </c:pt>
                <c:pt idx="2">
                  <c:v>6.0952380952380958</c:v>
                </c:pt>
                <c:pt idx="3">
                  <c:v>6.1071428571428568</c:v>
                </c:pt>
              </c:numCache>
            </c:numRef>
          </c:val>
          <c:extLst>
            <c:ext xmlns:c16="http://schemas.microsoft.com/office/drawing/2014/chart" uri="{C3380CC4-5D6E-409C-BE32-E72D297353CC}">
              <c16:uniqueId val="{00000000-7B8C-433A-BB66-FD04FCDC03DE}"/>
            </c:ext>
          </c:extLst>
        </c:ser>
        <c:ser>
          <c:idx val="1"/>
          <c:order val="1"/>
          <c:tx>
            <c:strRef>
              <c:f>Visualization_Average!$L$7</c:f>
              <c:strCache>
                <c:ptCount val="1"/>
                <c:pt idx="0">
                  <c:v>Model robustness</c:v>
                </c:pt>
              </c:strCache>
            </c:strRef>
          </c:tx>
          <c:spPr>
            <a:solidFill>
              <a:schemeClr val="accent2"/>
            </a:solidFill>
            <a:ln>
              <a:noFill/>
            </a:ln>
            <a:effectLst/>
          </c:spPr>
          <c:invertIfNegative val="0"/>
          <c:cat>
            <c:strRef>
              <c:f>Visualization_Average!$M$5:$P$5</c:f>
              <c:strCache>
                <c:ptCount val="4"/>
                <c:pt idx="0">
                  <c:v>Policy Maker</c:v>
                </c:pt>
                <c:pt idx="1">
                  <c:v>Mobility Consultant</c:v>
                </c:pt>
                <c:pt idx="2">
                  <c:v>Scientific Researcher</c:v>
                </c:pt>
                <c:pt idx="3">
                  <c:v>Model Developer</c:v>
                </c:pt>
              </c:strCache>
            </c:strRef>
          </c:cat>
          <c:val>
            <c:numRef>
              <c:f>Visualization_Average!$M$7:$P$7</c:f>
              <c:numCache>
                <c:formatCode>0</c:formatCode>
                <c:ptCount val="4"/>
                <c:pt idx="0">
                  <c:v>10</c:v>
                </c:pt>
                <c:pt idx="1">
                  <c:v>9.7222222222222214</c:v>
                </c:pt>
                <c:pt idx="2">
                  <c:v>7.666666666666667</c:v>
                </c:pt>
                <c:pt idx="3">
                  <c:v>8.5</c:v>
                </c:pt>
              </c:numCache>
            </c:numRef>
          </c:val>
          <c:extLst>
            <c:ext xmlns:c16="http://schemas.microsoft.com/office/drawing/2014/chart" uri="{C3380CC4-5D6E-409C-BE32-E72D297353CC}">
              <c16:uniqueId val="{00000001-7B8C-433A-BB66-FD04FCDC03DE}"/>
            </c:ext>
          </c:extLst>
        </c:ser>
        <c:ser>
          <c:idx val="2"/>
          <c:order val="2"/>
          <c:tx>
            <c:strRef>
              <c:f>Visualization_Average!$L$8</c:f>
              <c:strCache>
                <c:ptCount val="1"/>
                <c:pt idx="0">
                  <c:v>Applicability</c:v>
                </c:pt>
              </c:strCache>
            </c:strRef>
          </c:tx>
          <c:spPr>
            <a:solidFill>
              <a:schemeClr val="accent3"/>
            </a:solidFill>
            <a:ln>
              <a:noFill/>
            </a:ln>
            <a:effectLst/>
          </c:spPr>
          <c:invertIfNegative val="0"/>
          <c:cat>
            <c:strRef>
              <c:f>Visualization_Average!$M$5:$P$5</c:f>
              <c:strCache>
                <c:ptCount val="4"/>
                <c:pt idx="0">
                  <c:v>Policy Maker</c:v>
                </c:pt>
                <c:pt idx="1">
                  <c:v>Mobility Consultant</c:v>
                </c:pt>
                <c:pt idx="2">
                  <c:v>Scientific Researcher</c:v>
                </c:pt>
                <c:pt idx="3">
                  <c:v>Model Developer</c:v>
                </c:pt>
              </c:strCache>
            </c:strRef>
          </c:cat>
          <c:val>
            <c:numRef>
              <c:f>Visualization_Average!$M$8:$P$8</c:f>
              <c:numCache>
                <c:formatCode>0</c:formatCode>
                <c:ptCount val="4"/>
                <c:pt idx="0">
                  <c:v>10</c:v>
                </c:pt>
                <c:pt idx="1">
                  <c:v>6.7777777777777777</c:v>
                </c:pt>
                <c:pt idx="2">
                  <c:v>8.6666666666666661</c:v>
                </c:pt>
                <c:pt idx="3">
                  <c:v>8.5</c:v>
                </c:pt>
              </c:numCache>
            </c:numRef>
          </c:val>
          <c:extLst>
            <c:ext xmlns:c16="http://schemas.microsoft.com/office/drawing/2014/chart" uri="{C3380CC4-5D6E-409C-BE32-E72D297353CC}">
              <c16:uniqueId val="{00000002-7B8C-433A-BB66-FD04FCDC03DE}"/>
            </c:ext>
          </c:extLst>
        </c:ser>
        <c:ser>
          <c:idx val="3"/>
          <c:order val="3"/>
          <c:tx>
            <c:strRef>
              <c:f>Visualization_Average!$L$9</c:f>
              <c:strCache>
                <c:ptCount val="1"/>
                <c:pt idx="0">
                  <c:v>Tractability</c:v>
                </c:pt>
              </c:strCache>
            </c:strRef>
          </c:tx>
          <c:spPr>
            <a:solidFill>
              <a:schemeClr val="accent4"/>
            </a:solidFill>
            <a:ln>
              <a:noFill/>
            </a:ln>
            <a:effectLst/>
          </c:spPr>
          <c:invertIfNegative val="0"/>
          <c:cat>
            <c:strRef>
              <c:f>Visualization_Average!$M$5:$P$5</c:f>
              <c:strCache>
                <c:ptCount val="4"/>
                <c:pt idx="0">
                  <c:v>Policy Maker</c:v>
                </c:pt>
                <c:pt idx="1">
                  <c:v>Mobility Consultant</c:v>
                </c:pt>
                <c:pt idx="2">
                  <c:v>Scientific Researcher</c:v>
                </c:pt>
                <c:pt idx="3">
                  <c:v>Model Developer</c:v>
                </c:pt>
              </c:strCache>
            </c:strRef>
          </c:cat>
          <c:val>
            <c:numRef>
              <c:f>Visualization_Average!$M$9:$P$9</c:f>
              <c:numCache>
                <c:formatCode>0</c:formatCode>
                <c:ptCount val="4"/>
                <c:pt idx="0">
                  <c:v>7.75</c:v>
                </c:pt>
                <c:pt idx="1">
                  <c:v>8.0555555555555554</c:v>
                </c:pt>
                <c:pt idx="2">
                  <c:v>8.3333333333333339</c:v>
                </c:pt>
                <c:pt idx="3">
                  <c:v>7.8125</c:v>
                </c:pt>
              </c:numCache>
            </c:numRef>
          </c:val>
          <c:extLst>
            <c:ext xmlns:c16="http://schemas.microsoft.com/office/drawing/2014/chart" uri="{C3380CC4-5D6E-409C-BE32-E72D297353CC}">
              <c16:uniqueId val="{00000003-7B8C-433A-BB66-FD04FCDC03DE}"/>
            </c:ext>
          </c:extLst>
        </c:ser>
        <c:ser>
          <c:idx val="4"/>
          <c:order val="4"/>
          <c:tx>
            <c:strRef>
              <c:f>Visualization_Average!$L$10</c:f>
              <c:strCache>
                <c:ptCount val="1"/>
                <c:pt idx="0">
                  <c:v>Integration of Network Hierarchies - Urban and Motorway roads</c:v>
                </c:pt>
              </c:strCache>
            </c:strRef>
          </c:tx>
          <c:spPr>
            <a:solidFill>
              <a:schemeClr val="accent5"/>
            </a:solidFill>
            <a:ln>
              <a:noFill/>
            </a:ln>
            <a:effectLst/>
          </c:spPr>
          <c:invertIfNegative val="0"/>
          <c:cat>
            <c:strRef>
              <c:f>Visualization_Average!$M$5:$P$5</c:f>
              <c:strCache>
                <c:ptCount val="4"/>
                <c:pt idx="0">
                  <c:v>Policy Maker</c:v>
                </c:pt>
                <c:pt idx="1">
                  <c:v>Mobility Consultant</c:v>
                </c:pt>
                <c:pt idx="2">
                  <c:v>Scientific Researcher</c:v>
                </c:pt>
                <c:pt idx="3">
                  <c:v>Model Developer</c:v>
                </c:pt>
              </c:strCache>
            </c:strRef>
          </c:cat>
          <c:val>
            <c:numRef>
              <c:f>Visualization_Average!$M$10:$P$10</c:f>
              <c:numCache>
                <c:formatCode>0</c:formatCode>
                <c:ptCount val="4"/>
                <c:pt idx="0">
                  <c:v>7</c:v>
                </c:pt>
                <c:pt idx="1">
                  <c:v>7.5</c:v>
                </c:pt>
                <c:pt idx="2">
                  <c:v>5</c:v>
                </c:pt>
                <c:pt idx="3">
                  <c:v>6.75</c:v>
                </c:pt>
              </c:numCache>
            </c:numRef>
          </c:val>
          <c:extLst>
            <c:ext xmlns:c16="http://schemas.microsoft.com/office/drawing/2014/chart" uri="{C3380CC4-5D6E-409C-BE32-E72D297353CC}">
              <c16:uniqueId val="{00000004-7B8C-433A-BB66-FD04FCDC03DE}"/>
            </c:ext>
          </c:extLst>
        </c:ser>
        <c:ser>
          <c:idx val="5"/>
          <c:order val="5"/>
          <c:tx>
            <c:strRef>
              <c:f>Visualization_Average!$L$11</c:f>
              <c:strCache>
                <c:ptCount val="1"/>
                <c:pt idx="0">
                  <c:v>Computational efficiency</c:v>
                </c:pt>
              </c:strCache>
            </c:strRef>
          </c:tx>
          <c:spPr>
            <a:solidFill>
              <a:schemeClr val="accent6"/>
            </a:solidFill>
            <a:ln>
              <a:noFill/>
            </a:ln>
            <a:effectLst/>
          </c:spPr>
          <c:invertIfNegative val="0"/>
          <c:cat>
            <c:strRef>
              <c:f>Visualization_Average!$M$5:$P$5</c:f>
              <c:strCache>
                <c:ptCount val="4"/>
                <c:pt idx="0">
                  <c:v>Policy Maker</c:v>
                </c:pt>
                <c:pt idx="1">
                  <c:v>Mobility Consultant</c:v>
                </c:pt>
                <c:pt idx="2">
                  <c:v>Scientific Researcher</c:v>
                </c:pt>
                <c:pt idx="3">
                  <c:v>Model Developer</c:v>
                </c:pt>
              </c:strCache>
            </c:strRef>
          </c:cat>
          <c:val>
            <c:numRef>
              <c:f>Visualization_Average!$M$11:$P$11</c:f>
              <c:numCache>
                <c:formatCode>0</c:formatCode>
                <c:ptCount val="4"/>
                <c:pt idx="0">
                  <c:v>4</c:v>
                </c:pt>
                <c:pt idx="1">
                  <c:v>6.1111111111111107</c:v>
                </c:pt>
                <c:pt idx="2">
                  <c:v>7.666666666666667</c:v>
                </c:pt>
                <c:pt idx="3">
                  <c:v>7.25</c:v>
                </c:pt>
              </c:numCache>
            </c:numRef>
          </c:val>
          <c:extLst>
            <c:ext xmlns:c16="http://schemas.microsoft.com/office/drawing/2014/chart" uri="{C3380CC4-5D6E-409C-BE32-E72D297353CC}">
              <c16:uniqueId val="{00000005-7B8C-433A-BB66-FD04FCDC03DE}"/>
            </c:ext>
          </c:extLst>
        </c:ser>
        <c:ser>
          <c:idx val="6"/>
          <c:order val="6"/>
          <c:tx>
            <c:strRef>
              <c:f>Visualization_Average!$L$12</c:f>
              <c:strCache>
                <c:ptCount val="1"/>
                <c:pt idx="0">
                  <c:v>Usability</c:v>
                </c:pt>
              </c:strCache>
            </c:strRef>
          </c:tx>
          <c:spPr>
            <a:solidFill>
              <a:schemeClr val="accent1">
                <a:lumMod val="60000"/>
              </a:schemeClr>
            </a:solidFill>
            <a:ln>
              <a:noFill/>
            </a:ln>
            <a:effectLst/>
          </c:spPr>
          <c:invertIfNegative val="0"/>
          <c:cat>
            <c:strRef>
              <c:f>Visualization_Average!$M$5:$P$5</c:f>
              <c:strCache>
                <c:ptCount val="4"/>
                <c:pt idx="0">
                  <c:v>Policy Maker</c:v>
                </c:pt>
                <c:pt idx="1">
                  <c:v>Mobility Consultant</c:v>
                </c:pt>
                <c:pt idx="2">
                  <c:v>Scientific Researcher</c:v>
                </c:pt>
                <c:pt idx="3">
                  <c:v>Model Developer</c:v>
                </c:pt>
              </c:strCache>
            </c:strRef>
          </c:cat>
          <c:val>
            <c:numRef>
              <c:f>Visualization_Average!$M$12:$P$12</c:f>
              <c:numCache>
                <c:formatCode>0</c:formatCode>
                <c:ptCount val="4"/>
                <c:pt idx="0">
                  <c:v>4</c:v>
                </c:pt>
                <c:pt idx="1">
                  <c:v>6.5555555555555562</c:v>
                </c:pt>
                <c:pt idx="2">
                  <c:v>5.333333333333333</c:v>
                </c:pt>
                <c:pt idx="3">
                  <c:v>5.25</c:v>
                </c:pt>
              </c:numCache>
            </c:numRef>
          </c:val>
          <c:extLst>
            <c:ext xmlns:c16="http://schemas.microsoft.com/office/drawing/2014/chart" uri="{C3380CC4-5D6E-409C-BE32-E72D297353CC}">
              <c16:uniqueId val="{00000006-7B8C-433A-BB66-FD04FCDC03DE}"/>
            </c:ext>
          </c:extLst>
        </c:ser>
        <c:dLbls>
          <c:showLegendKey val="0"/>
          <c:showVal val="0"/>
          <c:showCatName val="0"/>
          <c:showSerName val="0"/>
          <c:showPercent val="0"/>
          <c:showBubbleSize val="0"/>
        </c:dLbls>
        <c:gapWidth val="219"/>
        <c:overlap val="-27"/>
        <c:axId val="679479464"/>
        <c:axId val="679471920"/>
      </c:barChart>
      <c:catAx>
        <c:axId val="679479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679471920"/>
        <c:crosses val="autoZero"/>
        <c:auto val="1"/>
        <c:lblAlgn val="ctr"/>
        <c:lblOffset val="100"/>
        <c:noMultiLvlLbl val="0"/>
      </c:catAx>
      <c:valAx>
        <c:axId val="679471920"/>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6794794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4.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91">
  <cs:axisTitle>
    <cs:lnRef idx="0"/>
    <cs:fillRef idx="0"/>
    <cs:effectRef idx="0"/>
    <cs:fontRef idx="minor">
      <a:schemeClr val="lt1">
        <a:lumMod val="75000"/>
      </a:schemeClr>
    </cs:fontRef>
    <cs:defRPr sz="900"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lt1"/>
    </cs:fontRef>
    <cs:spPr>
      <a:solidFill>
        <a:schemeClr val="dk1">
          <a:lumMod val="75000"/>
          <a:lumOff val="25000"/>
        </a:schemeClr>
      </a:solidFill>
      <a:ln w="6350" cap="flat" cmpd="sng" algn="ctr">
        <a:solidFill>
          <a:schemeClr val="dk1">
            <a:tint val="75000"/>
          </a:schemeClr>
        </a:solidFill>
        <a:round/>
      </a:ln>
    </cs:spPr>
    <cs:defRPr sz="1000" kern="1200"/>
  </cs:chartArea>
  <cs:dataLabel>
    <cs:lnRef idx="0"/>
    <cs:fillRef idx="0">
      <cs:styleClr val="auto"/>
    </cs:fillRef>
    <cs:effectRef idx="0"/>
    <cs:fontRef idx="minor">
      <a:schemeClr val="lt1"/>
    </cs:fontRef>
    <cs:spPr>
      <a:solidFill>
        <a:schemeClr val="phClr">
          <a:alpha val="30000"/>
        </a:schemeClr>
      </a:solidFill>
      <a:ln>
        <a:solidFill>
          <a:schemeClr val="lt1">
            <a:alpha val="50000"/>
          </a:schemeClr>
        </a:solidFill>
        <a:round/>
      </a:ln>
      <a:effectLst>
        <a:outerShdw blurRad="63500" dist="88900" dir="2700000" algn="tl" rotWithShape="0">
          <a:prstClr val="black">
            <a:alpha val="40000"/>
          </a:prstClr>
        </a:outerShdw>
      </a:effectLst>
    </cs:spPr>
    <cs:defRPr sz="900" b="1" i="0" u="none" strike="noStrike" kern="1200" baseline="0"/>
  </cs:dataLabel>
  <cs:dataLabelCallout>
    <cs:lnRef idx="0"/>
    <cs:fillRef idx="0">
      <cs:styleClr val="auto"/>
    </cs:fillRef>
    <cs:effectRef idx="0"/>
    <cs:fontRef idx="minor">
      <a:schemeClr val="lt1"/>
    </cs:fontRef>
    <cs:spPr>
      <a:solidFill>
        <a:schemeClr val="phClr">
          <a:alpha val="30000"/>
        </a:schemeClr>
      </a:solidFill>
      <a:ln>
        <a:solidFill>
          <a:schemeClr val="lt1">
            <a:alpha val="50000"/>
          </a:schemeClr>
        </a:solidFill>
        <a:round/>
      </a:ln>
      <a:effectLst>
        <a:outerShdw blurRad="63500" dist="88900" dir="2700000" algn="tl" rotWithShape="0">
          <a:prstClr val="black">
            <a:alpha val="40000"/>
          </a:prstClr>
        </a:outerShdw>
      </a:effectLst>
    </cs:spPr>
    <cs:defRPr sz="900" b="1" i="0" u="none" strike="noStrike" kern="1200" baseline="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88000"/>
        </a:schemeClr>
      </a:solidFill>
      <a:ln>
        <a:solidFill>
          <a:schemeClr val="phClr">
            <a:lumMod val="50000"/>
          </a:schemeClr>
        </a:solidFill>
      </a:ln>
    </cs:spPr>
  </cs:dataPoint>
  <cs:dataPoint3D>
    <cs:lnRef idx="0">
      <cs:styleClr val="auto"/>
    </cs:lnRef>
    <cs:fillRef idx="0">
      <cs:styleClr val="auto"/>
    </cs:fillRef>
    <cs:effectRef idx="0"/>
    <cs:fontRef idx="minor">
      <a:schemeClr val="tx1"/>
    </cs:fontRef>
    <cs:spPr>
      <a:solidFill>
        <a:schemeClr val="phClr">
          <a:alpha val="88000"/>
        </a:schemeClr>
      </a:solidFill>
      <a:ln>
        <a:solidFill>
          <a:schemeClr val="phClr">
            <a:lumMod val="50000"/>
          </a:schemeClr>
        </a:solidFill>
      </a:ln>
      <a:scene3d>
        <a:camera prst="orthographicFront"/>
        <a:lightRig rig="threePt" dir="t"/>
      </a:scene3d>
      <a:sp3d prstMaterial="flat"/>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dk1">
            <a:lumMod val="75000"/>
            <a:lumOff val="25000"/>
          </a:schemeClr>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tx1"/>
    </cs:fontRef>
    <cs:spPr>
      <a:solidFill>
        <a:schemeClr val="bg2">
          <a:lumMod val="75000"/>
          <a:alpha val="27000"/>
        </a:schemeClr>
      </a:solidFill>
      <a:sp3d/>
    </cs:spPr>
  </cs:floor>
  <cs:gridlineMajor>
    <cs:lnRef idx="0"/>
    <cs:fillRef idx="0"/>
    <cs:effectRef idx="0"/>
    <cs:fontRef idx="minor">
      <a:schemeClr val="tx1"/>
    </cs:fontRef>
    <cs:spPr>
      <a:ln w="9525">
        <a:solidFill>
          <a:schemeClr val="lt1">
            <a:lumMod val="50000"/>
          </a:schemeClr>
        </a:solidFill>
      </a:ln>
    </cs:spPr>
  </cs:gridlineMajor>
  <cs:gridlineMinor>
    <cs:lnRef idx="0"/>
    <cs:fillRef idx="0"/>
    <cs:effectRef idx="0"/>
    <cs:fontRef idx="minor">
      <a:schemeClr val="tx1"/>
    </cs:fontRef>
    <cs:spPr>
      <a:ln w="9525">
        <a:solidFill>
          <a:schemeClr val="lt1">
            <a:lumMod val="40000"/>
          </a:schemeClr>
        </a:solidFill>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cs:fontRef>
    <cs:defRPr sz="1800" b="0" kern="1200" cap="all" baseline="0"/>
  </cs:title>
  <cs:trendline>
    <cs:lnRef idx="0">
      <cs:styleClr val="auto"/>
    </cs:lnRef>
    <cs:fillRef idx="0"/>
    <cs:effectRef idx="0"/>
    <cs:fontRef idx="minor">
      <a:schemeClr val="dk1"/>
    </cs:fontRef>
    <cs:spPr>
      <a:ln w="9525"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tx1"/>
    </cs:fontRef>
    <cs:spPr>
      <a:sp3d/>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1.xml><?xml version="1.0" encoding="utf-8"?>
<cs:chartStyle xmlns:cs="http://schemas.microsoft.com/office/drawing/2012/chartStyle" xmlns:a="http://schemas.openxmlformats.org/drawingml/2006/main" id="291">
  <cs:axisTitle>
    <cs:lnRef idx="0"/>
    <cs:fillRef idx="0"/>
    <cs:effectRef idx="0"/>
    <cs:fontRef idx="minor">
      <a:schemeClr val="lt1">
        <a:lumMod val="75000"/>
      </a:schemeClr>
    </cs:fontRef>
    <cs:defRPr sz="900"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lt1"/>
    </cs:fontRef>
    <cs:spPr>
      <a:solidFill>
        <a:schemeClr val="dk1">
          <a:lumMod val="75000"/>
          <a:lumOff val="25000"/>
        </a:schemeClr>
      </a:solidFill>
      <a:ln w="6350" cap="flat" cmpd="sng" algn="ctr">
        <a:solidFill>
          <a:schemeClr val="dk1">
            <a:tint val="75000"/>
          </a:schemeClr>
        </a:solidFill>
        <a:round/>
      </a:ln>
    </cs:spPr>
    <cs:defRPr sz="1000" kern="1200"/>
  </cs:chartArea>
  <cs:dataLabel>
    <cs:lnRef idx="0"/>
    <cs:fillRef idx="0">
      <cs:styleClr val="auto"/>
    </cs:fillRef>
    <cs:effectRef idx="0"/>
    <cs:fontRef idx="minor">
      <a:schemeClr val="lt1"/>
    </cs:fontRef>
    <cs:spPr>
      <a:solidFill>
        <a:schemeClr val="phClr">
          <a:alpha val="30000"/>
        </a:schemeClr>
      </a:solidFill>
      <a:ln>
        <a:solidFill>
          <a:schemeClr val="lt1">
            <a:alpha val="50000"/>
          </a:schemeClr>
        </a:solidFill>
        <a:round/>
      </a:ln>
      <a:effectLst>
        <a:outerShdw blurRad="63500" dist="88900" dir="2700000" algn="tl" rotWithShape="0">
          <a:prstClr val="black">
            <a:alpha val="40000"/>
          </a:prstClr>
        </a:outerShdw>
      </a:effectLst>
    </cs:spPr>
    <cs:defRPr sz="900" b="1" i="0" u="none" strike="noStrike" kern="1200" baseline="0"/>
  </cs:dataLabel>
  <cs:dataLabelCallout>
    <cs:lnRef idx="0"/>
    <cs:fillRef idx="0">
      <cs:styleClr val="auto"/>
    </cs:fillRef>
    <cs:effectRef idx="0"/>
    <cs:fontRef idx="minor">
      <a:schemeClr val="lt1"/>
    </cs:fontRef>
    <cs:spPr>
      <a:solidFill>
        <a:schemeClr val="phClr">
          <a:alpha val="30000"/>
        </a:schemeClr>
      </a:solidFill>
      <a:ln>
        <a:solidFill>
          <a:schemeClr val="lt1">
            <a:alpha val="50000"/>
          </a:schemeClr>
        </a:solidFill>
        <a:round/>
      </a:ln>
      <a:effectLst>
        <a:outerShdw blurRad="63500" dist="88900" dir="2700000" algn="tl" rotWithShape="0">
          <a:prstClr val="black">
            <a:alpha val="40000"/>
          </a:prstClr>
        </a:outerShdw>
      </a:effectLst>
    </cs:spPr>
    <cs:defRPr sz="900" b="1" i="0" u="none" strike="noStrike" kern="1200" baseline="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88000"/>
        </a:schemeClr>
      </a:solidFill>
      <a:ln>
        <a:solidFill>
          <a:schemeClr val="phClr">
            <a:lumMod val="50000"/>
          </a:schemeClr>
        </a:solidFill>
      </a:ln>
    </cs:spPr>
  </cs:dataPoint>
  <cs:dataPoint3D>
    <cs:lnRef idx="0">
      <cs:styleClr val="auto"/>
    </cs:lnRef>
    <cs:fillRef idx="0">
      <cs:styleClr val="auto"/>
    </cs:fillRef>
    <cs:effectRef idx="0"/>
    <cs:fontRef idx="minor">
      <a:schemeClr val="tx1"/>
    </cs:fontRef>
    <cs:spPr>
      <a:solidFill>
        <a:schemeClr val="phClr">
          <a:alpha val="88000"/>
        </a:schemeClr>
      </a:solidFill>
      <a:ln>
        <a:solidFill>
          <a:schemeClr val="phClr">
            <a:lumMod val="50000"/>
          </a:schemeClr>
        </a:solidFill>
      </a:ln>
      <a:scene3d>
        <a:camera prst="orthographicFront"/>
        <a:lightRig rig="threePt" dir="t"/>
      </a:scene3d>
      <a:sp3d prstMaterial="flat"/>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dk1">
            <a:lumMod val="75000"/>
            <a:lumOff val="25000"/>
          </a:schemeClr>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tx1"/>
    </cs:fontRef>
    <cs:spPr>
      <a:solidFill>
        <a:schemeClr val="bg2">
          <a:lumMod val="75000"/>
          <a:alpha val="27000"/>
        </a:schemeClr>
      </a:solidFill>
      <a:sp3d/>
    </cs:spPr>
  </cs:floor>
  <cs:gridlineMajor>
    <cs:lnRef idx="0"/>
    <cs:fillRef idx="0"/>
    <cs:effectRef idx="0"/>
    <cs:fontRef idx="minor">
      <a:schemeClr val="tx1"/>
    </cs:fontRef>
    <cs:spPr>
      <a:ln w="9525">
        <a:solidFill>
          <a:schemeClr val="lt1">
            <a:lumMod val="50000"/>
          </a:schemeClr>
        </a:solidFill>
      </a:ln>
    </cs:spPr>
  </cs:gridlineMajor>
  <cs:gridlineMinor>
    <cs:lnRef idx="0"/>
    <cs:fillRef idx="0"/>
    <cs:effectRef idx="0"/>
    <cs:fontRef idx="minor">
      <a:schemeClr val="tx1"/>
    </cs:fontRef>
    <cs:spPr>
      <a:ln w="9525">
        <a:solidFill>
          <a:schemeClr val="lt1">
            <a:lumMod val="40000"/>
          </a:schemeClr>
        </a:solidFill>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cs:fontRef>
    <cs:defRPr sz="1800" b="0" kern="1200" cap="all" baseline="0"/>
  </cs:title>
  <cs:trendline>
    <cs:lnRef idx="0">
      <cs:styleClr val="auto"/>
    </cs:lnRef>
    <cs:fillRef idx="0"/>
    <cs:effectRef idx="0"/>
    <cs:fontRef idx="minor">
      <a:schemeClr val="dk1"/>
    </cs:fontRef>
    <cs:spPr>
      <a:ln w="9525"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tx1"/>
    </cs:fontRef>
    <cs:spPr>
      <a:sp3d/>
    </cs:spPr>
  </cs:wall>
</cs:chartStyle>
</file>

<file path=xl/charts/style2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3.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4.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1">
  <cs:axisTitle>
    <cs:lnRef idx="0"/>
    <cs:fillRef idx="0"/>
    <cs:effectRef idx="0"/>
    <cs:fontRef idx="minor">
      <a:schemeClr val="lt1">
        <a:lumMod val="75000"/>
      </a:schemeClr>
    </cs:fontRef>
    <cs:defRPr sz="900"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lt1"/>
    </cs:fontRef>
    <cs:spPr>
      <a:solidFill>
        <a:schemeClr val="dk1">
          <a:lumMod val="75000"/>
          <a:lumOff val="25000"/>
        </a:schemeClr>
      </a:solidFill>
      <a:ln w="6350" cap="flat" cmpd="sng" algn="ctr">
        <a:solidFill>
          <a:schemeClr val="dk1">
            <a:tint val="75000"/>
          </a:schemeClr>
        </a:solidFill>
        <a:round/>
      </a:ln>
    </cs:spPr>
    <cs:defRPr sz="1000" kern="1200"/>
  </cs:chartArea>
  <cs:dataLabel>
    <cs:lnRef idx="0"/>
    <cs:fillRef idx="0">
      <cs:styleClr val="auto"/>
    </cs:fillRef>
    <cs:effectRef idx="0"/>
    <cs:fontRef idx="minor">
      <a:schemeClr val="lt1"/>
    </cs:fontRef>
    <cs:spPr>
      <a:solidFill>
        <a:schemeClr val="phClr">
          <a:alpha val="30000"/>
        </a:schemeClr>
      </a:solidFill>
      <a:ln>
        <a:solidFill>
          <a:schemeClr val="lt1">
            <a:alpha val="50000"/>
          </a:schemeClr>
        </a:solidFill>
        <a:round/>
      </a:ln>
      <a:effectLst>
        <a:outerShdw blurRad="63500" dist="88900" dir="2700000" algn="tl" rotWithShape="0">
          <a:prstClr val="black">
            <a:alpha val="40000"/>
          </a:prstClr>
        </a:outerShdw>
      </a:effectLst>
    </cs:spPr>
    <cs:defRPr sz="900" b="1" i="0" u="none" strike="noStrike" kern="1200" baseline="0"/>
  </cs:dataLabel>
  <cs:dataLabelCallout>
    <cs:lnRef idx="0"/>
    <cs:fillRef idx="0">
      <cs:styleClr val="auto"/>
    </cs:fillRef>
    <cs:effectRef idx="0"/>
    <cs:fontRef idx="minor">
      <a:schemeClr val="lt1"/>
    </cs:fontRef>
    <cs:spPr>
      <a:solidFill>
        <a:schemeClr val="phClr">
          <a:alpha val="30000"/>
        </a:schemeClr>
      </a:solidFill>
      <a:ln>
        <a:solidFill>
          <a:schemeClr val="lt1">
            <a:alpha val="50000"/>
          </a:schemeClr>
        </a:solidFill>
        <a:round/>
      </a:ln>
      <a:effectLst>
        <a:outerShdw blurRad="63500" dist="88900" dir="2700000" algn="tl" rotWithShape="0">
          <a:prstClr val="black">
            <a:alpha val="40000"/>
          </a:prstClr>
        </a:outerShdw>
      </a:effectLst>
    </cs:spPr>
    <cs:defRPr sz="900" b="1" i="0" u="none" strike="noStrike" kern="1200" baseline="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88000"/>
        </a:schemeClr>
      </a:solidFill>
      <a:ln>
        <a:solidFill>
          <a:schemeClr val="phClr">
            <a:lumMod val="50000"/>
          </a:schemeClr>
        </a:solidFill>
      </a:ln>
    </cs:spPr>
  </cs:dataPoint>
  <cs:dataPoint3D>
    <cs:lnRef idx="0">
      <cs:styleClr val="auto"/>
    </cs:lnRef>
    <cs:fillRef idx="0">
      <cs:styleClr val="auto"/>
    </cs:fillRef>
    <cs:effectRef idx="0"/>
    <cs:fontRef idx="minor">
      <a:schemeClr val="tx1"/>
    </cs:fontRef>
    <cs:spPr>
      <a:solidFill>
        <a:schemeClr val="phClr">
          <a:alpha val="88000"/>
        </a:schemeClr>
      </a:solidFill>
      <a:ln>
        <a:solidFill>
          <a:schemeClr val="phClr">
            <a:lumMod val="50000"/>
          </a:schemeClr>
        </a:solidFill>
      </a:ln>
      <a:scene3d>
        <a:camera prst="orthographicFront"/>
        <a:lightRig rig="threePt" dir="t"/>
      </a:scene3d>
      <a:sp3d prstMaterial="flat"/>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dk1">
            <a:lumMod val="75000"/>
            <a:lumOff val="25000"/>
          </a:schemeClr>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tx1"/>
    </cs:fontRef>
    <cs:spPr>
      <a:solidFill>
        <a:schemeClr val="bg2">
          <a:lumMod val="75000"/>
          <a:alpha val="27000"/>
        </a:schemeClr>
      </a:solidFill>
      <a:sp3d/>
    </cs:spPr>
  </cs:floor>
  <cs:gridlineMajor>
    <cs:lnRef idx="0"/>
    <cs:fillRef idx="0"/>
    <cs:effectRef idx="0"/>
    <cs:fontRef idx="minor">
      <a:schemeClr val="tx1"/>
    </cs:fontRef>
    <cs:spPr>
      <a:ln w="9525">
        <a:solidFill>
          <a:schemeClr val="lt1">
            <a:lumMod val="50000"/>
          </a:schemeClr>
        </a:solidFill>
      </a:ln>
    </cs:spPr>
  </cs:gridlineMajor>
  <cs:gridlineMinor>
    <cs:lnRef idx="0"/>
    <cs:fillRef idx="0"/>
    <cs:effectRef idx="0"/>
    <cs:fontRef idx="minor">
      <a:schemeClr val="tx1"/>
    </cs:fontRef>
    <cs:spPr>
      <a:ln w="9525">
        <a:solidFill>
          <a:schemeClr val="lt1">
            <a:lumMod val="40000"/>
          </a:schemeClr>
        </a:solidFill>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cs:fontRef>
    <cs:defRPr sz="1800" b="0" kern="1200" cap="all" baseline="0"/>
  </cs:title>
  <cs:trendline>
    <cs:lnRef idx="0">
      <cs:styleClr val="auto"/>
    </cs:lnRef>
    <cs:fillRef idx="0"/>
    <cs:effectRef idx="0"/>
    <cs:fontRef idx="minor">
      <a:schemeClr val="dk1"/>
    </cs:fontRef>
    <cs:spPr>
      <a:ln w="9525"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tx1"/>
    </cs:fontRef>
    <cs:spPr>
      <a:sp3d/>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0.xml"/><Relationship Id="rId3" Type="http://schemas.openxmlformats.org/officeDocument/2006/relationships/chart" Target="../charts/chart15.xml"/><Relationship Id="rId7" Type="http://schemas.openxmlformats.org/officeDocument/2006/relationships/chart" Target="../charts/chart19.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23.xml"/><Relationship Id="rId7" Type="http://schemas.openxmlformats.org/officeDocument/2006/relationships/chart" Target="../charts/chart27.xml"/><Relationship Id="rId2" Type="http://schemas.openxmlformats.org/officeDocument/2006/relationships/chart" Target="../charts/chart22.xml"/><Relationship Id="rId1" Type="http://schemas.openxmlformats.org/officeDocument/2006/relationships/chart" Target="../charts/chart21.xml"/><Relationship Id="rId6" Type="http://schemas.openxmlformats.org/officeDocument/2006/relationships/chart" Target="../charts/chart26.xml"/><Relationship Id="rId5" Type="http://schemas.openxmlformats.org/officeDocument/2006/relationships/chart" Target="../charts/chart25.xml"/><Relationship Id="rId4" Type="http://schemas.openxmlformats.org/officeDocument/2006/relationships/chart" Target="../charts/chart24.xml"/></Relationships>
</file>

<file path=xl/drawings/_rels/drawing6.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4484</xdr:colOff>
      <xdr:row>15</xdr:row>
      <xdr:rowOff>158450</xdr:rowOff>
    </xdr:from>
    <xdr:to>
      <xdr:col>9</xdr:col>
      <xdr:colOff>277906</xdr:colOff>
      <xdr:row>35</xdr:row>
      <xdr:rowOff>26894</xdr:rowOff>
    </xdr:to>
    <xdr:graphicFrame macro="">
      <xdr:nvGraphicFramePr>
        <xdr:cNvPr id="2" name="Chart 1">
          <a:extLst>
            <a:ext uri="{FF2B5EF4-FFF2-40B4-BE49-F238E27FC236}">
              <a16:creationId xmlns:a16="http://schemas.microsoft.com/office/drawing/2014/main" id="{E9EE37E0-2ED7-4870-BCE0-FE1B67E281A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16809</xdr:rowOff>
    </xdr:from>
    <xdr:to>
      <xdr:col>5</xdr:col>
      <xdr:colOff>552450</xdr:colOff>
      <xdr:row>56</xdr:row>
      <xdr:rowOff>177053</xdr:rowOff>
    </xdr:to>
    <xdr:graphicFrame macro="">
      <xdr:nvGraphicFramePr>
        <xdr:cNvPr id="3" name="Chart 2">
          <a:extLst>
            <a:ext uri="{FF2B5EF4-FFF2-40B4-BE49-F238E27FC236}">
              <a16:creationId xmlns:a16="http://schemas.microsoft.com/office/drawing/2014/main" id="{00EEACED-408C-48B0-B505-0AA30DD6E4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1904</xdr:colOff>
      <xdr:row>14</xdr:row>
      <xdr:rowOff>82587</xdr:rowOff>
    </xdr:from>
    <xdr:to>
      <xdr:col>19</xdr:col>
      <xdr:colOff>331693</xdr:colOff>
      <xdr:row>38</xdr:row>
      <xdr:rowOff>0</xdr:rowOff>
    </xdr:to>
    <xdr:graphicFrame macro="">
      <xdr:nvGraphicFramePr>
        <xdr:cNvPr id="8" name="Chart 7">
          <a:extLst>
            <a:ext uri="{FF2B5EF4-FFF2-40B4-BE49-F238E27FC236}">
              <a16:creationId xmlns:a16="http://schemas.microsoft.com/office/drawing/2014/main" id="{1BD1B46D-C415-4750-97C0-F8B3919767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609599</xdr:colOff>
      <xdr:row>15</xdr:row>
      <xdr:rowOff>0</xdr:rowOff>
    </xdr:from>
    <xdr:to>
      <xdr:col>29</xdr:col>
      <xdr:colOff>385481</xdr:colOff>
      <xdr:row>40</xdr:row>
      <xdr:rowOff>161365</xdr:rowOff>
    </xdr:to>
    <xdr:graphicFrame macro="">
      <xdr:nvGraphicFramePr>
        <xdr:cNvPr id="5" name="Chart 4">
          <a:extLst>
            <a:ext uri="{FF2B5EF4-FFF2-40B4-BE49-F238E27FC236}">
              <a16:creationId xmlns:a16="http://schemas.microsoft.com/office/drawing/2014/main" id="{34BD6369-EE40-431E-9D64-D967CD05D6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591669</xdr:colOff>
      <xdr:row>14</xdr:row>
      <xdr:rowOff>161365</xdr:rowOff>
    </xdr:from>
    <xdr:to>
      <xdr:col>39</xdr:col>
      <xdr:colOff>367551</xdr:colOff>
      <xdr:row>40</xdr:row>
      <xdr:rowOff>143436</xdr:rowOff>
    </xdr:to>
    <xdr:graphicFrame macro="">
      <xdr:nvGraphicFramePr>
        <xdr:cNvPr id="6" name="Chart 5">
          <a:extLst>
            <a:ext uri="{FF2B5EF4-FFF2-40B4-BE49-F238E27FC236}">
              <a16:creationId xmlns:a16="http://schemas.microsoft.com/office/drawing/2014/main" id="{1C63EAB0-2BDB-4D08-B6C4-86E669DEEE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60960</xdr:colOff>
      <xdr:row>9</xdr:row>
      <xdr:rowOff>3810</xdr:rowOff>
    </xdr:from>
    <xdr:to>
      <xdr:col>12</xdr:col>
      <xdr:colOff>167640</xdr:colOff>
      <xdr:row>32</xdr:row>
      <xdr:rowOff>22860</xdr:rowOff>
    </xdr:to>
    <xdr:graphicFrame macro="">
      <xdr:nvGraphicFramePr>
        <xdr:cNvPr id="2" name="Chart 1">
          <a:extLst>
            <a:ext uri="{FF2B5EF4-FFF2-40B4-BE49-F238E27FC236}">
              <a16:creationId xmlns:a16="http://schemas.microsoft.com/office/drawing/2014/main" id="{306D0DE0-E341-46A9-9EA4-78577D618A3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15</xdr:row>
      <xdr:rowOff>171450</xdr:rowOff>
    </xdr:from>
    <xdr:to>
      <xdr:col>9</xdr:col>
      <xdr:colOff>276225</xdr:colOff>
      <xdr:row>38</xdr:row>
      <xdr:rowOff>28575</xdr:rowOff>
    </xdr:to>
    <xdr:graphicFrame macro="">
      <xdr:nvGraphicFramePr>
        <xdr:cNvPr id="9" name="Chart 1">
          <a:extLst>
            <a:ext uri="{FF2B5EF4-FFF2-40B4-BE49-F238E27FC236}">
              <a16:creationId xmlns:a16="http://schemas.microsoft.com/office/drawing/2014/main" id="{881B74C4-348C-405F-B5B9-074321220B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40</xdr:row>
      <xdr:rowOff>16809</xdr:rowOff>
    </xdr:from>
    <xdr:to>
      <xdr:col>5</xdr:col>
      <xdr:colOff>552450</xdr:colOff>
      <xdr:row>58</xdr:row>
      <xdr:rowOff>177053</xdr:rowOff>
    </xdr:to>
    <xdr:graphicFrame macro="">
      <xdr:nvGraphicFramePr>
        <xdr:cNvPr id="3" name="Chart 2">
          <a:extLst>
            <a:ext uri="{FF2B5EF4-FFF2-40B4-BE49-F238E27FC236}">
              <a16:creationId xmlns:a16="http://schemas.microsoft.com/office/drawing/2014/main" id="{3182B565-EE18-4CFA-9580-285023D72A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1904</xdr:colOff>
      <xdr:row>14</xdr:row>
      <xdr:rowOff>82587</xdr:rowOff>
    </xdr:from>
    <xdr:to>
      <xdr:col>19</xdr:col>
      <xdr:colOff>331693</xdr:colOff>
      <xdr:row>40</xdr:row>
      <xdr:rowOff>0</xdr:rowOff>
    </xdr:to>
    <xdr:graphicFrame macro="">
      <xdr:nvGraphicFramePr>
        <xdr:cNvPr id="4" name="Chart 3">
          <a:extLst>
            <a:ext uri="{FF2B5EF4-FFF2-40B4-BE49-F238E27FC236}">
              <a16:creationId xmlns:a16="http://schemas.microsoft.com/office/drawing/2014/main" id="{B6F92D5C-0A9F-4606-922B-C53A41AD74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609599</xdr:colOff>
      <xdr:row>15</xdr:row>
      <xdr:rowOff>0</xdr:rowOff>
    </xdr:from>
    <xdr:to>
      <xdr:col>29</xdr:col>
      <xdr:colOff>385481</xdr:colOff>
      <xdr:row>42</xdr:row>
      <xdr:rowOff>161365</xdr:rowOff>
    </xdr:to>
    <xdr:graphicFrame macro="">
      <xdr:nvGraphicFramePr>
        <xdr:cNvPr id="5" name="Chart 4">
          <a:extLst>
            <a:ext uri="{FF2B5EF4-FFF2-40B4-BE49-F238E27FC236}">
              <a16:creationId xmlns:a16="http://schemas.microsoft.com/office/drawing/2014/main" id="{0F062982-3C56-4960-86D6-30DC8BF786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591669</xdr:colOff>
      <xdr:row>14</xdr:row>
      <xdr:rowOff>161365</xdr:rowOff>
    </xdr:from>
    <xdr:to>
      <xdr:col>39</xdr:col>
      <xdr:colOff>367551</xdr:colOff>
      <xdr:row>42</xdr:row>
      <xdr:rowOff>143436</xdr:rowOff>
    </xdr:to>
    <xdr:graphicFrame macro="">
      <xdr:nvGraphicFramePr>
        <xdr:cNvPr id="6" name="Chart 5">
          <a:extLst>
            <a:ext uri="{FF2B5EF4-FFF2-40B4-BE49-F238E27FC236}">
              <a16:creationId xmlns:a16="http://schemas.microsoft.com/office/drawing/2014/main" id="{207A8320-287C-4D7D-BAFA-B88FC996E2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0</xdr:colOff>
      <xdr:row>41</xdr:row>
      <xdr:rowOff>0</xdr:rowOff>
    </xdr:from>
    <xdr:to>
      <xdr:col>19</xdr:col>
      <xdr:colOff>329789</xdr:colOff>
      <xdr:row>64</xdr:row>
      <xdr:rowOff>96707</xdr:rowOff>
    </xdr:to>
    <xdr:graphicFrame macro="">
      <xdr:nvGraphicFramePr>
        <xdr:cNvPr id="7" name="Chart 6">
          <a:extLst>
            <a:ext uri="{FF2B5EF4-FFF2-40B4-BE49-F238E27FC236}">
              <a16:creationId xmlns:a16="http://schemas.microsoft.com/office/drawing/2014/main" id="{A4E4E338-E4F6-43FF-9E4E-ED145CE666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17</xdr:row>
      <xdr:rowOff>0</xdr:rowOff>
    </xdr:from>
    <xdr:to>
      <xdr:col>19</xdr:col>
      <xdr:colOff>891540</xdr:colOff>
      <xdr:row>34</xdr:row>
      <xdr:rowOff>45720</xdr:rowOff>
    </xdr:to>
    <xdr:graphicFrame macro="">
      <xdr:nvGraphicFramePr>
        <xdr:cNvPr id="9" name="Chart 3">
          <a:extLst>
            <a:ext uri="{FF2B5EF4-FFF2-40B4-BE49-F238E27FC236}">
              <a16:creationId xmlns:a16="http://schemas.microsoft.com/office/drawing/2014/main" id="{317DA8A8-68FC-49E3-9FE1-92D8744B4C8A}"/>
            </a:ext>
            <a:ext uri="{147F2762-F138-4A5C-976F-8EAC2B608ADB}">
              <a16:predDERef xmlns:a16="http://schemas.microsoft.com/office/drawing/2014/main" pred="{0C514BFA-DE3E-4491-BBE3-74903E0541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0</xdr:colOff>
      <xdr:row>17</xdr:row>
      <xdr:rowOff>0</xdr:rowOff>
    </xdr:from>
    <xdr:to>
      <xdr:col>40</xdr:col>
      <xdr:colOff>441960</xdr:colOff>
      <xdr:row>34</xdr:row>
      <xdr:rowOff>45720</xdr:rowOff>
    </xdr:to>
    <xdr:graphicFrame macro="">
      <xdr:nvGraphicFramePr>
        <xdr:cNvPr id="10" name="Chart 5">
          <a:extLst>
            <a:ext uri="{FF2B5EF4-FFF2-40B4-BE49-F238E27FC236}">
              <a16:creationId xmlns:a16="http://schemas.microsoft.com/office/drawing/2014/main" id="{EFC2C2F4-6549-4B70-9DC0-41D9F26D1976}"/>
            </a:ext>
            <a:ext uri="{147F2762-F138-4A5C-976F-8EAC2B608ADB}">
              <a16:predDERef xmlns:a16="http://schemas.microsoft.com/office/drawing/2014/main" pred="{317DA8A8-68FC-49E3-9FE1-92D8744B4C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17</xdr:row>
      <xdr:rowOff>0</xdr:rowOff>
    </xdr:from>
    <xdr:to>
      <xdr:col>28</xdr:col>
      <xdr:colOff>468854</xdr:colOff>
      <xdr:row>34</xdr:row>
      <xdr:rowOff>45720</xdr:rowOff>
    </xdr:to>
    <xdr:graphicFrame macro="">
      <xdr:nvGraphicFramePr>
        <xdr:cNvPr id="11" name="Chart 6">
          <a:extLst>
            <a:ext uri="{FF2B5EF4-FFF2-40B4-BE49-F238E27FC236}">
              <a16:creationId xmlns:a16="http://schemas.microsoft.com/office/drawing/2014/main" id="{C472CA64-B1ED-41B3-B9C4-F9F5D1FFFEBB}"/>
            </a:ext>
            <a:ext uri="{147F2762-F138-4A5C-976F-8EAC2B608ADB}">
              <a16:predDERef xmlns:a16="http://schemas.microsoft.com/office/drawing/2014/main" pred="{EFC2C2F4-6549-4B70-9DC0-41D9F26D19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0</xdr:colOff>
      <xdr:row>53</xdr:row>
      <xdr:rowOff>0</xdr:rowOff>
    </xdr:from>
    <xdr:to>
      <xdr:col>19</xdr:col>
      <xdr:colOff>932330</xdr:colOff>
      <xdr:row>70</xdr:row>
      <xdr:rowOff>152400</xdr:rowOff>
    </xdr:to>
    <xdr:graphicFrame macro="">
      <xdr:nvGraphicFramePr>
        <xdr:cNvPr id="12" name="Chart 11">
          <a:extLst>
            <a:ext uri="{FF2B5EF4-FFF2-40B4-BE49-F238E27FC236}">
              <a16:creationId xmlns:a16="http://schemas.microsoft.com/office/drawing/2014/main" id="{2F8F9614-BF4D-42DD-A5E5-945A4A3A0A7F}"/>
            </a:ext>
            <a:ext uri="{147F2762-F138-4A5C-976F-8EAC2B608ADB}">
              <a16:predDERef xmlns:a16="http://schemas.microsoft.com/office/drawing/2014/main" pred="{C472CA64-B1ED-41B3-B9C4-F9F5D1FFFE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53</xdr:row>
      <xdr:rowOff>0</xdr:rowOff>
    </xdr:from>
    <xdr:to>
      <xdr:col>28</xdr:col>
      <xdr:colOff>519954</xdr:colOff>
      <xdr:row>70</xdr:row>
      <xdr:rowOff>152400</xdr:rowOff>
    </xdr:to>
    <xdr:graphicFrame macro="">
      <xdr:nvGraphicFramePr>
        <xdr:cNvPr id="13" name="Chart 12">
          <a:extLst>
            <a:ext uri="{FF2B5EF4-FFF2-40B4-BE49-F238E27FC236}">
              <a16:creationId xmlns:a16="http://schemas.microsoft.com/office/drawing/2014/main" id="{18ED6464-65CE-4279-8FEB-78D60647CD2E}"/>
            </a:ext>
            <a:ext uri="{147F2762-F138-4A5C-976F-8EAC2B608ADB}">
              <a16:predDERef xmlns:a16="http://schemas.microsoft.com/office/drawing/2014/main" pred="{2F8F9614-BF4D-42DD-A5E5-945A4A3A0A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0</xdr:colOff>
      <xdr:row>53</xdr:row>
      <xdr:rowOff>0</xdr:rowOff>
    </xdr:from>
    <xdr:to>
      <xdr:col>40</xdr:col>
      <xdr:colOff>493060</xdr:colOff>
      <xdr:row>70</xdr:row>
      <xdr:rowOff>152400</xdr:rowOff>
    </xdr:to>
    <xdr:graphicFrame macro="">
      <xdr:nvGraphicFramePr>
        <xdr:cNvPr id="14" name="Chart 13">
          <a:extLst>
            <a:ext uri="{FF2B5EF4-FFF2-40B4-BE49-F238E27FC236}">
              <a16:creationId xmlns:a16="http://schemas.microsoft.com/office/drawing/2014/main" id="{AF5A4FCF-801E-4AB1-8684-4DD7C24FFD70}"/>
            </a:ext>
            <a:ext uri="{147F2762-F138-4A5C-976F-8EAC2B608ADB}">
              <a16:predDERef xmlns:a16="http://schemas.microsoft.com/office/drawing/2014/main" pred="{18ED6464-65CE-4279-8FEB-78D60647CD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23</xdr:row>
      <xdr:rowOff>0</xdr:rowOff>
    </xdr:from>
    <xdr:to>
      <xdr:col>12</xdr:col>
      <xdr:colOff>106680</xdr:colOff>
      <xdr:row>46</xdr:row>
      <xdr:rowOff>19051</xdr:rowOff>
    </xdr:to>
    <xdr:graphicFrame macro="">
      <xdr:nvGraphicFramePr>
        <xdr:cNvPr id="17" name="Chart 1">
          <a:extLst>
            <a:ext uri="{FF2B5EF4-FFF2-40B4-BE49-F238E27FC236}">
              <a16:creationId xmlns:a16="http://schemas.microsoft.com/office/drawing/2014/main" id="{719466BE-B257-4CDD-AE29-4C86492BBCEC}"/>
            </a:ext>
            <a:ext uri="{147F2762-F138-4A5C-976F-8EAC2B608ADB}">
              <a16:predDERef xmlns:a16="http://schemas.microsoft.com/office/drawing/2014/main" pred="{AF5A4FCF-801E-4AB1-8684-4DD7C24FFD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0</xdr:colOff>
      <xdr:row>47</xdr:row>
      <xdr:rowOff>0</xdr:rowOff>
    </xdr:from>
    <xdr:to>
      <xdr:col>13</xdr:col>
      <xdr:colOff>874059</xdr:colOff>
      <xdr:row>72</xdr:row>
      <xdr:rowOff>134472</xdr:rowOff>
    </xdr:to>
    <xdr:graphicFrame macro="">
      <xdr:nvGraphicFramePr>
        <xdr:cNvPr id="19" name="Chart 18">
          <a:extLst>
            <a:ext uri="{FF2B5EF4-FFF2-40B4-BE49-F238E27FC236}">
              <a16:creationId xmlns:a16="http://schemas.microsoft.com/office/drawing/2014/main" id="{14DB7E7A-5BF7-4C98-91B0-3BC89C4C82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60960</xdr:colOff>
      <xdr:row>9</xdr:row>
      <xdr:rowOff>3810</xdr:rowOff>
    </xdr:from>
    <xdr:to>
      <xdr:col>12</xdr:col>
      <xdr:colOff>167640</xdr:colOff>
      <xdr:row>32</xdr:row>
      <xdr:rowOff>22860</xdr:rowOff>
    </xdr:to>
    <xdr:graphicFrame macro="">
      <xdr:nvGraphicFramePr>
        <xdr:cNvPr id="2" name="Chart 1">
          <a:extLst>
            <a:ext uri="{FF2B5EF4-FFF2-40B4-BE49-F238E27FC236}">
              <a16:creationId xmlns:a16="http://schemas.microsoft.com/office/drawing/2014/main" id="{DC3E5D6D-1157-4B23-A8C3-393AA36665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0</xdr:colOff>
      <xdr:row>17</xdr:row>
      <xdr:rowOff>0</xdr:rowOff>
    </xdr:from>
    <xdr:to>
      <xdr:col>19</xdr:col>
      <xdr:colOff>891540</xdr:colOff>
      <xdr:row>34</xdr:row>
      <xdr:rowOff>45720</xdr:rowOff>
    </xdr:to>
    <xdr:graphicFrame macro="">
      <xdr:nvGraphicFramePr>
        <xdr:cNvPr id="4" name="Chart 3">
          <a:extLst>
            <a:ext uri="{FF2B5EF4-FFF2-40B4-BE49-F238E27FC236}">
              <a16:creationId xmlns:a16="http://schemas.microsoft.com/office/drawing/2014/main" id="{E901961C-1B8E-4C8A-BC2D-19D20308A1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0</xdr:colOff>
      <xdr:row>17</xdr:row>
      <xdr:rowOff>0</xdr:rowOff>
    </xdr:from>
    <xdr:to>
      <xdr:col>40</xdr:col>
      <xdr:colOff>441960</xdr:colOff>
      <xdr:row>34</xdr:row>
      <xdr:rowOff>45720</xdr:rowOff>
    </xdr:to>
    <xdr:graphicFrame macro="">
      <xdr:nvGraphicFramePr>
        <xdr:cNvPr id="6" name="Chart 5">
          <a:extLst>
            <a:ext uri="{FF2B5EF4-FFF2-40B4-BE49-F238E27FC236}">
              <a16:creationId xmlns:a16="http://schemas.microsoft.com/office/drawing/2014/main" id="{4A673712-73E3-40CF-946F-E29703C22B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0</xdr:colOff>
      <xdr:row>17</xdr:row>
      <xdr:rowOff>0</xdr:rowOff>
    </xdr:from>
    <xdr:to>
      <xdr:col>28</xdr:col>
      <xdr:colOff>468854</xdr:colOff>
      <xdr:row>34</xdr:row>
      <xdr:rowOff>45720</xdr:rowOff>
    </xdr:to>
    <xdr:graphicFrame macro="">
      <xdr:nvGraphicFramePr>
        <xdr:cNvPr id="7" name="Chart 6">
          <a:extLst>
            <a:ext uri="{FF2B5EF4-FFF2-40B4-BE49-F238E27FC236}">
              <a16:creationId xmlns:a16="http://schemas.microsoft.com/office/drawing/2014/main" id="{8F77C806-37C0-426E-B4DE-D349DB5E60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0</xdr:colOff>
      <xdr:row>53</xdr:row>
      <xdr:rowOff>0</xdr:rowOff>
    </xdr:from>
    <xdr:to>
      <xdr:col>19</xdr:col>
      <xdr:colOff>932330</xdr:colOff>
      <xdr:row>70</xdr:row>
      <xdr:rowOff>152400</xdr:rowOff>
    </xdr:to>
    <xdr:graphicFrame macro="">
      <xdr:nvGraphicFramePr>
        <xdr:cNvPr id="12" name="Chart 11">
          <a:extLst>
            <a:ext uri="{FF2B5EF4-FFF2-40B4-BE49-F238E27FC236}">
              <a16:creationId xmlns:a16="http://schemas.microsoft.com/office/drawing/2014/main" id="{5B2F1BCB-2F71-4EC5-A83D-ACC2FCE913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0</xdr:colOff>
      <xdr:row>53</xdr:row>
      <xdr:rowOff>0</xdr:rowOff>
    </xdr:from>
    <xdr:to>
      <xdr:col>28</xdr:col>
      <xdr:colOff>519954</xdr:colOff>
      <xdr:row>70</xdr:row>
      <xdr:rowOff>152400</xdr:rowOff>
    </xdr:to>
    <xdr:graphicFrame macro="">
      <xdr:nvGraphicFramePr>
        <xdr:cNvPr id="13" name="Chart 12">
          <a:extLst>
            <a:ext uri="{FF2B5EF4-FFF2-40B4-BE49-F238E27FC236}">
              <a16:creationId xmlns:a16="http://schemas.microsoft.com/office/drawing/2014/main" id="{B9533771-5964-47C1-8080-8025FDC251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0</xdr:colOff>
      <xdr:row>53</xdr:row>
      <xdr:rowOff>0</xdr:rowOff>
    </xdr:from>
    <xdr:to>
      <xdr:col>40</xdr:col>
      <xdr:colOff>493060</xdr:colOff>
      <xdr:row>70</xdr:row>
      <xdr:rowOff>152400</xdr:rowOff>
    </xdr:to>
    <xdr:graphicFrame macro="">
      <xdr:nvGraphicFramePr>
        <xdr:cNvPr id="14" name="Chart 13">
          <a:extLst>
            <a:ext uri="{FF2B5EF4-FFF2-40B4-BE49-F238E27FC236}">
              <a16:creationId xmlns:a16="http://schemas.microsoft.com/office/drawing/2014/main" id="{1083B794-ABDA-442E-98CC-F6C7369433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4483</xdr:colOff>
      <xdr:row>59</xdr:row>
      <xdr:rowOff>22411</xdr:rowOff>
    </xdr:from>
    <xdr:to>
      <xdr:col>6</xdr:col>
      <xdr:colOff>842681</xdr:colOff>
      <xdr:row>81</xdr:row>
      <xdr:rowOff>26894</xdr:rowOff>
    </xdr:to>
    <xdr:graphicFrame macro="">
      <xdr:nvGraphicFramePr>
        <xdr:cNvPr id="8" name="Chart 7">
          <a:extLst>
            <a:ext uri="{FF2B5EF4-FFF2-40B4-BE49-F238E27FC236}">
              <a16:creationId xmlns:a16="http://schemas.microsoft.com/office/drawing/2014/main" id="{BC6101EF-B527-483E-824B-56A8A4789BD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4483</xdr:colOff>
      <xdr:row>89</xdr:row>
      <xdr:rowOff>22411</xdr:rowOff>
    </xdr:from>
    <xdr:to>
      <xdr:col>6</xdr:col>
      <xdr:colOff>842681</xdr:colOff>
      <xdr:row>111</xdr:row>
      <xdr:rowOff>26894</xdr:rowOff>
    </xdr:to>
    <xdr:graphicFrame macro="">
      <xdr:nvGraphicFramePr>
        <xdr:cNvPr id="5" name="Chart 10">
          <a:extLst>
            <a:ext uri="{FF2B5EF4-FFF2-40B4-BE49-F238E27FC236}">
              <a16:creationId xmlns:a16="http://schemas.microsoft.com/office/drawing/2014/main" id="{EC94736E-6346-450D-983A-62B05C67ED46}"/>
            </a:ext>
            <a:ext uri="{147F2762-F138-4A5C-976F-8EAC2B608ADB}">
              <a16:predDERef xmlns:a16="http://schemas.microsoft.com/office/drawing/2014/main" pred="{BC6101EF-B527-483E-824B-56A8A4789B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83820</xdr:colOff>
      <xdr:row>15</xdr:row>
      <xdr:rowOff>152400</xdr:rowOff>
    </xdr:from>
    <xdr:to>
      <xdr:col>10</xdr:col>
      <xdr:colOff>322895</xdr:colOff>
      <xdr:row>50</xdr:row>
      <xdr:rowOff>75409</xdr:rowOff>
    </xdr:to>
    <xdr:pic>
      <xdr:nvPicPr>
        <xdr:cNvPr id="2" name="Picture 1">
          <a:extLst>
            <a:ext uri="{FF2B5EF4-FFF2-40B4-BE49-F238E27FC236}">
              <a16:creationId xmlns:a16="http://schemas.microsoft.com/office/drawing/2014/main" id="{9F087F76-F405-464E-9484-63A7D598CFEE}"/>
            </a:ext>
          </a:extLst>
        </xdr:cNvPr>
        <xdr:cNvPicPr>
          <a:picLocks noChangeAspect="1"/>
        </xdr:cNvPicPr>
      </xdr:nvPicPr>
      <xdr:blipFill>
        <a:blip xmlns:r="http://schemas.openxmlformats.org/officeDocument/2006/relationships" r:embed="rId1"/>
        <a:stretch>
          <a:fillRect/>
        </a:stretch>
      </xdr:blipFill>
      <xdr:spPr>
        <a:xfrm>
          <a:off x="83820" y="2758440"/>
          <a:ext cx="7638095" cy="632380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Luuk Brederode" id="{30F8326D-21C0-461E-96A3-77F25BD25E31}" userId="S::lbrederode@dat.nl::e5ff7b71-b1e0-4d5a-9a8f-72e2e803da04" providerId="AD"/>
  <person displayName="Aswin Nandakumar" id="{A70F5C0B-4430-41F2-A5ED-00E2390082F0}" userId="S::anandakumar@dat.nl::7fd4bde9-88c0-41c1-87c2-8b4a1f9e5bf6" providerId="AD"/>
  <person displayName="Gastgebruiker" id="{1221716D-708B-40B3-9C55-82C8B530F068}" userId="S::urn:spo:anon#0e283e4f9b3ccf7dd135c1ffff9f3fdb81e956f1693db5ceda922c0978ead06c::"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swin Menon Nandakumar" refreshedDate="44504.53479513889" createdVersion="7" refreshedVersion="7" minRefreshableVersion="3" recordCount="36" xr:uid="{B97DE3DE-3957-4E22-909D-147158651AD2}">
  <cacheSource type="worksheet">
    <worksheetSource ref="A1:E37" sheet="Score_summary"/>
  </cacheSource>
  <cacheFields count="5">
    <cacheField name="Sl No" numFmtId="0">
      <sharedItems containsSemiMixedTypes="0" containsString="0" containsNumber="1" containsInteger="1" minValue="1" maxValue="36"/>
    </cacheField>
    <cacheField name="Model Name" numFmtId="0">
      <sharedItems count="3">
        <s v="MARPLE"/>
        <s v="StreamLine-MaDAM"/>
        <s v="StreamLine-eGLTM"/>
      </sharedItems>
    </cacheField>
    <cacheField name="Model User Category" numFmtId="0">
      <sharedItems count="4">
        <s v="Policy Maker"/>
        <s v="Mobility Consultant"/>
        <s v="Scientific Researcher"/>
        <s v="Model Developer"/>
      </sharedItems>
    </cacheField>
    <cacheField name="Planning Horizon" numFmtId="0">
      <sharedItems count="3">
        <s v="Strategic Planning"/>
        <s v="Tactical Planning"/>
        <s v="Operational Planning"/>
      </sharedItems>
    </cacheField>
    <cacheField name="Total Scores" numFmtId="0">
      <sharedItems containsSemiMixedTypes="0" containsString="0" containsNumber="1" containsInteger="1" minValue="130" maxValue="183"/>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swin Menon Nandakumar" refreshedDate="44540.542347337963" createdVersion="7" refreshedVersion="7" minRefreshableVersion="3" recordCount="36" xr:uid="{7C675B81-E027-4D3A-9352-D58E60590586}">
  <cacheSource type="worksheet">
    <worksheetSource ref="A1:E37" sheet="Score_summary_Average"/>
  </cacheSource>
  <cacheFields count="5">
    <cacheField name="Sl No" numFmtId="0">
      <sharedItems containsSemiMixedTypes="0" containsString="0" containsNumber="1" containsInteger="1" minValue="1" maxValue="36"/>
    </cacheField>
    <cacheField name="Model Name" numFmtId="0">
      <sharedItems count="3">
        <s v="MARPLE"/>
        <s v="StreamLine-eGLTM"/>
        <s v="StreamLine-MaDAM"/>
      </sharedItems>
    </cacheField>
    <cacheField name="Model User Category" numFmtId="0">
      <sharedItems count="4">
        <s v="Mobility Consultant"/>
        <s v="Model Developer"/>
        <s v="Policy Maker"/>
        <s v="Scientific Researcher"/>
      </sharedItems>
    </cacheField>
    <cacheField name="Planning Horizon" numFmtId="0">
      <sharedItems count="3">
        <s v="Operational Planning"/>
        <s v="Strategic Planning"/>
        <s v="Tactical Planning"/>
      </sharedItems>
    </cacheField>
    <cacheField name="Total Scores" numFmtId="1">
      <sharedItems containsSemiMixedTypes="0" containsString="0" containsNumber="1" minValue="28.271615965497645" maxValue="37.78719167311336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6">
  <r>
    <n v="1"/>
    <x v="0"/>
    <x v="0"/>
    <x v="0"/>
    <n v="130"/>
  </r>
  <r>
    <n v="2"/>
    <x v="0"/>
    <x v="0"/>
    <x v="1"/>
    <n v="139"/>
  </r>
  <r>
    <n v="3"/>
    <x v="0"/>
    <x v="0"/>
    <x v="2"/>
    <n v="146"/>
  </r>
  <r>
    <n v="4"/>
    <x v="0"/>
    <x v="1"/>
    <x v="0"/>
    <n v="143"/>
  </r>
  <r>
    <n v="5"/>
    <x v="0"/>
    <x v="1"/>
    <x v="1"/>
    <n v="160"/>
  </r>
  <r>
    <n v="6"/>
    <x v="0"/>
    <x v="1"/>
    <x v="2"/>
    <n v="165"/>
  </r>
  <r>
    <n v="7"/>
    <x v="0"/>
    <x v="2"/>
    <x v="0"/>
    <n v="143"/>
  </r>
  <r>
    <n v="8"/>
    <x v="0"/>
    <x v="2"/>
    <x v="1"/>
    <n v="140"/>
  </r>
  <r>
    <n v="9"/>
    <x v="0"/>
    <x v="2"/>
    <x v="2"/>
    <n v="138"/>
  </r>
  <r>
    <n v="10"/>
    <x v="0"/>
    <x v="3"/>
    <x v="0"/>
    <n v="137"/>
  </r>
  <r>
    <n v="11"/>
    <x v="0"/>
    <x v="3"/>
    <x v="1"/>
    <n v="150"/>
  </r>
  <r>
    <n v="12"/>
    <x v="0"/>
    <x v="3"/>
    <x v="2"/>
    <n v="161"/>
  </r>
  <r>
    <n v="13"/>
    <x v="1"/>
    <x v="0"/>
    <x v="0"/>
    <n v="146"/>
  </r>
  <r>
    <n v="14"/>
    <x v="1"/>
    <x v="0"/>
    <x v="1"/>
    <n v="159"/>
  </r>
  <r>
    <n v="15"/>
    <x v="1"/>
    <x v="0"/>
    <x v="2"/>
    <n v="163"/>
  </r>
  <r>
    <n v="16"/>
    <x v="1"/>
    <x v="1"/>
    <x v="0"/>
    <n v="161"/>
  </r>
  <r>
    <n v="17"/>
    <x v="1"/>
    <x v="1"/>
    <x v="1"/>
    <n v="179"/>
  </r>
  <r>
    <n v="18"/>
    <x v="1"/>
    <x v="1"/>
    <x v="2"/>
    <n v="183"/>
  </r>
  <r>
    <n v="19"/>
    <x v="1"/>
    <x v="2"/>
    <x v="0"/>
    <n v="152"/>
  </r>
  <r>
    <n v="20"/>
    <x v="1"/>
    <x v="2"/>
    <x v="1"/>
    <n v="155"/>
  </r>
  <r>
    <n v="21"/>
    <x v="1"/>
    <x v="2"/>
    <x v="2"/>
    <n v="150"/>
  </r>
  <r>
    <n v="22"/>
    <x v="1"/>
    <x v="3"/>
    <x v="0"/>
    <n v="150"/>
  </r>
  <r>
    <n v="23"/>
    <x v="1"/>
    <x v="3"/>
    <x v="1"/>
    <n v="165"/>
  </r>
  <r>
    <n v="24"/>
    <x v="1"/>
    <x v="3"/>
    <x v="2"/>
    <n v="177"/>
  </r>
  <r>
    <n v="25"/>
    <x v="2"/>
    <x v="0"/>
    <x v="0"/>
    <n v="132"/>
  </r>
  <r>
    <n v="26"/>
    <x v="2"/>
    <x v="0"/>
    <x v="1"/>
    <n v="142"/>
  </r>
  <r>
    <n v="27"/>
    <x v="2"/>
    <x v="0"/>
    <x v="2"/>
    <n v="144"/>
  </r>
  <r>
    <n v="28"/>
    <x v="2"/>
    <x v="1"/>
    <x v="0"/>
    <n v="146"/>
  </r>
  <r>
    <n v="29"/>
    <x v="2"/>
    <x v="1"/>
    <x v="1"/>
    <n v="163"/>
  </r>
  <r>
    <n v="30"/>
    <x v="2"/>
    <x v="1"/>
    <x v="2"/>
    <n v="167"/>
  </r>
  <r>
    <n v="31"/>
    <x v="2"/>
    <x v="2"/>
    <x v="0"/>
    <n v="144"/>
  </r>
  <r>
    <n v="32"/>
    <x v="2"/>
    <x v="2"/>
    <x v="1"/>
    <n v="138"/>
  </r>
  <r>
    <n v="33"/>
    <x v="2"/>
    <x v="2"/>
    <x v="2"/>
    <n v="134"/>
  </r>
  <r>
    <n v="34"/>
    <x v="2"/>
    <x v="3"/>
    <x v="0"/>
    <n v="138"/>
  </r>
  <r>
    <n v="35"/>
    <x v="2"/>
    <x v="3"/>
    <x v="1"/>
    <n v="149"/>
  </r>
  <r>
    <n v="36"/>
    <x v="2"/>
    <x v="3"/>
    <x v="2"/>
    <n v="161"/>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6">
  <r>
    <n v="1"/>
    <x v="0"/>
    <x v="0"/>
    <x v="0"/>
    <n v="37.250711591964709"/>
  </r>
  <r>
    <n v="2"/>
    <x v="1"/>
    <x v="0"/>
    <x v="0"/>
    <n v="34.294190137643632"/>
  </r>
  <r>
    <n v="3"/>
    <x v="2"/>
    <x v="0"/>
    <x v="0"/>
    <n v="36.629688136245413"/>
  </r>
  <r>
    <n v="4"/>
    <x v="0"/>
    <x v="1"/>
    <x v="0"/>
    <n v="35.944145340813179"/>
  </r>
  <r>
    <n v="5"/>
    <x v="1"/>
    <x v="1"/>
    <x v="0"/>
    <n v="32.64655532707836"/>
  </r>
  <r>
    <n v="6"/>
    <x v="2"/>
    <x v="1"/>
    <x v="0"/>
    <n v="35.508624944430203"/>
  </r>
  <r>
    <n v="7"/>
    <x v="0"/>
    <x v="2"/>
    <x v="0"/>
    <n v="34.343672254870633"/>
  </r>
  <r>
    <n v="8"/>
    <x v="1"/>
    <x v="2"/>
    <x v="0"/>
    <n v="31.721584501278191"/>
  </r>
  <r>
    <n v="9"/>
    <x v="2"/>
    <x v="2"/>
    <x v="0"/>
    <n v="32.581626537474172"/>
  </r>
  <r>
    <n v="10"/>
    <x v="0"/>
    <x v="3"/>
    <x v="0"/>
    <n v="32.04420822618922"/>
  </r>
  <r>
    <n v="11"/>
    <x v="1"/>
    <x v="3"/>
    <x v="0"/>
    <n v="28.271615965497645"/>
  </r>
  <r>
    <n v="12"/>
    <x v="2"/>
    <x v="3"/>
    <x v="0"/>
    <n v="31.989382126166316"/>
  </r>
  <r>
    <n v="13"/>
    <x v="0"/>
    <x v="0"/>
    <x v="1"/>
    <n v="35.34473089999549"/>
  </r>
  <r>
    <n v="14"/>
    <x v="1"/>
    <x v="0"/>
    <x v="1"/>
    <n v="33.690127911660724"/>
  </r>
  <r>
    <n v="15"/>
    <x v="2"/>
    <x v="0"/>
    <x v="1"/>
    <n v="32.186585945051583"/>
  </r>
  <r>
    <n v="16"/>
    <x v="0"/>
    <x v="1"/>
    <x v="1"/>
    <n v="35.895693392587276"/>
  </r>
  <r>
    <n v="17"/>
    <x v="1"/>
    <x v="1"/>
    <x v="1"/>
    <n v="33.461013759386802"/>
  </r>
  <r>
    <n v="18"/>
    <x v="2"/>
    <x v="1"/>
    <x v="1"/>
    <n v="32.208917382786055"/>
  </r>
  <r>
    <n v="19"/>
    <x v="0"/>
    <x v="2"/>
    <x v="1"/>
    <n v="34.717576913342569"/>
  </r>
  <r>
    <n v="20"/>
    <x v="1"/>
    <x v="2"/>
    <x v="1"/>
    <n v="33.554419649232436"/>
  </r>
  <r>
    <n v="21"/>
    <x v="2"/>
    <x v="2"/>
    <x v="1"/>
    <n v="31.290579866349532"/>
  </r>
  <r>
    <n v="22"/>
    <x v="0"/>
    <x v="3"/>
    <x v="1"/>
    <n v="36.020633087090388"/>
  </r>
  <r>
    <n v="23"/>
    <x v="1"/>
    <x v="3"/>
    <x v="1"/>
    <n v="33.525581323384515"/>
  </r>
  <r>
    <n v="24"/>
    <x v="2"/>
    <x v="3"/>
    <x v="1"/>
    <n v="30.941428320049102"/>
  </r>
  <r>
    <n v="25"/>
    <x v="0"/>
    <x v="0"/>
    <x v="2"/>
    <n v="37.787191673113362"/>
  </r>
  <r>
    <n v="26"/>
    <x v="1"/>
    <x v="0"/>
    <x v="2"/>
    <n v="35.554351396866778"/>
  </r>
  <r>
    <n v="27"/>
    <x v="2"/>
    <x v="0"/>
    <x v="2"/>
    <n v="36.064009951228591"/>
  </r>
  <r>
    <n v="28"/>
    <x v="0"/>
    <x v="1"/>
    <x v="2"/>
    <n v="36.929435775725452"/>
  </r>
  <r>
    <n v="29"/>
    <x v="1"/>
    <x v="1"/>
    <x v="2"/>
    <n v="34.197401524423427"/>
  </r>
  <r>
    <n v="30"/>
    <x v="2"/>
    <x v="1"/>
    <x v="2"/>
    <n v="34.085619237445911"/>
  </r>
  <r>
    <n v="31"/>
    <x v="0"/>
    <x v="2"/>
    <x v="2"/>
    <n v="35.094381609870183"/>
  </r>
  <r>
    <n v="32"/>
    <x v="1"/>
    <x v="2"/>
    <x v="2"/>
    <n v="33.492005434960895"/>
  </r>
  <r>
    <n v="33"/>
    <x v="2"/>
    <x v="2"/>
    <x v="2"/>
    <n v="33.287284585311262"/>
  </r>
  <r>
    <n v="34"/>
    <x v="0"/>
    <x v="3"/>
    <x v="2"/>
    <n v="32.511329086374687"/>
  </r>
  <r>
    <n v="35"/>
    <x v="1"/>
    <x v="3"/>
    <x v="2"/>
    <n v="29.965598570689131"/>
  </r>
  <r>
    <n v="36"/>
    <x v="2"/>
    <x v="3"/>
    <x v="2"/>
    <n v="32.29831041207244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AD87B3C-8ABB-4FF3-8C0C-AB36DF08E104}" name="PivotTable15" cacheId="0" applyNumberFormats="0" applyBorderFormats="0" applyFontFormats="0" applyPatternFormats="0" applyAlignmentFormats="0" applyWidthHeightFormats="1" dataCaption="Values" updatedVersion="7" minRefreshableVersion="3" useAutoFormatting="1" rowGrandTotals="0" colGrandTotals="0" itemPrintTitles="1" createdVersion="7" indent="0" outline="1" outlineData="1" multipleFieldFilters="0" chartFormat="9">
  <location ref="G3:J8" firstHeaderRow="1" firstDataRow="2" firstDataCol="1" rowPageCount="1" colPageCount="1"/>
  <pivotFields count="5">
    <pivotField showAll="0"/>
    <pivotField axis="axisCol" showAll="0">
      <items count="4">
        <item x="0"/>
        <item x="1"/>
        <item x="2"/>
        <item t="default"/>
      </items>
    </pivotField>
    <pivotField axis="axisRow" showAll="0">
      <items count="5">
        <item x="0"/>
        <item x="1"/>
        <item x="2"/>
        <item x="3"/>
        <item t="default"/>
      </items>
    </pivotField>
    <pivotField axis="axisPage" multipleItemSelectionAllowed="1" showAll="0">
      <items count="4">
        <item h="1" x="2"/>
        <item x="0"/>
        <item h="1" x="1"/>
        <item t="default"/>
      </items>
    </pivotField>
    <pivotField dataField="1" showAll="0"/>
  </pivotFields>
  <rowFields count="1">
    <field x="2"/>
  </rowFields>
  <rowItems count="4">
    <i>
      <x/>
    </i>
    <i>
      <x v="1"/>
    </i>
    <i>
      <x v="2"/>
    </i>
    <i>
      <x v="3"/>
    </i>
  </rowItems>
  <colFields count="1">
    <field x="1"/>
  </colFields>
  <colItems count="3">
    <i>
      <x/>
    </i>
    <i>
      <x v="1"/>
    </i>
    <i>
      <x v="2"/>
    </i>
  </colItems>
  <pageFields count="1">
    <pageField fld="3" hier="-1"/>
  </pageFields>
  <dataFields count="1">
    <dataField name="Average of Total Scores" fld="4" subtotal="average" baseField="1" baseItem="0"/>
  </dataFields>
  <chartFormats count="29">
    <chartFormat chart="0" format="0" series="1">
      <pivotArea type="data" outline="0" fieldPosition="0">
        <references count="2">
          <reference field="4294967294" count="1" selected="0">
            <x v="0"/>
          </reference>
          <reference field="2" count="1" selected="0">
            <x v="1"/>
          </reference>
        </references>
      </pivotArea>
    </chartFormat>
    <chartFormat chart="0" format="1" series="1">
      <pivotArea type="data" outline="0" fieldPosition="0">
        <references count="2">
          <reference field="4294967294" count="1" selected="0">
            <x v="0"/>
          </reference>
          <reference field="2" count="1" selected="0">
            <x v="3"/>
          </reference>
        </references>
      </pivotArea>
    </chartFormat>
    <chartFormat chart="0" format="2" series="1">
      <pivotArea type="data" outline="0" fieldPosition="0">
        <references count="2">
          <reference field="4294967294" count="1" selected="0">
            <x v="0"/>
          </reference>
          <reference field="2" count="1" selected="0">
            <x v="0"/>
          </reference>
        </references>
      </pivotArea>
    </chartFormat>
    <chartFormat chart="0" format="3" series="1">
      <pivotArea type="data" outline="0" fieldPosition="0">
        <references count="2">
          <reference field="4294967294" count="1" selected="0">
            <x v="0"/>
          </reference>
          <reference field="2" count="1" selected="0">
            <x v="2"/>
          </reference>
        </references>
      </pivotArea>
    </chartFormat>
    <chartFormat chart="0" format="4" series="1">
      <pivotArea type="data" outline="0" fieldPosition="0">
        <references count="1">
          <reference field="4294967294" count="1" selected="0">
            <x v="0"/>
          </reference>
        </references>
      </pivotArea>
    </chartFormat>
    <chartFormat chart="0" format="5" series="1">
      <pivotArea type="data" outline="0" fieldPosition="0">
        <references count="2">
          <reference field="4294967294" count="1" selected="0">
            <x v="0"/>
          </reference>
          <reference field="1" count="1" selected="0">
            <x v="2"/>
          </reference>
        </references>
      </pivotArea>
    </chartFormat>
    <chartFormat chart="0" format="6" series="1">
      <pivotArea type="data" outline="0" fieldPosition="0">
        <references count="2">
          <reference field="4294967294" count="1" selected="0">
            <x v="0"/>
          </reference>
          <reference field="1" count="1" selected="0">
            <x v="1"/>
          </reference>
        </references>
      </pivotArea>
    </chartFormat>
    <chartFormat chart="0" format="7" series="1">
      <pivotArea type="data" outline="0" fieldPosition="0">
        <references count="2">
          <reference field="4294967294" count="1" selected="0">
            <x v="0"/>
          </reference>
          <reference field="1" count="1" selected="0">
            <x v="0"/>
          </reference>
        </references>
      </pivotArea>
    </chartFormat>
    <chartFormat chart="2" format="11" series="1">
      <pivotArea type="data" outline="0" fieldPosition="0">
        <references count="2">
          <reference field="4294967294" count="1" selected="0">
            <x v="0"/>
          </reference>
          <reference field="1" count="1" selected="0">
            <x v="0"/>
          </reference>
        </references>
      </pivotArea>
    </chartFormat>
    <chartFormat chart="2" format="12" series="1">
      <pivotArea type="data" outline="0" fieldPosition="0">
        <references count="2">
          <reference field="4294967294" count="1" selected="0">
            <x v="0"/>
          </reference>
          <reference field="1" count="1" selected="0">
            <x v="2"/>
          </reference>
        </references>
      </pivotArea>
    </chartFormat>
    <chartFormat chart="2" format="13" series="1">
      <pivotArea type="data" outline="0" fieldPosition="0">
        <references count="2">
          <reference field="4294967294" count="1" selected="0">
            <x v="0"/>
          </reference>
          <reference field="1" count="1" selected="0">
            <x v="1"/>
          </reference>
        </references>
      </pivotArea>
    </chartFormat>
    <chartFormat chart="3" format="8" series="1">
      <pivotArea type="data" outline="0" fieldPosition="0">
        <references count="2">
          <reference field="4294967294" count="1" selected="0">
            <x v="0"/>
          </reference>
          <reference field="1" count="1" selected="0">
            <x v="0"/>
          </reference>
        </references>
      </pivotArea>
    </chartFormat>
    <chartFormat chart="3" format="9" series="1">
      <pivotArea type="data" outline="0" fieldPosition="0">
        <references count="2">
          <reference field="4294967294" count="1" selected="0">
            <x v="0"/>
          </reference>
          <reference field="1" count="1" selected="0">
            <x v="1"/>
          </reference>
        </references>
      </pivotArea>
    </chartFormat>
    <chartFormat chart="3" format="10" series="1">
      <pivotArea type="data" outline="0" fieldPosition="0">
        <references count="2">
          <reference field="4294967294" count="1" selected="0">
            <x v="0"/>
          </reference>
          <reference field="1" count="1" selected="0">
            <x v="2"/>
          </reference>
        </references>
      </pivotArea>
    </chartFormat>
    <chartFormat chart="4" format="11" series="1">
      <pivotArea type="data" outline="0" fieldPosition="0">
        <references count="2">
          <reference field="4294967294" count="1" selected="0">
            <x v="0"/>
          </reference>
          <reference field="1" count="1" selected="0">
            <x v="0"/>
          </reference>
        </references>
      </pivotArea>
    </chartFormat>
    <chartFormat chart="4" format="12" series="1">
      <pivotArea type="data" outline="0" fieldPosition="0">
        <references count="2">
          <reference field="4294967294" count="1" selected="0">
            <x v="0"/>
          </reference>
          <reference field="1" count="1" selected="0">
            <x v="1"/>
          </reference>
        </references>
      </pivotArea>
    </chartFormat>
    <chartFormat chart="4" format="13" series="1">
      <pivotArea type="data" outline="0" fieldPosition="0">
        <references count="2">
          <reference field="4294967294" count="1" selected="0">
            <x v="0"/>
          </reference>
          <reference field="1" count="1" selected="0">
            <x v="2"/>
          </reference>
        </references>
      </pivotArea>
    </chartFormat>
    <chartFormat chart="5" format="8" series="1">
      <pivotArea type="data" outline="0" fieldPosition="0">
        <references count="2">
          <reference field="4294967294" count="1" selected="0">
            <x v="0"/>
          </reference>
          <reference field="1" count="1" selected="0">
            <x v="0"/>
          </reference>
        </references>
      </pivotArea>
    </chartFormat>
    <chartFormat chart="5" format="9" series="1">
      <pivotArea type="data" outline="0" fieldPosition="0">
        <references count="2">
          <reference field="4294967294" count="1" selected="0">
            <x v="0"/>
          </reference>
          <reference field="1" count="1" selected="0">
            <x v="1"/>
          </reference>
        </references>
      </pivotArea>
    </chartFormat>
    <chartFormat chart="5" format="10" series="1">
      <pivotArea type="data" outline="0" fieldPosition="0">
        <references count="2">
          <reference field="4294967294" count="1" selected="0">
            <x v="0"/>
          </reference>
          <reference field="1" count="1" selected="0">
            <x v="2"/>
          </reference>
        </references>
      </pivotArea>
    </chartFormat>
    <chartFormat chart="6" format="11" series="1">
      <pivotArea type="data" outline="0" fieldPosition="0">
        <references count="2">
          <reference field="4294967294" count="1" selected="0">
            <x v="0"/>
          </reference>
          <reference field="1" count="1" selected="0">
            <x v="0"/>
          </reference>
        </references>
      </pivotArea>
    </chartFormat>
    <chartFormat chart="6" format="12" series="1">
      <pivotArea type="data" outline="0" fieldPosition="0">
        <references count="2">
          <reference field="4294967294" count="1" selected="0">
            <x v="0"/>
          </reference>
          <reference field="1" count="1" selected="0">
            <x v="1"/>
          </reference>
        </references>
      </pivotArea>
    </chartFormat>
    <chartFormat chart="6" format="13" series="1">
      <pivotArea type="data" outline="0" fieldPosition="0">
        <references count="2">
          <reference field="4294967294" count="1" selected="0">
            <x v="0"/>
          </reference>
          <reference field="1" count="1" selected="0">
            <x v="2"/>
          </reference>
        </references>
      </pivotArea>
    </chartFormat>
    <chartFormat chart="7" format="8" series="1">
      <pivotArea type="data" outline="0" fieldPosition="0">
        <references count="2">
          <reference field="4294967294" count="1" selected="0">
            <x v="0"/>
          </reference>
          <reference field="1" count="1" selected="0">
            <x v="0"/>
          </reference>
        </references>
      </pivotArea>
    </chartFormat>
    <chartFormat chart="7" format="9" series="1">
      <pivotArea type="data" outline="0" fieldPosition="0">
        <references count="2">
          <reference field="4294967294" count="1" selected="0">
            <x v="0"/>
          </reference>
          <reference field="1" count="1" selected="0">
            <x v="1"/>
          </reference>
        </references>
      </pivotArea>
    </chartFormat>
    <chartFormat chart="7" format="10" series="1">
      <pivotArea type="data" outline="0" fieldPosition="0">
        <references count="2">
          <reference field="4294967294" count="1" selected="0">
            <x v="0"/>
          </reference>
          <reference field="1" count="1" selected="0">
            <x v="2"/>
          </reference>
        </references>
      </pivotArea>
    </chartFormat>
    <chartFormat chart="8" format="11" series="1">
      <pivotArea type="data" outline="0" fieldPosition="0">
        <references count="2">
          <reference field="4294967294" count="1" selected="0">
            <x v="0"/>
          </reference>
          <reference field="1" count="1" selected="0">
            <x v="0"/>
          </reference>
        </references>
      </pivotArea>
    </chartFormat>
    <chartFormat chart="8" format="12" series="1">
      <pivotArea type="data" outline="0" fieldPosition="0">
        <references count="2">
          <reference field="4294967294" count="1" selected="0">
            <x v="0"/>
          </reference>
          <reference field="1" count="1" selected="0">
            <x v="1"/>
          </reference>
        </references>
      </pivotArea>
    </chartFormat>
    <chartFormat chart="8" format="13" series="1">
      <pivotArea type="data" outline="0" fieldPosition="0">
        <references count="2">
          <reference field="4294967294" count="1" selected="0">
            <x v="0"/>
          </reference>
          <reference field="1"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42670922-2162-46C9-92C7-294A4BC6FDBA}" name="PivotTable15" cacheId="1" applyNumberFormats="0" applyBorderFormats="0" applyFontFormats="0" applyPatternFormats="0" applyAlignmentFormats="0" applyWidthHeightFormats="1" dataCaption="Values" updatedVersion="7" minRefreshableVersion="3" useAutoFormatting="1" rowGrandTotals="0" colGrandTotals="0" itemPrintTitles="1" createdVersion="7" indent="0" outline="1" outlineData="1" multipleFieldFilters="0" chartFormat="33">
  <location ref="G3:J19" firstHeaderRow="1" firstDataRow="2" firstDataCol="1"/>
  <pivotFields count="5">
    <pivotField showAll="0" defaultSubtotal="0"/>
    <pivotField axis="axisCol" showAll="0" defaultSubtotal="0">
      <items count="3">
        <item x="0"/>
        <item x="2"/>
        <item x="1"/>
      </items>
    </pivotField>
    <pivotField axis="axisRow" showAll="0" defaultSubtotal="0">
      <items count="4">
        <item x="2"/>
        <item x="0"/>
        <item x="3"/>
        <item x="1"/>
      </items>
    </pivotField>
    <pivotField axis="axisRow" multipleItemSelectionAllowed="1" showAll="0" defaultSubtotal="0">
      <items count="3">
        <item x="1"/>
        <item x="2"/>
        <item x="0"/>
      </items>
    </pivotField>
    <pivotField dataField="1" showAll="0" defaultSubtotal="0"/>
  </pivotFields>
  <rowFields count="2">
    <field x="3"/>
    <field x="2"/>
  </rowFields>
  <rowItems count="15">
    <i>
      <x/>
    </i>
    <i r="1">
      <x/>
    </i>
    <i r="1">
      <x v="1"/>
    </i>
    <i r="1">
      <x v="2"/>
    </i>
    <i r="1">
      <x v="3"/>
    </i>
    <i>
      <x v="1"/>
    </i>
    <i r="1">
      <x/>
    </i>
    <i r="1">
      <x v="1"/>
    </i>
    <i r="1">
      <x v="2"/>
    </i>
    <i r="1">
      <x v="3"/>
    </i>
    <i>
      <x v="2"/>
    </i>
    <i r="1">
      <x/>
    </i>
    <i r="1">
      <x v="1"/>
    </i>
    <i r="1">
      <x v="2"/>
    </i>
    <i r="1">
      <x v="3"/>
    </i>
  </rowItems>
  <colFields count="1">
    <field x="1"/>
  </colFields>
  <colItems count="3">
    <i>
      <x/>
    </i>
    <i>
      <x v="1"/>
    </i>
    <i>
      <x v="2"/>
    </i>
  </colItems>
  <dataFields count="1">
    <dataField name="Average of Total Scores" fld="4" subtotal="average" baseField="1" baseItem="0" numFmtId="1"/>
  </dataFields>
  <formats count="1">
    <format dxfId="5">
      <pivotArea outline="0" collapsedLevelsAreSubtotals="1" fieldPosition="0"/>
    </format>
  </formats>
  <chartFormats count="101">
    <chartFormat chart="0" format="0" series="1">
      <pivotArea type="data" outline="0" fieldPosition="0">
        <references count="2">
          <reference field="4294967294" count="1" selected="0">
            <x v="0"/>
          </reference>
          <reference field="2" count="1" selected="0">
            <x v="1"/>
          </reference>
        </references>
      </pivotArea>
    </chartFormat>
    <chartFormat chart="0" format="1" series="1">
      <pivotArea type="data" outline="0" fieldPosition="0">
        <references count="2">
          <reference field="4294967294" count="1" selected="0">
            <x v="0"/>
          </reference>
          <reference field="2" count="1" selected="0">
            <x v="3"/>
          </reference>
        </references>
      </pivotArea>
    </chartFormat>
    <chartFormat chart="0" format="2" series="1">
      <pivotArea type="data" outline="0" fieldPosition="0">
        <references count="2">
          <reference field="4294967294" count="1" selected="0">
            <x v="0"/>
          </reference>
          <reference field="2" count="1" selected="0">
            <x v="0"/>
          </reference>
        </references>
      </pivotArea>
    </chartFormat>
    <chartFormat chart="0" format="3" series="1">
      <pivotArea type="data" outline="0" fieldPosition="0">
        <references count="2">
          <reference field="4294967294" count="1" selected="0">
            <x v="0"/>
          </reference>
          <reference field="2" count="1" selected="0">
            <x v="2"/>
          </reference>
        </references>
      </pivotArea>
    </chartFormat>
    <chartFormat chart="0" format="4" series="1">
      <pivotArea type="data" outline="0" fieldPosition="0">
        <references count="1">
          <reference field="4294967294" count="1" selected="0">
            <x v="0"/>
          </reference>
        </references>
      </pivotArea>
    </chartFormat>
    <chartFormat chart="0" format="5" series="1">
      <pivotArea type="data" outline="0" fieldPosition="0">
        <references count="2">
          <reference field="4294967294" count="1" selected="0">
            <x v="0"/>
          </reference>
          <reference field="1" count="1" selected="0">
            <x v="2"/>
          </reference>
        </references>
      </pivotArea>
    </chartFormat>
    <chartFormat chart="0" format="6" series="1">
      <pivotArea type="data" outline="0" fieldPosition="0">
        <references count="2">
          <reference field="4294967294" count="1" selected="0">
            <x v="0"/>
          </reference>
          <reference field="1" count="1" selected="0">
            <x v="1"/>
          </reference>
        </references>
      </pivotArea>
    </chartFormat>
    <chartFormat chart="0" format="7" series="1">
      <pivotArea type="data" outline="0" fieldPosition="0">
        <references count="2">
          <reference field="4294967294" count="1" selected="0">
            <x v="0"/>
          </reference>
          <reference field="1" count="1" selected="0">
            <x v="0"/>
          </reference>
        </references>
      </pivotArea>
    </chartFormat>
    <chartFormat chart="2" format="11" series="1">
      <pivotArea type="data" outline="0" fieldPosition="0">
        <references count="2">
          <reference field="4294967294" count="1" selected="0">
            <x v="0"/>
          </reference>
          <reference field="1" count="1" selected="0">
            <x v="0"/>
          </reference>
        </references>
      </pivotArea>
    </chartFormat>
    <chartFormat chart="2" format="12" series="1">
      <pivotArea type="data" outline="0" fieldPosition="0">
        <references count="2">
          <reference field="4294967294" count="1" selected="0">
            <x v="0"/>
          </reference>
          <reference field="1" count="1" selected="0">
            <x v="2"/>
          </reference>
        </references>
      </pivotArea>
    </chartFormat>
    <chartFormat chart="2" format="13" series="1">
      <pivotArea type="data" outline="0" fieldPosition="0">
        <references count="2">
          <reference field="4294967294" count="1" selected="0">
            <x v="0"/>
          </reference>
          <reference field="1" count="1" selected="0">
            <x v="1"/>
          </reference>
        </references>
      </pivotArea>
    </chartFormat>
    <chartFormat chart="3" format="8" series="1">
      <pivotArea type="data" outline="0" fieldPosition="0">
        <references count="2">
          <reference field="4294967294" count="1" selected="0">
            <x v="0"/>
          </reference>
          <reference field="1" count="1" selected="0">
            <x v="0"/>
          </reference>
        </references>
      </pivotArea>
    </chartFormat>
    <chartFormat chart="3" format="9" series="1">
      <pivotArea type="data" outline="0" fieldPosition="0">
        <references count="2">
          <reference field="4294967294" count="1" selected="0">
            <x v="0"/>
          </reference>
          <reference field="1" count="1" selected="0">
            <x v="1"/>
          </reference>
        </references>
      </pivotArea>
    </chartFormat>
    <chartFormat chart="3" format="10" series="1">
      <pivotArea type="data" outline="0" fieldPosition="0">
        <references count="2">
          <reference field="4294967294" count="1" selected="0">
            <x v="0"/>
          </reference>
          <reference field="1" count="1" selected="0">
            <x v="2"/>
          </reference>
        </references>
      </pivotArea>
    </chartFormat>
    <chartFormat chart="4" format="11" series="1">
      <pivotArea type="data" outline="0" fieldPosition="0">
        <references count="2">
          <reference field="4294967294" count="1" selected="0">
            <x v="0"/>
          </reference>
          <reference field="1" count="1" selected="0">
            <x v="0"/>
          </reference>
        </references>
      </pivotArea>
    </chartFormat>
    <chartFormat chart="4" format="12" series="1">
      <pivotArea type="data" outline="0" fieldPosition="0">
        <references count="2">
          <reference field="4294967294" count="1" selected="0">
            <x v="0"/>
          </reference>
          <reference field="1" count="1" selected="0">
            <x v="1"/>
          </reference>
        </references>
      </pivotArea>
    </chartFormat>
    <chartFormat chart="4" format="13" series="1">
      <pivotArea type="data" outline="0" fieldPosition="0">
        <references count="2">
          <reference field="4294967294" count="1" selected="0">
            <x v="0"/>
          </reference>
          <reference field="1" count="1" selected="0">
            <x v="2"/>
          </reference>
        </references>
      </pivotArea>
    </chartFormat>
    <chartFormat chart="5" format="8" series="1">
      <pivotArea type="data" outline="0" fieldPosition="0">
        <references count="2">
          <reference field="4294967294" count="1" selected="0">
            <x v="0"/>
          </reference>
          <reference field="1" count="1" selected="0">
            <x v="0"/>
          </reference>
        </references>
      </pivotArea>
    </chartFormat>
    <chartFormat chart="5" format="9" series="1">
      <pivotArea type="data" outline="0" fieldPosition="0">
        <references count="2">
          <reference field="4294967294" count="1" selected="0">
            <x v="0"/>
          </reference>
          <reference field="1" count="1" selected="0">
            <x v="1"/>
          </reference>
        </references>
      </pivotArea>
    </chartFormat>
    <chartFormat chart="5" format="10" series="1">
      <pivotArea type="data" outline="0" fieldPosition="0">
        <references count="2">
          <reference field="4294967294" count="1" selected="0">
            <x v="0"/>
          </reference>
          <reference field="1" count="1" selected="0">
            <x v="2"/>
          </reference>
        </references>
      </pivotArea>
    </chartFormat>
    <chartFormat chart="6" format="11" series="1">
      <pivotArea type="data" outline="0" fieldPosition="0">
        <references count="2">
          <reference field="4294967294" count="1" selected="0">
            <x v="0"/>
          </reference>
          <reference field="1" count="1" selected="0">
            <x v="0"/>
          </reference>
        </references>
      </pivotArea>
    </chartFormat>
    <chartFormat chart="6" format="12" series="1">
      <pivotArea type="data" outline="0" fieldPosition="0">
        <references count="2">
          <reference field="4294967294" count="1" selected="0">
            <x v="0"/>
          </reference>
          <reference field="1" count="1" selected="0">
            <x v="1"/>
          </reference>
        </references>
      </pivotArea>
    </chartFormat>
    <chartFormat chart="6" format="13" series="1">
      <pivotArea type="data" outline="0" fieldPosition="0">
        <references count="2">
          <reference field="4294967294" count="1" selected="0">
            <x v="0"/>
          </reference>
          <reference field="1" count="1" selected="0">
            <x v="2"/>
          </reference>
        </references>
      </pivotArea>
    </chartFormat>
    <chartFormat chart="7" format="8" series="1">
      <pivotArea type="data" outline="0" fieldPosition="0">
        <references count="2">
          <reference field="4294967294" count="1" selected="0">
            <x v="0"/>
          </reference>
          <reference field="1" count="1" selected="0">
            <x v="0"/>
          </reference>
        </references>
      </pivotArea>
    </chartFormat>
    <chartFormat chart="7" format="9" series="1">
      <pivotArea type="data" outline="0" fieldPosition="0">
        <references count="2">
          <reference field="4294967294" count="1" selected="0">
            <x v="0"/>
          </reference>
          <reference field="1" count="1" selected="0">
            <x v="1"/>
          </reference>
        </references>
      </pivotArea>
    </chartFormat>
    <chartFormat chart="7" format="10" series="1">
      <pivotArea type="data" outline="0" fieldPosition="0">
        <references count="2">
          <reference field="4294967294" count="1" selected="0">
            <x v="0"/>
          </reference>
          <reference field="1" count="1" selected="0">
            <x v="2"/>
          </reference>
        </references>
      </pivotArea>
    </chartFormat>
    <chartFormat chart="8" format="11" series="1">
      <pivotArea type="data" outline="0" fieldPosition="0">
        <references count="2">
          <reference field="4294967294" count="1" selected="0">
            <x v="0"/>
          </reference>
          <reference field="1" count="1" selected="0">
            <x v="0"/>
          </reference>
        </references>
      </pivotArea>
    </chartFormat>
    <chartFormat chart="8" format="12" series="1">
      <pivotArea type="data" outline="0" fieldPosition="0">
        <references count="2">
          <reference field="4294967294" count="1" selected="0">
            <x v="0"/>
          </reference>
          <reference field="1" count="1" selected="0">
            <x v="1"/>
          </reference>
        </references>
      </pivotArea>
    </chartFormat>
    <chartFormat chart="8" format="13" series="1">
      <pivotArea type="data" outline="0" fieldPosition="0">
        <references count="2">
          <reference field="4294967294" count="1" selected="0">
            <x v="0"/>
          </reference>
          <reference field="1" count="1" selected="0">
            <x v="2"/>
          </reference>
        </references>
      </pivotArea>
    </chartFormat>
    <chartFormat chart="9" format="8" series="1">
      <pivotArea type="data" outline="0" fieldPosition="0">
        <references count="2">
          <reference field="4294967294" count="1" selected="0">
            <x v="0"/>
          </reference>
          <reference field="1" count="1" selected="0">
            <x v="0"/>
          </reference>
        </references>
      </pivotArea>
    </chartFormat>
    <chartFormat chart="9" format="9" series="1">
      <pivotArea type="data" outline="0" fieldPosition="0">
        <references count="2">
          <reference field="4294967294" count="1" selected="0">
            <x v="0"/>
          </reference>
          <reference field="1" count="1" selected="0">
            <x v="1"/>
          </reference>
        </references>
      </pivotArea>
    </chartFormat>
    <chartFormat chart="9" format="10" series="1">
      <pivotArea type="data" outline="0" fieldPosition="0">
        <references count="2">
          <reference field="4294967294" count="1" selected="0">
            <x v="0"/>
          </reference>
          <reference field="1" count="1" selected="0">
            <x v="2"/>
          </reference>
        </references>
      </pivotArea>
    </chartFormat>
    <chartFormat chart="10" format="11" series="1">
      <pivotArea type="data" outline="0" fieldPosition="0">
        <references count="2">
          <reference field="4294967294" count="1" selected="0">
            <x v="0"/>
          </reference>
          <reference field="1" count="1" selected="0">
            <x v="0"/>
          </reference>
        </references>
      </pivotArea>
    </chartFormat>
    <chartFormat chart="10" format="12" series="1">
      <pivotArea type="data" outline="0" fieldPosition="0">
        <references count="2">
          <reference field="4294967294" count="1" selected="0">
            <x v="0"/>
          </reference>
          <reference field="1" count="1" selected="0">
            <x v="1"/>
          </reference>
        </references>
      </pivotArea>
    </chartFormat>
    <chartFormat chart="10" format="13" series="1">
      <pivotArea type="data" outline="0" fieldPosition="0">
        <references count="2">
          <reference field="4294967294" count="1" selected="0">
            <x v="0"/>
          </reference>
          <reference field="1" count="1" selected="0">
            <x v="2"/>
          </reference>
        </references>
      </pivotArea>
    </chartFormat>
    <chartFormat chart="11" format="14" series="1">
      <pivotArea type="data" outline="0" fieldPosition="0">
        <references count="2">
          <reference field="4294967294" count="1" selected="0">
            <x v="0"/>
          </reference>
          <reference field="1" count="1" selected="0">
            <x v="0"/>
          </reference>
        </references>
      </pivotArea>
    </chartFormat>
    <chartFormat chart="11" format="15" series="1">
      <pivotArea type="data" outline="0" fieldPosition="0">
        <references count="2">
          <reference field="4294967294" count="1" selected="0">
            <x v="0"/>
          </reference>
          <reference field="1" count="1" selected="0">
            <x v="1"/>
          </reference>
        </references>
      </pivotArea>
    </chartFormat>
    <chartFormat chart="11" format="16" series="1">
      <pivotArea type="data" outline="0" fieldPosition="0">
        <references count="2">
          <reference field="4294967294" count="1" selected="0">
            <x v="0"/>
          </reference>
          <reference field="1" count="1" selected="0">
            <x v="2"/>
          </reference>
        </references>
      </pivotArea>
    </chartFormat>
    <chartFormat chart="12" format="17" series="1">
      <pivotArea type="data" outline="0" fieldPosition="0">
        <references count="2">
          <reference field="4294967294" count="1" selected="0">
            <x v="0"/>
          </reference>
          <reference field="1" count="1" selected="0">
            <x v="0"/>
          </reference>
        </references>
      </pivotArea>
    </chartFormat>
    <chartFormat chart="12" format="18" series="1">
      <pivotArea type="data" outline="0" fieldPosition="0">
        <references count="2">
          <reference field="4294967294" count="1" selected="0">
            <x v="0"/>
          </reference>
          <reference field="1" count="1" selected="0">
            <x v="1"/>
          </reference>
        </references>
      </pivotArea>
    </chartFormat>
    <chartFormat chart="12" format="19" series="1">
      <pivotArea type="data" outline="0" fieldPosition="0">
        <references count="2">
          <reference field="4294967294" count="1" selected="0">
            <x v="0"/>
          </reference>
          <reference field="1" count="1" selected="0">
            <x v="2"/>
          </reference>
        </references>
      </pivotArea>
    </chartFormat>
    <chartFormat chart="13" format="20" series="1">
      <pivotArea type="data" outline="0" fieldPosition="0">
        <references count="2">
          <reference field="4294967294" count="1" selected="0">
            <x v="0"/>
          </reference>
          <reference field="1" count="1" selected="0">
            <x v="0"/>
          </reference>
        </references>
      </pivotArea>
    </chartFormat>
    <chartFormat chart="13" format="21" series="1">
      <pivotArea type="data" outline="0" fieldPosition="0">
        <references count="2">
          <reference field="4294967294" count="1" selected="0">
            <x v="0"/>
          </reference>
          <reference field="1" count="1" selected="0">
            <x v="1"/>
          </reference>
        </references>
      </pivotArea>
    </chartFormat>
    <chartFormat chart="13" format="22" series="1">
      <pivotArea type="data" outline="0" fieldPosition="0">
        <references count="2">
          <reference field="4294967294" count="1" selected="0">
            <x v="0"/>
          </reference>
          <reference field="1" count="1" selected="0">
            <x v="2"/>
          </reference>
        </references>
      </pivotArea>
    </chartFormat>
    <chartFormat chart="14" format="11" series="1">
      <pivotArea type="data" outline="0" fieldPosition="0">
        <references count="2">
          <reference field="4294967294" count="1" selected="0">
            <x v="0"/>
          </reference>
          <reference field="1" count="1" selected="0">
            <x v="0"/>
          </reference>
        </references>
      </pivotArea>
    </chartFormat>
    <chartFormat chart="14" format="12" series="1">
      <pivotArea type="data" outline="0" fieldPosition="0">
        <references count="2">
          <reference field="4294967294" count="1" selected="0">
            <x v="0"/>
          </reference>
          <reference field="1" count="1" selected="0">
            <x v="1"/>
          </reference>
        </references>
      </pivotArea>
    </chartFormat>
    <chartFormat chart="14" format="13" series="1">
      <pivotArea type="data" outline="0" fieldPosition="0">
        <references count="2">
          <reference field="4294967294" count="1" selected="0">
            <x v="0"/>
          </reference>
          <reference field="1" count="1" selected="0">
            <x v="2"/>
          </reference>
        </references>
      </pivotArea>
    </chartFormat>
    <chartFormat chart="15" format="14" series="1">
      <pivotArea type="data" outline="0" fieldPosition="0">
        <references count="2">
          <reference field="4294967294" count="1" selected="0">
            <x v="0"/>
          </reference>
          <reference field="1" count="1" selected="0">
            <x v="0"/>
          </reference>
        </references>
      </pivotArea>
    </chartFormat>
    <chartFormat chart="15" format="15" series="1">
      <pivotArea type="data" outline="0" fieldPosition="0">
        <references count="2">
          <reference field="4294967294" count="1" selected="0">
            <x v="0"/>
          </reference>
          <reference field="1" count="1" selected="0">
            <x v="1"/>
          </reference>
        </references>
      </pivotArea>
    </chartFormat>
    <chartFormat chart="15" format="16" series="1">
      <pivotArea type="data" outline="0" fieldPosition="0">
        <references count="2">
          <reference field="4294967294" count="1" selected="0">
            <x v="0"/>
          </reference>
          <reference field="1" count="1" selected="0">
            <x v="2"/>
          </reference>
        </references>
      </pivotArea>
    </chartFormat>
    <chartFormat chart="16" format="11" series="1">
      <pivotArea type="data" outline="0" fieldPosition="0">
        <references count="2">
          <reference field="4294967294" count="1" selected="0">
            <x v="0"/>
          </reference>
          <reference field="1" count="1" selected="0">
            <x v="0"/>
          </reference>
        </references>
      </pivotArea>
    </chartFormat>
    <chartFormat chart="16" format="12" series="1">
      <pivotArea type="data" outline="0" fieldPosition="0">
        <references count="2">
          <reference field="4294967294" count="1" selected="0">
            <x v="0"/>
          </reference>
          <reference field="1" count="1" selected="0">
            <x v="1"/>
          </reference>
        </references>
      </pivotArea>
    </chartFormat>
    <chartFormat chart="16" format="13" series="1">
      <pivotArea type="data" outline="0" fieldPosition="0">
        <references count="2">
          <reference field="4294967294" count="1" selected="0">
            <x v="0"/>
          </reference>
          <reference field="1" count="1" selected="0">
            <x v="2"/>
          </reference>
        </references>
      </pivotArea>
    </chartFormat>
    <chartFormat chart="17" format="14" series="1">
      <pivotArea type="data" outline="0" fieldPosition="0">
        <references count="2">
          <reference field="4294967294" count="1" selected="0">
            <x v="0"/>
          </reference>
          <reference field="1" count="1" selected="0">
            <x v="0"/>
          </reference>
        </references>
      </pivotArea>
    </chartFormat>
    <chartFormat chart="17" format="15" series="1">
      <pivotArea type="data" outline="0" fieldPosition="0">
        <references count="2">
          <reference field="4294967294" count="1" selected="0">
            <x v="0"/>
          </reference>
          <reference field="1" count="1" selected="0">
            <x v="1"/>
          </reference>
        </references>
      </pivotArea>
    </chartFormat>
    <chartFormat chart="17" format="16" series="1">
      <pivotArea type="data" outline="0" fieldPosition="0">
        <references count="2">
          <reference field="4294967294" count="1" selected="0">
            <x v="0"/>
          </reference>
          <reference field="1" count="1" selected="0">
            <x v="2"/>
          </reference>
        </references>
      </pivotArea>
    </chartFormat>
    <chartFormat chart="18" format="11" series="1">
      <pivotArea type="data" outline="0" fieldPosition="0">
        <references count="2">
          <reference field="4294967294" count="1" selected="0">
            <x v="0"/>
          </reference>
          <reference field="1" count="1" selected="0">
            <x v="0"/>
          </reference>
        </references>
      </pivotArea>
    </chartFormat>
    <chartFormat chart="18" format="12" series="1">
      <pivotArea type="data" outline="0" fieldPosition="0">
        <references count="2">
          <reference field="4294967294" count="1" selected="0">
            <x v="0"/>
          </reference>
          <reference field="1" count="1" selected="0">
            <x v="1"/>
          </reference>
        </references>
      </pivotArea>
    </chartFormat>
    <chartFormat chart="18" format="13" series="1">
      <pivotArea type="data" outline="0" fieldPosition="0">
        <references count="2">
          <reference field="4294967294" count="1" selected="0">
            <x v="0"/>
          </reference>
          <reference field="1" count="1" selected="0">
            <x v="2"/>
          </reference>
        </references>
      </pivotArea>
    </chartFormat>
    <chartFormat chart="19" format="14" series="1">
      <pivotArea type="data" outline="0" fieldPosition="0">
        <references count="2">
          <reference field="4294967294" count="1" selected="0">
            <x v="0"/>
          </reference>
          <reference field="1" count="1" selected="0">
            <x v="0"/>
          </reference>
        </references>
      </pivotArea>
    </chartFormat>
    <chartFormat chart="19" format="15" series="1">
      <pivotArea type="data" outline="0" fieldPosition="0">
        <references count="2">
          <reference field="4294967294" count="1" selected="0">
            <x v="0"/>
          </reference>
          <reference field="1" count="1" selected="0">
            <x v="1"/>
          </reference>
        </references>
      </pivotArea>
    </chartFormat>
    <chartFormat chart="19" format="16" series="1">
      <pivotArea type="data" outline="0" fieldPosition="0">
        <references count="2">
          <reference field="4294967294" count="1" selected="0">
            <x v="0"/>
          </reference>
          <reference field="1" count="1" selected="0">
            <x v="2"/>
          </reference>
        </references>
      </pivotArea>
    </chartFormat>
    <chartFormat chart="20" format="11" series="1">
      <pivotArea type="data" outline="0" fieldPosition="0">
        <references count="2">
          <reference field="4294967294" count="1" selected="0">
            <x v="0"/>
          </reference>
          <reference field="1" count="1" selected="0">
            <x v="0"/>
          </reference>
        </references>
      </pivotArea>
    </chartFormat>
    <chartFormat chart="20" format="12" series="1">
      <pivotArea type="data" outline="0" fieldPosition="0">
        <references count="2">
          <reference field="4294967294" count="1" selected="0">
            <x v="0"/>
          </reference>
          <reference field="1" count="1" selected="0">
            <x v="1"/>
          </reference>
        </references>
      </pivotArea>
    </chartFormat>
    <chartFormat chart="20" format="13" series="1">
      <pivotArea type="data" outline="0" fieldPosition="0">
        <references count="2">
          <reference field="4294967294" count="1" selected="0">
            <x v="0"/>
          </reference>
          <reference field="1" count="1" selected="0">
            <x v="2"/>
          </reference>
        </references>
      </pivotArea>
    </chartFormat>
    <chartFormat chart="21" format="14" series="1">
      <pivotArea type="data" outline="0" fieldPosition="0">
        <references count="2">
          <reference field="4294967294" count="1" selected="0">
            <x v="0"/>
          </reference>
          <reference field="1" count="1" selected="0">
            <x v="0"/>
          </reference>
        </references>
      </pivotArea>
    </chartFormat>
    <chartFormat chart="21" format="15" series="1">
      <pivotArea type="data" outline="0" fieldPosition="0">
        <references count="2">
          <reference field="4294967294" count="1" selected="0">
            <x v="0"/>
          </reference>
          <reference field="1" count="1" selected="0">
            <x v="1"/>
          </reference>
        </references>
      </pivotArea>
    </chartFormat>
    <chartFormat chart="21" format="16" series="1">
      <pivotArea type="data" outline="0" fieldPosition="0">
        <references count="2">
          <reference field="4294967294" count="1" selected="0">
            <x v="0"/>
          </reference>
          <reference field="1" count="1" selected="0">
            <x v="2"/>
          </reference>
        </references>
      </pivotArea>
    </chartFormat>
    <chartFormat chart="22" format="11" series="1">
      <pivotArea type="data" outline="0" fieldPosition="0">
        <references count="2">
          <reference field="4294967294" count="1" selected="0">
            <x v="0"/>
          </reference>
          <reference field="1" count="1" selected="0">
            <x v="0"/>
          </reference>
        </references>
      </pivotArea>
    </chartFormat>
    <chartFormat chart="22" format="12" series="1">
      <pivotArea type="data" outline="0" fieldPosition="0">
        <references count="2">
          <reference field="4294967294" count="1" selected="0">
            <x v="0"/>
          </reference>
          <reference field="1" count="1" selected="0">
            <x v="1"/>
          </reference>
        </references>
      </pivotArea>
    </chartFormat>
    <chartFormat chart="22" format="13" series="1">
      <pivotArea type="data" outline="0" fieldPosition="0">
        <references count="2">
          <reference field="4294967294" count="1" selected="0">
            <x v="0"/>
          </reference>
          <reference field="1" count="1" selected="0">
            <x v="2"/>
          </reference>
        </references>
      </pivotArea>
    </chartFormat>
    <chartFormat chart="23" format="14" series="1">
      <pivotArea type="data" outline="0" fieldPosition="0">
        <references count="2">
          <reference field="4294967294" count="1" selected="0">
            <x v="0"/>
          </reference>
          <reference field="1" count="1" selected="0">
            <x v="0"/>
          </reference>
        </references>
      </pivotArea>
    </chartFormat>
    <chartFormat chart="23" format="15" series="1">
      <pivotArea type="data" outline="0" fieldPosition="0">
        <references count="2">
          <reference field="4294967294" count="1" selected="0">
            <x v="0"/>
          </reference>
          <reference field="1" count="1" selected="0">
            <x v="1"/>
          </reference>
        </references>
      </pivotArea>
    </chartFormat>
    <chartFormat chart="23" format="16" series="1">
      <pivotArea type="data" outline="0" fieldPosition="0">
        <references count="2">
          <reference field="4294967294" count="1" selected="0">
            <x v="0"/>
          </reference>
          <reference field="1" count="1" selected="0">
            <x v="2"/>
          </reference>
        </references>
      </pivotArea>
    </chartFormat>
    <chartFormat chart="24" format="11" series="1">
      <pivotArea type="data" outline="0" fieldPosition="0">
        <references count="2">
          <reference field="4294967294" count="1" selected="0">
            <x v="0"/>
          </reference>
          <reference field="1" count="1" selected="0">
            <x v="0"/>
          </reference>
        </references>
      </pivotArea>
    </chartFormat>
    <chartFormat chart="24" format="12" series="1">
      <pivotArea type="data" outline="0" fieldPosition="0">
        <references count="2">
          <reference field="4294967294" count="1" selected="0">
            <x v="0"/>
          </reference>
          <reference field="1" count="1" selected="0">
            <x v="1"/>
          </reference>
        </references>
      </pivotArea>
    </chartFormat>
    <chartFormat chart="24" format="13" series="1">
      <pivotArea type="data" outline="0" fieldPosition="0">
        <references count="2">
          <reference field="4294967294" count="1" selected="0">
            <x v="0"/>
          </reference>
          <reference field="1" count="1" selected="0">
            <x v="2"/>
          </reference>
        </references>
      </pivotArea>
    </chartFormat>
    <chartFormat chart="25" format="14" series="1">
      <pivotArea type="data" outline="0" fieldPosition="0">
        <references count="2">
          <reference field="4294967294" count="1" selected="0">
            <x v="0"/>
          </reference>
          <reference field="1" count="1" selected="0">
            <x v="0"/>
          </reference>
        </references>
      </pivotArea>
    </chartFormat>
    <chartFormat chart="25" format="15" series="1">
      <pivotArea type="data" outline="0" fieldPosition="0">
        <references count="2">
          <reference field="4294967294" count="1" selected="0">
            <x v="0"/>
          </reference>
          <reference field="1" count="1" selected="0">
            <x v="1"/>
          </reference>
        </references>
      </pivotArea>
    </chartFormat>
    <chartFormat chart="25" format="16" series="1">
      <pivotArea type="data" outline="0" fieldPosition="0">
        <references count="2">
          <reference field="4294967294" count="1" selected="0">
            <x v="0"/>
          </reference>
          <reference field="1" count="1" selected="0">
            <x v="2"/>
          </reference>
        </references>
      </pivotArea>
    </chartFormat>
    <chartFormat chart="26" format="11" series="1">
      <pivotArea type="data" outline="0" fieldPosition="0">
        <references count="2">
          <reference field="4294967294" count="1" selected="0">
            <x v="0"/>
          </reference>
          <reference field="1" count="1" selected="0">
            <x v="0"/>
          </reference>
        </references>
      </pivotArea>
    </chartFormat>
    <chartFormat chart="26" format="12" series="1">
      <pivotArea type="data" outline="0" fieldPosition="0">
        <references count="2">
          <reference field="4294967294" count="1" selected="0">
            <x v="0"/>
          </reference>
          <reference field="1" count="1" selected="0">
            <x v="1"/>
          </reference>
        </references>
      </pivotArea>
    </chartFormat>
    <chartFormat chart="26" format="13" series="1">
      <pivotArea type="data" outline="0" fieldPosition="0">
        <references count="2">
          <reference field="4294967294" count="1" selected="0">
            <x v="0"/>
          </reference>
          <reference field="1" count="1" selected="0">
            <x v="2"/>
          </reference>
        </references>
      </pivotArea>
    </chartFormat>
    <chartFormat chart="27" format="14" series="1">
      <pivotArea type="data" outline="0" fieldPosition="0">
        <references count="2">
          <reference field="4294967294" count="1" selected="0">
            <x v="0"/>
          </reference>
          <reference field="1" count="1" selected="0">
            <x v="0"/>
          </reference>
        </references>
      </pivotArea>
    </chartFormat>
    <chartFormat chart="27" format="15" series="1">
      <pivotArea type="data" outline="0" fieldPosition="0">
        <references count="2">
          <reference field="4294967294" count="1" selected="0">
            <x v="0"/>
          </reference>
          <reference field="1" count="1" selected="0">
            <x v="1"/>
          </reference>
        </references>
      </pivotArea>
    </chartFormat>
    <chartFormat chart="27" format="16" series="1">
      <pivotArea type="data" outline="0" fieldPosition="0">
        <references count="2">
          <reference field="4294967294" count="1" selected="0">
            <x v="0"/>
          </reference>
          <reference field="1" count="1" selected="0">
            <x v="2"/>
          </reference>
        </references>
      </pivotArea>
    </chartFormat>
    <chartFormat chart="28" format="11" series="1">
      <pivotArea type="data" outline="0" fieldPosition="0">
        <references count="2">
          <reference field="4294967294" count="1" selected="0">
            <x v="0"/>
          </reference>
          <reference field="1" count="1" selected="0">
            <x v="0"/>
          </reference>
        </references>
      </pivotArea>
    </chartFormat>
    <chartFormat chart="28" format="12" series="1">
      <pivotArea type="data" outline="0" fieldPosition="0">
        <references count="2">
          <reference field="4294967294" count="1" selected="0">
            <x v="0"/>
          </reference>
          <reference field="1" count="1" selected="0">
            <x v="1"/>
          </reference>
        </references>
      </pivotArea>
    </chartFormat>
    <chartFormat chart="28" format="13" series="1">
      <pivotArea type="data" outline="0" fieldPosition="0">
        <references count="2">
          <reference field="4294967294" count="1" selected="0">
            <x v="0"/>
          </reference>
          <reference field="1" count="1" selected="0">
            <x v="2"/>
          </reference>
        </references>
      </pivotArea>
    </chartFormat>
    <chartFormat chart="29" format="14" series="1">
      <pivotArea type="data" outline="0" fieldPosition="0">
        <references count="2">
          <reference field="4294967294" count="1" selected="0">
            <x v="0"/>
          </reference>
          <reference field="1" count="1" selected="0">
            <x v="0"/>
          </reference>
        </references>
      </pivotArea>
    </chartFormat>
    <chartFormat chart="29" format="15" series="1">
      <pivotArea type="data" outline="0" fieldPosition="0">
        <references count="2">
          <reference field="4294967294" count="1" selected="0">
            <x v="0"/>
          </reference>
          <reference field="1" count="1" selected="0">
            <x v="1"/>
          </reference>
        </references>
      </pivotArea>
    </chartFormat>
    <chartFormat chart="29" format="16" series="1">
      <pivotArea type="data" outline="0" fieldPosition="0">
        <references count="2">
          <reference field="4294967294" count="1" selected="0">
            <x v="0"/>
          </reference>
          <reference field="1" count="1" selected="0">
            <x v="2"/>
          </reference>
        </references>
      </pivotArea>
    </chartFormat>
    <chartFormat chart="30" format="0" series="1">
      <pivotArea type="data" outline="0" fieldPosition="0">
        <references count="2">
          <reference field="4294967294" count="1" selected="0">
            <x v="0"/>
          </reference>
          <reference field="1" count="1" selected="0">
            <x v="0"/>
          </reference>
        </references>
      </pivotArea>
    </chartFormat>
    <chartFormat chart="30" format="1" series="1">
      <pivotArea type="data" outline="0" fieldPosition="0">
        <references count="2">
          <reference field="4294967294" count="1" selected="0">
            <x v="0"/>
          </reference>
          <reference field="1" count="1" selected="0">
            <x v="1"/>
          </reference>
        </references>
      </pivotArea>
    </chartFormat>
    <chartFormat chart="30" format="2" series="1">
      <pivotArea type="data" outline="0" fieldPosition="0">
        <references count="2">
          <reference field="4294967294" count="1" selected="0">
            <x v="0"/>
          </reference>
          <reference field="1" count="1" selected="0">
            <x v="2"/>
          </reference>
        </references>
      </pivotArea>
    </chartFormat>
    <chartFormat chart="31" format="3" series="1">
      <pivotArea type="data" outline="0" fieldPosition="0">
        <references count="2">
          <reference field="4294967294" count="1" selected="0">
            <x v="0"/>
          </reference>
          <reference field="1" count="1" selected="0">
            <x v="0"/>
          </reference>
        </references>
      </pivotArea>
    </chartFormat>
    <chartFormat chart="31" format="4" series="1">
      <pivotArea type="data" outline="0" fieldPosition="0">
        <references count="2">
          <reference field="4294967294" count="1" selected="0">
            <x v="0"/>
          </reference>
          <reference field="1" count="1" selected="0">
            <x v="1"/>
          </reference>
        </references>
      </pivotArea>
    </chartFormat>
    <chartFormat chart="31" format="5" series="1">
      <pivotArea type="data" outline="0" fieldPosition="0">
        <references count="2">
          <reference field="4294967294" count="1" selected="0">
            <x v="0"/>
          </reference>
          <reference field="1" count="1" selected="0">
            <x v="2"/>
          </reference>
        </references>
      </pivotArea>
    </chartFormat>
    <chartFormat chart="32" format="6" series="1">
      <pivotArea type="data" outline="0" fieldPosition="0">
        <references count="2">
          <reference field="4294967294" count="1" selected="0">
            <x v="0"/>
          </reference>
          <reference field="1" count="1" selected="0">
            <x v="0"/>
          </reference>
        </references>
      </pivotArea>
    </chartFormat>
    <chartFormat chart="32" format="7" series="1">
      <pivotArea type="data" outline="0" fieldPosition="0">
        <references count="2">
          <reference field="4294967294" count="1" selected="0">
            <x v="0"/>
          </reference>
          <reference field="1" count="1" selected="0">
            <x v="1"/>
          </reference>
        </references>
      </pivotArea>
    </chartFormat>
    <chartFormat chart="32" format="8" series="1">
      <pivotArea type="data" outline="0" fieldPosition="0">
        <references count="2">
          <reference field="4294967294" count="1" selected="0">
            <x v="0"/>
          </reference>
          <reference field="1"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762B7FD-E7C6-4CD5-B5D8-33C76BA8A642}" name="PivotTable15" cacheId="1" applyNumberFormats="0" applyBorderFormats="0" applyFontFormats="0" applyPatternFormats="0" applyAlignmentFormats="0" applyWidthHeightFormats="1" dataCaption="Values" updatedVersion="7" minRefreshableVersion="3" useAutoFormatting="1" rowGrandTotals="0" colGrandTotals="0" itemPrintTitles="1" createdVersion="7" indent="0" outline="1" outlineData="1" multipleFieldFilters="0" chartFormat="30">
  <location ref="G3:J8" firstHeaderRow="1" firstDataRow="2" firstDataCol="1" rowPageCount="1" colPageCount="1"/>
  <pivotFields count="5">
    <pivotField showAll="0"/>
    <pivotField axis="axisCol" showAll="0">
      <items count="4">
        <item x="0"/>
        <item x="2"/>
        <item x="1"/>
        <item t="default"/>
      </items>
    </pivotField>
    <pivotField axis="axisRow" showAll="0">
      <items count="5">
        <item x="2"/>
        <item x="0"/>
        <item x="3"/>
        <item x="1"/>
        <item t="default"/>
      </items>
    </pivotField>
    <pivotField axis="axisPage" multipleItemSelectionAllowed="1" showAll="0">
      <items count="4">
        <item x="0"/>
        <item x="1"/>
        <item x="2"/>
        <item t="default"/>
      </items>
    </pivotField>
    <pivotField dataField="1" showAll="0"/>
  </pivotFields>
  <rowFields count="1">
    <field x="2"/>
  </rowFields>
  <rowItems count="4">
    <i>
      <x/>
    </i>
    <i>
      <x v="1"/>
    </i>
    <i>
      <x v="2"/>
    </i>
    <i>
      <x v="3"/>
    </i>
  </rowItems>
  <colFields count="1">
    <field x="1"/>
  </colFields>
  <colItems count="3">
    <i>
      <x/>
    </i>
    <i>
      <x v="1"/>
    </i>
    <i>
      <x v="2"/>
    </i>
  </colItems>
  <pageFields count="1">
    <pageField fld="3" hier="-1"/>
  </pageFields>
  <dataFields count="1">
    <dataField name="Average of Total Scores" fld="4" subtotal="average" baseField="1" baseItem="0" numFmtId="1"/>
  </dataFields>
  <formats count="1">
    <format dxfId="4">
      <pivotArea outline="0" collapsedLevelsAreSubtotals="1" fieldPosition="0"/>
    </format>
  </formats>
  <chartFormats count="92">
    <chartFormat chart="0" format="0" series="1">
      <pivotArea type="data" outline="0" fieldPosition="0">
        <references count="2">
          <reference field="4294967294" count="1" selected="0">
            <x v="0"/>
          </reference>
          <reference field="2" count="1" selected="0">
            <x v="1"/>
          </reference>
        </references>
      </pivotArea>
    </chartFormat>
    <chartFormat chart="0" format="1" series="1">
      <pivotArea type="data" outline="0" fieldPosition="0">
        <references count="2">
          <reference field="4294967294" count="1" selected="0">
            <x v="0"/>
          </reference>
          <reference field="2" count="1" selected="0">
            <x v="3"/>
          </reference>
        </references>
      </pivotArea>
    </chartFormat>
    <chartFormat chart="0" format="2" series="1">
      <pivotArea type="data" outline="0" fieldPosition="0">
        <references count="2">
          <reference field="4294967294" count="1" selected="0">
            <x v="0"/>
          </reference>
          <reference field="2" count="1" selected="0">
            <x v="0"/>
          </reference>
        </references>
      </pivotArea>
    </chartFormat>
    <chartFormat chart="0" format="3" series="1">
      <pivotArea type="data" outline="0" fieldPosition="0">
        <references count="2">
          <reference field="4294967294" count="1" selected="0">
            <x v="0"/>
          </reference>
          <reference field="2" count="1" selected="0">
            <x v="2"/>
          </reference>
        </references>
      </pivotArea>
    </chartFormat>
    <chartFormat chart="0" format="4" series="1">
      <pivotArea type="data" outline="0" fieldPosition="0">
        <references count="1">
          <reference field="4294967294" count="1" selected="0">
            <x v="0"/>
          </reference>
        </references>
      </pivotArea>
    </chartFormat>
    <chartFormat chart="0" format="5" series="1">
      <pivotArea type="data" outline="0" fieldPosition="0">
        <references count="2">
          <reference field="4294967294" count="1" selected="0">
            <x v="0"/>
          </reference>
          <reference field="1" count="1" selected="0">
            <x v="2"/>
          </reference>
        </references>
      </pivotArea>
    </chartFormat>
    <chartFormat chart="0" format="6" series="1">
      <pivotArea type="data" outline="0" fieldPosition="0">
        <references count="2">
          <reference field="4294967294" count="1" selected="0">
            <x v="0"/>
          </reference>
          <reference field="1" count="1" selected="0">
            <x v="1"/>
          </reference>
        </references>
      </pivotArea>
    </chartFormat>
    <chartFormat chart="0" format="7" series="1">
      <pivotArea type="data" outline="0" fieldPosition="0">
        <references count="2">
          <reference field="4294967294" count="1" selected="0">
            <x v="0"/>
          </reference>
          <reference field="1" count="1" selected="0">
            <x v="0"/>
          </reference>
        </references>
      </pivotArea>
    </chartFormat>
    <chartFormat chart="2" format="11" series="1">
      <pivotArea type="data" outline="0" fieldPosition="0">
        <references count="2">
          <reference field="4294967294" count="1" selected="0">
            <x v="0"/>
          </reference>
          <reference field="1" count="1" selected="0">
            <x v="0"/>
          </reference>
        </references>
      </pivotArea>
    </chartFormat>
    <chartFormat chart="2" format="12" series="1">
      <pivotArea type="data" outline="0" fieldPosition="0">
        <references count="2">
          <reference field="4294967294" count="1" selected="0">
            <x v="0"/>
          </reference>
          <reference field="1" count="1" selected="0">
            <x v="2"/>
          </reference>
        </references>
      </pivotArea>
    </chartFormat>
    <chartFormat chart="2" format="13" series="1">
      <pivotArea type="data" outline="0" fieldPosition="0">
        <references count="2">
          <reference field="4294967294" count="1" selected="0">
            <x v="0"/>
          </reference>
          <reference field="1" count="1" selected="0">
            <x v="1"/>
          </reference>
        </references>
      </pivotArea>
    </chartFormat>
    <chartFormat chart="3" format="8" series="1">
      <pivotArea type="data" outline="0" fieldPosition="0">
        <references count="2">
          <reference field="4294967294" count="1" selected="0">
            <x v="0"/>
          </reference>
          <reference field="1" count="1" selected="0">
            <x v="0"/>
          </reference>
        </references>
      </pivotArea>
    </chartFormat>
    <chartFormat chart="3" format="9" series="1">
      <pivotArea type="data" outline="0" fieldPosition="0">
        <references count="2">
          <reference field="4294967294" count="1" selected="0">
            <x v="0"/>
          </reference>
          <reference field="1" count="1" selected="0">
            <x v="1"/>
          </reference>
        </references>
      </pivotArea>
    </chartFormat>
    <chartFormat chart="3" format="10" series="1">
      <pivotArea type="data" outline="0" fieldPosition="0">
        <references count="2">
          <reference field="4294967294" count="1" selected="0">
            <x v="0"/>
          </reference>
          <reference field="1" count="1" selected="0">
            <x v="2"/>
          </reference>
        </references>
      </pivotArea>
    </chartFormat>
    <chartFormat chart="4" format="11" series="1">
      <pivotArea type="data" outline="0" fieldPosition="0">
        <references count="2">
          <reference field="4294967294" count="1" selected="0">
            <x v="0"/>
          </reference>
          <reference field="1" count="1" selected="0">
            <x v="0"/>
          </reference>
        </references>
      </pivotArea>
    </chartFormat>
    <chartFormat chart="4" format="12" series="1">
      <pivotArea type="data" outline="0" fieldPosition="0">
        <references count="2">
          <reference field="4294967294" count="1" selected="0">
            <x v="0"/>
          </reference>
          <reference field="1" count="1" selected="0">
            <x v="1"/>
          </reference>
        </references>
      </pivotArea>
    </chartFormat>
    <chartFormat chart="4" format="13" series="1">
      <pivotArea type="data" outline="0" fieldPosition="0">
        <references count="2">
          <reference field="4294967294" count="1" selected="0">
            <x v="0"/>
          </reference>
          <reference field="1" count="1" selected="0">
            <x v="2"/>
          </reference>
        </references>
      </pivotArea>
    </chartFormat>
    <chartFormat chart="5" format="8" series="1">
      <pivotArea type="data" outline="0" fieldPosition="0">
        <references count="2">
          <reference field="4294967294" count="1" selected="0">
            <x v="0"/>
          </reference>
          <reference field="1" count="1" selected="0">
            <x v="0"/>
          </reference>
        </references>
      </pivotArea>
    </chartFormat>
    <chartFormat chart="5" format="9" series="1">
      <pivotArea type="data" outline="0" fieldPosition="0">
        <references count="2">
          <reference field="4294967294" count="1" selected="0">
            <x v="0"/>
          </reference>
          <reference field="1" count="1" selected="0">
            <x v="1"/>
          </reference>
        </references>
      </pivotArea>
    </chartFormat>
    <chartFormat chart="5" format="10" series="1">
      <pivotArea type="data" outline="0" fieldPosition="0">
        <references count="2">
          <reference field="4294967294" count="1" selected="0">
            <x v="0"/>
          </reference>
          <reference field="1" count="1" selected="0">
            <x v="2"/>
          </reference>
        </references>
      </pivotArea>
    </chartFormat>
    <chartFormat chart="6" format="11" series="1">
      <pivotArea type="data" outline="0" fieldPosition="0">
        <references count="2">
          <reference field="4294967294" count="1" selected="0">
            <x v="0"/>
          </reference>
          <reference field="1" count="1" selected="0">
            <x v="0"/>
          </reference>
        </references>
      </pivotArea>
    </chartFormat>
    <chartFormat chart="6" format="12" series="1">
      <pivotArea type="data" outline="0" fieldPosition="0">
        <references count="2">
          <reference field="4294967294" count="1" selected="0">
            <x v="0"/>
          </reference>
          <reference field="1" count="1" selected="0">
            <x v="1"/>
          </reference>
        </references>
      </pivotArea>
    </chartFormat>
    <chartFormat chart="6" format="13" series="1">
      <pivotArea type="data" outline="0" fieldPosition="0">
        <references count="2">
          <reference field="4294967294" count="1" selected="0">
            <x v="0"/>
          </reference>
          <reference field="1" count="1" selected="0">
            <x v="2"/>
          </reference>
        </references>
      </pivotArea>
    </chartFormat>
    <chartFormat chart="7" format="8" series="1">
      <pivotArea type="data" outline="0" fieldPosition="0">
        <references count="2">
          <reference field="4294967294" count="1" selected="0">
            <x v="0"/>
          </reference>
          <reference field="1" count="1" selected="0">
            <x v="0"/>
          </reference>
        </references>
      </pivotArea>
    </chartFormat>
    <chartFormat chart="7" format="9" series="1">
      <pivotArea type="data" outline="0" fieldPosition="0">
        <references count="2">
          <reference field="4294967294" count="1" selected="0">
            <x v="0"/>
          </reference>
          <reference field="1" count="1" selected="0">
            <x v="1"/>
          </reference>
        </references>
      </pivotArea>
    </chartFormat>
    <chartFormat chart="7" format="10" series="1">
      <pivotArea type="data" outline="0" fieldPosition="0">
        <references count="2">
          <reference field="4294967294" count="1" selected="0">
            <x v="0"/>
          </reference>
          <reference field="1" count="1" selected="0">
            <x v="2"/>
          </reference>
        </references>
      </pivotArea>
    </chartFormat>
    <chartFormat chart="8" format="11" series="1">
      <pivotArea type="data" outline="0" fieldPosition="0">
        <references count="2">
          <reference field="4294967294" count="1" selected="0">
            <x v="0"/>
          </reference>
          <reference field="1" count="1" selected="0">
            <x v="0"/>
          </reference>
        </references>
      </pivotArea>
    </chartFormat>
    <chartFormat chart="8" format="12" series="1">
      <pivotArea type="data" outline="0" fieldPosition="0">
        <references count="2">
          <reference field="4294967294" count="1" selected="0">
            <x v="0"/>
          </reference>
          <reference field="1" count="1" selected="0">
            <x v="1"/>
          </reference>
        </references>
      </pivotArea>
    </chartFormat>
    <chartFormat chart="8" format="13" series="1">
      <pivotArea type="data" outline="0" fieldPosition="0">
        <references count="2">
          <reference field="4294967294" count="1" selected="0">
            <x v="0"/>
          </reference>
          <reference field="1" count="1" selected="0">
            <x v="2"/>
          </reference>
        </references>
      </pivotArea>
    </chartFormat>
    <chartFormat chart="9" format="8" series="1">
      <pivotArea type="data" outline="0" fieldPosition="0">
        <references count="2">
          <reference field="4294967294" count="1" selected="0">
            <x v="0"/>
          </reference>
          <reference field="1" count="1" selected="0">
            <x v="0"/>
          </reference>
        </references>
      </pivotArea>
    </chartFormat>
    <chartFormat chart="9" format="9" series="1">
      <pivotArea type="data" outline="0" fieldPosition="0">
        <references count="2">
          <reference field="4294967294" count="1" selected="0">
            <x v="0"/>
          </reference>
          <reference field="1" count="1" selected="0">
            <x v="1"/>
          </reference>
        </references>
      </pivotArea>
    </chartFormat>
    <chartFormat chart="9" format="10" series="1">
      <pivotArea type="data" outline="0" fieldPosition="0">
        <references count="2">
          <reference field="4294967294" count="1" selected="0">
            <x v="0"/>
          </reference>
          <reference field="1" count="1" selected="0">
            <x v="2"/>
          </reference>
        </references>
      </pivotArea>
    </chartFormat>
    <chartFormat chart="10" format="11" series="1">
      <pivotArea type="data" outline="0" fieldPosition="0">
        <references count="2">
          <reference field="4294967294" count="1" selected="0">
            <x v="0"/>
          </reference>
          <reference field="1" count="1" selected="0">
            <x v="0"/>
          </reference>
        </references>
      </pivotArea>
    </chartFormat>
    <chartFormat chart="10" format="12" series="1">
      <pivotArea type="data" outline="0" fieldPosition="0">
        <references count="2">
          <reference field="4294967294" count="1" selected="0">
            <x v="0"/>
          </reference>
          <reference field="1" count="1" selected="0">
            <x v="1"/>
          </reference>
        </references>
      </pivotArea>
    </chartFormat>
    <chartFormat chart="10" format="13" series="1">
      <pivotArea type="data" outline="0" fieldPosition="0">
        <references count="2">
          <reference field="4294967294" count="1" selected="0">
            <x v="0"/>
          </reference>
          <reference field="1" count="1" selected="0">
            <x v="2"/>
          </reference>
        </references>
      </pivotArea>
    </chartFormat>
    <chartFormat chart="11" format="14" series="1">
      <pivotArea type="data" outline="0" fieldPosition="0">
        <references count="2">
          <reference field="4294967294" count="1" selected="0">
            <x v="0"/>
          </reference>
          <reference field="1" count="1" selected="0">
            <x v="0"/>
          </reference>
        </references>
      </pivotArea>
    </chartFormat>
    <chartFormat chart="11" format="15" series="1">
      <pivotArea type="data" outline="0" fieldPosition="0">
        <references count="2">
          <reference field="4294967294" count="1" selected="0">
            <x v="0"/>
          </reference>
          <reference field="1" count="1" selected="0">
            <x v="1"/>
          </reference>
        </references>
      </pivotArea>
    </chartFormat>
    <chartFormat chart="11" format="16" series="1">
      <pivotArea type="data" outline="0" fieldPosition="0">
        <references count="2">
          <reference field="4294967294" count="1" selected="0">
            <x v="0"/>
          </reference>
          <reference field="1" count="1" selected="0">
            <x v="2"/>
          </reference>
        </references>
      </pivotArea>
    </chartFormat>
    <chartFormat chart="12" format="17" series="1">
      <pivotArea type="data" outline="0" fieldPosition="0">
        <references count="2">
          <reference field="4294967294" count="1" selected="0">
            <x v="0"/>
          </reference>
          <reference field="1" count="1" selected="0">
            <x v="0"/>
          </reference>
        </references>
      </pivotArea>
    </chartFormat>
    <chartFormat chart="12" format="18" series="1">
      <pivotArea type="data" outline="0" fieldPosition="0">
        <references count="2">
          <reference field="4294967294" count="1" selected="0">
            <x v="0"/>
          </reference>
          <reference field="1" count="1" selected="0">
            <x v="1"/>
          </reference>
        </references>
      </pivotArea>
    </chartFormat>
    <chartFormat chart="12" format="19" series="1">
      <pivotArea type="data" outline="0" fieldPosition="0">
        <references count="2">
          <reference field="4294967294" count="1" selected="0">
            <x v="0"/>
          </reference>
          <reference field="1" count="1" selected="0">
            <x v="2"/>
          </reference>
        </references>
      </pivotArea>
    </chartFormat>
    <chartFormat chart="13" format="20" series="1">
      <pivotArea type="data" outline="0" fieldPosition="0">
        <references count="2">
          <reference field="4294967294" count="1" selected="0">
            <x v="0"/>
          </reference>
          <reference field="1" count="1" selected="0">
            <x v="0"/>
          </reference>
        </references>
      </pivotArea>
    </chartFormat>
    <chartFormat chart="13" format="21" series="1">
      <pivotArea type="data" outline="0" fieldPosition="0">
        <references count="2">
          <reference field="4294967294" count="1" selected="0">
            <x v="0"/>
          </reference>
          <reference field="1" count="1" selected="0">
            <x v="1"/>
          </reference>
        </references>
      </pivotArea>
    </chartFormat>
    <chartFormat chart="13" format="22" series="1">
      <pivotArea type="data" outline="0" fieldPosition="0">
        <references count="2">
          <reference field="4294967294" count="1" selected="0">
            <x v="0"/>
          </reference>
          <reference field="1" count="1" selected="0">
            <x v="2"/>
          </reference>
        </references>
      </pivotArea>
    </chartFormat>
    <chartFormat chart="14" format="11" series="1">
      <pivotArea type="data" outline="0" fieldPosition="0">
        <references count="2">
          <reference field="4294967294" count="1" selected="0">
            <x v="0"/>
          </reference>
          <reference field="1" count="1" selected="0">
            <x v="0"/>
          </reference>
        </references>
      </pivotArea>
    </chartFormat>
    <chartFormat chart="14" format="12" series="1">
      <pivotArea type="data" outline="0" fieldPosition="0">
        <references count="2">
          <reference field="4294967294" count="1" selected="0">
            <x v="0"/>
          </reference>
          <reference field="1" count="1" selected="0">
            <x v="1"/>
          </reference>
        </references>
      </pivotArea>
    </chartFormat>
    <chartFormat chart="14" format="13" series="1">
      <pivotArea type="data" outline="0" fieldPosition="0">
        <references count="2">
          <reference field="4294967294" count="1" selected="0">
            <x v="0"/>
          </reference>
          <reference field="1" count="1" selected="0">
            <x v="2"/>
          </reference>
        </references>
      </pivotArea>
    </chartFormat>
    <chartFormat chart="15" format="14" series="1">
      <pivotArea type="data" outline="0" fieldPosition="0">
        <references count="2">
          <reference field="4294967294" count="1" selected="0">
            <x v="0"/>
          </reference>
          <reference field="1" count="1" selected="0">
            <x v="0"/>
          </reference>
        </references>
      </pivotArea>
    </chartFormat>
    <chartFormat chart="15" format="15" series="1">
      <pivotArea type="data" outline="0" fieldPosition="0">
        <references count="2">
          <reference field="4294967294" count="1" selected="0">
            <x v="0"/>
          </reference>
          <reference field="1" count="1" selected="0">
            <x v="1"/>
          </reference>
        </references>
      </pivotArea>
    </chartFormat>
    <chartFormat chart="15" format="16" series="1">
      <pivotArea type="data" outline="0" fieldPosition="0">
        <references count="2">
          <reference field="4294967294" count="1" selected="0">
            <x v="0"/>
          </reference>
          <reference field="1" count="1" selected="0">
            <x v="2"/>
          </reference>
        </references>
      </pivotArea>
    </chartFormat>
    <chartFormat chart="16" format="11" series="1">
      <pivotArea type="data" outline="0" fieldPosition="0">
        <references count="2">
          <reference field="4294967294" count="1" selected="0">
            <x v="0"/>
          </reference>
          <reference field="1" count="1" selected="0">
            <x v="0"/>
          </reference>
        </references>
      </pivotArea>
    </chartFormat>
    <chartFormat chart="16" format="12" series="1">
      <pivotArea type="data" outline="0" fieldPosition="0">
        <references count="2">
          <reference field="4294967294" count="1" selected="0">
            <x v="0"/>
          </reference>
          <reference field="1" count="1" selected="0">
            <x v="1"/>
          </reference>
        </references>
      </pivotArea>
    </chartFormat>
    <chartFormat chart="16" format="13" series="1">
      <pivotArea type="data" outline="0" fieldPosition="0">
        <references count="2">
          <reference field="4294967294" count="1" selected="0">
            <x v="0"/>
          </reference>
          <reference field="1" count="1" selected="0">
            <x v="2"/>
          </reference>
        </references>
      </pivotArea>
    </chartFormat>
    <chartFormat chart="17" format="14" series="1">
      <pivotArea type="data" outline="0" fieldPosition="0">
        <references count="2">
          <reference field="4294967294" count="1" selected="0">
            <x v="0"/>
          </reference>
          <reference field="1" count="1" selected="0">
            <x v="0"/>
          </reference>
        </references>
      </pivotArea>
    </chartFormat>
    <chartFormat chart="17" format="15" series="1">
      <pivotArea type="data" outline="0" fieldPosition="0">
        <references count="2">
          <reference field="4294967294" count="1" selected="0">
            <x v="0"/>
          </reference>
          <reference field="1" count="1" selected="0">
            <x v="1"/>
          </reference>
        </references>
      </pivotArea>
    </chartFormat>
    <chartFormat chart="17" format="16" series="1">
      <pivotArea type="data" outline="0" fieldPosition="0">
        <references count="2">
          <reference field="4294967294" count="1" selected="0">
            <x v="0"/>
          </reference>
          <reference field="1" count="1" selected="0">
            <x v="2"/>
          </reference>
        </references>
      </pivotArea>
    </chartFormat>
    <chartFormat chart="18" format="11" series="1">
      <pivotArea type="data" outline="0" fieldPosition="0">
        <references count="2">
          <reference field="4294967294" count="1" selected="0">
            <x v="0"/>
          </reference>
          <reference field="1" count="1" selected="0">
            <x v="0"/>
          </reference>
        </references>
      </pivotArea>
    </chartFormat>
    <chartFormat chart="18" format="12" series="1">
      <pivotArea type="data" outline="0" fieldPosition="0">
        <references count="2">
          <reference field="4294967294" count="1" selected="0">
            <x v="0"/>
          </reference>
          <reference field="1" count="1" selected="0">
            <x v="1"/>
          </reference>
        </references>
      </pivotArea>
    </chartFormat>
    <chartFormat chart="18" format="13" series="1">
      <pivotArea type="data" outline="0" fieldPosition="0">
        <references count="2">
          <reference field="4294967294" count="1" selected="0">
            <x v="0"/>
          </reference>
          <reference field="1" count="1" selected="0">
            <x v="2"/>
          </reference>
        </references>
      </pivotArea>
    </chartFormat>
    <chartFormat chart="19" format="14" series="1">
      <pivotArea type="data" outline="0" fieldPosition="0">
        <references count="2">
          <reference field="4294967294" count="1" selected="0">
            <x v="0"/>
          </reference>
          <reference field="1" count="1" selected="0">
            <x v="0"/>
          </reference>
        </references>
      </pivotArea>
    </chartFormat>
    <chartFormat chart="19" format="15" series="1">
      <pivotArea type="data" outline="0" fieldPosition="0">
        <references count="2">
          <reference field="4294967294" count="1" selected="0">
            <x v="0"/>
          </reference>
          <reference field="1" count="1" selected="0">
            <x v="1"/>
          </reference>
        </references>
      </pivotArea>
    </chartFormat>
    <chartFormat chart="19" format="16" series="1">
      <pivotArea type="data" outline="0" fieldPosition="0">
        <references count="2">
          <reference field="4294967294" count="1" selected="0">
            <x v="0"/>
          </reference>
          <reference field="1" count="1" selected="0">
            <x v="2"/>
          </reference>
        </references>
      </pivotArea>
    </chartFormat>
    <chartFormat chart="20" format="11" series="1">
      <pivotArea type="data" outline="0" fieldPosition="0">
        <references count="2">
          <reference field="4294967294" count="1" selected="0">
            <x v="0"/>
          </reference>
          <reference field="1" count="1" selected="0">
            <x v="0"/>
          </reference>
        </references>
      </pivotArea>
    </chartFormat>
    <chartFormat chart="20" format="12" series="1">
      <pivotArea type="data" outline="0" fieldPosition="0">
        <references count="2">
          <reference field="4294967294" count="1" selected="0">
            <x v="0"/>
          </reference>
          <reference field="1" count="1" selected="0">
            <x v="1"/>
          </reference>
        </references>
      </pivotArea>
    </chartFormat>
    <chartFormat chart="20" format="13" series="1">
      <pivotArea type="data" outline="0" fieldPosition="0">
        <references count="2">
          <reference field="4294967294" count="1" selected="0">
            <x v="0"/>
          </reference>
          <reference field="1" count="1" selected="0">
            <x v="2"/>
          </reference>
        </references>
      </pivotArea>
    </chartFormat>
    <chartFormat chart="21" format="14" series="1">
      <pivotArea type="data" outline="0" fieldPosition="0">
        <references count="2">
          <reference field="4294967294" count="1" selected="0">
            <x v="0"/>
          </reference>
          <reference field="1" count="1" selected="0">
            <x v="0"/>
          </reference>
        </references>
      </pivotArea>
    </chartFormat>
    <chartFormat chart="21" format="15" series="1">
      <pivotArea type="data" outline="0" fieldPosition="0">
        <references count="2">
          <reference field="4294967294" count="1" selected="0">
            <x v="0"/>
          </reference>
          <reference field="1" count="1" selected="0">
            <x v="1"/>
          </reference>
        </references>
      </pivotArea>
    </chartFormat>
    <chartFormat chart="21" format="16" series="1">
      <pivotArea type="data" outline="0" fieldPosition="0">
        <references count="2">
          <reference field="4294967294" count="1" selected="0">
            <x v="0"/>
          </reference>
          <reference field="1" count="1" selected="0">
            <x v="2"/>
          </reference>
        </references>
      </pivotArea>
    </chartFormat>
    <chartFormat chart="22" format="11" series="1">
      <pivotArea type="data" outline="0" fieldPosition="0">
        <references count="2">
          <reference field="4294967294" count="1" selected="0">
            <x v="0"/>
          </reference>
          <reference field="1" count="1" selected="0">
            <x v="0"/>
          </reference>
        </references>
      </pivotArea>
    </chartFormat>
    <chartFormat chart="22" format="12" series="1">
      <pivotArea type="data" outline="0" fieldPosition="0">
        <references count="2">
          <reference field="4294967294" count="1" selected="0">
            <x v="0"/>
          </reference>
          <reference field="1" count="1" selected="0">
            <x v="1"/>
          </reference>
        </references>
      </pivotArea>
    </chartFormat>
    <chartFormat chart="22" format="13" series="1">
      <pivotArea type="data" outline="0" fieldPosition="0">
        <references count="2">
          <reference field="4294967294" count="1" selected="0">
            <x v="0"/>
          </reference>
          <reference field="1" count="1" selected="0">
            <x v="2"/>
          </reference>
        </references>
      </pivotArea>
    </chartFormat>
    <chartFormat chart="23" format="14" series="1">
      <pivotArea type="data" outline="0" fieldPosition="0">
        <references count="2">
          <reference field="4294967294" count="1" selected="0">
            <x v="0"/>
          </reference>
          <reference field="1" count="1" selected="0">
            <x v="0"/>
          </reference>
        </references>
      </pivotArea>
    </chartFormat>
    <chartFormat chart="23" format="15" series="1">
      <pivotArea type="data" outline="0" fieldPosition="0">
        <references count="2">
          <reference field="4294967294" count="1" selected="0">
            <x v="0"/>
          </reference>
          <reference field="1" count="1" selected="0">
            <x v="1"/>
          </reference>
        </references>
      </pivotArea>
    </chartFormat>
    <chartFormat chart="23" format="16" series="1">
      <pivotArea type="data" outline="0" fieldPosition="0">
        <references count="2">
          <reference field="4294967294" count="1" selected="0">
            <x v="0"/>
          </reference>
          <reference field="1" count="1" selected="0">
            <x v="2"/>
          </reference>
        </references>
      </pivotArea>
    </chartFormat>
    <chartFormat chart="24" format="11" series="1">
      <pivotArea type="data" outline="0" fieldPosition="0">
        <references count="2">
          <reference field="4294967294" count="1" selected="0">
            <x v="0"/>
          </reference>
          <reference field="1" count="1" selected="0">
            <x v="0"/>
          </reference>
        </references>
      </pivotArea>
    </chartFormat>
    <chartFormat chart="24" format="12" series="1">
      <pivotArea type="data" outline="0" fieldPosition="0">
        <references count="2">
          <reference field="4294967294" count="1" selected="0">
            <x v="0"/>
          </reference>
          <reference field="1" count="1" selected="0">
            <x v="1"/>
          </reference>
        </references>
      </pivotArea>
    </chartFormat>
    <chartFormat chart="24" format="13" series="1">
      <pivotArea type="data" outline="0" fieldPosition="0">
        <references count="2">
          <reference field="4294967294" count="1" selected="0">
            <x v="0"/>
          </reference>
          <reference field="1" count="1" selected="0">
            <x v="2"/>
          </reference>
        </references>
      </pivotArea>
    </chartFormat>
    <chartFormat chart="25" format="14" series="1">
      <pivotArea type="data" outline="0" fieldPosition="0">
        <references count="2">
          <reference field="4294967294" count="1" selected="0">
            <x v="0"/>
          </reference>
          <reference field="1" count="1" selected="0">
            <x v="0"/>
          </reference>
        </references>
      </pivotArea>
    </chartFormat>
    <chartFormat chart="25" format="15" series="1">
      <pivotArea type="data" outline="0" fieldPosition="0">
        <references count="2">
          <reference field="4294967294" count="1" selected="0">
            <x v="0"/>
          </reference>
          <reference field="1" count="1" selected="0">
            <x v="1"/>
          </reference>
        </references>
      </pivotArea>
    </chartFormat>
    <chartFormat chart="25" format="16" series="1">
      <pivotArea type="data" outline="0" fieldPosition="0">
        <references count="2">
          <reference field="4294967294" count="1" selected="0">
            <x v="0"/>
          </reference>
          <reference field="1" count="1" selected="0">
            <x v="2"/>
          </reference>
        </references>
      </pivotArea>
    </chartFormat>
    <chartFormat chart="26" format="11" series="1">
      <pivotArea type="data" outline="0" fieldPosition="0">
        <references count="2">
          <reference field="4294967294" count="1" selected="0">
            <x v="0"/>
          </reference>
          <reference field="1" count="1" selected="0">
            <x v="0"/>
          </reference>
        </references>
      </pivotArea>
    </chartFormat>
    <chartFormat chart="26" format="12" series="1">
      <pivotArea type="data" outline="0" fieldPosition="0">
        <references count="2">
          <reference field="4294967294" count="1" selected="0">
            <x v="0"/>
          </reference>
          <reference field="1" count="1" selected="0">
            <x v="1"/>
          </reference>
        </references>
      </pivotArea>
    </chartFormat>
    <chartFormat chart="26" format="13" series="1">
      <pivotArea type="data" outline="0" fieldPosition="0">
        <references count="2">
          <reference field="4294967294" count="1" selected="0">
            <x v="0"/>
          </reference>
          <reference field="1" count="1" selected="0">
            <x v="2"/>
          </reference>
        </references>
      </pivotArea>
    </chartFormat>
    <chartFormat chart="27" format="14" series="1">
      <pivotArea type="data" outline="0" fieldPosition="0">
        <references count="2">
          <reference field="4294967294" count="1" selected="0">
            <x v="0"/>
          </reference>
          <reference field="1" count="1" selected="0">
            <x v="0"/>
          </reference>
        </references>
      </pivotArea>
    </chartFormat>
    <chartFormat chart="27" format="15" series="1">
      <pivotArea type="data" outline="0" fieldPosition="0">
        <references count="2">
          <reference field="4294967294" count="1" selected="0">
            <x v="0"/>
          </reference>
          <reference field="1" count="1" selected="0">
            <x v="1"/>
          </reference>
        </references>
      </pivotArea>
    </chartFormat>
    <chartFormat chart="27" format="16" series="1">
      <pivotArea type="data" outline="0" fieldPosition="0">
        <references count="2">
          <reference field="4294967294" count="1" selected="0">
            <x v="0"/>
          </reference>
          <reference field="1" count="1" selected="0">
            <x v="2"/>
          </reference>
        </references>
      </pivotArea>
    </chartFormat>
    <chartFormat chart="33" format="29" series="1">
      <pivotArea type="data" outline="0" fieldPosition="0">
        <references count="2">
          <reference field="4294967294" count="1" selected="0">
            <x v="0"/>
          </reference>
          <reference field="1" count="1" selected="0">
            <x v="0"/>
          </reference>
        </references>
      </pivotArea>
    </chartFormat>
    <chartFormat chart="33" format="30" series="1">
      <pivotArea type="data" outline="0" fieldPosition="0">
        <references count="2">
          <reference field="4294967294" count="1" selected="0">
            <x v="0"/>
          </reference>
          <reference field="1" count="1" selected="0">
            <x v="1"/>
          </reference>
        </references>
      </pivotArea>
    </chartFormat>
    <chartFormat chart="33" format="31" series="1">
      <pivotArea type="data" outline="0" fieldPosition="0">
        <references count="2">
          <reference field="4294967294" count="1" selected="0">
            <x v="0"/>
          </reference>
          <reference field="1" count="1" selected="0">
            <x v="2"/>
          </reference>
        </references>
      </pivotArea>
    </chartFormat>
    <chartFormat chart="29" format="35" series="1">
      <pivotArea type="data" outline="0" fieldPosition="0">
        <references count="2">
          <reference field="4294967294" count="1" selected="0">
            <x v="0"/>
          </reference>
          <reference field="1" count="1" selected="0">
            <x v="0"/>
          </reference>
        </references>
      </pivotArea>
    </chartFormat>
    <chartFormat chart="29" format="36" series="1">
      <pivotArea type="data" outline="0" fieldPosition="0">
        <references count="2">
          <reference field="4294967294" count="1" selected="0">
            <x v="0"/>
          </reference>
          <reference field="1" count="1" selected="0">
            <x v="1"/>
          </reference>
        </references>
      </pivotArea>
    </chartFormat>
    <chartFormat chart="29" format="37" series="1">
      <pivotArea type="data" outline="0" fieldPosition="0">
        <references count="2">
          <reference field="4294967294" count="1" selected="0">
            <x v="0"/>
          </reference>
          <reference field="1"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 dT="2021-07-22T17:27:03.24" personId="{A70F5C0B-4430-41F2-A5ED-00E2390082F0}" id="{0DDA16C4-F391-49F3-A890-A4F29624E593}">
    <text>REFERENCE FOR THE TERMINOLOGY - MOP - Ni, D., II, J. D., Guin, A., &amp; Williams, a. B. (2004). Systematic Approach for Validating Traffic Simulation Models. Transportation Research Record: Journal of the Transportation Research Board No. 1876, TRB, National Research Council, Washington,, 20-31.</text>
  </threadedComment>
</ThreadedComments>
</file>

<file path=xl/threadedComments/threadedComment2.xml><?xml version="1.0" encoding="utf-8"?>
<ThreadedComments xmlns="http://schemas.microsoft.com/office/spreadsheetml/2018/threadedcomments" xmlns:x="http://schemas.openxmlformats.org/spreadsheetml/2006/main">
  <threadedComment ref="B2" dT="2021-04-09T10:32:07.07" personId="{30F8326D-21C0-461E-96A3-77F25BD25E31}" id="{2588A63C-F789-471F-8D72-313946B412A6}">
    <text>i would expect here also the following:
-wether an explicit node model exists and if it complies to the 7 requirements from tampere et al 2011
-if it adheres to a speed-flow curve (least acccurate), fundamental diagram (more accurate), or to a FD but also includes higher order effects (most accurate). 
-wether the routeset is fixed (less accurate) or variable (more accurate)</text>
  </threadedComment>
  <threadedComment ref="B4" dT="2021-04-07T04:57:30.66" personId="{1221716D-708B-40B3-9C55-82C8B530F068}" id="{92D88C1D-9FAE-4394-9B61-7CB3DDA623A8}">
    <text>Not sure what you mean by this.</text>
  </threadedComment>
  <threadedComment ref="B4" dT="2021-04-09T10:26:25.32" personId="{30F8326D-21C0-461E-96A3-77F25BD25E31}" id="{763ACB27-0BAE-4EA4-8193-523D52A34609}" parentId="{92D88C1D-9FAE-4394-9B61-7CB3DDA623A8}">
    <text xml:space="preserve">so they  need to be defined. Furthermore, i woulud split them up, because vertical queuing modles exist, which are models that include flow metering but do not include blocking back. </text>
  </threadedComment>
  <threadedComment ref="B5" dT="2021-04-09T10:25:02.66" personId="{30F8326D-21C0-461E-96A3-77F25BD25E31}" id="{C0495F7B-AF87-477B-BD88-4C20495DAE11}">
    <text>these are three different things. 
-wrt spillback-oversaturation: you need to define what this is; also in relation with blocking back. In my understanding blocking back is the ability of a model to let queues grow upstream whereas spillback is the ability of a model to let queues grow upstream beyond 1 link.</text>
  </threadedComment>
  <threadedComment ref="D6" dT="2021-04-07T04:56:42.44" personId="{1221716D-708B-40B3-9C55-82C8B530F068}" id="{6ECA2DB3-37B0-453E-ACCD-95E88CDF7FCB}">
    <text>How to observe?</text>
  </threadedComment>
  <threadedComment ref="B8" dT="2021-04-09T10:26:59.22" personId="{30F8326D-21C0-461E-96A3-77F25BD25E31}" id="{D55DCB3B-E04C-43FC-8740-06D3ECB18BA1}">
    <text>definition?</text>
  </threadedComment>
  <threadedComment ref="B11" dT="2021-04-09T10:35:48.86" personId="{30F8326D-21C0-461E-96A3-77F25BD25E31}" id="{6B051715-2C00-4C96-A526-18EE83FA23DA}">
    <text>i'd make this more general: 'a meaningfull stable state', which in practice boils down to either DUE or SUE (where SO might be a nice theoretical bonus)</text>
  </threadedComment>
  <threadedComment ref="C11" dT="2021-04-09T13:29:43.03" personId="{30F8326D-21C0-461E-96A3-77F25BD25E31}" id="{9DCBD56B-17CE-4D93-B1A9-860A4A1C9E11}">
    <text>things are binary or not, not binary-based :)</text>
  </threadedComment>
  <threadedComment ref="D11" dT="2021-04-07T05:00:40.79" personId="{1221716D-708B-40B3-9C55-82C8B530F068}" id="{690C493D-AFBC-4823-A3EC-E73A045F8370}">
    <text>Definition of user equilibrium: travel times on routes for the same OD pair should be exactly the same (DUE).</text>
  </threadedComment>
  <threadedComment ref="D11" dT="2021-04-09T10:35:05.17" personId="{30F8326D-21C0-461E-96A3-77F25BD25E31}" id="{2E35534C-D2CF-4A7A-B7C7-3B0AF9D5D5ED}" parentId="{690C493D-AFBC-4823-A3EC-E73A045F8370}">
    <text>agreed for the DUE (added that only used routes should be accounted for). But this doesn't answer the question which stopcriterion value should be applied on network level (should all odpairs be in equillibrium, and what would be the tolerance for calling routetraveltimes 'the same'?)</text>
  </threadedComment>
  <threadedComment ref="B12" dT="2021-04-09T10:37:52.91" personId="{30F8326D-21C0-461E-96A3-77F25BD25E31}" id="{015868CC-41D3-4816-BF87-C356E559FDDC}">
    <text>not relevant if UE is used as a criterion.
change in link flows is not a good indicator, as it is dependent on the changes in route cost, but also on the factor applied for averaging in that iteration. If the latter decreases (i.e. 1/i in MSA) you'll get smaller link flow changes in every iteration by definition...</text>
  </threadedComment>
  <threadedComment ref="B13" dT="2021-04-09T10:42:15.21" personId="{30F8326D-21C0-461E-96A3-77F25BD25E31}" id="{1AD6B244-EF13-483C-AC9E-8DB23B11EDA4}">
    <text>i would remove 7 and replace it with this... The duality gap is the best measure you can use for user equillibrium, but since none of the DTA models will come close to the dynamic UE (i've never seen any model do better than 0.01). So 'achievement of UE' will always be 'false' for all models...</text>
  </threadedComment>
  <threadedComment ref="B14" dT="2021-04-09T13:07:25.99" personId="{30F8326D-21C0-461E-96A3-77F25BD25E31}" id="{044413D9-9922-4C83-A016-2B58B5946A0C}">
    <text>only relevant for microsimulators, right? By definition not relevant for madam and egltm as they are deterministic. Are there stochastic processes included in Marple?</text>
  </threadedComment>
  <threadedComment ref="B15" dT="2021-04-13T12:19:48.80" personId="{30F8326D-21C0-461E-96A3-77F25BD25E31}" id="{9D083C6B-2E07-4E2D-B92A-DB383A364ABC}">
    <text>duplicate of 7 if you ask me</text>
  </threadedComment>
  <threadedComment ref="D15" dT="2021-04-07T05:01:50.51" personId="{1221716D-708B-40B3-9C55-82C8B530F068}" id="{06354378-223D-4CBF-823F-242CBE982A2D}">
    <text>What is 'strictness'?</text>
  </threadedComment>
  <threadedComment ref="B16" dT="2021-04-13T12:27:13.42" personId="{30F8326D-21C0-461E-96A3-77F25BD25E31}" id="{D742A962-715E-44DC-9737-F8F48141FA72}">
    <text xml:space="preserve">depends on the order of magnitude of the scenario's... so this should be rephrased as 'which types of scenario's can be evaluated' </text>
  </threadedComment>
  <threadedComment ref="B17" dT="2021-04-13T12:29:36.55" personId="{30F8326D-21C0-461E-96A3-77F25BD25E31}" id="{3B047F71-6331-46C4-9F16-A7AE16115705}">
    <text>derivative of 7, so remove as separate item</text>
  </threadedComment>
  <threadedComment ref="B19" dT="2021-04-13T15:05:27.54" personId="{30F8326D-21C0-461E-96A3-77F25BD25E31}" id="{6264D639-04E8-4207-9F9D-88C96663EB20}">
    <text xml:space="preserve">i'd suggest to add a criterion here that describes the potential efficiency by describing the complexity of the mathematical problem that is being solved and the solution algorithm used. (what i earlier called 'big-O notation). </text>
  </threadedComment>
  <threadedComment ref="B20" dT="2021-04-13T15:03:32.32" personId="{30F8326D-21C0-461E-96A3-77F25BD25E31}" id="{0249B290-D4A7-466A-BC4E-D95E165755D9}">
    <text xml:space="preserve">this needs to be made case independent. So the relationship between model dimensions (which ones?) and run time </text>
  </threadedComment>
  <threadedComment ref="B21" dT="2021-04-13T15:04:13.21" personId="{30F8326D-21C0-461E-96A3-77F25BD25E31}" id="{6A0B8878-B15C-40FA-ADA2-C4EC3FAB4C43}">
    <text xml:space="preserve">this needs to be made case independent. So the relationship between model dimensions (which ones?) and memory usage.
Furthermore, i think you mean peak memory usage here. </text>
  </threadedComment>
  <threadedComment ref="B23" dT="2021-04-13T15:07:49.20" personId="{30F8326D-21C0-461E-96A3-77F25BD25E31}" id="{9C2EA046-745C-41E5-903C-DE81FF8C841B}">
    <text xml:space="preserve">mode-based doesn't cover it. It is modes or user classes, i think the general term from literature is multi commodity vs multi class, but i never know which one is which.... </text>
  </threadedComment>
  <threadedComment ref="B24" dT="2021-04-13T15:06:40.52" personId="{30F8326D-21C0-461E-96A3-77F25BD25E31}" id="{C809C996-EE57-422A-8C66-7F2DE3C2CE6C}">
    <text>this is about different modes</text>
  </threadedComment>
  <threadedComment ref="D24" dT="2021-04-07T05:02:49.95" personId="{1221716D-708B-40B3-9C55-82C8B530F068}" id="{3DD38B34-2F37-4DBD-B8EC-3A8C0BE00624}">
    <text>Not clear.</text>
  </threadedComment>
  <threadedComment ref="B25" dT="2021-04-13T15:06:52.63" personId="{30F8326D-21C0-461E-96A3-77F25BD25E31}" id="{BAC47C9E-91BA-4131-AB8E-FD66CF483A22}">
    <text>whereas this is about different user classes</text>
  </threadedComment>
  <threadedComment ref="B28" dT="2021-04-13T15:09:32.35" personId="{30F8326D-21C0-461E-96A3-77F25BD25E31}" id="{F89F32EC-C484-4CDD-96B2-F4CCFBEE2541}">
    <text xml:space="preserve">by definition, any route will be used if you apply a non-deterministic route choice model... So this criterion is usefull when using an AON route choice model, if using a non-deterministic route choice model, a treshold (related to the scale parameter of the route choice model) should be applied. </text>
  </threadedComment>
  <threadedComment ref="B29" dT="2021-04-13T15:10:13.32" personId="{30F8326D-21C0-461E-96A3-77F25BD25E31}" id="{056A2831-404A-48C0-BF1F-0EB6ABCC5BFE}">
    <text>i think this is covered by 7, so could be omitted here.</text>
  </threadedComment>
  <threadedComment ref="B30" dT="2021-04-13T15:11:08.40" personId="{30F8326D-21C0-461E-96A3-77F25BD25E31}" id="{D5076EF0-A84C-4494-B10A-33417F2BB833}">
    <text xml:space="preserve">this mainly depends on the parameters used for the route set generation algorithm, not nescesarily the route set generation method itself. </text>
  </threadedComment>
  <threadedComment ref="B31" dT="2021-04-13T15:13:48.55" personId="{30F8326D-21C0-461E-96A3-77F25BD25E31}" id="{D3B10F89-7F9C-46F4-93F0-A004528108DE}">
    <text>i would change this criterion into 'effect of route set and degree of route overlap on convergence of assignment model'. 
This cannot be seen isolated from the route choice model.
Furthermore, this classifies more as model robustness</text>
  </threadedComment>
  <threadedComment ref="D33" dT="2021-04-13T15:16:45.99" personId="{30F8326D-21C0-461E-96A3-77F25BD25E31}" id="{75110C74-14A1-47BD-ABEA-5D587805528D}">
    <text>didn't read the paper, but don't undrestand whats meant here</text>
  </threadedComment>
  <threadedComment ref="B34" dT="2021-04-13T15:18:22.19" personId="{30F8326D-21C0-461E-96A3-77F25BD25E31}" id="{E4A5FCD1-C040-4A52-B003-685C3D582028}">
    <text>split into: 1)effect on convergence (duality gap vs number of iterations ) and 2) effect on efficiency (duality gap vs calculation time)</text>
  </threadedComment>
  <threadedComment ref="B35" dT="2021-04-07T05:07:43.12" personId="{1221716D-708B-40B3-9C55-82C8B530F068}" id="{71EEE7C7-C8E1-4C7D-B677-7FB110A5C0BB}">
    <text>Check for possible overlap with 3.1. Both are related to traffic propagation.</text>
  </threadedComment>
  <threadedComment ref="B36" dT="2021-04-13T15:19:37.99" personId="{30F8326D-21C0-461E-96A3-77F25BD25E31}" id="{ACDC5447-05B8-4A16-8AC2-96929BD51BF6}">
    <text>duplicate of 2? (don't know what's meant by 'trend analysis' here)</text>
  </threadedComment>
  <threadedComment ref="B37" dT="2021-04-13T15:21:05.82" personId="{30F8326D-21C0-461E-96A3-77F25BD25E31}" id="{078CB6C0-0F14-4DEE-A130-2D90AD6A04EE}">
    <text xml:space="preserve">i think this is with respect to links, but for node models this is also a relevant property (one of the propertys of Tampere 2011 actually). </text>
  </threadedComment>
  <threadedComment ref="B38" dT="2021-04-07T05:06:20.29" personId="{1221716D-708B-40B3-9C55-82C8B530F068}" id="{F330337D-CF17-4782-BF34-E52D04E342E9}">
    <text>Maybe not only signal control, but also other traffic management measures, such as VMS, ramp metering, etc.</text>
  </threadedComment>
  <threadedComment ref="B38" dT="2021-04-13T15:30:20.79" personId="{30F8326D-21C0-461E-96A3-77F25BD25E31}" id="{BE06FB56-07BA-48C2-A52D-95B1622BEE46}" parentId="{F330337D-CF17-4782-BF34-E52D04E342E9}">
    <text xml:space="preserve">agreed, that not only signal delays 'there's also geometric delays and incremental delays (apart from the other sources mentioned by Henk). </text>
  </threadedComment>
  <threadedComment ref="B39" dT="2021-04-13T15:31:00.74" personId="{30F8326D-21C0-461E-96A3-77F25BD25E31}" id="{425F5211-D527-47C4-BEAE-391145D306F9}">
    <text xml:space="preserve">this is what i call 'spillback' and belongs to 2 </text>
  </threadedComment>
  <threadedComment ref="B42" dT="2021-04-13T15:32:59.07" personId="{30F8326D-21C0-461E-96A3-77F25BD25E31}" id="{266F67FD-61D1-44B3-BAE1-A5EEC6F79095}">
    <text>unclear how a speed distribution would be evaluated... As i see it, if there's junction modelling and possibility to define network loading parameters specific for urban link types, the model is applicable for networks with urban+motorway links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 Id="rId4" Type="http://schemas.microsoft.com/office/2017/10/relationships/threadedComment" Target="../threadedComments/threadedComment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8.bin"/><Relationship Id="rId1" Type="http://schemas.openxmlformats.org/officeDocument/2006/relationships/pivotTable" Target="../pivotTables/pivotTable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AA0FB-0D68-41AF-A6D3-4AD2525E56BF}">
  <sheetPr>
    <tabColor rgb="FF0070C0"/>
  </sheetPr>
  <dimension ref="A1:G41"/>
  <sheetViews>
    <sheetView topLeftCell="A25" zoomScaleNormal="100" workbookViewId="0">
      <selection activeCell="E13" sqref="E13"/>
    </sheetView>
  </sheetViews>
  <sheetFormatPr defaultRowHeight="14.4" x14ac:dyDescent="0.3"/>
  <cols>
    <col min="1" max="1" width="27.88671875" bestFit="1" customWidth="1"/>
    <col min="2" max="2" width="25" bestFit="1" customWidth="1"/>
    <col min="3" max="3" width="38.33203125" customWidth="1"/>
    <col min="4" max="4" width="16.6640625" bestFit="1" customWidth="1"/>
    <col min="5" max="5" width="21.6640625" bestFit="1" customWidth="1"/>
  </cols>
  <sheetData>
    <row r="1" spans="1:7" ht="21" x14ac:dyDescent="0.4">
      <c r="A1" s="42" t="s">
        <v>0</v>
      </c>
    </row>
    <row r="2" spans="1:7" s="46" customFormat="1" x14ac:dyDescent="0.3">
      <c r="A2" s="44" t="s">
        <v>1</v>
      </c>
      <c r="B2" s="45"/>
      <c r="C2" s="44"/>
      <c r="D2" s="44"/>
      <c r="E2" s="43"/>
    </row>
    <row r="3" spans="1:7" x14ac:dyDescent="0.3">
      <c r="A3" s="18" t="s">
        <v>2</v>
      </c>
      <c r="B3" s="2" t="s">
        <v>3</v>
      </c>
      <c r="C3" s="1"/>
      <c r="D3" s="2"/>
      <c r="E3" s="2"/>
    </row>
    <row r="4" spans="1:7" x14ac:dyDescent="0.3">
      <c r="A4" s="2"/>
      <c r="B4" s="2" t="s">
        <v>4</v>
      </c>
      <c r="C4" s="2"/>
      <c r="D4" s="2"/>
      <c r="E4" s="2"/>
    </row>
    <row r="5" spans="1:7" x14ac:dyDescent="0.3">
      <c r="A5" s="2"/>
      <c r="B5" s="2" t="s">
        <v>5</v>
      </c>
      <c r="C5" s="2"/>
      <c r="D5" s="2"/>
      <c r="E5" s="2"/>
    </row>
    <row r="6" spans="1:7" x14ac:dyDescent="0.3">
      <c r="A6" s="2"/>
      <c r="B6" s="2"/>
      <c r="C6" s="2"/>
      <c r="D6" s="2"/>
      <c r="E6" s="2"/>
    </row>
    <row r="7" spans="1:7" x14ac:dyDescent="0.3">
      <c r="A7" s="2"/>
      <c r="B7" s="2"/>
      <c r="C7" s="2"/>
      <c r="D7" s="2"/>
      <c r="E7" s="2"/>
    </row>
    <row r="8" spans="1:7" x14ac:dyDescent="0.3">
      <c r="A8" s="2"/>
      <c r="B8" s="2"/>
      <c r="C8" s="2"/>
      <c r="D8" s="2"/>
      <c r="E8" s="2"/>
    </row>
    <row r="9" spans="1:7" x14ac:dyDescent="0.3">
      <c r="A9" s="2"/>
      <c r="B9" s="3"/>
      <c r="C9" s="2"/>
      <c r="D9" s="2"/>
      <c r="E9" s="2"/>
    </row>
    <row r="10" spans="1:7" x14ac:dyDescent="0.3">
      <c r="A10" s="18" t="s">
        <v>6</v>
      </c>
      <c r="B10" s="2" t="s">
        <v>7</v>
      </c>
      <c r="C10" s="2"/>
      <c r="D10" s="2"/>
      <c r="E10" s="2"/>
    </row>
    <row r="11" spans="1:7" x14ac:dyDescent="0.3">
      <c r="A11" s="2"/>
      <c r="B11" s="2" t="s">
        <v>8</v>
      </c>
      <c r="C11" s="2"/>
      <c r="D11" s="2"/>
      <c r="E11" s="2"/>
    </row>
    <row r="12" spans="1:7" x14ac:dyDescent="0.3">
      <c r="A12" s="2"/>
      <c r="B12" s="2" t="s">
        <v>9</v>
      </c>
      <c r="C12" s="2"/>
      <c r="D12" s="2"/>
      <c r="E12" s="2"/>
      <c r="F12" s="2"/>
      <c r="G12" s="2"/>
    </row>
    <row r="13" spans="1:7" x14ac:dyDescent="0.3">
      <c r="A13" s="2"/>
      <c r="B13" s="2" t="s">
        <v>10</v>
      </c>
      <c r="C13" s="2"/>
      <c r="D13" s="2"/>
      <c r="E13" s="2"/>
      <c r="F13" s="2"/>
      <c r="G13" s="2"/>
    </row>
    <row r="14" spans="1:7" x14ac:dyDescent="0.3">
      <c r="A14" s="2"/>
      <c r="B14" s="2"/>
      <c r="C14" s="2"/>
      <c r="D14" s="2"/>
      <c r="E14" s="2"/>
      <c r="F14" s="2"/>
      <c r="G14" s="2"/>
    </row>
    <row r="15" spans="1:7" x14ac:dyDescent="0.3">
      <c r="A15" s="2"/>
      <c r="B15" s="2"/>
      <c r="C15" s="18" t="s">
        <v>11</v>
      </c>
      <c r="D15" s="2"/>
      <c r="E15" s="2"/>
      <c r="F15" s="2"/>
      <c r="G15" s="2"/>
    </row>
    <row r="16" spans="1:7" x14ac:dyDescent="0.3">
      <c r="A16" s="18" t="s">
        <v>12</v>
      </c>
      <c r="B16" s="2" t="s">
        <v>13</v>
      </c>
      <c r="C16" s="2">
        <f>COUNTIF(MOPs!C:C,Info!B16)</f>
        <v>19</v>
      </c>
      <c r="D16" s="2"/>
      <c r="E16" s="2"/>
      <c r="F16" s="2"/>
      <c r="G16" s="2"/>
    </row>
    <row r="17" spans="1:7" x14ac:dyDescent="0.3">
      <c r="A17" s="2"/>
      <c r="B17" s="2" t="s">
        <v>14</v>
      </c>
      <c r="C17" s="2">
        <f>COUNTIF(MOPs!C:C,Info!B17)</f>
        <v>5</v>
      </c>
      <c r="D17" s="2"/>
      <c r="E17" s="2"/>
      <c r="F17" s="2"/>
      <c r="G17" s="2"/>
    </row>
    <row r="18" spans="1:7" x14ac:dyDescent="0.3">
      <c r="A18" s="2"/>
      <c r="B18" s="2" t="s">
        <v>15</v>
      </c>
      <c r="C18" s="2">
        <f>COUNTIF(MOPs!C:C,Info!B18)</f>
        <v>4</v>
      </c>
      <c r="D18" s="2"/>
      <c r="E18" s="2"/>
      <c r="F18" s="2"/>
      <c r="G18" s="2"/>
    </row>
    <row r="19" spans="1:7" x14ac:dyDescent="0.3">
      <c r="A19" s="2"/>
      <c r="B19" s="2" t="s">
        <v>16</v>
      </c>
      <c r="C19" s="50">
        <f>SUM(C16:C18)</f>
        <v>28</v>
      </c>
      <c r="D19" s="2"/>
      <c r="E19" s="2"/>
    </row>
    <row r="20" spans="1:7" x14ac:dyDescent="0.3">
      <c r="A20" s="2"/>
      <c r="B20" s="2"/>
      <c r="C20" s="2"/>
      <c r="D20" s="2"/>
      <c r="E20" s="2"/>
    </row>
    <row r="21" spans="1:7" s="46" customFormat="1" x14ac:dyDescent="0.3">
      <c r="A21" s="44" t="s">
        <v>17</v>
      </c>
      <c r="B21" s="45"/>
      <c r="C21" s="44"/>
      <c r="D21" s="44"/>
      <c r="E21" s="43"/>
    </row>
    <row r="22" spans="1:7" x14ac:dyDescent="0.3">
      <c r="A22" s="3" t="s">
        <v>18</v>
      </c>
      <c r="B22" s="2"/>
      <c r="C22" s="2"/>
      <c r="D22" s="2"/>
      <c r="E22" s="2"/>
    </row>
    <row r="23" spans="1:7" x14ac:dyDescent="0.3">
      <c r="A23" s="2" t="s">
        <v>19</v>
      </c>
      <c r="B23" s="2"/>
      <c r="C23" s="2"/>
      <c r="D23" s="2"/>
      <c r="E23" s="2"/>
    </row>
    <row r="25" spans="1:7" s="46" customFormat="1" x14ac:dyDescent="0.3">
      <c r="A25" s="44" t="s">
        <v>20</v>
      </c>
      <c r="B25" s="45"/>
      <c r="C25" s="44"/>
      <c r="D25" s="44"/>
      <c r="E25" s="43"/>
    </row>
    <row r="26" spans="1:7" x14ac:dyDescent="0.3">
      <c r="A26" s="2"/>
      <c r="B26" s="2"/>
      <c r="C26" s="2"/>
    </row>
    <row r="27" spans="1:7" x14ac:dyDescent="0.3">
      <c r="A27" s="47" t="s">
        <v>21</v>
      </c>
      <c r="B27" s="47" t="s">
        <v>22</v>
      </c>
      <c r="C27" s="47" t="s">
        <v>23</v>
      </c>
    </row>
    <row r="28" spans="1:7" ht="28.8" x14ac:dyDescent="0.3">
      <c r="A28" s="48">
        <v>0</v>
      </c>
      <c r="B28" s="5">
        <v>1</v>
      </c>
      <c r="C28" s="49" t="s">
        <v>24</v>
      </c>
    </row>
    <row r="29" spans="1:7" ht="43.2" x14ac:dyDescent="0.3">
      <c r="A29" s="5">
        <f>+B28</f>
        <v>1</v>
      </c>
      <c r="B29" s="48">
        <f>+B28+1</f>
        <v>2</v>
      </c>
      <c r="C29" s="49" t="s">
        <v>25</v>
      </c>
    </row>
    <row r="30" spans="1:7" ht="51.6" customHeight="1" x14ac:dyDescent="0.3">
      <c r="A30" s="5">
        <f>+B29</f>
        <v>2</v>
      </c>
      <c r="B30" s="48">
        <f>+B29+1</f>
        <v>3</v>
      </c>
      <c r="C30" s="49" t="s">
        <v>26</v>
      </c>
    </row>
    <row r="31" spans="1:7" ht="28.8" x14ac:dyDescent="0.3">
      <c r="A31" s="5">
        <f>+B30</f>
        <v>3</v>
      </c>
      <c r="B31" s="48">
        <f>+B30+1</f>
        <v>4</v>
      </c>
      <c r="C31" s="49" t="s">
        <v>27</v>
      </c>
    </row>
    <row r="33" spans="1:5" x14ac:dyDescent="0.3">
      <c r="A33" s="59" t="s">
        <v>28</v>
      </c>
      <c r="B33" s="52"/>
      <c r="C33" s="52"/>
      <c r="D33" s="52"/>
      <c r="E33" s="52"/>
    </row>
    <row r="34" spans="1:5" x14ac:dyDescent="0.3">
      <c r="A34" s="47" t="s">
        <v>21</v>
      </c>
      <c r="B34" s="47" t="s">
        <v>22</v>
      </c>
      <c r="C34" s="47" t="s">
        <v>23</v>
      </c>
      <c r="D34" s="47" t="s">
        <v>29</v>
      </c>
      <c r="E34" s="52"/>
    </row>
    <row r="35" spans="1:5" ht="72" x14ac:dyDescent="0.3">
      <c r="A35" s="5">
        <v>1</v>
      </c>
      <c r="B35" s="5">
        <v>10</v>
      </c>
      <c r="C35" s="8" t="s">
        <v>30</v>
      </c>
      <c r="D35" s="5" t="s">
        <v>31</v>
      </c>
      <c r="E35" s="52"/>
    </row>
    <row r="36" spans="1:5" ht="86.4" x14ac:dyDescent="0.3">
      <c r="A36" s="5">
        <v>1</v>
      </c>
      <c r="B36" s="5">
        <v>10</v>
      </c>
      <c r="C36" s="8" t="s">
        <v>32</v>
      </c>
      <c r="D36" s="5" t="s">
        <v>33</v>
      </c>
      <c r="E36" s="52"/>
    </row>
    <row r="37" spans="1:5" ht="72" x14ac:dyDescent="0.3">
      <c r="A37" s="5">
        <v>1</v>
      </c>
      <c r="B37" s="5">
        <v>10</v>
      </c>
      <c r="C37" s="8" t="s">
        <v>34</v>
      </c>
      <c r="D37" s="5" t="s">
        <v>35</v>
      </c>
      <c r="E37" s="52"/>
    </row>
    <row r="38" spans="1:5" ht="86.4" x14ac:dyDescent="0.3">
      <c r="A38" s="5">
        <v>1</v>
      </c>
      <c r="B38" s="5">
        <v>10</v>
      </c>
      <c r="C38" s="8" t="s">
        <v>36</v>
      </c>
      <c r="D38" s="5" t="s">
        <v>37</v>
      </c>
      <c r="E38" s="52"/>
    </row>
    <row r="39" spans="1:5" ht="86.4" x14ac:dyDescent="0.3">
      <c r="A39" s="5">
        <v>1</v>
      </c>
      <c r="B39" s="5">
        <v>10</v>
      </c>
      <c r="C39" s="8" t="s">
        <v>38</v>
      </c>
      <c r="D39" s="5" t="s">
        <v>39</v>
      </c>
      <c r="E39" s="52"/>
    </row>
    <row r="40" spans="1:5" ht="144" x14ac:dyDescent="0.3">
      <c r="A40" s="5">
        <v>1</v>
      </c>
      <c r="B40" s="5">
        <v>10</v>
      </c>
      <c r="C40" s="8" t="s">
        <v>40</v>
      </c>
      <c r="D40" s="5" t="s">
        <v>41</v>
      </c>
      <c r="E40" s="52"/>
    </row>
    <row r="41" spans="1:5" ht="86.4" x14ac:dyDescent="0.3">
      <c r="A41" s="5">
        <v>1</v>
      </c>
      <c r="B41" s="5">
        <v>10</v>
      </c>
      <c r="C41" s="8" t="s">
        <v>42</v>
      </c>
      <c r="D41" s="5" t="s">
        <v>43</v>
      </c>
      <c r="E41" s="52"/>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63469-CBE0-41D6-AE92-2BF932201554}">
  <sheetPr>
    <tabColor theme="1"/>
  </sheetPr>
  <dimension ref="A1:AN88"/>
  <sheetViews>
    <sheetView zoomScale="80" zoomScaleNormal="80" workbookViewId="0">
      <pane xSplit="5" ySplit="4" topLeftCell="F20" activePane="bottomRight" state="frozen"/>
      <selection pane="topRight" activeCell="F1" sqref="F1"/>
      <selection pane="bottomLeft" activeCell="A5" sqref="A5"/>
      <selection pane="bottomRight" activeCell="P25" sqref="P25"/>
    </sheetView>
  </sheetViews>
  <sheetFormatPr defaultRowHeight="14.4" x14ac:dyDescent="0.3"/>
  <cols>
    <col min="1" max="1" width="20.5546875" customWidth="1"/>
    <col min="2" max="2" width="37.6640625" customWidth="1"/>
    <col min="3" max="5" width="14.88671875" customWidth="1"/>
    <col min="6" max="6" width="15.109375" customWidth="1"/>
    <col min="7" max="7" width="14.5546875" customWidth="1"/>
    <col min="8" max="10" width="10.6640625" bestFit="1" customWidth="1"/>
    <col min="11" max="11" width="9.6640625" bestFit="1" customWidth="1"/>
    <col min="12" max="13" width="10.6640625" bestFit="1" customWidth="1"/>
    <col min="14" max="14" width="9.6640625" bestFit="1" customWidth="1"/>
    <col min="15" max="15" width="10.6640625" bestFit="1" customWidth="1"/>
    <col min="16" max="16" width="9.6640625" bestFit="1" customWidth="1"/>
    <col min="17" max="19" width="10.6640625" bestFit="1" customWidth="1"/>
    <col min="20" max="22" width="9.6640625" bestFit="1" customWidth="1"/>
    <col min="23" max="23" width="1.109375" customWidth="1"/>
    <col min="24" max="24" width="17.33203125" style="2" customWidth="1"/>
    <col min="25" max="25" width="1.109375" customWidth="1"/>
  </cols>
  <sheetData>
    <row r="1" spans="1:40" ht="18" x14ac:dyDescent="0.35">
      <c r="A1" s="196" t="s">
        <v>194</v>
      </c>
      <c r="W1" s="46"/>
      <c r="X1" s="127" t="s">
        <v>7</v>
      </c>
      <c r="Y1" s="46"/>
      <c r="Z1" s="159" t="s">
        <v>195</v>
      </c>
      <c r="AA1" s="160"/>
      <c r="AB1" s="160"/>
      <c r="AC1" s="160"/>
      <c r="AD1" s="160"/>
      <c r="AE1" s="160"/>
      <c r="AF1" s="160"/>
      <c r="AG1" s="160"/>
      <c r="AH1" s="160"/>
      <c r="AI1" s="160"/>
      <c r="AJ1" s="160"/>
      <c r="AK1" s="160"/>
      <c r="AL1" s="160"/>
      <c r="AM1" s="160"/>
      <c r="AN1" s="161"/>
    </row>
    <row r="2" spans="1:40" x14ac:dyDescent="0.3">
      <c r="H2" s="19" t="s">
        <v>196</v>
      </c>
      <c r="K2" s="197" t="s">
        <v>197</v>
      </c>
      <c r="L2" s="46"/>
      <c r="M2" s="46"/>
      <c r="N2" s="19" t="s">
        <v>198</v>
      </c>
      <c r="Q2" s="19" t="s">
        <v>199</v>
      </c>
      <c r="T2" s="197" t="s">
        <v>200</v>
      </c>
      <c r="U2" s="46"/>
      <c r="V2" s="46"/>
      <c r="W2" s="46"/>
      <c r="X2" s="128" t="str">
        <f>Visualization!B3</f>
        <v>Operational Planning</v>
      </c>
      <c r="Y2" s="46"/>
      <c r="Z2" s="162" t="s">
        <v>196</v>
      </c>
      <c r="AA2" s="163"/>
      <c r="AB2" s="163"/>
      <c r="AC2" s="164" t="s">
        <v>197</v>
      </c>
      <c r="AD2" s="163"/>
      <c r="AE2" s="163"/>
      <c r="AF2" s="164" t="s">
        <v>198</v>
      </c>
      <c r="AG2" s="163"/>
      <c r="AH2" s="163"/>
      <c r="AI2" s="164" t="s">
        <v>199</v>
      </c>
      <c r="AJ2" s="163"/>
      <c r="AK2" s="163"/>
      <c r="AL2" s="164" t="s">
        <v>200</v>
      </c>
      <c r="AM2" s="163"/>
      <c r="AN2" s="165"/>
    </row>
    <row r="3" spans="1:40" ht="28.8" x14ac:dyDescent="0.3">
      <c r="B3" s="78" t="s">
        <v>3</v>
      </c>
      <c r="C3" s="68" t="s">
        <v>45</v>
      </c>
      <c r="D3" s="68" t="s">
        <v>46</v>
      </c>
      <c r="E3" s="68" t="s">
        <v>47</v>
      </c>
      <c r="F3" s="68" t="s">
        <v>59</v>
      </c>
      <c r="G3" s="68" t="str">
        <f>+EMMa!G2</f>
        <v>Standardization Code</v>
      </c>
      <c r="H3" s="113" t="s">
        <v>56</v>
      </c>
      <c r="I3" s="113" t="s">
        <v>57</v>
      </c>
      <c r="J3" s="113" t="s">
        <v>58</v>
      </c>
      <c r="K3" s="114" t="s">
        <v>56</v>
      </c>
      <c r="L3" s="114" t="s">
        <v>57</v>
      </c>
      <c r="M3" s="114" t="s">
        <v>58</v>
      </c>
      <c r="N3" s="115" t="s">
        <v>56</v>
      </c>
      <c r="O3" s="115" t="s">
        <v>57</v>
      </c>
      <c r="P3" s="115" t="s">
        <v>58</v>
      </c>
      <c r="Q3" s="116" t="s">
        <v>56</v>
      </c>
      <c r="R3" s="116" t="s">
        <v>57</v>
      </c>
      <c r="S3" s="116" t="s">
        <v>58</v>
      </c>
      <c r="T3" s="117" t="s">
        <v>56</v>
      </c>
      <c r="U3" s="117" t="s">
        <v>57</v>
      </c>
      <c r="V3" s="117" t="s">
        <v>58</v>
      </c>
      <c r="W3" s="46"/>
      <c r="X3" s="129" t="s">
        <v>201</v>
      </c>
      <c r="Y3" s="46"/>
      <c r="Z3" s="113" t="s">
        <v>56</v>
      </c>
      <c r="AA3" s="113" t="s">
        <v>57</v>
      </c>
      <c r="AB3" s="113" t="s">
        <v>58</v>
      </c>
      <c r="AC3" s="114" t="s">
        <v>56</v>
      </c>
      <c r="AD3" s="114" t="s">
        <v>57</v>
      </c>
      <c r="AE3" s="114" t="s">
        <v>58</v>
      </c>
      <c r="AF3" s="115" t="s">
        <v>56</v>
      </c>
      <c r="AG3" s="115" t="s">
        <v>57</v>
      </c>
      <c r="AH3" s="115" t="s">
        <v>58</v>
      </c>
      <c r="AI3" s="116" t="s">
        <v>56</v>
      </c>
      <c r="AJ3" s="116" t="s">
        <v>57</v>
      </c>
      <c r="AK3" s="116" t="s">
        <v>58</v>
      </c>
      <c r="AL3" s="117" t="s">
        <v>56</v>
      </c>
      <c r="AM3" s="117" t="s">
        <v>57</v>
      </c>
      <c r="AN3" s="117" t="s">
        <v>58</v>
      </c>
    </row>
    <row r="4" spans="1:40" x14ac:dyDescent="0.3">
      <c r="B4" s="118" t="str">
        <f>+EMMa!B3</f>
        <v>Conceptual Validation</v>
      </c>
      <c r="C4" s="145"/>
      <c r="D4" s="146"/>
      <c r="E4" s="146"/>
      <c r="F4" s="147"/>
      <c r="G4" s="147"/>
      <c r="H4" s="148"/>
      <c r="I4" s="148"/>
      <c r="J4" s="148"/>
      <c r="K4" s="149"/>
      <c r="L4" s="149"/>
      <c r="M4" s="149"/>
      <c r="N4" s="149"/>
      <c r="O4" s="149"/>
      <c r="P4" s="149"/>
      <c r="Q4" s="149"/>
      <c r="R4" s="149"/>
      <c r="S4" s="149"/>
      <c r="T4" s="149"/>
      <c r="U4" s="149"/>
      <c r="V4" s="149"/>
      <c r="W4" s="149"/>
      <c r="X4" s="98"/>
      <c r="Y4" s="149"/>
      <c r="Z4" s="149"/>
      <c r="AA4" s="149"/>
      <c r="AB4" s="149"/>
      <c r="AC4" s="149"/>
      <c r="AD4" s="149"/>
      <c r="AE4" s="149"/>
      <c r="AF4" s="149"/>
      <c r="AG4" s="149"/>
      <c r="AH4" s="149"/>
      <c r="AI4" s="149"/>
      <c r="AJ4" s="149"/>
      <c r="AK4" s="149"/>
      <c r="AL4" s="149"/>
      <c r="AM4" s="149"/>
      <c r="AN4" s="150"/>
    </row>
    <row r="5" spans="1:40" ht="28.8" x14ac:dyDescent="0.3">
      <c r="B5" s="57" t="str">
        <f>+EMMa!B4</f>
        <v>Flow Metering or Blocking back - strict capacity constraint</v>
      </c>
      <c r="C5" s="82">
        <f>+EMMa!C4</f>
        <v>2</v>
      </c>
      <c r="D5" s="82">
        <f>+EMMa!D4</f>
        <v>3</v>
      </c>
      <c r="E5" s="82">
        <f>+EMMa!E4</f>
        <v>3</v>
      </c>
      <c r="F5" s="81" t="str">
        <f>+EMMa!F4</f>
        <v>Higher the better</v>
      </c>
      <c r="G5" s="81">
        <f>+EMMa!G4</f>
        <v>1</v>
      </c>
      <c r="H5" s="80">
        <f t="shared" ref="H5:H11" si="0">+IFERROR(IF($G5=1,$C5/MAX($C5:$E5),1-($C5/MAX($C5:$E5))),0)</f>
        <v>0.66666666666666663</v>
      </c>
      <c r="I5" s="80">
        <f t="shared" ref="I5:I11" si="1">+IFERROR(IF($G5=1,$D5/MAX($C5:$E5),1-($D5/MAX($C5:$E5))),0)</f>
        <v>1</v>
      </c>
      <c r="J5" s="80">
        <f t="shared" ref="J5:J11" si="2">+IFERROR(IF($G5=1,$E5/MAX($C5:$E5),1-($E5/MAX($C5:$E5))),0)</f>
        <v>1</v>
      </c>
      <c r="K5" s="83">
        <f t="shared" ref="K5:M11" si="3">IFERROR(IF($G5=1,(C5-MIN($C5:$E5))/(MAX($C5:$E5)-MIN($C5:$E5)),(MAX($C5:$E5)-C5)/(MAX($C5:$E5)-MIN($C5:$E5))),0)</f>
        <v>0</v>
      </c>
      <c r="L5" s="83">
        <f t="shared" si="3"/>
        <v>1</v>
      </c>
      <c r="M5" s="83">
        <f t="shared" si="3"/>
        <v>1</v>
      </c>
      <c r="N5" s="83">
        <f t="shared" ref="N5:P11" si="4">IFERROR(IF($G5=1,C5/SUM($C5:$E5),+(1/C5)/((1/$C5)+(1/$D5)+(1/$E5))),0)</f>
        <v>0.25</v>
      </c>
      <c r="O5" s="83">
        <f t="shared" si="4"/>
        <v>0.375</v>
      </c>
      <c r="P5" s="83">
        <f t="shared" si="4"/>
        <v>0.375</v>
      </c>
      <c r="Q5" s="83">
        <f t="shared" ref="Q5:S11" si="5">IFERROR(IF($G5=1,C5/SQRT(SUM($C5^2,$D5^2,$E5^2)),1-(C5/SQRT(SUM($C5^2,$D5^2,$E5^2)))),0)</f>
        <v>0.42640143271122083</v>
      </c>
      <c r="R5" s="83">
        <f t="shared" si="5"/>
        <v>0.63960214906683133</v>
      </c>
      <c r="S5" s="83">
        <f t="shared" si="5"/>
        <v>0.63960214906683133</v>
      </c>
      <c r="T5" s="83">
        <f t="shared" ref="T5:V11" si="6">IFERROR(IF($G5=0,1-(LN(C5)/LN(PRODUCT($C5:$E5)))/(COUNT($C5:$E5)),LN(C5)/LN(PRODUCT($C5:$E5))),0)</f>
        <v>0.23981246656813146</v>
      </c>
      <c r="U5" s="83">
        <f t="shared" si="6"/>
        <v>0.38009376671593431</v>
      </c>
      <c r="V5" s="83">
        <f t="shared" si="6"/>
        <v>0.38009376671593431</v>
      </c>
      <c r="W5" s="46"/>
      <c r="X5" s="130">
        <f>EMMa!K4</f>
        <v>7</v>
      </c>
      <c r="Y5" s="46"/>
      <c r="Z5" s="131">
        <f t="shared" ref="Z5:AN11" si="7">$X5*H5</f>
        <v>4.6666666666666661</v>
      </c>
      <c r="AA5" s="131">
        <f t="shared" si="7"/>
        <v>7</v>
      </c>
      <c r="AB5" s="131">
        <f t="shared" si="7"/>
        <v>7</v>
      </c>
      <c r="AC5" s="131">
        <f t="shared" si="7"/>
        <v>0</v>
      </c>
      <c r="AD5" s="131">
        <f t="shared" si="7"/>
        <v>7</v>
      </c>
      <c r="AE5" s="131">
        <f t="shared" si="7"/>
        <v>7</v>
      </c>
      <c r="AF5" s="131">
        <f t="shared" si="7"/>
        <v>1.75</v>
      </c>
      <c r="AG5" s="131">
        <f t="shared" si="7"/>
        <v>2.625</v>
      </c>
      <c r="AH5" s="131">
        <f t="shared" si="7"/>
        <v>2.625</v>
      </c>
      <c r="AI5" s="131">
        <f t="shared" si="7"/>
        <v>2.9848100289785457</v>
      </c>
      <c r="AJ5" s="131">
        <f t="shared" si="7"/>
        <v>4.4772150434678188</v>
      </c>
      <c r="AK5" s="131">
        <f t="shared" si="7"/>
        <v>4.4772150434678188</v>
      </c>
      <c r="AL5" s="131">
        <f t="shared" si="7"/>
        <v>1.6786872659769203</v>
      </c>
      <c r="AM5" s="131">
        <f t="shared" si="7"/>
        <v>2.6606563670115402</v>
      </c>
      <c r="AN5" s="131">
        <f t="shared" si="7"/>
        <v>2.6606563670115402</v>
      </c>
    </row>
    <row r="6" spans="1:40" ht="28.8" x14ac:dyDescent="0.3">
      <c r="B6" s="57" t="str">
        <f>+EMMa!B5</f>
        <v>Traffic Spillback - strict storage constraint</v>
      </c>
      <c r="C6" s="82">
        <f>+EMMa!C5</f>
        <v>3</v>
      </c>
      <c r="D6" s="82">
        <f>+EMMa!D5</f>
        <v>4</v>
      </c>
      <c r="E6" s="82">
        <f>+EMMa!E5</f>
        <v>3</v>
      </c>
      <c r="F6" s="81" t="str">
        <f>+EMMa!F5</f>
        <v>Higher the better</v>
      </c>
      <c r="G6" s="81">
        <f>+EMMa!G5</f>
        <v>1</v>
      </c>
      <c r="H6" s="80">
        <f t="shared" si="0"/>
        <v>0.75</v>
      </c>
      <c r="I6" s="80">
        <f t="shared" si="1"/>
        <v>1</v>
      </c>
      <c r="J6" s="80">
        <f t="shared" si="2"/>
        <v>0.75</v>
      </c>
      <c r="K6" s="83">
        <f t="shared" si="3"/>
        <v>0</v>
      </c>
      <c r="L6" s="83">
        <f t="shared" si="3"/>
        <v>1</v>
      </c>
      <c r="M6" s="83">
        <f t="shared" si="3"/>
        <v>0</v>
      </c>
      <c r="N6" s="83">
        <f t="shared" si="4"/>
        <v>0.3</v>
      </c>
      <c r="O6" s="83">
        <f t="shared" si="4"/>
        <v>0.4</v>
      </c>
      <c r="P6" s="83">
        <f t="shared" si="4"/>
        <v>0.3</v>
      </c>
      <c r="Q6" s="83">
        <f t="shared" si="5"/>
        <v>0.51449575542752646</v>
      </c>
      <c r="R6" s="83">
        <f t="shared" si="5"/>
        <v>0.68599434057003528</v>
      </c>
      <c r="S6" s="83">
        <f t="shared" si="5"/>
        <v>0.51449575542752646</v>
      </c>
      <c r="T6" s="83">
        <f t="shared" si="6"/>
        <v>0.30657359638272924</v>
      </c>
      <c r="U6" s="83">
        <f t="shared" si="6"/>
        <v>0.38685280723454157</v>
      </c>
      <c r="V6" s="83">
        <f t="shared" si="6"/>
        <v>0.30657359638272924</v>
      </c>
      <c r="W6" s="46"/>
      <c r="X6" s="130">
        <f>EMMa!K5</f>
        <v>7</v>
      </c>
      <c r="Y6" s="46"/>
      <c r="Z6" s="131">
        <f t="shared" si="7"/>
        <v>5.25</v>
      </c>
      <c r="AA6" s="131">
        <f t="shared" si="7"/>
        <v>7</v>
      </c>
      <c r="AB6" s="131">
        <f t="shared" si="7"/>
        <v>5.25</v>
      </c>
      <c r="AC6" s="131">
        <f t="shared" si="7"/>
        <v>0</v>
      </c>
      <c r="AD6" s="131">
        <f t="shared" si="7"/>
        <v>7</v>
      </c>
      <c r="AE6" s="131">
        <f t="shared" si="7"/>
        <v>0</v>
      </c>
      <c r="AF6" s="131">
        <f t="shared" si="7"/>
        <v>2.1</v>
      </c>
      <c r="AG6" s="131">
        <f t="shared" si="7"/>
        <v>2.8000000000000003</v>
      </c>
      <c r="AH6" s="131">
        <f t="shared" si="7"/>
        <v>2.1</v>
      </c>
      <c r="AI6" s="131">
        <f t="shared" si="7"/>
        <v>3.6014702879926852</v>
      </c>
      <c r="AJ6" s="131">
        <f t="shared" si="7"/>
        <v>4.8019603839902469</v>
      </c>
      <c r="AK6" s="131">
        <f t="shared" si="7"/>
        <v>3.6014702879926852</v>
      </c>
      <c r="AL6" s="131">
        <f t="shared" si="7"/>
        <v>2.1460151746791047</v>
      </c>
      <c r="AM6" s="131">
        <f t="shared" si="7"/>
        <v>2.707969650641791</v>
      </c>
      <c r="AN6" s="131">
        <f t="shared" si="7"/>
        <v>2.1460151746791047</v>
      </c>
    </row>
    <row r="7" spans="1:40" ht="28.8" x14ac:dyDescent="0.3">
      <c r="B7" s="57" t="str">
        <f>+EMMa!B6</f>
        <v>Capacity drop</v>
      </c>
      <c r="C7" s="82">
        <f>+EMMa!C6</f>
        <v>0</v>
      </c>
      <c r="D7" s="82">
        <f>+EMMa!D6</f>
        <v>2</v>
      </c>
      <c r="E7" s="82">
        <f>+EMMa!E6</f>
        <v>0</v>
      </c>
      <c r="F7" s="81" t="str">
        <f>+EMMa!F6</f>
        <v>Higher the better</v>
      </c>
      <c r="G7" s="81">
        <f>+EMMa!G6</f>
        <v>1</v>
      </c>
      <c r="H7" s="80">
        <f t="shared" si="0"/>
        <v>0</v>
      </c>
      <c r="I7" s="80">
        <f t="shared" si="1"/>
        <v>1</v>
      </c>
      <c r="J7" s="80">
        <f t="shared" si="2"/>
        <v>0</v>
      </c>
      <c r="K7" s="83">
        <f t="shared" si="3"/>
        <v>0</v>
      </c>
      <c r="L7" s="83">
        <f t="shared" si="3"/>
        <v>1</v>
      </c>
      <c r="M7" s="83">
        <f t="shared" si="3"/>
        <v>0</v>
      </c>
      <c r="N7" s="83">
        <f t="shared" si="4"/>
        <v>0</v>
      </c>
      <c r="O7" s="83">
        <f t="shared" si="4"/>
        <v>1</v>
      </c>
      <c r="P7" s="83">
        <f t="shared" si="4"/>
        <v>0</v>
      </c>
      <c r="Q7" s="83">
        <f t="shared" si="5"/>
        <v>0</v>
      </c>
      <c r="R7" s="83">
        <f t="shared" si="5"/>
        <v>1</v>
      </c>
      <c r="S7" s="83">
        <f t="shared" si="5"/>
        <v>0</v>
      </c>
      <c r="T7" s="83">
        <f t="shared" si="6"/>
        <v>0</v>
      </c>
      <c r="U7" s="83">
        <f t="shared" si="6"/>
        <v>0</v>
      </c>
      <c r="V7" s="83">
        <f t="shared" si="6"/>
        <v>0</v>
      </c>
      <c r="W7" s="46"/>
      <c r="X7" s="130">
        <f>EMMa!K6</f>
        <v>4</v>
      </c>
      <c r="Y7" s="46"/>
      <c r="Z7" s="131">
        <f t="shared" si="7"/>
        <v>0</v>
      </c>
      <c r="AA7" s="131">
        <f t="shared" si="7"/>
        <v>4</v>
      </c>
      <c r="AB7" s="131">
        <f t="shared" si="7"/>
        <v>0</v>
      </c>
      <c r="AC7" s="131">
        <f t="shared" si="7"/>
        <v>0</v>
      </c>
      <c r="AD7" s="131">
        <f t="shared" si="7"/>
        <v>4</v>
      </c>
      <c r="AE7" s="131">
        <f t="shared" si="7"/>
        <v>0</v>
      </c>
      <c r="AF7" s="131">
        <f t="shared" si="7"/>
        <v>0</v>
      </c>
      <c r="AG7" s="131">
        <f t="shared" si="7"/>
        <v>4</v>
      </c>
      <c r="AH7" s="131">
        <f t="shared" si="7"/>
        <v>0</v>
      </c>
      <c r="AI7" s="131">
        <f t="shared" si="7"/>
        <v>0</v>
      </c>
      <c r="AJ7" s="131">
        <f t="shared" si="7"/>
        <v>4</v>
      </c>
      <c r="AK7" s="131">
        <f t="shared" si="7"/>
        <v>0</v>
      </c>
      <c r="AL7" s="131">
        <f t="shared" si="7"/>
        <v>0</v>
      </c>
      <c r="AM7" s="131">
        <f t="shared" si="7"/>
        <v>0</v>
      </c>
      <c r="AN7" s="131">
        <f t="shared" si="7"/>
        <v>0</v>
      </c>
    </row>
    <row r="8" spans="1:40" x14ac:dyDescent="0.3">
      <c r="B8" s="57" t="str">
        <f>+EMMa!B7</f>
        <v>Smoothness of temporal speed variations</v>
      </c>
      <c r="C8" s="82">
        <f>+EMMa!C7</f>
        <v>44.567325656538536</v>
      </c>
      <c r="D8" s="82">
        <f>+EMMa!D7</f>
        <v>33.638820757092056</v>
      </c>
      <c r="E8" s="82">
        <f>+EMMa!E7</f>
        <v>34.784960084434964</v>
      </c>
      <c r="F8" s="81" t="str">
        <f>+EMMa!F7</f>
        <v>Lower the better</v>
      </c>
      <c r="G8" s="81">
        <f>+EMMa!G7</f>
        <v>0</v>
      </c>
      <c r="H8" s="80">
        <f t="shared" si="0"/>
        <v>0</v>
      </c>
      <c r="I8" s="80">
        <f t="shared" si="1"/>
        <v>0.24521338757608724</v>
      </c>
      <c r="J8" s="80">
        <f t="shared" si="2"/>
        <v>0.21949635586151417</v>
      </c>
      <c r="K8" s="83">
        <f t="shared" si="3"/>
        <v>0</v>
      </c>
      <c r="L8" s="83">
        <f t="shared" si="3"/>
        <v>1</v>
      </c>
      <c r="M8" s="83">
        <f t="shared" si="3"/>
        <v>0.89512386754743012</v>
      </c>
      <c r="N8" s="83">
        <f t="shared" si="4"/>
        <v>0.27730775933451507</v>
      </c>
      <c r="O8" s="83">
        <f t="shared" si="4"/>
        <v>0.36739888436014012</v>
      </c>
      <c r="P8" s="83">
        <f t="shared" si="4"/>
        <v>0.35529335630534475</v>
      </c>
      <c r="Q8" s="83">
        <f t="shared" si="5"/>
        <v>0.32254185306653449</v>
      </c>
      <c r="R8" s="83">
        <f t="shared" si="5"/>
        <v>0.48866366021710816</v>
      </c>
      <c r="S8" s="83">
        <f t="shared" si="5"/>
        <v>0.47124144756712438</v>
      </c>
      <c r="T8" s="83">
        <f t="shared" si="6"/>
        <v>0.88347610878343175</v>
      </c>
      <c r="U8" s="83">
        <f t="shared" si="6"/>
        <v>0.89210937614308339</v>
      </c>
      <c r="V8" s="83">
        <f t="shared" si="6"/>
        <v>0.8910811817401515</v>
      </c>
      <c r="W8" s="46"/>
      <c r="X8" s="130">
        <f>EMMa!K7</f>
        <v>3</v>
      </c>
      <c r="Y8" s="46"/>
      <c r="Z8" s="131">
        <f t="shared" si="7"/>
        <v>0</v>
      </c>
      <c r="AA8" s="131">
        <f t="shared" si="7"/>
        <v>0.73564016272826172</v>
      </c>
      <c r="AB8" s="131">
        <f t="shared" si="7"/>
        <v>0.65848906758454251</v>
      </c>
      <c r="AC8" s="131">
        <f t="shared" si="7"/>
        <v>0</v>
      </c>
      <c r="AD8" s="131">
        <f t="shared" si="7"/>
        <v>3</v>
      </c>
      <c r="AE8" s="131">
        <f t="shared" si="7"/>
        <v>2.6853716026422902</v>
      </c>
      <c r="AF8" s="131">
        <f t="shared" si="7"/>
        <v>0.83192327800354526</v>
      </c>
      <c r="AG8" s="131">
        <f t="shared" si="7"/>
        <v>1.1021966530804204</v>
      </c>
      <c r="AH8" s="131">
        <f t="shared" si="7"/>
        <v>1.0658800689160342</v>
      </c>
      <c r="AI8" s="131">
        <f t="shared" si="7"/>
        <v>0.96762555919960347</v>
      </c>
      <c r="AJ8" s="131">
        <f t="shared" si="7"/>
        <v>1.4659909806513245</v>
      </c>
      <c r="AK8" s="131">
        <f t="shared" si="7"/>
        <v>1.4137243427013733</v>
      </c>
      <c r="AL8" s="131">
        <f t="shared" si="7"/>
        <v>2.650428326350295</v>
      </c>
      <c r="AM8" s="131">
        <f t="shared" si="7"/>
        <v>2.6763281284292502</v>
      </c>
      <c r="AN8" s="131">
        <f t="shared" si="7"/>
        <v>2.6732435452204544</v>
      </c>
    </row>
    <row r="9" spans="1:40" x14ac:dyDescent="0.3">
      <c r="B9" s="57" t="str">
        <f>+EMMa!B8</f>
        <v>Smoothness of temporal flow variations</v>
      </c>
      <c r="C9" s="82">
        <f>+EMMa!C8</f>
        <v>18.386254123197098</v>
      </c>
      <c r="D9" s="82">
        <f>+EMMa!D8</f>
        <v>1087.7371903363016</v>
      </c>
      <c r="E9" s="82">
        <f>+EMMa!E8</f>
        <v>1089.1996356886873</v>
      </c>
      <c r="F9" s="81" t="str">
        <f>+EMMa!F8</f>
        <v>Lower the better</v>
      </c>
      <c r="G9" s="81">
        <f>+EMMa!G8</f>
        <v>0</v>
      </c>
      <c r="H9" s="80">
        <f t="shared" si="0"/>
        <v>0.98311948193815568</v>
      </c>
      <c r="I9" s="80">
        <f t="shared" si="1"/>
        <v>1.3426788849970617E-3</v>
      </c>
      <c r="J9" s="80">
        <f t="shared" si="2"/>
        <v>0</v>
      </c>
      <c r="K9" s="83">
        <f t="shared" si="3"/>
        <v>1</v>
      </c>
      <c r="L9" s="83">
        <f t="shared" si="3"/>
        <v>1.3657331684141037E-3</v>
      </c>
      <c r="M9" s="83">
        <f t="shared" si="3"/>
        <v>0</v>
      </c>
      <c r="N9" s="83">
        <f t="shared" si="4"/>
        <v>0.9673203101621598</v>
      </c>
      <c r="O9" s="83">
        <f t="shared" si="4"/>
        <v>1.6350821870559099E-2</v>
      </c>
      <c r="P9" s="83">
        <f t="shared" si="4"/>
        <v>1.6328867967281151E-2</v>
      </c>
      <c r="Q9" s="83">
        <f t="shared" si="5"/>
        <v>0.98805650713517967</v>
      </c>
      <c r="R9" s="83">
        <f t="shared" si="5"/>
        <v>0.29341880708639168</v>
      </c>
      <c r="S9" s="83">
        <f t="shared" si="5"/>
        <v>0.29246881991040841</v>
      </c>
      <c r="T9" s="83">
        <f t="shared" si="6"/>
        <v>0.94256056299386537</v>
      </c>
      <c r="U9" s="83">
        <f t="shared" si="6"/>
        <v>0.86206630476485357</v>
      </c>
      <c r="V9" s="83">
        <f t="shared" si="6"/>
        <v>0.8620397989079478</v>
      </c>
      <c r="W9" s="46"/>
      <c r="X9" s="130">
        <f>EMMa!K8</f>
        <v>3</v>
      </c>
      <c r="Y9" s="46"/>
      <c r="Z9" s="131">
        <f t="shared" si="7"/>
        <v>2.9493584458144673</v>
      </c>
      <c r="AA9" s="131">
        <f t="shared" si="7"/>
        <v>4.028036654991185E-3</v>
      </c>
      <c r="AB9" s="131">
        <f t="shared" si="7"/>
        <v>0</v>
      </c>
      <c r="AC9" s="131">
        <f t="shared" si="7"/>
        <v>3</v>
      </c>
      <c r="AD9" s="131">
        <f t="shared" si="7"/>
        <v>4.0971995052423108E-3</v>
      </c>
      <c r="AE9" s="131">
        <f t="shared" si="7"/>
        <v>0</v>
      </c>
      <c r="AF9" s="131">
        <f t="shared" si="7"/>
        <v>2.9019609304864793</v>
      </c>
      <c r="AG9" s="131">
        <f t="shared" si="7"/>
        <v>4.9052465611677296E-2</v>
      </c>
      <c r="AH9" s="131">
        <f t="shared" si="7"/>
        <v>4.8986603901843451E-2</v>
      </c>
      <c r="AI9" s="131">
        <f t="shared" si="7"/>
        <v>2.9641695214055392</v>
      </c>
      <c r="AJ9" s="131">
        <f t="shared" si="7"/>
        <v>0.88025642125917503</v>
      </c>
      <c r="AK9" s="131">
        <f t="shared" si="7"/>
        <v>0.87740645973122522</v>
      </c>
      <c r="AL9" s="131">
        <f t="shared" si="7"/>
        <v>2.8276816889815963</v>
      </c>
      <c r="AM9" s="131">
        <f t="shared" si="7"/>
        <v>2.5861989142945605</v>
      </c>
      <c r="AN9" s="131">
        <f t="shared" si="7"/>
        <v>2.5861193967238432</v>
      </c>
    </row>
    <row r="10" spans="1:40" ht="28.8" x14ac:dyDescent="0.3">
      <c r="B10" s="57" t="str">
        <f>+EMMa!B9</f>
        <v>Presence of variable route set</v>
      </c>
      <c r="C10" s="82">
        <f>+EMMa!C9</f>
        <v>0</v>
      </c>
      <c r="D10" s="82">
        <f>+EMMa!D9</f>
        <v>0</v>
      </c>
      <c r="E10" s="82">
        <f>+EMMa!E9</f>
        <v>0</v>
      </c>
      <c r="F10" s="81" t="str">
        <f>+EMMa!F9</f>
        <v>Higher the better</v>
      </c>
      <c r="G10" s="81">
        <f>+EMMa!G9</f>
        <v>1</v>
      </c>
      <c r="H10" s="80">
        <f t="shared" si="0"/>
        <v>0</v>
      </c>
      <c r="I10" s="80">
        <f t="shared" si="1"/>
        <v>0</v>
      </c>
      <c r="J10" s="80">
        <f t="shared" si="2"/>
        <v>0</v>
      </c>
      <c r="K10" s="83">
        <f t="shared" si="3"/>
        <v>0</v>
      </c>
      <c r="L10" s="83">
        <f t="shared" si="3"/>
        <v>0</v>
      </c>
      <c r="M10" s="83">
        <f t="shared" si="3"/>
        <v>0</v>
      </c>
      <c r="N10" s="83">
        <f t="shared" si="4"/>
        <v>0</v>
      </c>
      <c r="O10" s="83">
        <f t="shared" si="4"/>
        <v>0</v>
      </c>
      <c r="P10" s="83">
        <f t="shared" si="4"/>
        <v>0</v>
      </c>
      <c r="Q10" s="83">
        <f t="shared" si="5"/>
        <v>0</v>
      </c>
      <c r="R10" s="83">
        <f t="shared" si="5"/>
        <v>0</v>
      </c>
      <c r="S10" s="83">
        <f t="shared" si="5"/>
        <v>0</v>
      </c>
      <c r="T10" s="83">
        <f t="shared" si="6"/>
        <v>0</v>
      </c>
      <c r="U10" s="83">
        <f t="shared" si="6"/>
        <v>0</v>
      </c>
      <c r="V10" s="83">
        <f t="shared" si="6"/>
        <v>0</v>
      </c>
      <c r="W10" s="46"/>
      <c r="X10" s="130">
        <f>EMMa!K9</f>
        <v>10</v>
      </c>
      <c r="Y10" s="46"/>
      <c r="Z10" s="131">
        <f t="shared" si="7"/>
        <v>0</v>
      </c>
      <c r="AA10" s="131">
        <f t="shared" si="7"/>
        <v>0</v>
      </c>
      <c r="AB10" s="131">
        <f t="shared" si="7"/>
        <v>0</v>
      </c>
      <c r="AC10" s="131">
        <f t="shared" si="7"/>
        <v>0</v>
      </c>
      <c r="AD10" s="131">
        <f t="shared" si="7"/>
        <v>0</v>
      </c>
      <c r="AE10" s="131">
        <f t="shared" si="7"/>
        <v>0</v>
      </c>
      <c r="AF10" s="131">
        <f t="shared" si="7"/>
        <v>0</v>
      </c>
      <c r="AG10" s="131">
        <f t="shared" si="7"/>
        <v>0</v>
      </c>
      <c r="AH10" s="131">
        <f t="shared" si="7"/>
        <v>0</v>
      </c>
      <c r="AI10" s="131">
        <f t="shared" si="7"/>
        <v>0</v>
      </c>
      <c r="AJ10" s="131">
        <f t="shared" si="7"/>
        <v>0</v>
      </c>
      <c r="AK10" s="131">
        <f t="shared" si="7"/>
        <v>0</v>
      </c>
      <c r="AL10" s="131">
        <f t="shared" si="7"/>
        <v>0</v>
      </c>
      <c r="AM10" s="131">
        <f t="shared" si="7"/>
        <v>0</v>
      </c>
      <c r="AN10" s="131">
        <f t="shared" si="7"/>
        <v>0</v>
      </c>
    </row>
    <row r="11" spans="1:40" ht="28.8" x14ac:dyDescent="0.3">
      <c r="B11" s="57" t="str">
        <f>+EMMa!B10</f>
        <v>Modelling of stop and go waves</v>
      </c>
      <c r="C11" s="82">
        <f>+EMMa!C10</f>
        <v>0</v>
      </c>
      <c r="D11" s="82">
        <f>+EMMa!D10</f>
        <v>0</v>
      </c>
      <c r="E11" s="82">
        <f>+EMMa!E10</f>
        <v>0</v>
      </c>
      <c r="F11" s="81" t="str">
        <f>+EMMa!F10</f>
        <v>Higher the better</v>
      </c>
      <c r="G11" s="81">
        <f>+EMMa!G10</f>
        <v>1</v>
      </c>
      <c r="H11" s="80">
        <f t="shared" si="0"/>
        <v>0</v>
      </c>
      <c r="I11" s="80">
        <f t="shared" si="1"/>
        <v>0</v>
      </c>
      <c r="J11" s="80">
        <f t="shared" si="2"/>
        <v>0</v>
      </c>
      <c r="K11" s="83">
        <f t="shared" si="3"/>
        <v>0</v>
      </c>
      <c r="L11" s="83">
        <f t="shared" si="3"/>
        <v>0</v>
      </c>
      <c r="M11" s="83">
        <f t="shared" si="3"/>
        <v>0</v>
      </c>
      <c r="N11" s="83">
        <f t="shared" si="4"/>
        <v>0</v>
      </c>
      <c r="O11" s="83">
        <f t="shared" si="4"/>
        <v>0</v>
      </c>
      <c r="P11" s="83">
        <f t="shared" si="4"/>
        <v>0</v>
      </c>
      <c r="Q11" s="83">
        <f t="shared" si="5"/>
        <v>0</v>
      </c>
      <c r="R11" s="83">
        <f t="shared" si="5"/>
        <v>0</v>
      </c>
      <c r="S11" s="83">
        <f t="shared" si="5"/>
        <v>0</v>
      </c>
      <c r="T11" s="83">
        <f t="shared" si="6"/>
        <v>0</v>
      </c>
      <c r="U11" s="83">
        <f t="shared" si="6"/>
        <v>0</v>
      </c>
      <c r="V11" s="83">
        <f t="shared" si="6"/>
        <v>0</v>
      </c>
      <c r="W11" s="46"/>
      <c r="X11" s="130">
        <f>EMMa!K10</f>
        <v>7</v>
      </c>
      <c r="Y11" s="46"/>
      <c r="Z11" s="131">
        <f t="shared" si="7"/>
        <v>0</v>
      </c>
      <c r="AA11" s="131">
        <f t="shared" si="7"/>
        <v>0</v>
      </c>
      <c r="AB11" s="131">
        <f t="shared" si="7"/>
        <v>0</v>
      </c>
      <c r="AC11" s="131">
        <f t="shared" si="7"/>
        <v>0</v>
      </c>
      <c r="AD11" s="131">
        <f t="shared" si="7"/>
        <v>0</v>
      </c>
      <c r="AE11" s="131">
        <f t="shared" si="7"/>
        <v>0</v>
      </c>
      <c r="AF11" s="131">
        <f t="shared" si="7"/>
        <v>0</v>
      </c>
      <c r="AG11" s="131">
        <f t="shared" si="7"/>
        <v>0</v>
      </c>
      <c r="AH11" s="131">
        <f t="shared" si="7"/>
        <v>0</v>
      </c>
      <c r="AI11" s="131">
        <f t="shared" si="7"/>
        <v>0</v>
      </c>
      <c r="AJ11" s="131">
        <f t="shared" si="7"/>
        <v>0</v>
      </c>
      <c r="AK11" s="131">
        <f t="shared" si="7"/>
        <v>0</v>
      </c>
      <c r="AL11" s="131">
        <f t="shared" si="7"/>
        <v>0</v>
      </c>
      <c r="AM11" s="131">
        <f t="shared" si="7"/>
        <v>0</v>
      </c>
      <c r="AN11" s="131">
        <f t="shared" si="7"/>
        <v>0</v>
      </c>
    </row>
    <row r="12" spans="1:40" x14ac:dyDescent="0.3">
      <c r="B12" s="118" t="str">
        <f>+EMMa!B11</f>
        <v>Model robustness</v>
      </c>
      <c r="C12" s="145"/>
      <c r="D12" s="146"/>
      <c r="E12" s="146"/>
      <c r="F12" s="147"/>
      <c r="G12" s="147"/>
      <c r="H12" s="148"/>
      <c r="I12" s="148"/>
      <c r="J12" s="148"/>
      <c r="K12" s="149"/>
      <c r="L12" s="149"/>
      <c r="M12" s="149"/>
      <c r="N12" s="149"/>
      <c r="O12" s="149"/>
      <c r="P12" s="149"/>
      <c r="Q12" s="149"/>
      <c r="R12" s="149"/>
      <c r="S12" s="149"/>
      <c r="T12" s="149"/>
      <c r="U12" s="149"/>
      <c r="V12" s="149"/>
      <c r="W12" s="149"/>
      <c r="X12" s="98"/>
      <c r="Y12" s="149"/>
      <c r="Z12" s="149"/>
      <c r="AA12" s="149"/>
      <c r="AB12" s="149"/>
      <c r="AC12" s="149"/>
      <c r="AD12" s="149"/>
      <c r="AE12" s="149"/>
      <c r="AF12" s="149"/>
      <c r="AG12" s="149"/>
      <c r="AH12" s="149"/>
      <c r="AI12" s="149"/>
      <c r="AJ12" s="149"/>
      <c r="AK12" s="149"/>
      <c r="AL12" s="149"/>
      <c r="AM12" s="149"/>
      <c r="AN12" s="150"/>
    </row>
    <row r="13" spans="1:40" x14ac:dyDescent="0.3">
      <c r="B13" s="57" t="str">
        <f>+EMMa!B12</f>
        <v>Dynamic Relative duality gap</v>
      </c>
      <c r="C13" s="82">
        <f>+EMMa!C12</f>
        <v>2.0000000000000001E-4</v>
      </c>
      <c r="D13" s="82">
        <f>+EMMa!D12</f>
        <v>7.8558726986531879E-2</v>
      </c>
      <c r="E13" s="82">
        <f>+EMMa!E12</f>
        <v>8.5276472333985112E-4</v>
      </c>
      <c r="F13" s="81" t="str">
        <f>+EMMa!F12</f>
        <v>Lower the better</v>
      </c>
      <c r="G13" s="81">
        <f>+EMMa!G12</f>
        <v>0</v>
      </c>
      <c r="H13" s="80">
        <f>+IFERROR(IF($G13=1,$C13/MAX($C13:$E13),1-($C13/MAX($C13:$E13))),0)</f>
        <v>0.99745413389865278</v>
      </c>
      <c r="I13" s="80">
        <f>+IFERROR(IF($G13=1,$D13/MAX($C13:$E13),1-($D13/MAX($C13:$E13))),0)</f>
        <v>0</v>
      </c>
      <c r="J13" s="80">
        <f>+IFERROR(IF($G13=1,$E13/MAX($C13:$E13),1-($E13/MAX($C13:$E13))),0)</f>
        <v>0.98914487599212175</v>
      </c>
      <c r="K13" s="83">
        <f>IFERROR(IF($G13=1,(C13-MIN($C13:$E13))/(MAX($C13:$E13)-MIN($C13:$E13)),(MAX($C13:$E13)-C13)/(MAX($C13:$E13)-MIN($C13:$E13))),0)</f>
        <v>1</v>
      </c>
      <c r="L13" s="83">
        <f>IFERROR(IF($G13=1,(D13-MIN($C13:$E13))/(MAX($C13:$E13)-MIN($C13:$E13)),(MAX($C13:$E13)-D13)/(MAX($C13:$E13)-MIN($C13:$E13))),0)</f>
        <v>0</v>
      </c>
      <c r="M13" s="83">
        <f>IFERROR(IF($G13=1,(E13-MIN($C13:$E13))/(MAX($C13:$E13)-MIN($C13:$E13)),(MAX($C13:$E13)-E13)/(MAX($C13:$E13)-MIN($C13:$E13))),0)</f>
        <v>0.99166953384206913</v>
      </c>
      <c r="N13" s="83">
        <f>IFERROR(IF($G13=1,C13/SUM($C13:$E13),+(1/C13)/((1/$C13)+(1/$D13)+(1/$E13))),0)</f>
        <v>0.80835702538495058</v>
      </c>
      <c r="O13" s="83">
        <f>IFERROR(IF($G13=1,D13/SUM($C13:$E13),+(1/D13)/((1/$C13)+(1/$D13)+(1/$E13))),0)</f>
        <v>2.0579687487133937E-3</v>
      </c>
      <c r="P13" s="83">
        <f>IFERROR(IF($G13=1,E13/SUM($C13:$E13),+(1/E13)/((1/$C13)+(1/$D13)+(1/$E13))),0)</f>
        <v>0.18958500586633603</v>
      </c>
      <c r="Q13" s="83">
        <f>IFERROR(IF($G13=1,C13/SQRT(SUM($C13^2,$D13^2,$E13^2)),1-(C13/SQRT(SUM($C13^2,$D13^2,$E13^2)))),0)</f>
        <v>0.99745429212876513</v>
      </c>
      <c r="R13" s="83">
        <f>IFERROR(IF($G13=1,D13/SQRT(SUM($C13^2,$D13^2,$E13^2)),1-(D13/SQRT(SUM($C13^2,$D13^2,$E13^2)))),0)</f>
        <v>6.2151780970243209E-5</v>
      </c>
      <c r="S13" s="83">
        <f>IFERROR(IF($G13=1,E13/SQRT(SUM($C13^2,$D13^2,$E13^2)),1-(E13/SQRT(SUM($C13^2,$D13^2,$E13^2)))),0)</f>
        <v>0.9891455506574115</v>
      </c>
      <c r="T13" s="83">
        <f>IFERROR(IF($G13=0,1-(LN(C13)/LN(PRODUCT($C13:$E13)))/(COUNT($C13:$E13)),LN(C13)/LN(PRODUCT($C13:$E13))),0)</f>
        <v>0.84338899973460468</v>
      </c>
      <c r="U13" s="83">
        <f>IFERROR(IF($G13=0,1-(LN(D13)/LN(PRODUCT($C13:$E13)))/(COUNT($C13:$E13)),LN(D13)/LN(PRODUCT($C13:$E13))),0)</f>
        <v>0.95322354491220473</v>
      </c>
      <c r="V13" s="83">
        <f>IFERROR(IF($G13=0,1-(LN(E13)/LN(PRODUCT($C13:$E13)))/(COUNT($C13:$E13)),LN(E13)/LN(PRODUCT($C13:$E13))),0)</f>
        <v>0.87005412201985732</v>
      </c>
      <c r="W13" s="46"/>
      <c r="X13" s="130">
        <f>EMMa!K12</f>
        <v>10</v>
      </c>
      <c r="Y13" s="46"/>
      <c r="Z13" s="131">
        <f t="shared" ref="Z13:AN13" si="8">$X13*H13</f>
        <v>9.9745413389865281</v>
      </c>
      <c r="AA13" s="131">
        <f t="shared" si="8"/>
        <v>0</v>
      </c>
      <c r="AB13" s="131">
        <f t="shared" si="8"/>
        <v>9.891448759921218</v>
      </c>
      <c r="AC13" s="131">
        <f t="shared" si="8"/>
        <v>10</v>
      </c>
      <c r="AD13" s="131">
        <f t="shared" si="8"/>
        <v>0</v>
      </c>
      <c r="AE13" s="131">
        <f t="shared" si="8"/>
        <v>9.9166953384206913</v>
      </c>
      <c r="AF13" s="131">
        <f t="shared" si="8"/>
        <v>8.0835702538495049</v>
      </c>
      <c r="AG13" s="131">
        <f t="shared" si="8"/>
        <v>2.0579687487133937E-2</v>
      </c>
      <c r="AH13" s="131">
        <f t="shared" si="8"/>
        <v>1.8958500586633602</v>
      </c>
      <c r="AI13" s="131">
        <f t="shared" si="8"/>
        <v>9.974542921287652</v>
      </c>
      <c r="AJ13" s="131">
        <f t="shared" si="8"/>
        <v>6.2151780970243209E-4</v>
      </c>
      <c r="AK13" s="131">
        <f t="shared" si="8"/>
        <v>9.8914555065741148</v>
      </c>
      <c r="AL13" s="131">
        <f t="shared" si="8"/>
        <v>8.4338899973460464</v>
      </c>
      <c r="AM13" s="131">
        <f t="shared" si="8"/>
        <v>9.532235449122048</v>
      </c>
      <c r="AN13" s="131">
        <f t="shared" si="8"/>
        <v>8.7005412201985735</v>
      </c>
    </row>
    <row r="14" spans="1:40" x14ac:dyDescent="0.3">
      <c r="B14" s="118" t="str">
        <f>+EMMa!B13</f>
        <v>Applicability</v>
      </c>
      <c r="C14" s="145"/>
      <c r="D14" s="146"/>
      <c r="E14" s="146"/>
      <c r="F14" s="147"/>
      <c r="G14" s="147"/>
      <c r="H14" s="148"/>
      <c r="I14" s="148"/>
      <c r="J14" s="148"/>
      <c r="K14" s="149"/>
      <c r="L14" s="149"/>
      <c r="M14" s="149"/>
      <c r="N14" s="149"/>
      <c r="O14" s="149"/>
      <c r="P14" s="149"/>
      <c r="Q14" s="149"/>
      <c r="R14" s="149"/>
      <c r="S14" s="149"/>
      <c r="T14" s="149"/>
      <c r="U14" s="149"/>
      <c r="V14" s="149"/>
      <c r="W14" s="149"/>
      <c r="X14" s="98"/>
      <c r="Y14" s="149"/>
      <c r="Z14" s="149"/>
      <c r="AA14" s="149"/>
      <c r="AB14" s="149"/>
      <c r="AC14" s="149"/>
      <c r="AD14" s="149"/>
      <c r="AE14" s="149"/>
      <c r="AF14" s="149"/>
      <c r="AG14" s="149"/>
      <c r="AH14" s="149"/>
      <c r="AI14" s="149"/>
      <c r="AJ14" s="149"/>
      <c r="AK14" s="149"/>
      <c r="AL14" s="149"/>
      <c r="AM14" s="149"/>
      <c r="AN14" s="150"/>
    </row>
    <row r="15" spans="1:40" ht="28.8" x14ac:dyDescent="0.3">
      <c r="B15" s="57" t="str">
        <f>+EMMa!B14</f>
        <v>Difference in Network Supply based on Modes</v>
      </c>
      <c r="C15" s="82">
        <f>+EMMa!C14</f>
        <v>1</v>
      </c>
      <c r="D15" s="82">
        <f>+EMMa!D14</f>
        <v>1</v>
      </c>
      <c r="E15" s="82">
        <f>+EMMa!E14</f>
        <v>1</v>
      </c>
      <c r="F15" s="81" t="str">
        <f>+EMMa!F14</f>
        <v>Higher the better</v>
      </c>
      <c r="G15" s="81">
        <f>+EMMa!G14</f>
        <v>1</v>
      </c>
      <c r="H15" s="80">
        <f>+IFERROR(IF($G15=1,$C15/MAX($C15:$E15),1-($C15/MAX($C15:$E15))),0)</f>
        <v>1</v>
      </c>
      <c r="I15" s="80">
        <f>+IFERROR(IF($G15=1,$D15/MAX($C15:$E15),1-($D15/MAX($C15:$E15))),0)</f>
        <v>1</v>
      </c>
      <c r="J15" s="80">
        <f>+IFERROR(IF($G15=1,$E15/MAX($C15:$E15),1-($E15/MAX($C15:$E15))),0)</f>
        <v>1</v>
      </c>
      <c r="K15" s="83">
        <f t="shared" ref="K15:M16" si="9">IFERROR(IF($G15=1,(C15-MIN($C15:$E15))/(MAX($C15:$E15)-MIN($C15:$E15)),(MAX($C15:$E15)-C15)/(MAX($C15:$E15)-MIN($C15:$E15))),0)</f>
        <v>0</v>
      </c>
      <c r="L15" s="83">
        <f t="shared" si="9"/>
        <v>0</v>
      </c>
      <c r="M15" s="83">
        <f t="shared" si="9"/>
        <v>0</v>
      </c>
      <c r="N15" s="83">
        <f t="shared" ref="N15:P16" si="10">IFERROR(IF($G15=1,C15/SUM($C15:$E15),+(1/C15)/((1/$C15)+(1/$D15)+(1/$E15))),0)</f>
        <v>0.33333333333333331</v>
      </c>
      <c r="O15" s="83">
        <f t="shared" si="10"/>
        <v>0.33333333333333331</v>
      </c>
      <c r="P15" s="83">
        <f t="shared" si="10"/>
        <v>0.33333333333333331</v>
      </c>
      <c r="Q15" s="83">
        <f t="shared" ref="Q15:S16" si="11">IFERROR(IF($G15=1,C15/SQRT(SUM($C15^2,$D15^2,$E15^2)),1-(C15/SQRT(SUM($C15^2,$D15^2,$E15^2)))),0)</f>
        <v>0.57735026918962584</v>
      </c>
      <c r="R15" s="83">
        <f t="shared" si="11"/>
        <v>0.57735026918962584</v>
      </c>
      <c r="S15" s="83">
        <f t="shared" si="11"/>
        <v>0.57735026918962584</v>
      </c>
      <c r="T15" s="83">
        <f t="shared" ref="T15:V16" si="12">IFERROR(IF($G15=0,1-(LN(C15)/LN(PRODUCT($C15:$E15)))/(COUNT($C15:$E15)),LN(C15)/LN(PRODUCT($C15:$E15))),0)</f>
        <v>0</v>
      </c>
      <c r="U15" s="83">
        <f t="shared" si="12"/>
        <v>0</v>
      </c>
      <c r="V15" s="83">
        <f t="shared" si="12"/>
        <v>0</v>
      </c>
      <c r="W15" s="46"/>
      <c r="X15" s="130">
        <f>EMMa!K14</f>
        <v>10</v>
      </c>
      <c r="Y15" s="46"/>
      <c r="Z15" s="131">
        <f t="shared" ref="Z15:AN16" si="13">$X15*H15</f>
        <v>10</v>
      </c>
      <c r="AA15" s="131">
        <f t="shared" si="13"/>
        <v>10</v>
      </c>
      <c r="AB15" s="131">
        <f t="shared" si="13"/>
        <v>10</v>
      </c>
      <c r="AC15" s="131">
        <f t="shared" si="13"/>
        <v>0</v>
      </c>
      <c r="AD15" s="131">
        <f t="shared" si="13"/>
        <v>0</v>
      </c>
      <c r="AE15" s="131">
        <f t="shared" si="13"/>
        <v>0</v>
      </c>
      <c r="AF15" s="131">
        <f t="shared" si="13"/>
        <v>3.333333333333333</v>
      </c>
      <c r="AG15" s="131">
        <f t="shared" si="13"/>
        <v>3.333333333333333</v>
      </c>
      <c r="AH15" s="131">
        <f t="shared" si="13"/>
        <v>3.333333333333333</v>
      </c>
      <c r="AI15" s="131">
        <f t="shared" si="13"/>
        <v>5.7735026918962582</v>
      </c>
      <c r="AJ15" s="131">
        <f t="shared" si="13"/>
        <v>5.7735026918962582</v>
      </c>
      <c r="AK15" s="131">
        <f t="shared" si="13"/>
        <v>5.7735026918962582</v>
      </c>
      <c r="AL15" s="131">
        <f t="shared" si="13"/>
        <v>0</v>
      </c>
      <c r="AM15" s="131">
        <f t="shared" si="13"/>
        <v>0</v>
      </c>
      <c r="AN15" s="131">
        <f t="shared" si="13"/>
        <v>0</v>
      </c>
    </row>
    <row r="16" spans="1:40" ht="28.8" x14ac:dyDescent="0.3">
      <c r="B16" s="57" t="str">
        <f>+EMMa!B15</f>
        <v>Difference in Input parameters based on different trip purposes</v>
      </c>
      <c r="C16" s="82">
        <f>+EMMa!C15</f>
        <v>1</v>
      </c>
      <c r="D16" s="82">
        <f>+EMMa!D15</f>
        <v>1</v>
      </c>
      <c r="E16" s="82">
        <f>+EMMa!E15</f>
        <v>1</v>
      </c>
      <c r="F16" s="81" t="str">
        <f>+EMMa!F15</f>
        <v>Higher the better</v>
      </c>
      <c r="G16" s="81">
        <f>+EMMa!G15</f>
        <v>1</v>
      </c>
      <c r="H16" s="80">
        <f>+IFERROR(IF($G16=1,$C16/MAX($C16:$E16),1-($C16/MAX($C16:$E16))),0)</f>
        <v>1</v>
      </c>
      <c r="I16" s="80">
        <f>+IFERROR(IF($G16=1,$D16/MAX($C16:$E16),1-($D16/MAX($C16:$E16))),0)</f>
        <v>1</v>
      </c>
      <c r="J16" s="80">
        <f>+IFERROR(IF($G16=1,$E16/MAX($C16:$E16),1-($E16/MAX($C16:$E16))),0)</f>
        <v>1</v>
      </c>
      <c r="K16" s="83">
        <f t="shared" si="9"/>
        <v>0</v>
      </c>
      <c r="L16" s="83">
        <f t="shared" si="9"/>
        <v>0</v>
      </c>
      <c r="M16" s="83">
        <f t="shared" si="9"/>
        <v>0</v>
      </c>
      <c r="N16" s="83">
        <f t="shared" si="10"/>
        <v>0.33333333333333331</v>
      </c>
      <c r="O16" s="83">
        <f t="shared" si="10"/>
        <v>0.33333333333333331</v>
      </c>
      <c r="P16" s="83">
        <f t="shared" si="10"/>
        <v>0.33333333333333331</v>
      </c>
      <c r="Q16" s="83">
        <f t="shared" si="11"/>
        <v>0.57735026918962584</v>
      </c>
      <c r="R16" s="83">
        <f t="shared" si="11"/>
        <v>0.57735026918962584</v>
      </c>
      <c r="S16" s="83">
        <f t="shared" si="11"/>
        <v>0.57735026918962584</v>
      </c>
      <c r="T16" s="83">
        <f t="shared" si="12"/>
        <v>0</v>
      </c>
      <c r="U16" s="83">
        <f t="shared" si="12"/>
        <v>0</v>
      </c>
      <c r="V16" s="83">
        <f t="shared" si="12"/>
        <v>0</v>
      </c>
      <c r="W16" s="46"/>
      <c r="X16" s="130">
        <f>EMMa!K15</f>
        <v>10</v>
      </c>
      <c r="Y16" s="46"/>
      <c r="Z16" s="131">
        <f t="shared" si="13"/>
        <v>10</v>
      </c>
      <c r="AA16" s="131">
        <f t="shared" si="13"/>
        <v>10</v>
      </c>
      <c r="AB16" s="131">
        <f t="shared" si="13"/>
        <v>10</v>
      </c>
      <c r="AC16" s="131">
        <f t="shared" si="13"/>
        <v>0</v>
      </c>
      <c r="AD16" s="131">
        <f t="shared" si="13"/>
        <v>0</v>
      </c>
      <c r="AE16" s="131">
        <f t="shared" si="13"/>
        <v>0</v>
      </c>
      <c r="AF16" s="131">
        <f t="shared" si="13"/>
        <v>3.333333333333333</v>
      </c>
      <c r="AG16" s="131">
        <f t="shared" si="13"/>
        <v>3.333333333333333</v>
      </c>
      <c r="AH16" s="131">
        <f t="shared" si="13"/>
        <v>3.333333333333333</v>
      </c>
      <c r="AI16" s="131">
        <f t="shared" si="13"/>
        <v>5.7735026918962582</v>
      </c>
      <c r="AJ16" s="131">
        <f t="shared" si="13"/>
        <v>5.7735026918962582</v>
      </c>
      <c r="AK16" s="131">
        <f t="shared" si="13"/>
        <v>5.7735026918962582</v>
      </c>
      <c r="AL16" s="131">
        <f t="shared" si="13"/>
        <v>0</v>
      </c>
      <c r="AM16" s="131">
        <f t="shared" si="13"/>
        <v>0</v>
      </c>
      <c r="AN16" s="131">
        <f t="shared" si="13"/>
        <v>0</v>
      </c>
    </row>
    <row r="17" spans="2:40" x14ac:dyDescent="0.3">
      <c r="B17" s="118" t="str">
        <f>+EMMa!B16</f>
        <v>Tractability</v>
      </c>
      <c r="C17" s="145"/>
      <c r="D17" s="146"/>
      <c r="E17" s="146"/>
      <c r="F17" s="147"/>
      <c r="G17" s="147"/>
      <c r="H17" s="148"/>
      <c r="I17" s="148"/>
      <c r="J17" s="148"/>
      <c r="K17" s="149"/>
      <c r="L17" s="149"/>
      <c r="M17" s="149"/>
      <c r="N17" s="149"/>
      <c r="O17" s="149"/>
      <c r="P17" s="149"/>
      <c r="Q17" s="149"/>
      <c r="R17" s="149"/>
      <c r="S17" s="149"/>
      <c r="T17" s="149"/>
      <c r="U17" s="149"/>
      <c r="V17" s="149"/>
      <c r="W17" s="149"/>
      <c r="X17" s="98"/>
      <c r="Y17" s="149"/>
      <c r="Z17" s="149"/>
      <c r="AA17" s="149"/>
      <c r="AB17" s="149"/>
      <c r="AC17" s="149"/>
      <c r="AD17" s="149"/>
      <c r="AE17" s="149"/>
      <c r="AF17" s="149"/>
      <c r="AG17" s="149"/>
      <c r="AH17" s="149"/>
      <c r="AI17" s="149"/>
      <c r="AJ17" s="149"/>
      <c r="AK17" s="149"/>
      <c r="AL17" s="149"/>
      <c r="AM17" s="149"/>
      <c r="AN17" s="150"/>
    </row>
    <row r="18" spans="2:40" ht="28.8" x14ac:dyDescent="0.3">
      <c r="B18" s="57" t="str">
        <f>+EMMa!B17</f>
        <v>Propagation - Link flows</v>
      </c>
      <c r="C18" s="82">
        <f>+EMMa!C17</f>
        <v>3</v>
      </c>
      <c r="D18" s="82">
        <f>+EMMa!D17</f>
        <v>3</v>
      </c>
      <c r="E18" s="82">
        <f>+EMMa!E17</f>
        <v>4</v>
      </c>
      <c r="F18" s="81" t="str">
        <f>+EMMa!F17</f>
        <v>Higher the better</v>
      </c>
      <c r="G18" s="81">
        <f>+EMMa!G17</f>
        <v>1</v>
      </c>
      <c r="H18" s="80">
        <f t="shared" ref="H18:H25" si="14">+IFERROR(IF($G18=1,$C18/MAX($C18:$E18),1-($C18/MAX($C18:$E18))),0)</f>
        <v>0.75</v>
      </c>
      <c r="I18" s="80">
        <f t="shared" ref="I18:I25" si="15">+IFERROR(IF($G18=1,$D18/MAX($C18:$E18),1-($D18/MAX($C18:$E18))),0)</f>
        <v>0.75</v>
      </c>
      <c r="J18" s="80">
        <f t="shared" ref="J18:J25" si="16">+IFERROR(IF($G18=1,$E18/MAX($C18:$E18),1-($E18/MAX($C18:$E18))),0)</f>
        <v>1</v>
      </c>
      <c r="K18" s="83">
        <f t="shared" ref="K18:M25" si="17">IFERROR(IF($G18=1,(C18-MIN($C18:$E18))/(MAX($C18:$E18)-MIN($C18:$E18)),(MAX($C18:$E18)-C18)/(MAX($C18:$E18)-MIN($C18:$E18))),0)</f>
        <v>0</v>
      </c>
      <c r="L18" s="83">
        <f t="shared" si="17"/>
        <v>0</v>
      </c>
      <c r="M18" s="83">
        <f t="shared" si="17"/>
        <v>1</v>
      </c>
      <c r="N18" s="83">
        <f t="shared" ref="N18:P25" si="18">IFERROR(IF($G18=1,C18/SUM($C18:$E18),+(1/C18)/((1/$C18)+(1/$D18)+(1/$E18))),0)</f>
        <v>0.3</v>
      </c>
      <c r="O18" s="83">
        <f t="shared" si="18"/>
        <v>0.3</v>
      </c>
      <c r="P18" s="83">
        <f t="shared" si="18"/>
        <v>0.4</v>
      </c>
      <c r="Q18" s="83">
        <f t="shared" ref="Q18:S25" si="19">IFERROR(IF($G18=1,C18/SQRT(SUM($C18^2,$D18^2,$E18^2)),1-(C18/SQRT(SUM($C18^2,$D18^2,$E18^2)))),0)</f>
        <v>0.51449575542752646</v>
      </c>
      <c r="R18" s="83">
        <f t="shared" si="19"/>
        <v>0.51449575542752646</v>
      </c>
      <c r="S18" s="83">
        <f t="shared" si="19"/>
        <v>0.68599434057003528</v>
      </c>
      <c r="T18" s="83">
        <f t="shared" ref="T18:V25" si="20">IFERROR(IF($G18=0,1-(LN(C18)/LN(PRODUCT($C18:$E18)))/(COUNT($C18:$E18)),LN(C18)/LN(PRODUCT($C18:$E18))),0)</f>
        <v>0.30657359638272924</v>
      </c>
      <c r="U18" s="83">
        <f t="shared" si="20"/>
        <v>0.30657359638272924</v>
      </c>
      <c r="V18" s="83">
        <f t="shared" si="20"/>
        <v>0.38685280723454157</v>
      </c>
      <c r="W18" s="46"/>
      <c r="X18" s="130">
        <f>EMMa!K17</f>
        <v>7</v>
      </c>
      <c r="Y18" s="46"/>
      <c r="Z18" s="131">
        <f t="shared" ref="Z18:AN25" si="21">$X18*H18</f>
        <v>5.25</v>
      </c>
      <c r="AA18" s="131">
        <f t="shared" si="21"/>
        <v>5.25</v>
      </c>
      <c r="AB18" s="131">
        <f t="shared" si="21"/>
        <v>7</v>
      </c>
      <c r="AC18" s="131">
        <f t="shared" si="21"/>
        <v>0</v>
      </c>
      <c r="AD18" s="131">
        <f t="shared" si="21"/>
        <v>0</v>
      </c>
      <c r="AE18" s="131">
        <f t="shared" si="21"/>
        <v>7</v>
      </c>
      <c r="AF18" s="131">
        <f t="shared" si="21"/>
        <v>2.1</v>
      </c>
      <c r="AG18" s="131">
        <f t="shared" si="21"/>
        <v>2.1</v>
      </c>
      <c r="AH18" s="131">
        <f t="shared" si="21"/>
        <v>2.8000000000000003</v>
      </c>
      <c r="AI18" s="131">
        <f t="shared" si="21"/>
        <v>3.6014702879926852</v>
      </c>
      <c r="AJ18" s="131">
        <f t="shared" si="21"/>
        <v>3.6014702879926852</v>
      </c>
      <c r="AK18" s="131">
        <f t="shared" si="21"/>
        <v>4.8019603839902469</v>
      </c>
      <c r="AL18" s="131">
        <f t="shared" si="21"/>
        <v>2.1460151746791047</v>
      </c>
      <c r="AM18" s="131">
        <f t="shared" si="21"/>
        <v>2.1460151746791047</v>
      </c>
      <c r="AN18" s="131">
        <f t="shared" si="21"/>
        <v>2.707969650641791</v>
      </c>
    </row>
    <row r="19" spans="2:40" ht="28.8" x14ac:dyDescent="0.3">
      <c r="B19" s="57" t="str">
        <f>+EMMa!B18</f>
        <v>Propagation - Queuing</v>
      </c>
      <c r="C19" s="82">
        <f>+EMMa!C18</f>
        <v>2.3333333333333335</v>
      </c>
      <c r="D19" s="82">
        <f>+EMMa!D18</f>
        <v>3.4</v>
      </c>
      <c r="E19" s="82">
        <f>+EMMa!E18</f>
        <v>3.3333333333333335</v>
      </c>
      <c r="F19" s="81" t="str">
        <f>+EMMa!F18</f>
        <v>Higher the better</v>
      </c>
      <c r="G19" s="81">
        <f>+EMMa!G18</f>
        <v>1</v>
      </c>
      <c r="H19" s="80">
        <f t="shared" si="14"/>
        <v>0.68627450980392168</v>
      </c>
      <c r="I19" s="80">
        <f t="shared" si="15"/>
        <v>1</v>
      </c>
      <c r="J19" s="80">
        <f t="shared" si="16"/>
        <v>0.98039215686274517</v>
      </c>
      <c r="K19" s="83">
        <f t="shared" si="17"/>
        <v>0</v>
      </c>
      <c r="L19" s="83">
        <f t="shared" si="17"/>
        <v>1</v>
      </c>
      <c r="M19" s="83">
        <f t="shared" si="17"/>
        <v>0.93750000000000022</v>
      </c>
      <c r="N19" s="83">
        <f t="shared" si="18"/>
        <v>0.25735294117647062</v>
      </c>
      <c r="O19" s="83">
        <f t="shared" si="18"/>
        <v>0.375</v>
      </c>
      <c r="P19" s="83">
        <f t="shared" si="18"/>
        <v>0.36764705882352944</v>
      </c>
      <c r="Q19" s="83">
        <f t="shared" si="19"/>
        <v>0.44005144412278607</v>
      </c>
      <c r="R19" s="83">
        <f t="shared" si="19"/>
        <v>0.6412178185789168</v>
      </c>
      <c r="S19" s="83">
        <f t="shared" si="19"/>
        <v>0.62864492017540863</v>
      </c>
      <c r="T19" s="83">
        <f t="shared" si="20"/>
        <v>0.25871326248974685</v>
      </c>
      <c r="U19" s="83">
        <f t="shared" si="20"/>
        <v>0.37366662807937523</v>
      </c>
      <c r="V19" s="83">
        <f t="shared" si="20"/>
        <v>0.36762010943087792</v>
      </c>
      <c r="W19" s="46"/>
      <c r="X19" s="130">
        <f>EMMa!K18</f>
        <v>7</v>
      </c>
      <c r="Y19" s="46"/>
      <c r="Z19" s="131">
        <f t="shared" si="21"/>
        <v>4.8039215686274517</v>
      </c>
      <c r="AA19" s="131">
        <f t="shared" si="21"/>
        <v>7</v>
      </c>
      <c r="AB19" s="131">
        <f t="shared" si="21"/>
        <v>6.8627450980392162</v>
      </c>
      <c r="AC19" s="131">
        <f t="shared" si="21"/>
        <v>0</v>
      </c>
      <c r="AD19" s="131">
        <f t="shared" si="21"/>
        <v>7</v>
      </c>
      <c r="AE19" s="131">
        <f t="shared" si="21"/>
        <v>6.5625000000000018</v>
      </c>
      <c r="AF19" s="131">
        <f t="shared" si="21"/>
        <v>1.8014705882352944</v>
      </c>
      <c r="AG19" s="131">
        <f t="shared" si="21"/>
        <v>2.625</v>
      </c>
      <c r="AH19" s="131">
        <f t="shared" si="21"/>
        <v>2.5735294117647061</v>
      </c>
      <c r="AI19" s="131">
        <f t="shared" si="21"/>
        <v>3.0803601088595025</v>
      </c>
      <c r="AJ19" s="131">
        <f t="shared" si="21"/>
        <v>4.4885247300524176</v>
      </c>
      <c r="AK19" s="131">
        <f t="shared" si="21"/>
        <v>4.4005144412278607</v>
      </c>
      <c r="AL19" s="131">
        <f t="shared" si="21"/>
        <v>1.810992837428228</v>
      </c>
      <c r="AM19" s="131">
        <f t="shared" si="21"/>
        <v>2.6156663965556266</v>
      </c>
      <c r="AN19" s="131">
        <f t="shared" si="21"/>
        <v>2.5733407660161456</v>
      </c>
    </row>
    <row r="20" spans="2:40" ht="28.8" x14ac:dyDescent="0.3">
      <c r="B20" s="57" t="str">
        <f>+EMMa!B19</f>
        <v>Propagation - Effect of link-level traffic controls</v>
      </c>
      <c r="C20" s="82">
        <f>+EMMa!C19</f>
        <v>3.5</v>
      </c>
      <c r="D20" s="82">
        <f>+EMMa!D19</f>
        <v>2.5</v>
      </c>
      <c r="E20" s="82">
        <f>+EMMa!E19</f>
        <v>0</v>
      </c>
      <c r="F20" s="81" t="str">
        <f>+EMMa!F19</f>
        <v>Higher the better</v>
      </c>
      <c r="G20" s="81">
        <f>+EMMa!G19</f>
        <v>1</v>
      </c>
      <c r="H20" s="80">
        <f t="shared" si="14"/>
        <v>1</v>
      </c>
      <c r="I20" s="80">
        <f t="shared" si="15"/>
        <v>0.7142857142857143</v>
      </c>
      <c r="J20" s="80">
        <f t="shared" si="16"/>
        <v>0</v>
      </c>
      <c r="K20" s="83">
        <f t="shared" si="17"/>
        <v>1</v>
      </c>
      <c r="L20" s="83">
        <f t="shared" si="17"/>
        <v>0.7142857142857143</v>
      </c>
      <c r="M20" s="83">
        <f t="shared" si="17"/>
        <v>0</v>
      </c>
      <c r="N20" s="83">
        <f t="shared" si="18"/>
        <v>0.58333333333333337</v>
      </c>
      <c r="O20" s="83">
        <f t="shared" si="18"/>
        <v>0.41666666666666669</v>
      </c>
      <c r="P20" s="83">
        <f t="shared" si="18"/>
        <v>0</v>
      </c>
      <c r="Q20" s="83">
        <f t="shared" si="19"/>
        <v>0.813733471206735</v>
      </c>
      <c r="R20" s="83">
        <f t="shared" si="19"/>
        <v>0.58123819371909646</v>
      </c>
      <c r="S20" s="83">
        <f t="shared" si="19"/>
        <v>0</v>
      </c>
      <c r="T20" s="83">
        <f t="shared" si="20"/>
        <v>0</v>
      </c>
      <c r="U20" s="83">
        <f t="shared" si="20"/>
        <v>0</v>
      </c>
      <c r="V20" s="83">
        <f t="shared" si="20"/>
        <v>0</v>
      </c>
      <c r="W20" s="46"/>
      <c r="X20" s="130">
        <f>EMMa!K19</f>
        <v>7</v>
      </c>
      <c r="Y20" s="46"/>
      <c r="Z20" s="131">
        <f t="shared" si="21"/>
        <v>7</v>
      </c>
      <c r="AA20" s="131">
        <f t="shared" si="21"/>
        <v>5</v>
      </c>
      <c r="AB20" s="131">
        <f t="shared" si="21"/>
        <v>0</v>
      </c>
      <c r="AC20" s="131">
        <f t="shared" si="21"/>
        <v>7</v>
      </c>
      <c r="AD20" s="131">
        <f t="shared" si="21"/>
        <v>5</v>
      </c>
      <c r="AE20" s="131">
        <f t="shared" si="21"/>
        <v>0</v>
      </c>
      <c r="AF20" s="131">
        <f t="shared" si="21"/>
        <v>4.0833333333333339</v>
      </c>
      <c r="AG20" s="131">
        <f t="shared" si="21"/>
        <v>2.916666666666667</v>
      </c>
      <c r="AH20" s="131">
        <f t="shared" si="21"/>
        <v>0</v>
      </c>
      <c r="AI20" s="131">
        <f t="shared" si="21"/>
        <v>5.696134298447145</v>
      </c>
      <c r="AJ20" s="131">
        <f t="shared" si="21"/>
        <v>4.068667356033675</v>
      </c>
      <c r="AK20" s="131">
        <f t="shared" si="21"/>
        <v>0</v>
      </c>
      <c r="AL20" s="131">
        <f t="shared" si="21"/>
        <v>0</v>
      </c>
      <c r="AM20" s="131">
        <f t="shared" si="21"/>
        <v>0</v>
      </c>
      <c r="AN20" s="131">
        <f t="shared" si="21"/>
        <v>0</v>
      </c>
    </row>
    <row r="21" spans="2:40" ht="28.8" x14ac:dyDescent="0.3">
      <c r="B21" s="57" t="str">
        <f>+EMMa!B20</f>
        <v>Node model-merge behaviour</v>
      </c>
      <c r="C21" s="82">
        <f>+EMMa!C20</f>
        <v>2.8333333333333335</v>
      </c>
      <c r="D21" s="82">
        <f>+EMMa!D20</f>
        <v>2.8333333333333335</v>
      </c>
      <c r="E21" s="82">
        <f>+EMMa!E20</f>
        <v>4</v>
      </c>
      <c r="F21" s="81" t="str">
        <f>+EMMa!F20</f>
        <v>Higher the better</v>
      </c>
      <c r="G21" s="81">
        <f>+EMMa!G20</f>
        <v>1</v>
      </c>
      <c r="H21" s="80">
        <f t="shared" si="14"/>
        <v>0.70833333333333337</v>
      </c>
      <c r="I21" s="80">
        <f t="shared" si="15"/>
        <v>0.70833333333333337</v>
      </c>
      <c r="J21" s="80">
        <f t="shared" si="16"/>
        <v>1</v>
      </c>
      <c r="K21" s="83">
        <f t="shared" si="17"/>
        <v>0</v>
      </c>
      <c r="L21" s="83">
        <f t="shared" si="17"/>
        <v>0</v>
      </c>
      <c r="M21" s="83">
        <f t="shared" si="17"/>
        <v>1</v>
      </c>
      <c r="N21" s="83">
        <f t="shared" si="18"/>
        <v>0.29310344827586204</v>
      </c>
      <c r="O21" s="83">
        <f t="shared" si="18"/>
        <v>0.29310344827586204</v>
      </c>
      <c r="P21" s="83">
        <f t="shared" si="18"/>
        <v>0.4137931034482758</v>
      </c>
      <c r="Q21" s="83">
        <f t="shared" si="19"/>
        <v>0.5004330879980442</v>
      </c>
      <c r="R21" s="83">
        <f t="shared" si="19"/>
        <v>0.5004330879980442</v>
      </c>
      <c r="S21" s="83">
        <f t="shared" si="19"/>
        <v>0.70649377129135649</v>
      </c>
      <c r="T21" s="83">
        <f t="shared" si="20"/>
        <v>0.30019982738772816</v>
      </c>
      <c r="U21" s="83">
        <f t="shared" si="20"/>
        <v>0.30019982738772816</v>
      </c>
      <c r="V21" s="83">
        <f t="shared" si="20"/>
        <v>0.3996003452245438</v>
      </c>
      <c r="W21" s="46"/>
      <c r="X21" s="130">
        <f>EMMa!K20</f>
        <v>7</v>
      </c>
      <c r="Y21" s="46"/>
      <c r="Z21" s="131">
        <f t="shared" si="21"/>
        <v>4.9583333333333339</v>
      </c>
      <c r="AA21" s="131">
        <f t="shared" si="21"/>
        <v>4.9583333333333339</v>
      </c>
      <c r="AB21" s="131">
        <f t="shared" si="21"/>
        <v>7</v>
      </c>
      <c r="AC21" s="131">
        <f t="shared" si="21"/>
        <v>0</v>
      </c>
      <c r="AD21" s="131">
        <f t="shared" si="21"/>
        <v>0</v>
      </c>
      <c r="AE21" s="131">
        <f t="shared" si="21"/>
        <v>7</v>
      </c>
      <c r="AF21" s="131">
        <f t="shared" si="21"/>
        <v>2.0517241379310343</v>
      </c>
      <c r="AG21" s="131">
        <f t="shared" si="21"/>
        <v>2.0517241379310343</v>
      </c>
      <c r="AH21" s="131">
        <f t="shared" si="21"/>
        <v>2.8965517241379306</v>
      </c>
      <c r="AI21" s="131">
        <f t="shared" si="21"/>
        <v>3.5030316159863095</v>
      </c>
      <c r="AJ21" s="131">
        <f t="shared" si="21"/>
        <v>3.5030316159863095</v>
      </c>
      <c r="AK21" s="131">
        <f t="shared" si="21"/>
        <v>4.9454563990394957</v>
      </c>
      <c r="AL21" s="131">
        <f t="shared" si="21"/>
        <v>2.101398791714097</v>
      </c>
      <c r="AM21" s="131">
        <f t="shared" si="21"/>
        <v>2.101398791714097</v>
      </c>
      <c r="AN21" s="131">
        <f t="shared" si="21"/>
        <v>2.7972024165718068</v>
      </c>
    </row>
    <row r="22" spans="2:40" ht="28.8" x14ac:dyDescent="0.3">
      <c r="B22" s="57" t="str">
        <f>+EMMa!B21</f>
        <v>Node model-diverge behaviour</v>
      </c>
      <c r="C22" s="82">
        <f>+EMMa!C21</f>
        <v>2.5</v>
      </c>
      <c r="D22" s="82">
        <f>+EMMa!D21</f>
        <v>4</v>
      </c>
      <c r="E22" s="82">
        <f>+EMMa!E21</f>
        <v>4</v>
      </c>
      <c r="F22" s="81" t="str">
        <f>+EMMa!F21</f>
        <v>Higher the better</v>
      </c>
      <c r="G22" s="81">
        <f>+EMMa!G21</f>
        <v>1</v>
      </c>
      <c r="H22" s="80">
        <f t="shared" si="14"/>
        <v>0.625</v>
      </c>
      <c r="I22" s="80">
        <f t="shared" si="15"/>
        <v>1</v>
      </c>
      <c r="J22" s="80">
        <f t="shared" si="16"/>
        <v>1</v>
      </c>
      <c r="K22" s="83">
        <f t="shared" si="17"/>
        <v>0</v>
      </c>
      <c r="L22" s="83">
        <f t="shared" si="17"/>
        <v>1</v>
      </c>
      <c r="M22" s="83">
        <f t="shared" si="17"/>
        <v>1</v>
      </c>
      <c r="N22" s="83">
        <f t="shared" si="18"/>
        <v>0.23809523809523808</v>
      </c>
      <c r="O22" s="83">
        <f t="shared" si="18"/>
        <v>0.38095238095238093</v>
      </c>
      <c r="P22" s="83">
        <f t="shared" si="18"/>
        <v>0.38095238095238093</v>
      </c>
      <c r="Q22" s="83">
        <f t="shared" si="19"/>
        <v>0.40422604172722165</v>
      </c>
      <c r="R22" s="83">
        <f t="shared" si="19"/>
        <v>0.64676166676355462</v>
      </c>
      <c r="S22" s="83">
        <f t="shared" si="19"/>
        <v>0.64676166676355462</v>
      </c>
      <c r="T22" s="83">
        <f t="shared" si="20"/>
        <v>0.24839270116356971</v>
      </c>
      <c r="U22" s="83">
        <f t="shared" si="20"/>
        <v>0.37580364941821515</v>
      </c>
      <c r="V22" s="83">
        <f t="shared" si="20"/>
        <v>0.37580364941821515</v>
      </c>
      <c r="W22" s="46"/>
      <c r="X22" s="130">
        <f>EMMa!K21</f>
        <v>7</v>
      </c>
      <c r="Y22" s="46"/>
      <c r="Z22" s="131">
        <f t="shared" si="21"/>
        <v>4.375</v>
      </c>
      <c r="AA22" s="131">
        <f t="shared" si="21"/>
        <v>7</v>
      </c>
      <c r="AB22" s="131">
        <f t="shared" si="21"/>
        <v>7</v>
      </c>
      <c r="AC22" s="131">
        <f t="shared" si="21"/>
        <v>0</v>
      </c>
      <c r="AD22" s="131">
        <f t="shared" si="21"/>
        <v>7</v>
      </c>
      <c r="AE22" s="131">
        <f t="shared" si="21"/>
        <v>7</v>
      </c>
      <c r="AF22" s="131">
        <f t="shared" si="21"/>
        <v>1.6666666666666665</v>
      </c>
      <c r="AG22" s="131">
        <f t="shared" si="21"/>
        <v>2.6666666666666665</v>
      </c>
      <c r="AH22" s="131">
        <f t="shared" si="21"/>
        <v>2.6666666666666665</v>
      </c>
      <c r="AI22" s="131">
        <f t="shared" si="21"/>
        <v>2.8295822920905516</v>
      </c>
      <c r="AJ22" s="131">
        <f t="shared" si="21"/>
        <v>4.5273316673448827</v>
      </c>
      <c r="AK22" s="131">
        <f t="shared" si="21"/>
        <v>4.5273316673448827</v>
      </c>
      <c r="AL22" s="131">
        <f t="shared" si="21"/>
        <v>1.7387489081449878</v>
      </c>
      <c r="AM22" s="131">
        <f t="shared" si="21"/>
        <v>2.6306255459275061</v>
      </c>
      <c r="AN22" s="131">
        <f t="shared" si="21"/>
        <v>2.6306255459275061</v>
      </c>
    </row>
    <row r="23" spans="2:40" ht="28.8" x14ac:dyDescent="0.3">
      <c r="B23" s="57" t="str">
        <f>+EMMa!B22</f>
        <v>Signalized Intersection</v>
      </c>
      <c r="C23" s="82">
        <f>+EMMa!C22</f>
        <v>1.8333333333333333</v>
      </c>
      <c r="D23" s="82">
        <f>+EMMa!D22</f>
        <v>2.6666666666666665</v>
      </c>
      <c r="E23" s="82">
        <f>+EMMa!E22</f>
        <v>2.1666666666666665</v>
      </c>
      <c r="F23" s="81" t="str">
        <f>+EMMa!F22</f>
        <v>Higher the better</v>
      </c>
      <c r="G23" s="81">
        <f>+EMMa!G22</f>
        <v>1</v>
      </c>
      <c r="H23" s="80">
        <f t="shared" si="14"/>
        <v>0.6875</v>
      </c>
      <c r="I23" s="80">
        <f t="shared" si="15"/>
        <v>1</v>
      </c>
      <c r="J23" s="80">
        <f t="shared" si="16"/>
        <v>0.8125</v>
      </c>
      <c r="K23" s="83">
        <f t="shared" si="17"/>
        <v>0</v>
      </c>
      <c r="L23" s="83">
        <f t="shared" si="17"/>
        <v>1</v>
      </c>
      <c r="M23" s="83">
        <f t="shared" si="17"/>
        <v>0.39999999999999997</v>
      </c>
      <c r="N23" s="83">
        <f t="shared" si="18"/>
        <v>0.27500000000000002</v>
      </c>
      <c r="O23" s="83">
        <f t="shared" si="18"/>
        <v>0.4</v>
      </c>
      <c r="P23" s="83">
        <f t="shared" si="18"/>
        <v>0.32500000000000001</v>
      </c>
      <c r="Q23" s="83">
        <f t="shared" si="19"/>
        <v>0.47075654176200427</v>
      </c>
      <c r="R23" s="83">
        <f t="shared" si="19"/>
        <v>0.68473678801746074</v>
      </c>
      <c r="S23" s="83">
        <f t="shared" si="19"/>
        <v>0.55634864026418684</v>
      </c>
      <c r="T23" s="83">
        <f t="shared" si="20"/>
        <v>0.25682034347015842</v>
      </c>
      <c r="U23" s="83">
        <f t="shared" si="20"/>
        <v>0.41557833106096803</v>
      </c>
      <c r="V23" s="83">
        <f t="shared" si="20"/>
        <v>0.32760132546887361</v>
      </c>
      <c r="W23" s="46"/>
      <c r="X23" s="130">
        <f>EMMa!K22</f>
        <v>7</v>
      </c>
      <c r="Y23" s="46"/>
      <c r="Z23" s="131">
        <f t="shared" si="21"/>
        <v>4.8125</v>
      </c>
      <c r="AA23" s="131">
        <f t="shared" si="21"/>
        <v>7</v>
      </c>
      <c r="AB23" s="131">
        <f t="shared" si="21"/>
        <v>5.6875</v>
      </c>
      <c r="AC23" s="131">
        <f t="shared" si="21"/>
        <v>0</v>
      </c>
      <c r="AD23" s="131">
        <f t="shared" si="21"/>
        <v>7</v>
      </c>
      <c r="AE23" s="131">
        <f t="shared" si="21"/>
        <v>2.8</v>
      </c>
      <c r="AF23" s="131">
        <f t="shared" si="21"/>
        <v>1.9250000000000003</v>
      </c>
      <c r="AG23" s="131">
        <f t="shared" si="21"/>
        <v>2.8000000000000003</v>
      </c>
      <c r="AH23" s="131">
        <f t="shared" si="21"/>
        <v>2.2749999999999999</v>
      </c>
      <c r="AI23" s="131">
        <f t="shared" si="21"/>
        <v>3.2952957923340298</v>
      </c>
      <c r="AJ23" s="131">
        <f t="shared" si="21"/>
        <v>4.7931575161222248</v>
      </c>
      <c r="AK23" s="131">
        <f t="shared" si="21"/>
        <v>3.8944404818493079</v>
      </c>
      <c r="AL23" s="131">
        <f t="shared" si="21"/>
        <v>1.797742404291109</v>
      </c>
      <c r="AM23" s="131">
        <f t="shared" si="21"/>
        <v>2.9090483174267763</v>
      </c>
      <c r="AN23" s="131">
        <f t="shared" si="21"/>
        <v>2.2932092782821152</v>
      </c>
    </row>
    <row r="24" spans="2:40" ht="28.8" x14ac:dyDescent="0.3">
      <c r="B24" s="57" t="str">
        <f>+EMMa!B23</f>
        <v>Route choice (general)</v>
      </c>
      <c r="C24" s="82">
        <f>+EMMa!C23</f>
        <v>4</v>
      </c>
      <c r="D24" s="82">
        <f>+EMMa!D23</f>
        <v>3</v>
      </c>
      <c r="E24" s="82">
        <f>+EMMa!E23</f>
        <v>3</v>
      </c>
      <c r="F24" s="81" t="str">
        <f>+EMMa!F23</f>
        <v>Higher the better</v>
      </c>
      <c r="G24" s="81">
        <f>+EMMa!G23</f>
        <v>1</v>
      </c>
      <c r="H24" s="80">
        <f t="shared" si="14"/>
        <v>1</v>
      </c>
      <c r="I24" s="80">
        <f t="shared" si="15"/>
        <v>0.75</v>
      </c>
      <c r="J24" s="80">
        <f t="shared" si="16"/>
        <v>0.75</v>
      </c>
      <c r="K24" s="83">
        <f t="shared" si="17"/>
        <v>1</v>
      </c>
      <c r="L24" s="83">
        <f t="shared" si="17"/>
        <v>0</v>
      </c>
      <c r="M24" s="83">
        <f t="shared" si="17"/>
        <v>0</v>
      </c>
      <c r="N24" s="83">
        <f t="shared" si="18"/>
        <v>0.4</v>
      </c>
      <c r="O24" s="83">
        <f t="shared" si="18"/>
        <v>0.3</v>
      </c>
      <c r="P24" s="83">
        <f t="shared" si="18"/>
        <v>0.3</v>
      </c>
      <c r="Q24" s="83">
        <f t="shared" si="19"/>
        <v>0.68599434057003528</v>
      </c>
      <c r="R24" s="83">
        <f t="shared" si="19"/>
        <v>0.51449575542752646</v>
      </c>
      <c r="S24" s="83">
        <f t="shared" si="19"/>
        <v>0.51449575542752646</v>
      </c>
      <c r="T24" s="83">
        <f t="shared" si="20"/>
        <v>0.38685280723454157</v>
      </c>
      <c r="U24" s="83">
        <f t="shared" si="20"/>
        <v>0.30657359638272924</v>
      </c>
      <c r="V24" s="83">
        <f t="shared" si="20"/>
        <v>0.30657359638272924</v>
      </c>
      <c r="W24" s="46"/>
      <c r="X24" s="130">
        <f>EMMa!K23</f>
        <v>10</v>
      </c>
      <c r="Y24" s="46"/>
      <c r="Z24" s="131">
        <f t="shared" si="21"/>
        <v>10</v>
      </c>
      <c r="AA24" s="131">
        <f t="shared" si="21"/>
        <v>7.5</v>
      </c>
      <c r="AB24" s="131">
        <f t="shared" si="21"/>
        <v>7.5</v>
      </c>
      <c r="AC24" s="131">
        <f t="shared" si="21"/>
        <v>10</v>
      </c>
      <c r="AD24" s="131">
        <f t="shared" si="21"/>
        <v>0</v>
      </c>
      <c r="AE24" s="131">
        <f t="shared" si="21"/>
        <v>0</v>
      </c>
      <c r="AF24" s="131">
        <f t="shared" si="21"/>
        <v>4</v>
      </c>
      <c r="AG24" s="131">
        <f t="shared" si="21"/>
        <v>3</v>
      </c>
      <c r="AH24" s="131">
        <f t="shared" si="21"/>
        <v>3</v>
      </c>
      <c r="AI24" s="131">
        <f t="shared" si="21"/>
        <v>6.8599434057003528</v>
      </c>
      <c r="AJ24" s="131">
        <f t="shared" si="21"/>
        <v>5.1449575542752646</v>
      </c>
      <c r="AK24" s="131">
        <f t="shared" si="21"/>
        <v>5.1449575542752646</v>
      </c>
      <c r="AL24" s="131">
        <f t="shared" si="21"/>
        <v>3.8685280723454158</v>
      </c>
      <c r="AM24" s="131">
        <f t="shared" si="21"/>
        <v>3.0657359638272923</v>
      </c>
      <c r="AN24" s="131">
        <f t="shared" si="21"/>
        <v>3.0657359638272923</v>
      </c>
    </row>
    <row r="25" spans="2:40" ht="28.8" x14ac:dyDescent="0.3">
      <c r="B25" s="57" t="str">
        <f>+EMMa!B24</f>
        <v>Route choice (route overlap)</v>
      </c>
      <c r="C25" s="133">
        <f>+EMMa!C24</f>
        <v>4</v>
      </c>
      <c r="D25" s="133">
        <f>+EMMa!D24</f>
        <v>4</v>
      </c>
      <c r="E25" s="133">
        <f>+EMMa!E24</f>
        <v>4</v>
      </c>
      <c r="F25" s="134" t="str">
        <f>+EMMa!F24</f>
        <v>Higher the better</v>
      </c>
      <c r="G25" s="134">
        <f>+EMMa!G24</f>
        <v>1</v>
      </c>
      <c r="H25" s="135">
        <f t="shared" si="14"/>
        <v>1</v>
      </c>
      <c r="I25" s="135">
        <f t="shared" si="15"/>
        <v>1</v>
      </c>
      <c r="J25" s="135">
        <f t="shared" si="16"/>
        <v>1</v>
      </c>
      <c r="K25" s="136">
        <f t="shared" si="17"/>
        <v>0</v>
      </c>
      <c r="L25" s="136">
        <f t="shared" si="17"/>
        <v>0</v>
      </c>
      <c r="M25" s="136">
        <f t="shared" si="17"/>
        <v>0</v>
      </c>
      <c r="N25" s="136">
        <f t="shared" si="18"/>
        <v>0.33333333333333331</v>
      </c>
      <c r="O25" s="136">
        <f t="shared" si="18"/>
        <v>0.33333333333333331</v>
      </c>
      <c r="P25" s="136">
        <f t="shared" si="18"/>
        <v>0.33333333333333331</v>
      </c>
      <c r="Q25" s="136">
        <f t="shared" si="19"/>
        <v>0.57735026918962584</v>
      </c>
      <c r="R25" s="136">
        <f t="shared" si="19"/>
        <v>0.57735026918962584</v>
      </c>
      <c r="S25" s="136">
        <f t="shared" si="19"/>
        <v>0.57735026918962584</v>
      </c>
      <c r="T25" s="136">
        <f t="shared" si="20"/>
        <v>0.33333333333333337</v>
      </c>
      <c r="U25" s="136">
        <f t="shared" si="20"/>
        <v>0.33333333333333337</v>
      </c>
      <c r="V25" s="136">
        <f t="shared" si="20"/>
        <v>0.33333333333333337</v>
      </c>
      <c r="W25" s="46"/>
      <c r="X25" s="137">
        <f>EMMa!K24</f>
        <v>10</v>
      </c>
      <c r="Y25" s="46"/>
      <c r="Z25" s="138">
        <f t="shared" si="21"/>
        <v>10</v>
      </c>
      <c r="AA25" s="138">
        <f t="shared" si="21"/>
        <v>10</v>
      </c>
      <c r="AB25" s="138">
        <f t="shared" si="21"/>
        <v>10</v>
      </c>
      <c r="AC25" s="138">
        <f t="shared" si="21"/>
        <v>0</v>
      </c>
      <c r="AD25" s="138">
        <f t="shared" si="21"/>
        <v>0</v>
      </c>
      <c r="AE25" s="138">
        <f t="shared" si="21"/>
        <v>0</v>
      </c>
      <c r="AF25" s="138">
        <f t="shared" si="21"/>
        <v>3.333333333333333</v>
      </c>
      <c r="AG25" s="138">
        <f t="shared" si="21"/>
        <v>3.333333333333333</v>
      </c>
      <c r="AH25" s="138">
        <f t="shared" si="21"/>
        <v>3.333333333333333</v>
      </c>
      <c r="AI25" s="138">
        <f t="shared" si="21"/>
        <v>5.7735026918962582</v>
      </c>
      <c r="AJ25" s="138">
        <f t="shared" si="21"/>
        <v>5.7735026918962582</v>
      </c>
      <c r="AK25" s="138">
        <f t="shared" si="21"/>
        <v>5.7735026918962582</v>
      </c>
      <c r="AL25" s="138">
        <f t="shared" si="21"/>
        <v>3.3333333333333339</v>
      </c>
      <c r="AM25" s="138">
        <f t="shared" si="21"/>
        <v>3.3333333333333339</v>
      </c>
      <c r="AN25" s="138">
        <f t="shared" si="21"/>
        <v>3.3333333333333339</v>
      </c>
    </row>
    <row r="26" spans="2:40" ht="28.8" x14ac:dyDescent="0.3">
      <c r="B26" s="132" t="str">
        <f>+EMMa!B25</f>
        <v>Integration of Network Hierarchies - Urban and Motorway roads</v>
      </c>
      <c r="C26" s="145"/>
      <c r="D26" s="146"/>
      <c r="E26" s="146"/>
      <c r="F26" s="147"/>
      <c r="G26" s="147"/>
      <c r="H26" s="148"/>
      <c r="I26" s="148"/>
      <c r="J26" s="148"/>
      <c r="K26" s="149"/>
      <c r="L26" s="149"/>
      <c r="M26" s="149"/>
      <c r="N26" s="149"/>
      <c r="O26" s="149"/>
      <c r="P26" s="149"/>
      <c r="Q26" s="149"/>
      <c r="R26" s="149"/>
      <c r="S26" s="149"/>
      <c r="T26" s="149"/>
      <c r="U26" s="149"/>
      <c r="V26" s="149"/>
      <c r="W26" s="149"/>
      <c r="X26" s="98"/>
      <c r="Y26" s="149"/>
      <c r="Z26" s="149"/>
      <c r="AA26" s="149"/>
      <c r="AB26" s="149"/>
      <c r="AC26" s="149"/>
      <c r="AD26" s="149"/>
      <c r="AE26" s="149"/>
      <c r="AF26" s="149"/>
      <c r="AG26" s="149"/>
      <c r="AH26" s="149"/>
      <c r="AI26" s="149"/>
      <c r="AJ26" s="149"/>
      <c r="AK26" s="149"/>
      <c r="AL26" s="149"/>
      <c r="AM26" s="149"/>
      <c r="AN26" s="150"/>
    </row>
    <row r="27" spans="2:40" ht="28.8" x14ac:dyDescent="0.3">
      <c r="B27" s="57" t="str">
        <f>+EMMa!B26</f>
        <v>Fluctuation of traffic states over a series of urban and non-urban links</v>
      </c>
      <c r="C27" s="151">
        <f>+EMMa!C26</f>
        <v>0</v>
      </c>
      <c r="D27" s="151">
        <f>+EMMa!D26</f>
        <v>4</v>
      </c>
      <c r="E27" s="151">
        <f>+EMMa!E26</f>
        <v>0</v>
      </c>
      <c r="F27" s="152" t="str">
        <f>+EMMa!F26</f>
        <v>Higher the better</v>
      </c>
      <c r="G27" s="152">
        <f>+EMMa!G26</f>
        <v>1</v>
      </c>
      <c r="H27" s="153">
        <f>+IFERROR(IF($G27=1,$C27/MAX($C27:$E27),1-($C27/MAX($C27:$E27))),0)</f>
        <v>0</v>
      </c>
      <c r="I27" s="153">
        <f>+IFERROR(IF($G27=1,$D27/MAX($C27:$E27),1-($D27/MAX($C27:$E27))),0)</f>
        <v>1</v>
      </c>
      <c r="J27" s="153">
        <f>+IFERROR(IF($G27=1,$E27/MAX($C27:$E27),1-($E27/MAX($C27:$E27))),0)</f>
        <v>0</v>
      </c>
      <c r="K27" s="154">
        <f>IFERROR(IF($G27=1,(C27-MIN($C27:$E27))/(MAX($C27:$E27)-MIN($C27:$E27)),(MAX($C27:$E27)-C27)/(MAX($C27:$E27)-MIN($C27:$E27))),0)</f>
        <v>0</v>
      </c>
      <c r="L27" s="154">
        <f>IFERROR(IF($G27=1,(D27-MIN($C27:$E27))/(MAX($C27:$E27)-MIN($C27:$E27)),(MAX($C27:$E27)-D27)/(MAX($C27:$E27)-MIN($C27:$E27))),0)</f>
        <v>1</v>
      </c>
      <c r="M27" s="154">
        <f>IFERROR(IF($G27=1,(E27-MIN($C27:$E27))/(MAX($C27:$E27)-MIN($C27:$E27)),(MAX($C27:$E27)-E27)/(MAX($C27:$E27)-MIN($C27:$E27))),0)</f>
        <v>0</v>
      </c>
      <c r="N27" s="154">
        <f>IFERROR(IF($G27=1,C27/SUM($C27:$E27),+(1/C27)/((1/$C27)+(1/$D27)+(1/$E27))),0)</f>
        <v>0</v>
      </c>
      <c r="O27" s="154">
        <f>IFERROR(IF($G27=1,D27/SUM($C27:$E27),+(1/D27)/((1/$C27)+(1/$D27)+(1/$E27))),0)</f>
        <v>1</v>
      </c>
      <c r="P27" s="154">
        <f>IFERROR(IF($G27=1,E27/SUM($C27:$E27),+(1/E27)/((1/$C27)+(1/$D27)+(1/$E27))),0)</f>
        <v>0</v>
      </c>
      <c r="Q27" s="154">
        <f>IFERROR(IF($G27=1,C27/SQRT(SUM($C27^2,$D27^2,$E27^2)),1-(C27/SQRT(SUM($C27^2,$D27^2,$E27^2)))),0)</f>
        <v>0</v>
      </c>
      <c r="R27" s="154">
        <f>IFERROR(IF($G27=1,D27/SQRT(SUM($C27^2,$D27^2,$E27^2)),1-(D27/SQRT(SUM($C27^2,$D27^2,$E27^2)))),0)</f>
        <v>1</v>
      </c>
      <c r="S27" s="154">
        <f>IFERROR(IF($G27=1,E27/SQRT(SUM($C27^2,$D27^2,$E27^2)),1-(E27/SQRT(SUM($C27^2,$D27^2,$E27^2)))),0)</f>
        <v>0</v>
      </c>
      <c r="T27" s="154">
        <f>IFERROR(IF($G27=0,1-(LN(C27)/LN(PRODUCT($C27:$E27)))/(COUNT($C27:$E27)),LN(C27)/LN(PRODUCT($C27:$E27))),0)</f>
        <v>0</v>
      </c>
      <c r="U27" s="154">
        <f>IFERROR(IF($G27=0,1-(LN(D27)/LN(PRODUCT($C27:$E27)))/(COUNT($C27:$E27)),LN(D27)/LN(PRODUCT($C27:$E27))),0)</f>
        <v>0</v>
      </c>
      <c r="V27" s="154">
        <f>IFERROR(IF($G27=0,1-(LN(E27)/LN(PRODUCT($C27:$E27)))/(COUNT($C27:$E27)),LN(E27)/LN(PRODUCT($C27:$E27))),0)</f>
        <v>0</v>
      </c>
      <c r="W27" s="46"/>
      <c r="X27" s="155">
        <f>EMMa!K26</f>
        <v>7</v>
      </c>
      <c r="Y27" s="46"/>
      <c r="Z27" s="156">
        <f t="shared" ref="Z27:AN27" si="22">$X27*H27</f>
        <v>0</v>
      </c>
      <c r="AA27" s="156">
        <f t="shared" si="22"/>
        <v>7</v>
      </c>
      <c r="AB27" s="156">
        <f t="shared" si="22"/>
        <v>0</v>
      </c>
      <c r="AC27" s="156">
        <f t="shared" si="22"/>
        <v>0</v>
      </c>
      <c r="AD27" s="156">
        <f t="shared" si="22"/>
        <v>7</v>
      </c>
      <c r="AE27" s="156">
        <f t="shared" si="22"/>
        <v>0</v>
      </c>
      <c r="AF27" s="156">
        <f t="shared" si="22"/>
        <v>0</v>
      </c>
      <c r="AG27" s="156">
        <f t="shared" si="22"/>
        <v>7</v>
      </c>
      <c r="AH27" s="156">
        <f t="shared" si="22"/>
        <v>0</v>
      </c>
      <c r="AI27" s="156">
        <f t="shared" si="22"/>
        <v>0</v>
      </c>
      <c r="AJ27" s="156">
        <f t="shared" si="22"/>
        <v>7</v>
      </c>
      <c r="AK27" s="156">
        <f t="shared" si="22"/>
        <v>0</v>
      </c>
      <c r="AL27" s="156">
        <f t="shared" si="22"/>
        <v>0</v>
      </c>
      <c r="AM27" s="156">
        <f t="shared" si="22"/>
        <v>0</v>
      </c>
      <c r="AN27" s="156">
        <f t="shared" si="22"/>
        <v>0</v>
      </c>
    </row>
    <row r="28" spans="2:40" x14ac:dyDescent="0.3">
      <c r="B28" s="132" t="str">
        <f>+EMMa!B27</f>
        <v>Computational efficiency</v>
      </c>
      <c r="C28" s="145"/>
      <c r="D28" s="146"/>
      <c r="E28" s="146"/>
      <c r="F28" s="147"/>
      <c r="G28" s="147"/>
      <c r="H28" s="148"/>
      <c r="I28" s="148"/>
      <c r="J28" s="148"/>
      <c r="K28" s="149"/>
      <c r="L28" s="149"/>
      <c r="M28" s="149"/>
      <c r="N28" s="149"/>
      <c r="O28" s="149"/>
      <c r="P28" s="149"/>
      <c r="Q28" s="149"/>
      <c r="R28" s="149"/>
      <c r="S28" s="149"/>
      <c r="T28" s="149"/>
      <c r="U28" s="149"/>
      <c r="V28" s="149"/>
      <c r="W28" s="149"/>
      <c r="X28" s="98"/>
      <c r="Y28" s="149"/>
      <c r="Z28" s="149"/>
      <c r="AA28" s="149"/>
      <c r="AB28" s="149"/>
      <c r="AC28" s="149"/>
      <c r="AD28" s="149"/>
      <c r="AE28" s="149"/>
      <c r="AF28" s="149"/>
      <c r="AG28" s="149"/>
      <c r="AH28" s="149"/>
      <c r="AI28" s="149"/>
      <c r="AJ28" s="149"/>
      <c r="AK28" s="149"/>
      <c r="AL28" s="149"/>
      <c r="AM28" s="149"/>
      <c r="AN28" s="150"/>
    </row>
    <row r="29" spans="2:40" ht="28.2" customHeight="1" x14ac:dyDescent="0.3">
      <c r="B29" s="57" t="str">
        <f>+EMMa!B28</f>
        <v>Run Time in Sec</v>
      </c>
      <c r="C29" s="139">
        <f>+EMMa!C28</f>
        <v>7421.4</v>
      </c>
      <c r="D29" s="139">
        <f>+EMMa!D28</f>
        <v>668989.08823500003</v>
      </c>
      <c r="E29" s="139">
        <f>+EMMa!E28</f>
        <v>9488.2753489999996</v>
      </c>
      <c r="F29" s="140" t="str">
        <f>+EMMa!F28</f>
        <v>Lower the better</v>
      </c>
      <c r="G29" s="140">
        <f>+EMMa!G28</f>
        <v>0</v>
      </c>
      <c r="H29" s="141">
        <f>+IFERROR(IF($G29=1,$C29/MAX($C29:$E29),1-($C29/MAX($C29:$E29))),0)</f>
        <v>0.98890654551693813</v>
      </c>
      <c r="I29" s="141">
        <f>+IFERROR(IF($G29=1,$D29/MAX($C29:$E29),1-($D29/MAX($C29:$E29))),0)</f>
        <v>0</v>
      </c>
      <c r="J29" s="141">
        <f>+IFERROR(IF($G29=1,$E29/MAX($C29:$E29),1-($E29/MAX($C29:$E29))),0)</f>
        <v>0.98581699535035316</v>
      </c>
      <c r="K29" s="142">
        <f t="shared" ref="K29:M30" si="23">IFERROR(IF($G29=1,(C29-MIN($C29:$E29))/(MAX($C29:$E29)-MIN($C29:$E29)),(MAX($C29:$E29)-C29)/(MAX($C29:$E29)-MIN($C29:$E29))),0)</f>
        <v>1</v>
      </c>
      <c r="L29" s="142">
        <f t="shared" si="23"/>
        <v>0</v>
      </c>
      <c r="M29" s="142">
        <f t="shared" si="23"/>
        <v>0.99687579156939454</v>
      </c>
      <c r="N29" s="142">
        <f t="shared" ref="N29:P30" si="24">IFERROR(IF($G29=1,C29/SUM($C29:$E29),+(1/C29)/((1/$C29)+(1/$D29)+(1/$E29))),0)</f>
        <v>0.55764399973829171</v>
      </c>
      <c r="O29" s="142">
        <f t="shared" si="24"/>
        <v>6.1861983288492755E-3</v>
      </c>
      <c r="P29" s="142">
        <f t="shared" si="24"/>
        <v>0.43616980193285892</v>
      </c>
      <c r="Q29" s="142">
        <f t="shared" ref="Q29:S30" si="25">IFERROR(IF($G29=1,C29/SQRT(SUM($C29^2,$D29^2,$E29^2)),1-(C29/SQRT(SUM($C29^2,$D29^2,$E29^2)))),0)</f>
        <v>0.98890834345271095</v>
      </c>
      <c r="R29" s="142">
        <f t="shared" si="25"/>
        <v>1.6207176722726757E-4</v>
      </c>
      <c r="S29" s="142">
        <f t="shared" si="25"/>
        <v>0.98581929401498136</v>
      </c>
      <c r="T29" s="142">
        <f t="shared" ref="T29:V30" si="26">IFERROR(IF($G29=0,1-(LN(C29)/LN(PRODUCT($C29:$E29)))/(COUNT($C29:$E29)),LN(C29)/LN(PRODUCT($C29:$E29))),0)</f>
        <v>0.90564226934491066</v>
      </c>
      <c r="U29" s="142">
        <f t="shared" si="26"/>
        <v>0.85798337911283884</v>
      </c>
      <c r="V29" s="142">
        <f t="shared" si="26"/>
        <v>0.90304101820891725</v>
      </c>
      <c r="W29" s="46"/>
      <c r="X29" s="143">
        <f>EMMa!K28</f>
        <v>4</v>
      </c>
      <c r="Y29" s="46"/>
      <c r="Z29" s="144">
        <f t="shared" ref="Z29:AN30" si="27">$X29*H29</f>
        <v>3.9556261820677525</v>
      </c>
      <c r="AA29" s="144">
        <f t="shared" si="27"/>
        <v>0</v>
      </c>
      <c r="AB29" s="144">
        <f t="shared" si="27"/>
        <v>3.9432679814014127</v>
      </c>
      <c r="AC29" s="144">
        <f t="shared" si="27"/>
        <v>4</v>
      </c>
      <c r="AD29" s="144">
        <f t="shared" si="27"/>
        <v>0</v>
      </c>
      <c r="AE29" s="144">
        <f t="shared" si="27"/>
        <v>3.9875031662775782</v>
      </c>
      <c r="AF29" s="144">
        <f t="shared" si="27"/>
        <v>2.2305759989531668</v>
      </c>
      <c r="AG29" s="144">
        <f t="shared" si="27"/>
        <v>2.4744793315397102E-2</v>
      </c>
      <c r="AH29" s="144">
        <f t="shared" si="27"/>
        <v>1.7446792077314357</v>
      </c>
      <c r="AI29" s="144">
        <f t="shared" si="27"/>
        <v>3.9556333738108438</v>
      </c>
      <c r="AJ29" s="144">
        <f t="shared" si="27"/>
        <v>6.4828706890907029E-4</v>
      </c>
      <c r="AK29" s="144">
        <f t="shared" si="27"/>
        <v>3.9432771760599254</v>
      </c>
      <c r="AL29" s="144">
        <f t="shared" si="27"/>
        <v>3.6225690773796426</v>
      </c>
      <c r="AM29" s="144">
        <f t="shared" si="27"/>
        <v>3.4319335164513554</v>
      </c>
      <c r="AN29" s="144">
        <f t="shared" si="27"/>
        <v>3.612164072835669</v>
      </c>
    </row>
    <row r="30" spans="2:40" ht="28.2" customHeight="1" x14ac:dyDescent="0.3">
      <c r="B30" s="57" t="str">
        <f>+EMMa!B29</f>
        <v>Peak memory Usage in MB's</v>
      </c>
      <c r="C30" s="82">
        <f>+EMMa!C29</f>
        <v>712.78</v>
      </c>
      <c r="D30" s="82">
        <f>+EMMa!D29</f>
        <v>1768</v>
      </c>
      <c r="E30" s="82">
        <f>+EMMa!E29</f>
        <v>3992</v>
      </c>
      <c r="F30" s="81" t="str">
        <f>+EMMa!F29</f>
        <v>Lower the better</v>
      </c>
      <c r="G30" s="81">
        <f>+EMMa!G29</f>
        <v>0</v>
      </c>
      <c r="H30" s="80">
        <f>+IFERROR(IF($G30=1,$C30/MAX($C30:$E30),1-($C30/MAX($C30:$E30))),0)</f>
        <v>0.82144789579158317</v>
      </c>
      <c r="I30" s="80">
        <f>+IFERROR(IF($G30=1,$D30/MAX($C30:$E30),1-($D30/MAX($C30:$E30))),0)</f>
        <v>0.55711422845691383</v>
      </c>
      <c r="J30" s="80">
        <f>+IFERROR(IF($G30=1,$E30/MAX($C30:$E30),1-($E30/MAX($C30:$E30))),0)</f>
        <v>0</v>
      </c>
      <c r="K30" s="83">
        <f t="shared" si="23"/>
        <v>1</v>
      </c>
      <c r="L30" s="83">
        <f t="shared" si="23"/>
        <v>0.67821006214892565</v>
      </c>
      <c r="M30" s="83">
        <f t="shared" si="23"/>
        <v>0</v>
      </c>
      <c r="N30" s="83">
        <f t="shared" si="24"/>
        <v>0.63222786093154137</v>
      </c>
      <c r="O30" s="83">
        <f t="shared" si="24"/>
        <v>0.25488652415994573</v>
      </c>
      <c r="P30" s="83">
        <f t="shared" si="24"/>
        <v>0.11288561490851302</v>
      </c>
      <c r="Q30" s="83">
        <f t="shared" si="25"/>
        <v>0.83887581958268831</v>
      </c>
      <c r="R30" s="83">
        <f t="shared" si="25"/>
        <v>0.60034295157298589</v>
      </c>
      <c r="S30" s="83">
        <f t="shared" si="25"/>
        <v>9.7606935904615333E-2</v>
      </c>
      <c r="T30" s="83">
        <f t="shared" si="26"/>
        <v>0.90197674667010375</v>
      </c>
      <c r="U30" s="83">
        <f t="shared" si="26"/>
        <v>0.88842140168850148</v>
      </c>
      <c r="V30" s="83">
        <f t="shared" si="26"/>
        <v>0.87626851830806152</v>
      </c>
      <c r="W30" s="46"/>
      <c r="X30" s="130">
        <f>EMMa!K29</f>
        <v>4</v>
      </c>
      <c r="Y30" s="46"/>
      <c r="Z30" s="131">
        <f t="shared" si="27"/>
        <v>3.2857915831663327</v>
      </c>
      <c r="AA30" s="131">
        <f t="shared" si="27"/>
        <v>2.2284569138276553</v>
      </c>
      <c r="AB30" s="131">
        <f t="shared" si="27"/>
        <v>0</v>
      </c>
      <c r="AC30" s="131">
        <f t="shared" si="27"/>
        <v>4</v>
      </c>
      <c r="AD30" s="131">
        <f t="shared" si="27"/>
        <v>2.7128402485957026</v>
      </c>
      <c r="AE30" s="131">
        <f t="shared" si="27"/>
        <v>0</v>
      </c>
      <c r="AF30" s="131">
        <f t="shared" si="27"/>
        <v>2.5289114437261655</v>
      </c>
      <c r="AG30" s="131">
        <f t="shared" si="27"/>
        <v>1.0195460966397829</v>
      </c>
      <c r="AH30" s="131">
        <f t="shared" si="27"/>
        <v>0.4515424596340521</v>
      </c>
      <c r="AI30" s="131">
        <f t="shared" si="27"/>
        <v>3.3555032783307532</v>
      </c>
      <c r="AJ30" s="131">
        <f t="shared" si="27"/>
        <v>2.4013718062919436</v>
      </c>
      <c r="AK30" s="131">
        <f t="shared" si="27"/>
        <v>0.39042774361846133</v>
      </c>
      <c r="AL30" s="131">
        <f t="shared" si="27"/>
        <v>3.607906986680415</v>
      </c>
      <c r="AM30" s="131">
        <f t="shared" si="27"/>
        <v>3.5536856067540059</v>
      </c>
      <c r="AN30" s="131">
        <f t="shared" si="27"/>
        <v>3.5050740732322461</v>
      </c>
    </row>
    <row r="31" spans="2:40" x14ac:dyDescent="0.3">
      <c r="B31" s="118" t="str">
        <f>+EMMa!B30</f>
        <v>Usability</v>
      </c>
      <c r="C31" s="145"/>
      <c r="D31" s="146"/>
      <c r="E31" s="146"/>
      <c r="F31" s="147"/>
      <c r="G31" s="147"/>
      <c r="H31" s="148"/>
      <c r="I31" s="148"/>
      <c r="J31" s="148"/>
      <c r="K31" s="149"/>
      <c r="L31" s="149"/>
      <c r="M31" s="149"/>
      <c r="N31" s="149"/>
      <c r="O31" s="149"/>
      <c r="P31" s="149"/>
      <c r="Q31" s="149"/>
      <c r="R31" s="149"/>
      <c r="S31" s="149"/>
      <c r="T31" s="149"/>
      <c r="U31" s="149"/>
      <c r="V31" s="149"/>
      <c r="W31" s="149"/>
      <c r="X31" s="98"/>
      <c r="Y31" s="149"/>
      <c r="Z31" s="149"/>
      <c r="AA31" s="149"/>
      <c r="AB31" s="149"/>
      <c r="AC31" s="149"/>
      <c r="AD31" s="149"/>
      <c r="AE31" s="149"/>
      <c r="AF31" s="149"/>
      <c r="AG31" s="149"/>
      <c r="AH31" s="149"/>
      <c r="AI31" s="149"/>
      <c r="AJ31" s="149"/>
      <c r="AK31" s="149"/>
      <c r="AL31" s="149"/>
      <c r="AM31" s="149"/>
      <c r="AN31" s="150"/>
    </row>
    <row r="32" spans="2:40" ht="28.8" x14ac:dyDescent="0.3">
      <c r="B32" s="57" t="str">
        <f>+EMMa!B31</f>
        <v>Familiarity</v>
      </c>
      <c r="C32" s="82">
        <f>+EMMa!C31</f>
        <v>3</v>
      </c>
      <c r="D32" s="82">
        <f>+EMMa!D31</f>
        <v>7</v>
      </c>
      <c r="E32" s="82">
        <f>+EMMa!E31</f>
        <v>6</v>
      </c>
      <c r="F32" s="81" t="str">
        <f>+EMMa!F31</f>
        <v>Higher the better</v>
      </c>
      <c r="G32" s="81">
        <f>+EMMa!G31</f>
        <v>1</v>
      </c>
      <c r="H32" s="80">
        <f t="shared" ref="H32:H38" si="28">+IFERROR(IF($G32=1,$C32/MAX($C32:$E32),1-($C32/MAX($C32:$E32))),0)</f>
        <v>0.42857142857142855</v>
      </c>
      <c r="I32" s="80">
        <f t="shared" ref="I32:I38" si="29">+IFERROR(IF($G32=1,$D32/MAX($C32:$E32),1-($D32/MAX($C32:$E32))),0)</f>
        <v>1</v>
      </c>
      <c r="J32" s="80">
        <f t="shared" ref="J32:J38" si="30">+IFERROR(IF($G32=1,$E32/MAX($C32:$E32),1-($E32/MAX($C32:$E32))),0)</f>
        <v>0.8571428571428571</v>
      </c>
      <c r="K32" s="83">
        <f t="shared" ref="K32:M38" si="31">IFERROR(IF($G32=1,(C32-MIN($C32:$E32))/(MAX($C32:$E32)-MIN($C32:$E32)),(MAX($C32:$E32)-C32)/(MAX($C32:$E32)-MIN($C32:$E32))),0)</f>
        <v>0</v>
      </c>
      <c r="L32" s="83">
        <f t="shared" si="31"/>
        <v>1</v>
      </c>
      <c r="M32" s="83">
        <f t="shared" si="31"/>
        <v>0.75</v>
      </c>
      <c r="N32" s="83">
        <f t="shared" ref="N32:P38" si="32">IFERROR(IF($G32=1,C32/SUM($C32:$E32),+(1/C32)/((1/$C32)+(1/$D32)+(1/$E32))),0)</f>
        <v>0.1875</v>
      </c>
      <c r="O32" s="83">
        <f t="shared" si="32"/>
        <v>0.4375</v>
      </c>
      <c r="P32" s="83">
        <f t="shared" si="32"/>
        <v>0.375</v>
      </c>
      <c r="Q32" s="83">
        <f t="shared" ref="Q32:S38" si="33">IFERROR(IF($G32=1,C32/SQRT(SUM($C32^2,$D32^2,$E32^2)),1-(C32/SQRT(SUM($C32^2,$D32^2,$E32^2)))),0)</f>
        <v>0.30942637387763799</v>
      </c>
      <c r="R32" s="83">
        <f t="shared" si="33"/>
        <v>0.72199487238115534</v>
      </c>
      <c r="S32" s="83">
        <f t="shared" si="33"/>
        <v>0.61885274775527599</v>
      </c>
      <c r="T32" s="83">
        <f t="shared" ref="T32:V38" si="34">IFERROR(IF($G32=0,1-(LN(C32)/LN(PRODUCT($C32:$E32)))/(COUNT($C32:$E32)),LN(C32)/LN(PRODUCT($C32:$E32))),0)</f>
        <v>0.22716051499996484</v>
      </c>
      <c r="U32" s="83">
        <f t="shared" si="34"/>
        <v>0.40235664224997719</v>
      </c>
      <c r="V32" s="83">
        <f t="shared" si="34"/>
        <v>0.37048284275005799</v>
      </c>
      <c r="W32" s="46"/>
      <c r="X32" s="130">
        <f>EMMa!K31</f>
        <v>4</v>
      </c>
      <c r="Y32" s="46"/>
      <c r="Z32" s="131">
        <f t="shared" ref="Z32:AN38" si="35">$X32*H32</f>
        <v>1.7142857142857142</v>
      </c>
      <c r="AA32" s="131">
        <f t="shared" si="35"/>
        <v>4</v>
      </c>
      <c r="AB32" s="131">
        <f t="shared" si="35"/>
        <v>3.4285714285714284</v>
      </c>
      <c r="AC32" s="131">
        <f t="shared" si="35"/>
        <v>0</v>
      </c>
      <c r="AD32" s="131">
        <f t="shared" si="35"/>
        <v>4</v>
      </c>
      <c r="AE32" s="131">
        <f t="shared" si="35"/>
        <v>3</v>
      </c>
      <c r="AF32" s="131">
        <f t="shared" si="35"/>
        <v>0.75</v>
      </c>
      <c r="AG32" s="131">
        <f t="shared" si="35"/>
        <v>1.75</v>
      </c>
      <c r="AH32" s="131">
        <f t="shared" si="35"/>
        <v>1.5</v>
      </c>
      <c r="AI32" s="131">
        <f t="shared" si="35"/>
        <v>1.237705495510552</v>
      </c>
      <c r="AJ32" s="131">
        <f t="shared" si="35"/>
        <v>2.8879794895246214</v>
      </c>
      <c r="AK32" s="131">
        <f t="shared" si="35"/>
        <v>2.475410991021104</v>
      </c>
      <c r="AL32" s="131">
        <f t="shared" si="35"/>
        <v>0.90864205999985936</v>
      </c>
      <c r="AM32" s="131">
        <f t="shared" si="35"/>
        <v>1.6094265689999088</v>
      </c>
      <c r="AN32" s="131">
        <f t="shared" si="35"/>
        <v>1.481931371000232</v>
      </c>
    </row>
    <row r="33" spans="2:40" ht="28.8" x14ac:dyDescent="0.3">
      <c r="B33" s="57" t="str">
        <f>+EMMa!B32</f>
        <v>Simplicity</v>
      </c>
      <c r="C33" s="82">
        <f>+EMMa!C32</f>
        <v>8</v>
      </c>
      <c r="D33" s="82">
        <f>+EMMa!D32</f>
        <v>6</v>
      </c>
      <c r="E33" s="82">
        <f>+EMMa!E32</f>
        <v>5</v>
      </c>
      <c r="F33" s="81" t="str">
        <f>+EMMa!F32</f>
        <v>Higher the better</v>
      </c>
      <c r="G33" s="81">
        <f>+EMMa!G32</f>
        <v>1</v>
      </c>
      <c r="H33" s="80">
        <f t="shared" si="28"/>
        <v>1</v>
      </c>
      <c r="I33" s="80">
        <f t="shared" si="29"/>
        <v>0.75</v>
      </c>
      <c r="J33" s="80">
        <f t="shared" si="30"/>
        <v>0.625</v>
      </c>
      <c r="K33" s="83">
        <f t="shared" si="31"/>
        <v>1</v>
      </c>
      <c r="L33" s="83">
        <f t="shared" si="31"/>
        <v>0.33333333333333331</v>
      </c>
      <c r="M33" s="83">
        <f t="shared" si="31"/>
        <v>0</v>
      </c>
      <c r="N33" s="83">
        <f t="shared" si="32"/>
        <v>0.42105263157894735</v>
      </c>
      <c r="O33" s="83">
        <f t="shared" si="32"/>
        <v>0.31578947368421051</v>
      </c>
      <c r="P33" s="83">
        <f t="shared" si="32"/>
        <v>0.26315789473684209</v>
      </c>
      <c r="Q33" s="83">
        <f t="shared" si="33"/>
        <v>0.71554175279993271</v>
      </c>
      <c r="R33" s="83">
        <f t="shared" si="33"/>
        <v>0.53665631459994945</v>
      </c>
      <c r="S33" s="83">
        <f t="shared" si="33"/>
        <v>0.44721359549995793</v>
      </c>
      <c r="T33" s="83">
        <f t="shared" si="34"/>
        <v>0.37941589854122904</v>
      </c>
      <c r="U33" s="83">
        <f t="shared" si="34"/>
        <v>0.3269252899688333</v>
      </c>
      <c r="V33" s="83">
        <f t="shared" si="34"/>
        <v>0.29365881148993761</v>
      </c>
      <c r="W33" s="46"/>
      <c r="X33" s="130">
        <f>EMMa!K32</f>
        <v>4</v>
      </c>
      <c r="Y33" s="46"/>
      <c r="Z33" s="131">
        <f t="shared" si="35"/>
        <v>4</v>
      </c>
      <c r="AA33" s="131">
        <f t="shared" si="35"/>
        <v>3</v>
      </c>
      <c r="AB33" s="131">
        <f t="shared" si="35"/>
        <v>2.5</v>
      </c>
      <c r="AC33" s="131">
        <f t="shared" si="35"/>
        <v>4</v>
      </c>
      <c r="AD33" s="131">
        <f t="shared" si="35"/>
        <v>1.3333333333333333</v>
      </c>
      <c r="AE33" s="131">
        <f t="shared" si="35"/>
        <v>0</v>
      </c>
      <c r="AF33" s="131">
        <f t="shared" si="35"/>
        <v>1.6842105263157894</v>
      </c>
      <c r="AG33" s="131">
        <f t="shared" si="35"/>
        <v>1.263157894736842</v>
      </c>
      <c r="AH33" s="131">
        <f t="shared" si="35"/>
        <v>1.0526315789473684</v>
      </c>
      <c r="AI33" s="131">
        <f t="shared" si="35"/>
        <v>2.8621670111997308</v>
      </c>
      <c r="AJ33" s="131">
        <f t="shared" si="35"/>
        <v>2.1466252583997978</v>
      </c>
      <c r="AK33" s="131">
        <f t="shared" si="35"/>
        <v>1.7888543819998317</v>
      </c>
      <c r="AL33" s="131">
        <f t="shared" si="35"/>
        <v>1.5176635941649161</v>
      </c>
      <c r="AM33" s="131">
        <f t="shared" si="35"/>
        <v>1.3077011598753332</v>
      </c>
      <c r="AN33" s="131">
        <f t="shared" si="35"/>
        <v>1.1746352459597504</v>
      </c>
    </row>
    <row r="34" spans="2:40" ht="28.8" x14ac:dyDescent="0.3">
      <c r="B34" s="57" t="str">
        <f>+EMMa!B33</f>
        <v>Navigability</v>
      </c>
      <c r="C34" s="82">
        <f>+EMMa!C33</f>
        <v>4</v>
      </c>
      <c r="D34" s="82">
        <f>+EMMa!D33</f>
        <v>7</v>
      </c>
      <c r="E34" s="82">
        <f>+EMMa!E33</f>
        <v>7</v>
      </c>
      <c r="F34" s="81" t="str">
        <f>+EMMa!F33</f>
        <v>Higher the better</v>
      </c>
      <c r="G34" s="81">
        <f>+EMMa!G33</f>
        <v>1</v>
      </c>
      <c r="H34" s="80">
        <f t="shared" si="28"/>
        <v>0.5714285714285714</v>
      </c>
      <c r="I34" s="80">
        <f t="shared" si="29"/>
        <v>1</v>
      </c>
      <c r="J34" s="80">
        <f t="shared" si="30"/>
        <v>1</v>
      </c>
      <c r="K34" s="83">
        <f t="shared" si="31"/>
        <v>0</v>
      </c>
      <c r="L34" s="83">
        <f t="shared" si="31"/>
        <v>1</v>
      </c>
      <c r="M34" s="83">
        <f t="shared" si="31"/>
        <v>1</v>
      </c>
      <c r="N34" s="83">
        <f t="shared" si="32"/>
        <v>0.22222222222222221</v>
      </c>
      <c r="O34" s="83">
        <f t="shared" si="32"/>
        <v>0.3888888888888889</v>
      </c>
      <c r="P34" s="83">
        <f t="shared" si="32"/>
        <v>0.3888888888888889</v>
      </c>
      <c r="Q34" s="83">
        <f t="shared" si="33"/>
        <v>0.3746343246326776</v>
      </c>
      <c r="R34" s="83">
        <f t="shared" si="33"/>
        <v>0.65561006810718581</v>
      </c>
      <c r="S34" s="83">
        <f t="shared" si="33"/>
        <v>0.65561006810718581</v>
      </c>
      <c r="T34" s="83">
        <f t="shared" si="34"/>
        <v>0.26264953503719357</v>
      </c>
      <c r="U34" s="83">
        <f t="shared" si="34"/>
        <v>0.36867523248140321</v>
      </c>
      <c r="V34" s="83">
        <f t="shared" si="34"/>
        <v>0.36867523248140321</v>
      </c>
      <c r="W34" s="46"/>
      <c r="X34" s="130">
        <f>EMMa!K33</f>
        <v>4</v>
      </c>
      <c r="Y34" s="46"/>
      <c r="Z34" s="131">
        <f t="shared" si="35"/>
        <v>2.2857142857142856</v>
      </c>
      <c r="AA34" s="131">
        <f t="shared" si="35"/>
        <v>4</v>
      </c>
      <c r="AB34" s="131">
        <f t="shared" si="35"/>
        <v>4</v>
      </c>
      <c r="AC34" s="131">
        <f t="shared" si="35"/>
        <v>0</v>
      </c>
      <c r="AD34" s="131">
        <f t="shared" si="35"/>
        <v>4</v>
      </c>
      <c r="AE34" s="131">
        <f t="shared" si="35"/>
        <v>4</v>
      </c>
      <c r="AF34" s="131">
        <f t="shared" si="35"/>
        <v>0.88888888888888884</v>
      </c>
      <c r="AG34" s="131">
        <f t="shared" si="35"/>
        <v>1.5555555555555556</v>
      </c>
      <c r="AH34" s="131">
        <f t="shared" si="35"/>
        <v>1.5555555555555556</v>
      </c>
      <c r="AI34" s="131">
        <f t="shared" si="35"/>
        <v>1.4985372985307104</v>
      </c>
      <c r="AJ34" s="131">
        <f t="shared" si="35"/>
        <v>2.6224402724287432</v>
      </c>
      <c r="AK34" s="131">
        <f t="shared" si="35"/>
        <v>2.6224402724287432</v>
      </c>
      <c r="AL34" s="131">
        <f t="shared" si="35"/>
        <v>1.0505981401487743</v>
      </c>
      <c r="AM34" s="131">
        <f t="shared" si="35"/>
        <v>1.4747009299256129</v>
      </c>
      <c r="AN34" s="131">
        <f t="shared" si="35"/>
        <v>1.4747009299256129</v>
      </c>
    </row>
    <row r="35" spans="2:40" ht="28.8" x14ac:dyDescent="0.3">
      <c r="B35" s="57" t="str">
        <f>+EMMa!B34</f>
        <v>Controllability</v>
      </c>
      <c r="C35" s="82">
        <f>+EMMa!C34</f>
        <v>8</v>
      </c>
      <c r="D35" s="82">
        <f>+EMMa!D34</f>
        <v>7</v>
      </c>
      <c r="E35" s="82">
        <f>+EMMa!E34</f>
        <v>6</v>
      </c>
      <c r="F35" s="81" t="str">
        <f>+EMMa!F34</f>
        <v>Higher the better</v>
      </c>
      <c r="G35" s="81">
        <f>+EMMa!G34</f>
        <v>1</v>
      </c>
      <c r="H35" s="80">
        <f t="shared" si="28"/>
        <v>1</v>
      </c>
      <c r="I35" s="80">
        <f t="shared" si="29"/>
        <v>0.875</v>
      </c>
      <c r="J35" s="80">
        <f t="shared" si="30"/>
        <v>0.75</v>
      </c>
      <c r="K35" s="83">
        <f t="shared" si="31"/>
        <v>1</v>
      </c>
      <c r="L35" s="83">
        <f t="shared" si="31"/>
        <v>0.5</v>
      </c>
      <c r="M35" s="83">
        <f t="shared" si="31"/>
        <v>0</v>
      </c>
      <c r="N35" s="83">
        <f t="shared" si="32"/>
        <v>0.38095238095238093</v>
      </c>
      <c r="O35" s="83">
        <f t="shared" si="32"/>
        <v>0.33333333333333331</v>
      </c>
      <c r="P35" s="83">
        <f t="shared" si="32"/>
        <v>0.2857142857142857</v>
      </c>
      <c r="Q35" s="83">
        <f t="shared" si="33"/>
        <v>0.65538553641523245</v>
      </c>
      <c r="R35" s="83">
        <f t="shared" si="33"/>
        <v>0.57346234436332832</v>
      </c>
      <c r="S35" s="83">
        <f t="shared" si="33"/>
        <v>0.49153915231142431</v>
      </c>
      <c r="T35" s="83">
        <f t="shared" si="34"/>
        <v>0.35746979634698767</v>
      </c>
      <c r="U35" s="83">
        <f t="shared" si="34"/>
        <v>0.33451486408721509</v>
      </c>
      <c r="V35" s="83">
        <f t="shared" si="34"/>
        <v>0.30801533956579724</v>
      </c>
      <c r="W35" s="46"/>
      <c r="X35" s="130">
        <f>EMMa!K34</f>
        <v>4</v>
      </c>
      <c r="Y35" s="46"/>
      <c r="Z35" s="131">
        <f t="shared" si="35"/>
        <v>4</v>
      </c>
      <c r="AA35" s="131">
        <f t="shared" si="35"/>
        <v>3.5</v>
      </c>
      <c r="AB35" s="131">
        <f t="shared" si="35"/>
        <v>3</v>
      </c>
      <c r="AC35" s="131">
        <f t="shared" si="35"/>
        <v>4</v>
      </c>
      <c r="AD35" s="131">
        <f t="shared" si="35"/>
        <v>2</v>
      </c>
      <c r="AE35" s="131">
        <f t="shared" si="35"/>
        <v>0</v>
      </c>
      <c r="AF35" s="131">
        <f t="shared" si="35"/>
        <v>1.5238095238095237</v>
      </c>
      <c r="AG35" s="131">
        <f t="shared" si="35"/>
        <v>1.3333333333333333</v>
      </c>
      <c r="AH35" s="131">
        <f t="shared" si="35"/>
        <v>1.1428571428571428</v>
      </c>
      <c r="AI35" s="131">
        <f t="shared" si="35"/>
        <v>2.6215421456609298</v>
      </c>
      <c r="AJ35" s="131">
        <f t="shared" si="35"/>
        <v>2.2938493774533133</v>
      </c>
      <c r="AK35" s="131">
        <f t="shared" si="35"/>
        <v>1.9661566092456972</v>
      </c>
      <c r="AL35" s="131">
        <f t="shared" si="35"/>
        <v>1.4298791853879507</v>
      </c>
      <c r="AM35" s="131">
        <f t="shared" si="35"/>
        <v>1.3380594563488604</v>
      </c>
      <c r="AN35" s="131">
        <f t="shared" si="35"/>
        <v>1.232061358263189</v>
      </c>
    </row>
    <row r="36" spans="2:40" ht="28.8" x14ac:dyDescent="0.3">
      <c r="B36" s="57" t="str">
        <f>+EMMa!B35</f>
        <v>Readability</v>
      </c>
      <c r="C36" s="82">
        <f>+EMMa!C35</f>
        <v>5</v>
      </c>
      <c r="D36" s="82">
        <f>+EMMa!D35</f>
        <v>7</v>
      </c>
      <c r="E36" s="82">
        <f>+EMMa!E35</f>
        <v>7</v>
      </c>
      <c r="F36" s="81" t="str">
        <f>+EMMa!F35</f>
        <v>Higher the better</v>
      </c>
      <c r="G36" s="81">
        <f>+EMMa!G35</f>
        <v>1</v>
      </c>
      <c r="H36" s="80">
        <f t="shared" si="28"/>
        <v>0.7142857142857143</v>
      </c>
      <c r="I36" s="80">
        <f t="shared" si="29"/>
        <v>1</v>
      </c>
      <c r="J36" s="80">
        <f t="shared" si="30"/>
        <v>1</v>
      </c>
      <c r="K36" s="83">
        <f t="shared" si="31"/>
        <v>0</v>
      </c>
      <c r="L36" s="83">
        <f t="shared" si="31"/>
        <v>1</v>
      </c>
      <c r="M36" s="83">
        <f t="shared" si="31"/>
        <v>1</v>
      </c>
      <c r="N36" s="83">
        <f t="shared" si="32"/>
        <v>0.26315789473684209</v>
      </c>
      <c r="O36" s="83">
        <f t="shared" si="32"/>
        <v>0.36842105263157893</v>
      </c>
      <c r="P36" s="83">
        <f t="shared" si="32"/>
        <v>0.36842105263157893</v>
      </c>
      <c r="Q36" s="83">
        <f t="shared" si="33"/>
        <v>0.45083481733371611</v>
      </c>
      <c r="R36" s="83">
        <f t="shared" si="33"/>
        <v>0.6311687442672026</v>
      </c>
      <c r="S36" s="83">
        <f t="shared" si="33"/>
        <v>0.6311687442672026</v>
      </c>
      <c r="T36" s="83">
        <f t="shared" si="34"/>
        <v>0.29255814776138928</v>
      </c>
      <c r="U36" s="83">
        <f t="shared" si="34"/>
        <v>0.35372092611930528</v>
      </c>
      <c r="V36" s="83">
        <f t="shared" si="34"/>
        <v>0.35372092611930528</v>
      </c>
      <c r="W36" s="46"/>
      <c r="X36" s="130">
        <f>EMMa!K35</f>
        <v>4</v>
      </c>
      <c r="Y36" s="46"/>
      <c r="Z36" s="131">
        <f t="shared" si="35"/>
        <v>2.8571428571428572</v>
      </c>
      <c r="AA36" s="131">
        <f t="shared" si="35"/>
        <v>4</v>
      </c>
      <c r="AB36" s="131">
        <f t="shared" si="35"/>
        <v>4</v>
      </c>
      <c r="AC36" s="131">
        <f t="shared" si="35"/>
        <v>0</v>
      </c>
      <c r="AD36" s="131">
        <f t="shared" si="35"/>
        <v>4</v>
      </c>
      <c r="AE36" s="131">
        <f t="shared" si="35"/>
        <v>4</v>
      </c>
      <c r="AF36" s="131">
        <f t="shared" si="35"/>
        <v>1.0526315789473684</v>
      </c>
      <c r="AG36" s="131">
        <f t="shared" si="35"/>
        <v>1.4736842105263157</v>
      </c>
      <c r="AH36" s="131">
        <f t="shared" si="35"/>
        <v>1.4736842105263157</v>
      </c>
      <c r="AI36" s="131">
        <f t="shared" si="35"/>
        <v>1.8033392693348644</v>
      </c>
      <c r="AJ36" s="131">
        <f t="shared" si="35"/>
        <v>2.5246749770688104</v>
      </c>
      <c r="AK36" s="131">
        <f t="shared" si="35"/>
        <v>2.5246749770688104</v>
      </c>
      <c r="AL36" s="131">
        <f t="shared" si="35"/>
        <v>1.1702325910455571</v>
      </c>
      <c r="AM36" s="131">
        <f t="shared" si="35"/>
        <v>1.4148837044772211</v>
      </c>
      <c r="AN36" s="131">
        <f t="shared" si="35"/>
        <v>1.4148837044772211</v>
      </c>
    </row>
    <row r="37" spans="2:40" ht="28.8" x14ac:dyDescent="0.3">
      <c r="B37" s="57" t="str">
        <f>+EMMa!B36</f>
        <v>User guidance</v>
      </c>
      <c r="C37" s="82">
        <f>+EMMa!C36</f>
        <v>6</v>
      </c>
      <c r="D37" s="82">
        <f>+EMMa!D36</f>
        <v>9</v>
      </c>
      <c r="E37" s="82">
        <f>+EMMa!E36</f>
        <v>9</v>
      </c>
      <c r="F37" s="81" t="str">
        <f>+EMMa!F36</f>
        <v>Higher the better</v>
      </c>
      <c r="G37" s="81">
        <f>+EMMa!G36</f>
        <v>1</v>
      </c>
      <c r="H37" s="80">
        <f t="shared" si="28"/>
        <v>0.66666666666666663</v>
      </c>
      <c r="I37" s="80">
        <f t="shared" si="29"/>
        <v>1</v>
      </c>
      <c r="J37" s="80">
        <f t="shared" si="30"/>
        <v>1</v>
      </c>
      <c r="K37" s="83">
        <f t="shared" si="31"/>
        <v>0</v>
      </c>
      <c r="L37" s="83">
        <f t="shared" si="31"/>
        <v>1</v>
      </c>
      <c r="M37" s="83">
        <f t="shared" si="31"/>
        <v>1</v>
      </c>
      <c r="N37" s="83">
        <f t="shared" si="32"/>
        <v>0.25</v>
      </c>
      <c r="O37" s="83">
        <f t="shared" si="32"/>
        <v>0.375</v>
      </c>
      <c r="P37" s="83">
        <f t="shared" si="32"/>
        <v>0.375</v>
      </c>
      <c r="Q37" s="83">
        <f t="shared" si="33"/>
        <v>0.42640143271122088</v>
      </c>
      <c r="R37" s="83">
        <f t="shared" si="33"/>
        <v>0.63960214906683133</v>
      </c>
      <c r="S37" s="83">
        <f t="shared" si="33"/>
        <v>0.63960214906683133</v>
      </c>
      <c r="T37" s="83">
        <f t="shared" si="34"/>
        <v>0.28963773745126703</v>
      </c>
      <c r="U37" s="83">
        <f t="shared" si="34"/>
        <v>0.35518113127436651</v>
      </c>
      <c r="V37" s="83">
        <f t="shared" si="34"/>
        <v>0.35518113127436651</v>
      </c>
      <c r="W37" s="46"/>
      <c r="X37" s="130">
        <f>EMMa!K36</f>
        <v>4</v>
      </c>
      <c r="Y37" s="46"/>
      <c r="Z37" s="131">
        <f t="shared" si="35"/>
        <v>2.6666666666666665</v>
      </c>
      <c r="AA37" s="131">
        <f t="shared" si="35"/>
        <v>4</v>
      </c>
      <c r="AB37" s="131">
        <f t="shared" si="35"/>
        <v>4</v>
      </c>
      <c r="AC37" s="131">
        <f t="shared" si="35"/>
        <v>0</v>
      </c>
      <c r="AD37" s="131">
        <f t="shared" si="35"/>
        <v>4</v>
      </c>
      <c r="AE37" s="131">
        <f t="shared" si="35"/>
        <v>4</v>
      </c>
      <c r="AF37" s="131">
        <f t="shared" si="35"/>
        <v>1</v>
      </c>
      <c r="AG37" s="131">
        <f t="shared" si="35"/>
        <v>1.5</v>
      </c>
      <c r="AH37" s="131">
        <f t="shared" si="35"/>
        <v>1.5</v>
      </c>
      <c r="AI37" s="131">
        <f t="shared" si="35"/>
        <v>1.7056057308448835</v>
      </c>
      <c r="AJ37" s="131">
        <f t="shared" si="35"/>
        <v>2.5584085962673253</v>
      </c>
      <c r="AK37" s="131">
        <f t="shared" si="35"/>
        <v>2.5584085962673253</v>
      </c>
      <c r="AL37" s="131">
        <f t="shared" si="35"/>
        <v>1.1585509498050681</v>
      </c>
      <c r="AM37" s="131">
        <f t="shared" si="35"/>
        <v>1.4207245250974661</v>
      </c>
      <c r="AN37" s="131">
        <f t="shared" si="35"/>
        <v>1.4207245250974661</v>
      </c>
    </row>
    <row r="38" spans="2:40" ht="28.8" x14ac:dyDescent="0.3">
      <c r="B38" s="57" t="str">
        <f>+EMMa!B37</f>
        <v>Flexibility</v>
      </c>
      <c r="C38" s="82">
        <f>+EMMa!C37</f>
        <v>4</v>
      </c>
      <c r="D38" s="82">
        <f>+EMMa!D37</f>
        <v>6</v>
      </c>
      <c r="E38" s="82">
        <f>+EMMa!E37</f>
        <v>5</v>
      </c>
      <c r="F38" s="81" t="str">
        <f>+EMMa!F37</f>
        <v>Higher the better</v>
      </c>
      <c r="G38" s="81">
        <f>+EMMa!G37</f>
        <v>1</v>
      </c>
      <c r="H38" s="80">
        <f t="shared" si="28"/>
        <v>0.66666666666666663</v>
      </c>
      <c r="I38" s="80">
        <f t="shared" si="29"/>
        <v>1</v>
      </c>
      <c r="J38" s="80">
        <f t="shared" si="30"/>
        <v>0.83333333333333337</v>
      </c>
      <c r="K38" s="83">
        <f t="shared" si="31"/>
        <v>0</v>
      </c>
      <c r="L38" s="83">
        <f t="shared" si="31"/>
        <v>1</v>
      </c>
      <c r="M38" s="83">
        <f t="shared" si="31"/>
        <v>0.5</v>
      </c>
      <c r="N38" s="83">
        <f t="shared" si="32"/>
        <v>0.26666666666666666</v>
      </c>
      <c r="O38" s="83">
        <f t="shared" si="32"/>
        <v>0.4</v>
      </c>
      <c r="P38" s="83">
        <f t="shared" si="32"/>
        <v>0.33333333333333331</v>
      </c>
      <c r="Q38" s="83">
        <f t="shared" si="33"/>
        <v>0.45584230583855179</v>
      </c>
      <c r="R38" s="83">
        <f t="shared" si="33"/>
        <v>0.68376345875782762</v>
      </c>
      <c r="S38" s="83">
        <f t="shared" si="33"/>
        <v>0.56980288229818976</v>
      </c>
      <c r="T38" s="83">
        <f t="shared" si="34"/>
        <v>0.28956590122791626</v>
      </c>
      <c r="U38" s="83">
        <f t="shared" si="34"/>
        <v>0.37425849808084488</v>
      </c>
      <c r="V38" s="83">
        <f t="shared" si="34"/>
        <v>0.33617560069123886</v>
      </c>
      <c r="W38" s="46"/>
      <c r="X38" s="130">
        <f>EMMa!K37</f>
        <v>4</v>
      </c>
      <c r="Y38" s="46"/>
      <c r="Z38" s="131">
        <f t="shared" si="35"/>
        <v>2.6666666666666665</v>
      </c>
      <c r="AA38" s="131">
        <f t="shared" si="35"/>
        <v>4</v>
      </c>
      <c r="AB38" s="131">
        <f t="shared" si="35"/>
        <v>3.3333333333333335</v>
      </c>
      <c r="AC38" s="131">
        <f t="shared" si="35"/>
        <v>0</v>
      </c>
      <c r="AD38" s="131">
        <f t="shared" si="35"/>
        <v>4</v>
      </c>
      <c r="AE38" s="131">
        <f t="shared" si="35"/>
        <v>2</v>
      </c>
      <c r="AF38" s="131">
        <f t="shared" si="35"/>
        <v>1.0666666666666667</v>
      </c>
      <c r="AG38" s="131">
        <f t="shared" si="35"/>
        <v>1.6</v>
      </c>
      <c r="AH38" s="131">
        <f t="shared" si="35"/>
        <v>1.3333333333333333</v>
      </c>
      <c r="AI38" s="131">
        <f t="shared" si="35"/>
        <v>1.8233692233542071</v>
      </c>
      <c r="AJ38" s="131">
        <f t="shared" si="35"/>
        <v>2.7350538350313105</v>
      </c>
      <c r="AK38" s="131">
        <f t="shared" si="35"/>
        <v>2.279211529192759</v>
      </c>
      <c r="AL38" s="131">
        <f t="shared" si="35"/>
        <v>1.158263604911665</v>
      </c>
      <c r="AM38" s="131">
        <f t="shared" si="35"/>
        <v>1.4970339923233795</v>
      </c>
      <c r="AN38" s="131">
        <f t="shared" si="35"/>
        <v>1.3447024027649555</v>
      </c>
    </row>
    <row r="41" spans="2:40" x14ac:dyDescent="0.3">
      <c r="B41" s="51" t="s">
        <v>92</v>
      </c>
      <c r="F41" s="52"/>
      <c r="G41" s="52"/>
    </row>
    <row r="42" spans="2:40" x14ac:dyDescent="0.3">
      <c r="B42" s="110" t="str">
        <f>Visualization!A6</f>
        <v>Conceptual Validation</v>
      </c>
      <c r="F42" s="103"/>
      <c r="G42" s="103"/>
      <c r="H42" s="102">
        <f t="shared" ref="H42:V42" si="36">SUM(H5:H11)</f>
        <v>2.3997861486048224</v>
      </c>
      <c r="I42" s="102">
        <f t="shared" si="36"/>
        <v>3.2465560664610846</v>
      </c>
      <c r="J42" s="102">
        <f t="shared" si="36"/>
        <v>1.9694963558615142</v>
      </c>
      <c r="K42" s="102">
        <f t="shared" si="36"/>
        <v>1</v>
      </c>
      <c r="L42" s="102">
        <f t="shared" si="36"/>
        <v>4.0013657331684138</v>
      </c>
      <c r="M42" s="102">
        <f t="shared" si="36"/>
        <v>1.8951238675474302</v>
      </c>
      <c r="N42" s="102">
        <f t="shared" si="36"/>
        <v>1.794628069496675</v>
      </c>
      <c r="O42" s="102">
        <f t="shared" si="36"/>
        <v>2.1587497062306991</v>
      </c>
      <c r="P42" s="102">
        <f t="shared" si="36"/>
        <v>1.0466222242726257</v>
      </c>
      <c r="Q42" s="102">
        <f t="shared" si="36"/>
        <v>2.2514955483404613</v>
      </c>
      <c r="R42" s="102">
        <f t="shared" si="36"/>
        <v>3.107678956940366</v>
      </c>
      <c r="S42" s="102">
        <f t="shared" si="36"/>
        <v>1.9178081719718905</v>
      </c>
      <c r="T42" s="102">
        <f t="shared" si="36"/>
        <v>2.3724227347281577</v>
      </c>
      <c r="U42" s="102">
        <f t="shared" si="36"/>
        <v>2.5211222548584127</v>
      </c>
      <c r="V42" s="102">
        <f t="shared" si="36"/>
        <v>2.4397883437467627</v>
      </c>
      <c r="Z42" s="102">
        <f t="shared" ref="Z42:AN42" si="37">AVERAGE(Z5:Z11)</f>
        <v>1.8380035874973046</v>
      </c>
      <c r="AA42" s="102">
        <f t="shared" si="37"/>
        <v>2.6770954570547505</v>
      </c>
      <c r="AB42" s="102">
        <f t="shared" si="37"/>
        <v>1.8440698667977917</v>
      </c>
      <c r="AC42" s="102">
        <f t="shared" si="37"/>
        <v>0.42857142857142855</v>
      </c>
      <c r="AD42" s="102">
        <f t="shared" si="37"/>
        <v>3.0005853142150345</v>
      </c>
      <c r="AE42" s="102">
        <f t="shared" si="37"/>
        <v>1.3836245146631843</v>
      </c>
      <c r="AF42" s="102">
        <f t="shared" si="37"/>
        <v>1.0834120297842893</v>
      </c>
      <c r="AG42" s="102">
        <f t="shared" si="37"/>
        <v>1.5108927312417284</v>
      </c>
      <c r="AH42" s="102">
        <f t="shared" si="37"/>
        <v>0.83426666754541101</v>
      </c>
      <c r="AI42" s="102">
        <f t="shared" si="37"/>
        <v>1.5025821996537676</v>
      </c>
      <c r="AJ42" s="102">
        <f t="shared" si="37"/>
        <v>2.2322032613383667</v>
      </c>
      <c r="AK42" s="102">
        <f t="shared" si="37"/>
        <v>1.4814023048418719</v>
      </c>
      <c r="AL42" s="102">
        <f t="shared" si="37"/>
        <v>1.3289732079982737</v>
      </c>
      <c r="AM42" s="102">
        <f t="shared" si="37"/>
        <v>1.5187361514824487</v>
      </c>
      <c r="AN42" s="102">
        <f t="shared" si="37"/>
        <v>1.4380049262335632</v>
      </c>
    </row>
    <row r="43" spans="2:40" x14ac:dyDescent="0.3">
      <c r="B43" s="110" t="str">
        <f>Visualization!A7</f>
        <v>Model robustness</v>
      </c>
      <c r="F43" s="103"/>
      <c r="G43" s="103"/>
      <c r="H43" s="102">
        <f t="shared" ref="H43:V43" si="38">SUM(H13)</f>
        <v>0.99745413389865278</v>
      </c>
      <c r="I43" s="102">
        <f t="shared" si="38"/>
        <v>0</v>
      </c>
      <c r="J43" s="102">
        <f t="shared" si="38"/>
        <v>0.98914487599212175</v>
      </c>
      <c r="K43" s="102">
        <f t="shared" si="38"/>
        <v>1</v>
      </c>
      <c r="L43" s="102">
        <f t="shared" si="38"/>
        <v>0</v>
      </c>
      <c r="M43" s="102">
        <f t="shared" si="38"/>
        <v>0.99166953384206913</v>
      </c>
      <c r="N43" s="102">
        <f t="shared" si="38"/>
        <v>0.80835702538495058</v>
      </c>
      <c r="O43" s="102">
        <f t="shared" si="38"/>
        <v>2.0579687487133937E-3</v>
      </c>
      <c r="P43" s="102">
        <f t="shared" si="38"/>
        <v>0.18958500586633603</v>
      </c>
      <c r="Q43" s="102">
        <f t="shared" si="38"/>
        <v>0.99745429212876513</v>
      </c>
      <c r="R43" s="102">
        <f t="shared" si="38"/>
        <v>6.2151780970243209E-5</v>
      </c>
      <c r="S43" s="102">
        <f t="shared" si="38"/>
        <v>0.9891455506574115</v>
      </c>
      <c r="T43" s="102">
        <f t="shared" si="38"/>
        <v>0.84338899973460468</v>
      </c>
      <c r="U43" s="102">
        <f t="shared" si="38"/>
        <v>0.95322354491220473</v>
      </c>
      <c r="V43" s="102">
        <f t="shared" si="38"/>
        <v>0.87005412201985732</v>
      </c>
      <c r="Z43" s="102">
        <f t="shared" ref="Z43:AN43" si="39">AVERAGE(Z13)</f>
        <v>9.9745413389865281</v>
      </c>
      <c r="AA43" s="102">
        <f t="shared" si="39"/>
        <v>0</v>
      </c>
      <c r="AB43" s="102">
        <f t="shared" si="39"/>
        <v>9.891448759921218</v>
      </c>
      <c r="AC43" s="102">
        <f t="shared" si="39"/>
        <v>10</v>
      </c>
      <c r="AD43" s="102">
        <f t="shared" si="39"/>
        <v>0</v>
      </c>
      <c r="AE43" s="102">
        <f t="shared" si="39"/>
        <v>9.9166953384206913</v>
      </c>
      <c r="AF43" s="102">
        <f t="shared" si="39"/>
        <v>8.0835702538495049</v>
      </c>
      <c r="AG43" s="102">
        <f t="shared" si="39"/>
        <v>2.0579687487133937E-2</v>
      </c>
      <c r="AH43" s="102">
        <f t="shared" si="39"/>
        <v>1.8958500586633602</v>
      </c>
      <c r="AI43" s="102">
        <f t="shared" si="39"/>
        <v>9.974542921287652</v>
      </c>
      <c r="AJ43" s="102">
        <f t="shared" si="39"/>
        <v>6.2151780970243209E-4</v>
      </c>
      <c r="AK43" s="102">
        <f t="shared" si="39"/>
        <v>9.8914555065741148</v>
      </c>
      <c r="AL43" s="102">
        <f t="shared" si="39"/>
        <v>8.4338899973460464</v>
      </c>
      <c r="AM43" s="102">
        <f t="shared" si="39"/>
        <v>9.532235449122048</v>
      </c>
      <c r="AN43" s="102">
        <f t="shared" si="39"/>
        <v>8.7005412201985735</v>
      </c>
    </row>
    <row r="44" spans="2:40" x14ac:dyDescent="0.3">
      <c r="B44" s="110" t="str">
        <f>Visualization!A8</f>
        <v>Applicability</v>
      </c>
      <c r="F44" s="103"/>
      <c r="G44" s="103"/>
      <c r="H44" s="102">
        <f t="shared" ref="H44:V44" si="40">SUM(H15:H16)</f>
        <v>2</v>
      </c>
      <c r="I44" s="102">
        <f t="shared" si="40"/>
        <v>2</v>
      </c>
      <c r="J44" s="102">
        <f t="shared" si="40"/>
        <v>2</v>
      </c>
      <c r="K44" s="102">
        <f t="shared" si="40"/>
        <v>0</v>
      </c>
      <c r="L44" s="102">
        <f t="shared" si="40"/>
        <v>0</v>
      </c>
      <c r="M44" s="102">
        <f t="shared" si="40"/>
        <v>0</v>
      </c>
      <c r="N44" s="102">
        <f t="shared" si="40"/>
        <v>0.66666666666666663</v>
      </c>
      <c r="O44" s="102">
        <f t="shared" si="40"/>
        <v>0.66666666666666663</v>
      </c>
      <c r="P44" s="102">
        <f t="shared" si="40"/>
        <v>0.66666666666666663</v>
      </c>
      <c r="Q44" s="102">
        <f t="shared" si="40"/>
        <v>1.1547005383792517</v>
      </c>
      <c r="R44" s="102">
        <f t="shared" si="40"/>
        <v>1.1547005383792517</v>
      </c>
      <c r="S44" s="102">
        <f t="shared" si="40"/>
        <v>1.1547005383792517</v>
      </c>
      <c r="T44" s="102">
        <f t="shared" si="40"/>
        <v>0</v>
      </c>
      <c r="U44" s="102">
        <f t="shared" si="40"/>
        <v>0</v>
      </c>
      <c r="V44" s="102">
        <f t="shared" si="40"/>
        <v>0</v>
      </c>
      <c r="Z44" s="102">
        <f t="shared" ref="Z44:AN44" si="41">AVERAGE(Z15:Z16)</f>
        <v>10</v>
      </c>
      <c r="AA44" s="102">
        <f t="shared" si="41"/>
        <v>10</v>
      </c>
      <c r="AB44" s="102">
        <f t="shared" si="41"/>
        <v>10</v>
      </c>
      <c r="AC44" s="102">
        <f t="shared" si="41"/>
        <v>0</v>
      </c>
      <c r="AD44" s="102">
        <f t="shared" si="41"/>
        <v>0</v>
      </c>
      <c r="AE44" s="102">
        <f t="shared" si="41"/>
        <v>0</v>
      </c>
      <c r="AF44" s="102">
        <f t="shared" si="41"/>
        <v>3.333333333333333</v>
      </c>
      <c r="AG44" s="102">
        <f t="shared" si="41"/>
        <v>3.333333333333333</v>
      </c>
      <c r="AH44" s="102">
        <f t="shared" si="41"/>
        <v>3.333333333333333</v>
      </c>
      <c r="AI44" s="102">
        <f t="shared" si="41"/>
        <v>5.7735026918962582</v>
      </c>
      <c r="AJ44" s="102">
        <f t="shared" si="41"/>
        <v>5.7735026918962582</v>
      </c>
      <c r="AK44" s="102">
        <f t="shared" si="41"/>
        <v>5.7735026918962582</v>
      </c>
      <c r="AL44" s="102">
        <f t="shared" si="41"/>
        <v>0</v>
      </c>
      <c r="AM44" s="102">
        <f t="shared" si="41"/>
        <v>0</v>
      </c>
      <c r="AN44" s="102">
        <f t="shared" si="41"/>
        <v>0</v>
      </c>
    </row>
    <row r="45" spans="2:40" x14ac:dyDescent="0.3">
      <c r="B45" s="110" t="str">
        <f>Visualization!A9</f>
        <v>Tractability</v>
      </c>
      <c r="F45" s="103"/>
      <c r="G45" s="103"/>
      <c r="H45" s="102">
        <f t="shared" ref="H45:V45" si="42">SUM(H18:H25)</f>
        <v>6.4571078431372548</v>
      </c>
      <c r="I45" s="102">
        <f t="shared" si="42"/>
        <v>6.9226190476190474</v>
      </c>
      <c r="J45" s="102">
        <f t="shared" si="42"/>
        <v>6.5428921568627452</v>
      </c>
      <c r="K45" s="102">
        <f t="shared" si="42"/>
        <v>2</v>
      </c>
      <c r="L45" s="102">
        <f t="shared" si="42"/>
        <v>3.7142857142857144</v>
      </c>
      <c r="M45" s="102">
        <f t="shared" si="42"/>
        <v>4.3375000000000004</v>
      </c>
      <c r="N45" s="102">
        <f t="shared" si="42"/>
        <v>2.6802182942142374</v>
      </c>
      <c r="O45" s="102">
        <f t="shared" si="42"/>
        <v>2.799055829228243</v>
      </c>
      <c r="P45" s="102">
        <f t="shared" si="42"/>
        <v>2.5207258765575196</v>
      </c>
      <c r="Q45" s="102">
        <f t="shared" si="42"/>
        <v>4.4070409520039791</v>
      </c>
      <c r="R45" s="102">
        <f t="shared" si="42"/>
        <v>4.6607293351217525</v>
      </c>
      <c r="S45" s="102">
        <f t="shared" si="42"/>
        <v>4.3160893636816944</v>
      </c>
      <c r="T45" s="102">
        <f t="shared" si="42"/>
        <v>2.0908858714618073</v>
      </c>
      <c r="U45" s="102">
        <f t="shared" si="42"/>
        <v>2.4117289620450784</v>
      </c>
      <c r="V45" s="102">
        <f t="shared" si="42"/>
        <v>2.4973851664931148</v>
      </c>
      <c r="Z45" s="102">
        <f t="shared" ref="Z45:AN45" si="43">AVERAGE(Z18:Z25)</f>
        <v>6.3999693627450984</v>
      </c>
      <c r="AA45" s="102">
        <f t="shared" si="43"/>
        <v>6.713541666666667</v>
      </c>
      <c r="AB45" s="102">
        <f t="shared" si="43"/>
        <v>6.3812806372549016</v>
      </c>
      <c r="AC45" s="102">
        <f t="shared" si="43"/>
        <v>2.125</v>
      </c>
      <c r="AD45" s="102">
        <f t="shared" si="43"/>
        <v>3.25</v>
      </c>
      <c r="AE45" s="102">
        <f t="shared" si="43"/>
        <v>3.7953125000000001</v>
      </c>
      <c r="AF45" s="102">
        <f t="shared" si="43"/>
        <v>2.6201910074374575</v>
      </c>
      <c r="AG45" s="102">
        <f t="shared" si="43"/>
        <v>2.6866738505747123</v>
      </c>
      <c r="AH45" s="102">
        <f t="shared" si="43"/>
        <v>2.4431351419878293</v>
      </c>
      <c r="AI45" s="102">
        <f t="shared" si="43"/>
        <v>4.329915061663355</v>
      </c>
      <c r="AJ45" s="102">
        <f t="shared" si="43"/>
        <v>4.4875804274629649</v>
      </c>
      <c r="AK45" s="102">
        <f t="shared" si="43"/>
        <v>4.1860204524529152</v>
      </c>
      <c r="AL45" s="102">
        <f t="shared" si="43"/>
        <v>2.0995949402420346</v>
      </c>
      <c r="AM45" s="102">
        <f t="shared" si="43"/>
        <v>2.3502279404329673</v>
      </c>
      <c r="AN45" s="102">
        <f t="shared" si="43"/>
        <v>2.4251771193249985</v>
      </c>
    </row>
    <row r="46" spans="2:40" ht="28.8" x14ac:dyDescent="0.3">
      <c r="B46" s="49" t="str">
        <f>Visualization!A10</f>
        <v>Integration of Network Hierarchies - Urban and Motorway roads</v>
      </c>
      <c r="F46" s="103"/>
      <c r="G46" s="103"/>
      <c r="H46" s="102">
        <f t="shared" ref="H46:V46" si="44">SUM(H27)</f>
        <v>0</v>
      </c>
      <c r="I46" s="102">
        <f t="shared" si="44"/>
        <v>1</v>
      </c>
      <c r="J46" s="102">
        <f t="shared" si="44"/>
        <v>0</v>
      </c>
      <c r="K46" s="102">
        <f t="shared" si="44"/>
        <v>0</v>
      </c>
      <c r="L46" s="102">
        <f t="shared" si="44"/>
        <v>1</v>
      </c>
      <c r="M46" s="102">
        <f t="shared" si="44"/>
        <v>0</v>
      </c>
      <c r="N46" s="102">
        <f t="shared" si="44"/>
        <v>0</v>
      </c>
      <c r="O46" s="102">
        <f t="shared" si="44"/>
        <v>1</v>
      </c>
      <c r="P46" s="102">
        <f t="shared" si="44"/>
        <v>0</v>
      </c>
      <c r="Q46" s="102">
        <f t="shared" si="44"/>
        <v>0</v>
      </c>
      <c r="R46" s="102">
        <f t="shared" si="44"/>
        <v>1</v>
      </c>
      <c r="S46" s="102">
        <f t="shared" si="44"/>
        <v>0</v>
      </c>
      <c r="T46" s="102">
        <f t="shared" si="44"/>
        <v>0</v>
      </c>
      <c r="U46" s="102">
        <f t="shared" si="44"/>
        <v>0</v>
      </c>
      <c r="V46" s="102">
        <f t="shared" si="44"/>
        <v>0</v>
      </c>
      <c r="Z46" s="102">
        <f t="shared" ref="Z46:AN46" si="45">AVERAGE(Z27)</f>
        <v>0</v>
      </c>
      <c r="AA46" s="102">
        <f t="shared" si="45"/>
        <v>7</v>
      </c>
      <c r="AB46" s="102">
        <f t="shared" si="45"/>
        <v>0</v>
      </c>
      <c r="AC46" s="102">
        <f t="shared" si="45"/>
        <v>0</v>
      </c>
      <c r="AD46" s="102">
        <f t="shared" si="45"/>
        <v>7</v>
      </c>
      <c r="AE46" s="102">
        <f t="shared" si="45"/>
        <v>0</v>
      </c>
      <c r="AF46" s="102">
        <f t="shared" si="45"/>
        <v>0</v>
      </c>
      <c r="AG46" s="102">
        <f t="shared" si="45"/>
        <v>7</v>
      </c>
      <c r="AH46" s="102">
        <f t="shared" si="45"/>
        <v>0</v>
      </c>
      <c r="AI46" s="102">
        <f t="shared" si="45"/>
        <v>0</v>
      </c>
      <c r="AJ46" s="102">
        <f t="shared" si="45"/>
        <v>7</v>
      </c>
      <c r="AK46" s="102">
        <f t="shared" si="45"/>
        <v>0</v>
      </c>
      <c r="AL46" s="102">
        <f t="shared" si="45"/>
        <v>0</v>
      </c>
      <c r="AM46" s="102">
        <f t="shared" si="45"/>
        <v>0</v>
      </c>
      <c r="AN46" s="102">
        <f t="shared" si="45"/>
        <v>0</v>
      </c>
    </row>
    <row r="47" spans="2:40" x14ac:dyDescent="0.3">
      <c r="B47" s="110" t="str">
        <f>Visualization!A11</f>
        <v>Computational efficiency</v>
      </c>
      <c r="F47" s="103"/>
      <c r="G47" s="103"/>
      <c r="H47" s="102">
        <f t="shared" ref="H47:V47" si="46">SUM(H29:H30)</f>
        <v>1.8103544413085213</v>
      </c>
      <c r="I47" s="102">
        <f t="shared" si="46"/>
        <v>0.55711422845691383</v>
      </c>
      <c r="J47" s="102">
        <f t="shared" si="46"/>
        <v>0.98581699535035316</v>
      </c>
      <c r="K47" s="102">
        <f t="shared" si="46"/>
        <v>2</v>
      </c>
      <c r="L47" s="102">
        <f t="shared" si="46"/>
        <v>0.67821006214892565</v>
      </c>
      <c r="M47" s="102">
        <f t="shared" si="46"/>
        <v>0.99687579156939454</v>
      </c>
      <c r="N47" s="102">
        <f t="shared" si="46"/>
        <v>1.1898718606698331</v>
      </c>
      <c r="O47" s="102">
        <f t="shared" si="46"/>
        <v>0.26107272248879498</v>
      </c>
      <c r="P47" s="102">
        <f t="shared" si="46"/>
        <v>0.54905541684137193</v>
      </c>
      <c r="Q47" s="102">
        <f t="shared" si="46"/>
        <v>1.8277841630353993</v>
      </c>
      <c r="R47" s="102">
        <f t="shared" si="46"/>
        <v>0.60050502334021316</v>
      </c>
      <c r="S47" s="102">
        <f t="shared" si="46"/>
        <v>1.0834262299195967</v>
      </c>
      <c r="T47" s="102">
        <f t="shared" si="46"/>
        <v>1.8076190160150145</v>
      </c>
      <c r="U47" s="102">
        <f t="shared" si="46"/>
        <v>1.7464047808013403</v>
      </c>
      <c r="V47" s="102">
        <f t="shared" si="46"/>
        <v>1.7793095365169789</v>
      </c>
      <c r="Z47" s="102">
        <f t="shared" ref="Z47:AN47" si="47">AVERAGE(Z29:Z30)</f>
        <v>3.6207088826170426</v>
      </c>
      <c r="AA47" s="102">
        <f t="shared" si="47"/>
        <v>1.1142284569138277</v>
      </c>
      <c r="AB47" s="102">
        <f t="shared" si="47"/>
        <v>1.9716339907007063</v>
      </c>
      <c r="AC47" s="102">
        <f t="shared" si="47"/>
        <v>4</v>
      </c>
      <c r="AD47" s="102">
        <f t="shared" si="47"/>
        <v>1.3564201242978513</v>
      </c>
      <c r="AE47" s="102">
        <f t="shared" si="47"/>
        <v>1.9937515831387891</v>
      </c>
      <c r="AF47" s="102">
        <f t="shared" si="47"/>
        <v>2.3797437213396662</v>
      </c>
      <c r="AG47" s="102">
        <f t="shared" si="47"/>
        <v>0.52214544497758997</v>
      </c>
      <c r="AH47" s="102">
        <f t="shared" si="47"/>
        <v>1.0981108336827439</v>
      </c>
      <c r="AI47" s="102">
        <f t="shared" si="47"/>
        <v>3.6555683260707985</v>
      </c>
      <c r="AJ47" s="102">
        <f t="shared" si="47"/>
        <v>1.2010100466804263</v>
      </c>
      <c r="AK47" s="102">
        <f t="shared" si="47"/>
        <v>2.1668524598391934</v>
      </c>
      <c r="AL47" s="102">
        <f t="shared" si="47"/>
        <v>3.615238032030029</v>
      </c>
      <c r="AM47" s="102">
        <f t="shared" si="47"/>
        <v>3.4928095616026806</v>
      </c>
      <c r="AN47" s="102">
        <f t="shared" si="47"/>
        <v>3.5586190730339577</v>
      </c>
    </row>
    <row r="48" spans="2:40" x14ac:dyDescent="0.3">
      <c r="B48" s="110" t="str">
        <f>Visualization!A12</f>
        <v>Usability</v>
      </c>
      <c r="F48" s="103"/>
      <c r="G48" s="103"/>
      <c r="H48" s="102">
        <f t="shared" ref="H48:V48" si="48">SUM(H32:H38)</f>
        <v>5.0476190476190483</v>
      </c>
      <c r="I48" s="102">
        <f t="shared" si="48"/>
        <v>6.625</v>
      </c>
      <c r="J48" s="102">
        <f t="shared" si="48"/>
        <v>6.0654761904761907</v>
      </c>
      <c r="K48" s="102">
        <f t="shared" si="48"/>
        <v>2</v>
      </c>
      <c r="L48" s="102">
        <f t="shared" si="48"/>
        <v>5.833333333333333</v>
      </c>
      <c r="M48" s="102">
        <f t="shared" si="48"/>
        <v>4.25</v>
      </c>
      <c r="N48" s="102">
        <f t="shared" si="48"/>
        <v>1.9915517961570592</v>
      </c>
      <c r="O48" s="102">
        <f t="shared" si="48"/>
        <v>2.6189327485380116</v>
      </c>
      <c r="P48" s="102">
        <f t="shared" si="48"/>
        <v>2.3895154553049287</v>
      </c>
      <c r="Q48" s="102">
        <f t="shared" si="48"/>
        <v>3.3880665436089696</v>
      </c>
      <c r="R48" s="102">
        <f t="shared" si="48"/>
        <v>4.4422579515434801</v>
      </c>
      <c r="S48" s="102">
        <f t="shared" si="48"/>
        <v>4.0537893393060678</v>
      </c>
      <c r="T48" s="102">
        <f t="shared" si="48"/>
        <v>2.0984575313659475</v>
      </c>
      <c r="U48" s="102">
        <f t="shared" si="48"/>
        <v>2.5156325842619451</v>
      </c>
      <c r="V48" s="102">
        <f t="shared" si="48"/>
        <v>2.3859098843721069</v>
      </c>
      <c r="Z48" s="102">
        <f t="shared" ref="Z48:AN48" si="49">AVERAGE(Z32:Z38)</f>
        <v>2.8843537414965992</v>
      </c>
      <c r="AA48" s="102">
        <f t="shared" si="49"/>
        <v>3.7857142857142856</v>
      </c>
      <c r="AB48" s="102">
        <f t="shared" si="49"/>
        <v>3.4659863945578233</v>
      </c>
      <c r="AC48" s="102">
        <f t="shared" si="49"/>
        <v>1.1428571428571428</v>
      </c>
      <c r="AD48" s="102">
        <f t="shared" si="49"/>
        <v>3.333333333333333</v>
      </c>
      <c r="AE48" s="102">
        <f t="shared" si="49"/>
        <v>2.4285714285714284</v>
      </c>
      <c r="AF48" s="102">
        <f t="shared" si="49"/>
        <v>1.1380295978040338</v>
      </c>
      <c r="AG48" s="102">
        <f t="shared" si="49"/>
        <v>1.4965329991645782</v>
      </c>
      <c r="AH48" s="102">
        <f t="shared" si="49"/>
        <v>1.3654374030313878</v>
      </c>
      <c r="AI48" s="102">
        <f t="shared" si="49"/>
        <v>1.9360380249194111</v>
      </c>
      <c r="AJ48" s="102">
        <f t="shared" si="49"/>
        <v>2.5384331151677029</v>
      </c>
      <c r="AK48" s="102">
        <f t="shared" si="49"/>
        <v>2.3164510510320389</v>
      </c>
      <c r="AL48" s="102">
        <f t="shared" si="49"/>
        <v>1.19911858935197</v>
      </c>
      <c r="AM48" s="102">
        <f t="shared" si="49"/>
        <v>1.4375043338639686</v>
      </c>
      <c r="AN48" s="102">
        <f t="shared" si="49"/>
        <v>1.3633770767840612</v>
      </c>
    </row>
    <row r="49" spans="2:40" x14ac:dyDescent="0.3">
      <c r="B49" s="52"/>
      <c r="F49" s="103"/>
      <c r="G49" s="103"/>
      <c r="H49" s="103"/>
      <c r="I49" s="103"/>
      <c r="J49" s="103"/>
      <c r="K49" s="103"/>
      <c r="L49" s="103"/>
      <c r="M49" s="103"/>
      <c r="N49" s="103"/>
      <c r="O49" s="103"/>
      <c r="P49" s="103"/>
      <c r="Q49" s="103"/>
      <c r="R49" s="103"/>
      <c r="S49" s="103"/>
      <c r="T49" s="103"/>
      <c r="U49" s="103"/>
      <c r="V49" s="103"/>
      <c r="Z49" s="103"/>
      <c r="AA49" s="103"/>
      <c r="AB49" s="103"/>
      <c r="AC49" s="103"/>
      <c r="AD49" s="103"/>
      <c r="AE49" s="103"/>
      <c r="AF49" s="103"/>
      <c r="AG49" s="103"/>
      <c r="AH49" s="103"/>
      <c r="AI49" s="103"/>
      <c r="AJ49" s="103"/>
      <c r="AK49" s="103"/>
      <c r="AL49" s="103"/>
      <c r="AM49" s="103"/>
      <c r="AN49" s="103"/>
    </row>
    <row r="50" spans="2:40" x14ac:dyDescent="0.3">
      <c r="B50" s="38" t="s">
        <v>94</v>
      </c>
      <c r="F50" s="103"/>
      <c r="G50" s="103"/>
      <c r="H50" s="121">
        <f t="shared" ref="H50:V50" si="50">+SUM(H42:H48)</f>
        <v>18.7123216145683</v>
      </c>
      <c r="I50" s="121">
        <f t="shared" si="50"/>
        <v>20.351289342537047</v>
      </c>
      <c r="J50" s="121">
        <f t="shared" si="50"/>
        <v>18.552826574542927</v>
      </c>
      <c r="K50" s="122">
        <f t="shared" si="50"/>
        <v>8</v>
      </c>
      <c r="L50" s="122">
        <f t="shared" si="50"/>
        <v>15.227194842936388</v>
      </c>
      <c r="M50" s="122">
        <f t="shared" si="50"/>
        <v>12.471169192958895</v>
      </c>
      <c r="N50" s="123">
        <f t="shared" si="50"/>
        <v>9.1312937125894216</v>
      </c>
      <c r="O50" s="123">
        <f t="shared" si="50"/>
        <v>9.5065356419011273</v>
      </c>
      <c r="P50" s="123">
        <f t="shared" si="50"/>
        <v>7.3621706455094493</v>
      </c>
      <c r="Q50" s="124">
        <f t="shared" si="50"/>
        <v>14.026542037496826</v>
      </c>
      <c r="R50" s="124">
        <f t="shared" si="50"/>
        <v>14.965933957106035</v>
      </c>
      <c r="S50" s="124">
        <f t="shared" si="50"/>
        <v>13.514959193915912</v>
      </c>
      <c r="T50" s="125">
        <f t="shared" si="50"/>
        <v>9.2127741533055314</v>
      </c>
      <c r="U50" s="125">
        <f t="shared" si="50"/>
        <v>10.148112126878981</v>
      </c>
      <c r="V50" s="125">
        <f t="shared" si="50"/>
        <v>9.9724470531488212</v>
      </c>
      <c r="Z50" s="121">
        <f t="shared" ref="Z50:AN50" si="51">+SUM(Z42:Z48)</f>
        <v>34.717576913342569</v>
      </c>
      <c r="AA50" s="121">
        <f t="shared" si="51"/>
        <v>31.290579866349532</v>
      </c>
      <c r="AB50" s="121">
        <f t="shared" si="51"/>
        <v>33.554419649232436</v>
      </c>
      <c r="AC50" s="122">
        <f t="shared" si="51"/>
        <v>17.696428571428573</v>
      </c>
      <c r="AD50" s="122">
        <f t="shared" si="51"/>
        <v>17.940338771846218</v>
      </c>
      <c r="AE50" s="122">
        <f t="shared" si="51"/>
        <v>19.517955364794091</v>
      </c>
      <c r="AF50" s="123">
        <f t="shared" si="51"/>
        <v>18.638279943548287</v>
      </c>
      <c r="AG50" s="123">
        <f t="shared" si="51"/>
        <v>16.570158046779078</v>
      </c>
      <c r="AH50" s="123">
        <f t="shared" si="51"/>
        <v>10.970133438244066</v>
      </c>
      <c r="AI50" s="124">
        <f t="shared" si="51"/>
        <v>27.172149225491246</v>
      </c>
      <c r="AJ50" s="124">
        <f t="shared" si="51"/>
        <v>23.233351060355421</v>
      </c>
      <c r="AK50" s="124">
        <f t="shared" si="51"/>
        <v>25.815684466636394</v>
      </c>
      <c r="AL50" s="125">
        <f t="shared" si="51"/>
        <v>16.676814766968352</v>
      </c>
      <c r="AM50" s="125">
        <f t="shared" si="51"/>
        <v>18.331513436504114</v>
      </c>
      <c r="AN50" s="125">
        <f t="shared" si="51"/>
        <v>17.485719415575154</v>
      </c>
    </row>
    <row r="51" spans="2:40" x14ac:dyDescent="0.3">
      <c r="B51" s="52"/>
      <c r="C51" s="103"/>
      <c r="D51" s="103"/>
      <c r="E51" s="103"/>
      <c r="F51" s="103"/>
      <c r="G51" s="103"/>
    </row>
    <row r="52" spans="2:40" ht="28.8" hidden="1" x14ac:dyDescent="0.3">
      <c r="B52" s="157" t="s">
        <v>202</v>
      </c>
      <c r="C52" s="120" t="s">
        <v>45</v>
      </c>
      <c r="D52" s="120" t="s">
        <v>46</v>
      </c>
      <c r="E52" s="120" t="s">
        <v>47</v>
      </c>
      <c r="F52" s="52"/>
      <c r="G52" s="52"/>
    </row>
    <row r="53" spans="2:40" hidden="1" x14ac:dyDescent="0.3">
      <c r="B53" s="119" t="s">
        <v>196</v>
      </c>
      <c r="C53" s="126">
        <f>H50</f>
        <v>18.7123216145683</v>
      </c>
      <c r="D53" s="126">
        <f>I50</f>
        <v>20.351289342537047</v>
      </c>
      <c r="E53" s="126">
        <f>J50</f>
        <v>18.552826574542927</v>
      </c>
      <c r="F53" s="52"/>
      <c r="G53" s="52"/>
    </row>
    <row r="54" spans="2:40" hidden="1" x14ac:dyDescent="0.3">
      <c r="B54" s="119" t="s">
        <v>197</v>
      </c>
      <c r="C54" s="126">
        <f>K50</f>
        <v>8</v>
      </c>
      <c r="D54" s="126">
        <f>L50</f>
        <v>15.227194842936388</v>
      </c>
      <c r="E54" s="126">
        <f>M50</f>
        <v>12.471169192958895</v>
      </c>
      <c r="F54" s="52"/>
      <c r="G54" s="52"/>
      <c r="AC54" s="11"/>
      <c r="AD54" s="11"/>
    </row>
    <row r="55" spans="2:40" hidden="1" x14ac:dyDescent="0.3">
      <c r="B55" s="119" t="s">
        <v>198</v>
      </c>
      <c r="C55" s="126">
        <f>N50</f>
        <v>9.1312937125894216</v>
      </c>
      <c r="D55" s="126">
        <f>O50</f>
        <v>9.5065356419011273</v>
      </c>
      <c r="E55" s="126">
        <f>P50</f>
        <v>7.3621706455094493</v>
      </c>
      <c r="F55" s="52"/>
      <c r="G55" s="52"/>
      <c r="AC55" s="158"/>
      <c r="AD55" s="11"/>
    </row>
    <row r="56" spans="2:40" hidden="1" x14ac:dyDescent="0.3">
      <c r="B56" s="119"/>
      <c r="C56" s="126"/>
      <c r="D56" s="126"/>
      <c r="E56" s="126"/>
      <c r="F56" s="52"/>
      <c r="G56" s="52"/>
      <c r="AC56" s="158"/>
      <c r="AD56" s="11"/>
    </row>
    <row r="57" spans="2:40" hidden="1" x14ac:dyDescent="0.3">
      <c r="B57" s="119" t="s">
        <v>199</v>
      </c>
      <c r="C57" s="126">
        <f>Q50</f>
        <v>14.026542037496826</v>
      </c>
      <c r="D57" s="126">
        <f>R50</f>
        <v>14.965933957106035</v>
      </c>
      <c r="E57" s="126">
        <f>S50</f>
        <v>13.514959193915912</v>
      </c>
      <c r="F57" s="52"/>
      <c r="G57" s="52"/>
      <c r="AC57" s="158"/>
      <c r="AD57" s="11"/>
    </row>
    <row r="58" spans="2:40" hidden="1" x14ac:dyDescent="0.3">
      <c r="B58" s="119" t="s">
        <v>200</v>
      </c>
      <c r="C58" s="126">
        <f>T50</f>
        <v>9.2127741533055314</v>
      </c>
      <c r="D58" s="126">
        <f>U50</f>
        <v>10.148112126878981</v>
      </c>
      <c r="E58" s="126">
        <f>V50</f>
        <v>9.9724470531488212</v>
      </c>
      <c r="F58" s="52"/>
      <c r="G58" s="52"/>
      <c r="AC58" s="158"/>
      <c r="AD58" s="11"/>
    </row>
    <row r="59" spans="2:40" hidden="1" x14ac:dyDescent="0.3"/>
    <row r="60" spans="2:40" hidden="1" x14ac:dyDescent="0.3"/>
    <row r="61" spans="2:40" hidden="1" x14ac:dyDescent="0.3"/>
    <row r="62" spans="2:40" hidden="1" x14ac:dyDescent="0.3"/>
    <row r="63" spans="2:40" hidden="1" x14ac:dyDescent="0.3"/>
    <row r="64" spans="2:40"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spans="1:7" hidden="1" x14ac:dyDescent="0.3"/>
    <row r="82" spans="1:7" hidden="1" x14ac:dyDescent="0.3"/>
    <row r="83" spans="1:7" hidden="1" x14ac:dyDescent="0.3"/>
    <row r="85" spans="1:7" ht="28.8" x14ac:dyDescent="0.3">
      <c r="A85" s="127" t="str">
        <f>X1</f>
        <v>Policy Maker</v>
      </c>
      <c r="B85" s="157" t="s">
        <v>50</v>
      </c>
      <c r="C85" s="120" t="s">
        <v>45</v>
      </c>
      <c r="D85" s="120" t="s">
        <v>46</v>
      </c>
      <c r="E85" s="120" t="s">
        <v>47</v>
      </c>
      <c r="F85" s="52"/>
      <c r="G85" s="52"/>
    </row>
    <row r="86" spans="1:7" x14ac:dyDescent="0.3">
      <c r="A86" s="128" t="str">
        <f>X2</f>
        <v>Operational Planning</v>
      </c>
      <c r="B86" s="119" t="s">
        <v>196</v>
      </c>
      <c r="C86" s="126">
        <f>Z50</f>
        <v>34.717576913342569</v>
      </c>
      <c r="D86" s="126">
        <f>AA50</f>
        <v>31.290579866349532</v>
      </c>
      <c r="E86" s="126">
        <f t="shared" ref="E86" si="52">AB50</f>
        <v>33.554419649232436</v>
      </c>
      <c r="F86" s="52"/>
      <c r="G86" s="52"/>
    </row>
    <row r="87" spans="1:7" x14ac:dyDescent="0.3">
      <c r="B87" s="119" t="s">
        <v>198</v>
      </c>
      <c r="C87" s="126">
        <f>AF50</f>
        <v>18.638279943548287</v>
      </c>
      <c r="D87" s="126">
        <f>AG50</f>
        <v>16.570158046779078</v>
      </c>
      <c r="E87" s="126">
        <f t="shared" ref="E87" si="53">AH50</f>
        <v>10.970133438244066</v>
      </c>
      <c r="F87" s="52"/>
      <c r="G87" s="52"/>
    </row>
    <row r="88" spans="1:7" x14ac:dyDescent="0.3">
      <c r="B88" s="119" t="s">
        <v>199</v>
      </c>
      <c r="C88" s="126">
        <f>AI50</f>
        <v>27.172149225491246</v>
      </c>
      <c r="D88" s="126">
        <f>AJ50</f>
        <v>23.233351060355421</v>
      </c>
      <c r="E88" s="126">
        <f t="shared" ref="E88" si="54">AK50</f>
        <v>25.815684466636394</v>
      </c>
      <c r="F88" s="52"/>
      <c r="G88" s="52"/>
    </row>
  </sheetData>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6F7BC6D-3D4B-4560-B00E-B765249308AD}">
          <x14:formula1>
            <xm:f>Info!$B$3:$B$8</xm:f>
          </x14:formula1>
          <xm:sqref>B3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5760B-81BC-4C0C-9B9B-6B256CF39A1D}">
  <sheetPr>
    <tabColor theme="1"/>
  </sheetPr>
  <dimension ref="A1:U71"/>
  <sheetViews>
    <sheetView topLeftCell="A16" workbookViewId="0">
      <pane xSplit="4" topLeftCell="P1" activePane="topRight" state="frozen"/>
      <selection activeCell="O5" sqref="O5"/>
      <selection pane="topRight" activeCell="F6" sqref="F6"/>
    </sheetView>
  </sheetViews>
  <sheetFormatPr defaultColWidth="8.88671875" defaultRowHeight="14.4" x14ac:dyDescent="0.3"/>
  <cols>
    <col min="1" max="1" width="8.88671875" style="2"/>
    <col min="2" max="2" width="49.44140625" style="1" customWidth="1"/>
    <col min="3" max="4" width="14.88671875" style="1" customWidth="1"/>
    <col min="5" max="16" width="15.6640625" style="2" bestFit="1" customWidth="1"/>
    <col min="17" max="17" width="8.88671875" style="2"/>
    <col min="18" max="21" width="10.6640625" style="1" customWidth="1"/>
    <col min="22" max="16384" width="8.88671875" style="2"/>
  </cols>
  <sheetData>
    <row r="1" spans="1:21" ht="28.8" x14ac:dyDescent="0.3">
      <c r="A1" s="72" t="s">
        <v>203</v>
      </c>
      <c r="B1" s="73" t="s">
        <v>204</v>
      </c>
      <c r="C1" s="73" t="s">
        <v>2</v>
      </c>
      <c r="D1" s="73" t="s">
        <v>205</v>
      </c>
      <c r="E1" s="74" t="s">
        <v>7</v>
      </c>
      <c r="F1" s="74" t="s">
        <v>7</v>
      </c>
      <c r="G1" s="74" t="s">
        <v>8</v>
      </c>
      <c r="H1" s="74" t="s">
        <v>8</v>
      </c>
      <c r="I1" s="74" t="s">
        <v>8</v>
      </c>
      <c r="J1" s="74" t="s">
        <v>9</v>
      </c>
      <c r="K1" s="74" t="s">
        <v>9</v>
      </c>
      <c r="L1" s="74" t="s">
        <v>9</v>
      </c>
      <c r="M1" s="74" t="s">
        <v>10</v>
      </c>
      <c r="N1" s="74" t="s">
        <v>10</v>
      </c>
      <c r="O1" s="74" t="s">
        <v>10</v>
      </c>
      <c r="P1" s="74" t="s">
        <v>10</v>
      </c>
      <c r="R1" s="8" t="s">
        <v>7</v>
      </c>
      <c r="S1" s="8" t="s">
        <v>8</v>
      </c>
      <c r="T1" s="8" t="s">
        <v>9</v>
      </c>
      <c r="U1" s="8" t="s">
        <v>10</v>
      </c>
    </row>
    <row r="2" spans="1:21" ht="28.8" x14ac:dyDescent="0.3">
      <c r="A2" s="72" t="s">
        <v>206</v>
      </c>
      <c r="B2" s="73" t="s">
        <v>207</v>
      </c>
      <c r="C2" s="73"/>
      <c r="D2" s="73"/>
      <c r="E2" s="8">
        <v>10</v>
      </c>
      <c r="F2" s="8">
        <v>10</v>
      </c>
      <c r="G2" s="8">
        <v>10</v>
      </c>
      <c r="H2" s="8">
        <v>16</v>
      </c>
      <c r="I2" s="8">
        <v>10</v>
      </c>
      <c r="J2" s="8">
        <v>10</v>
      </c>
      <c r="K2" s="8">
        <v>10</v>
      </c>
      <c r="L2" s="8">
        <v>10</v>
      </c>
      <c r="M2" s="8">
        <v>10</v>
      </c>
      <c r="N2" s="8">
        <v>10</v>
      </c>
      <c r="O2" s="8">
        <v>10</v>
      </c>
      <c r="P2" s="8">
        <v>10</v>
      </c>
      <c r="R2" s="8"/>
      <c r="S2" s="8"/>
      <c r="T2" s="8"/>
      <c r="U2" s="8"/>
    </row>
    <row r="3" spans="1:21" ht="28.8" x14ac:dyDescent="0.3">
      <c r="A3" s="72" t="s">
        <v>208</v>
      </c>
      <c r="B3" s="73" t="s">
        <v>209</v>
      </c>
      <c r="C3" s="73"/>
      <c r="D3" s="73"/>
      <c r="E3" s="74" t="s">
        <v>210</v>
      </c>
      <c r="F3" s="74" t="s">
        <v>211</v>
      </c>
      <c r="G3" s="74" t="s">
        <v>212</v>
      </c>
      <c r="H3" s="74">
        <v>20009</v>
      </c>
      <c r="I3" s="74" t="s">
        <v>213</v>
      </c>
      <c r="J3" s="74" t="s">
        <v>214</v>
      </c>
      <c r="K3" s="74" t="s">
        <v>215</v>
      </c>
      <c r="L3" s="74" t="s">
        <v>216</v>
      </c>
      <c r="M3" s="74" t="s">
        <v>217</v>
      </c>
      <c r="N3" s="74" t="s">
        <v>218</v>
      </c>
      <c r="O3" s="74" t="s">
        <v>219</v>
      </c>
      <c r="P3" s="74" t="s">
        <v>220</v>
      </c>
      <c r="R3" s="8"/>
      <c r="S3" s="8"/>
      <c r="T3" s="8"/>
      <c r="U3" s="8"/>
    </row>
    <row r="4" spans="1:21" ht="129.6" x14ac:dyDescent="0.3">
      <c r="A4" s="72" t="s">
        <v>221</v>
      </c>
      <c r="B4" s="75" t="s">
        <v>222</v>
      </c>
      <c r="C4" s="73" t="s">
        <v>3</v>
      </c>
      <c r="D4" s="73" t="s">
        <v>63</v>
      </c>
      <c r="E4" s="8">
        <v>6</v>
      </c>
      <c r="F4" s="8">
        <v>8</v>
      </c>
      <c r="G4" s="8">
        <v>7</v>
      </c>
      <c r="H4" s="8">
        <v>10</v>
      </c>
      <c r="I4" s="8">
        <v>4</v>
      </c>
      <c r="J4" s="74" t="s">
        <v>223</v>
      </c>
      <c r="K4" s="74" t="s">
        <v>223</v>
      </c>
      <c r="L4" s="74" t="s">
        <v>223</v>
      </c>
      <c r="M4" s="74" t="s">
        <v>223</v>
      </c>
      <c r="N4" s="74" t="s">
        <v>223</v>
      </c>
      <c r="O4" s="74" t="s">
        <v>223</v>
      </c>
      <c r="P4" s="74" t="s">
        <v>223</v>
      </c>
      <c r="R4" s="76">
        <f t="shared" ref="R4:R35" si="0">+SUMPRODUCT(E4:F4,$E$2:$F$2)/SUM($E$2:$F$2)</f>
        <v>7</v>
      </c>
      <c r="S4" s="76">
        <f t="shared" ref="S4:S35" si="1">+SUMPRODUCT(G4:I4,$G$2:$I$2)/SUM($G$2:$I$2)</f>
        <v>7.5</v>
      </c>
      <c r="T4" s="76">
        <f t="shared" ref="T4:T35" si="2">+SUMPRODUCT(J4:L4,$J$2:$L$2)/SUM($J$2:$L$2)</f>
        <v>0</v>
      </c>
      <c r="U4" s="76">
        <f>+SUMPRODUCT(M4:P4,$M$2:$P$2)/SUM($M$2:$P$2)</f>
        <v>0</v>
      </c>
    </row>
    <row r="5" spans="1:21" ht="129.6" x14ac:dyDescent="0.3">
      <c r="A5" s="72" t="s">
        <v>224</v>
      </c>
      <c r="B5" s="75" t="s">
        <v>225</v>
      </c>
      <c r="C5" s="73" t="s">
        <v>4</v>
      </c>
      <c r="D5" s="73" t="s">
        <v>63</v>
      </c>
      <c r="E5" s="8">
        <v>8</v>
      </c>
      <c r="F5" s="8">
        <v>10</v>
      </c>
      <c r="G5" s="8">
        <v>7</v>
      </c>
      <c r="H5" s="8">
        <v>10</v>
      </c>
      <c r="I5" s="8">
        <v>8</v>
      </c>
      <c r="J5" s="74" t="s">
        <v>223</v>
      </c>
      <c r="K5" s="74" t="s">
        <v>223</v>
      </c>
      <c r="L5" s="74" t="s">
        <v>223</v>
      </c>
      <c r="M5" s="74" t="s">
        <v>223</v>
      </c>
      <c r="N5" s="74" t="s">
        <v>223</v>
      </c>
      <c r="O5" s="74" t="s">
        <v>223</v>
      </c>
      <c r="P5" s="74" t="s">
        <v>223</v>
      </c>
      <c r="R5" s="76">
        <f t="shared" si="0"/>
        <v>9</v>
      </c>
      <c r="S5" s="76">
        <f>+SUMPRODUCT(G5:I5,$G$2:$I$2)/SUM($G$2:$I$2)</f>
        <v>8.6111111111111107</v>
      </c>
      <c r="T5" s="76">
        <f t="shared" si="2"/>
        <v>0</v>
      </c>
      <c r="U5" s="76">
        <f t="shared" ref="U5:U68" si="3">+SUMPRODUCT(M5:P5,$M$2:$P$2)/SUM($M$2:$P$2)</f>
        <v>0</v>
      </c>
    </row>
    <row r="6" spans="1:21" ht="129.6" x14ac:dyDescent="0.3">
      <c r="A6" s="72" t="s">
        <v>226</v>
      </c>
      <c r="B6" s="75" t="s">
        <v>227</v>
      </c>
      <c r="C6" s="73" t="s">
        <v>5</v>
      </c>
      <c r="D6" s="73" t="s">
        <v>63</v>
      </c>
      <c r="E6" s="8">
        <v>10</v>
      </c>
      <c r="F6" s="8">
        <v>10</v>
      </c>
      <c r="G6" s="8">
        <v>7</v>
      </c>
      <c r="H6" s="8">
        <v>10</v>
      </c>
      <c r="I6" s="8">
        <v>9</v>
      </c>
      <c r="J6" s="74" t="s">
        <v>223</v>
      </c>
      <c r="K6" s="74" t="s">
        <v>223</v>
      </c>
      <c r="L6" s="74" t="s">
        <v>223</v>
      </c>
      <c r="M6" s="74" t="s">
        <v>223</v>
      </c>
      <c r="N6" s="74" t="s">
        <v>223</v>
      </c>
      <c r="O6" s="74" t="s">
        <v>223</v>
      </c>
      <c r="P6" s="74" t="s">
        <v>223</v>
      </c>
      <c r="R6" s="76">
        <f t="shared" si="0"/>
        <v>10</v>
      </c>
      <c r="S6" s="76">
        <f t="shared" si="1"/>
        <v>8.8888888888888893</v>
      </c>
      <c r="T6" s="76">
        <f t="shared" si="2"/>
        <v>0</v>
      </c>
      <c r="U6" s="76">
        <f t="shared" si="3"/>
        <v>0</v>
      </c>
    </row>
    <row r="7" spans="1:21" ht="172.8" x14ac:dyDescent="0.3">
      <c r="A7" s="72" t="s">
        <v>228</v>
      </c>
      <c r="B7" s="75" t="s">
        <v>229</v>
      </c>
      <c r="C7" s="73" t="s">
        <v>3</v>
      </c>
      <c r="D7" s="73" t="s">
        <v>66</v>
      </c>
      <c r="E7" s="8">
        <v>1</v>
      </c>
      <c r="F7" s="8">
        <v>7</v>
      </c>
      <c r="G7" s="8">
        <v>7</v>
      </c>
      <c r="H7" s="8">
        <v>7</v>
      </c>
      <c r="I7" s="8">
        <v>1</v>
      </c>
      <c r="J7" s="74" t="s">
        <v>223</v>
      </c>
      <c r="K7" s="74" t="s">
        <v>223</v>
      </c>
      <c r="L7" s="74" t="s">
        <v>223</v>
      </c>
      <c r="M7" s="74" t="s">
        <v>223</v>
      </c>
      <c r="N7" s="74" t="s">
        <v>223</v>
      </c>
      <c r="O7" s="74" t="s">
        <v>223</v>
      </c>
      <c r="P7" s="74" t="s">
        <v>223</v>
      </c>
      <c r="R7" s="76">
        <f t="shared" si="0"/>
        <v>4</v>
      </c>
      <c r="S7" s="76">
        <f t="shared" si="1"/>
        <v>5.333333333333333</v>
      </c>
      <c r="T7" s="76">
        <f t="shared" si="2"/>
        <v>0</v>
      </c>
      <c r="U7" s="76">
        <f t="shared" si="3"/>
        <v>0</v>
      </c>
    </row>
    <row r="8" spans="1:21" ht="172.8" x14ac:dyDescent="0.3">
      <c r="A8" s="72" t="s">
        <v>230</v>
      </c>
      <c r="B8" s="75" t="s">
        <v>231</v>
      </c>
      <c r="C8" s="73" t="s">
        <v>4</v>
      </c>
      <c r="D8" s="73" t="s">
        <v>66</v>
      </c>
      <c r="E8" s="8">
        <v>3</v>
      </c>
      <c r="F8" s="8">
        <v>8</v>
      </c>
      <c r="G8" s="8">
        <v>6</v>
      </c>
      <c r="H8" s="8">
        <v>8</v>
      </c>
      <c r="I8" s="8">
        <v>5</v>
      </c>
      <c r="J8" s="74" t="s">
        <v>223</v>
      </c>
      <c r="K8" s="74" t="s">
        <v>223</v>
      </c>
      <c r="L8" s="74" t="s">
        <v>223</v>
      </c>
      <c r="M8" s="74" t="s">
        <v>223</v>
      </c>
      <c r="N8" s="74" t="s">
        <v>223</v>
      </c>
      <c r="O8" s="74" t="s">
        <v>223</v>
      </c>
      <c r="P8" s="74" t="s">
        <v>223</v>
      </c>
      <c r="R8" s="76">
        <f t="shared" si="0"/>
        <v>5.5</v>
      </c>
      <c r="S8" s="76">
        <f>+SUMPRODUCT(G8:I8,$G$2:$I$2)/SUM($G$2:$I$2)</f>
        <v>6.6111111111111107</v>
      </c>
      <c r="T8" s="76">
        <f t="shared" si="2"/>
        <v>0</v>
      </c>
      <c r="U8" s="76">
        <f t="shared" si="3"/>
        <v>0</v>
      </c>
    </row>
    <row r="9" spans="1:21" ht="172.8" x14ac:dyDescent="0.3">
      <c r="A9" s="72" t="s">
        <v>232</v>
      </c>
      <c r="B9" s="75" t="s">
        <v>233</v>
      </c>
      <c r="C9" s="73" t="s">
        <v>5</v>
      </c>
      <c r="D9" s="73" t="s">
        <v>66</v>
      </c>
      <c r="E9" s="8">
        <v>5</v>
      </c>
      <c r="F9" s="8">
        <v>10</v>
      </c>
      <c r="G9" s="8">
        <v>4</v>
      </c>
      <c r="H9" s="8">
        <v>9</v>
      </c>
      <c r="I9" s="8">
        <v>10</v>
      </c>
      <c r="J9" s="74" t="s">
        <v>223</v>
      </c>
      <c r="K9" s="74" t="s">
        <v>223</v>
      </c>
      <c r="L9" s="74" t="s">
        <v>223</v>
      </c>
      <c r="M9" s="74" t="s">
        <v>223</v>
      </c>
      <c r="N9" s="74" t="s">
        <v>223</v>
      </c>
      <c r="O9" s="74" t="s">
        <v>223</v>
      </c>
      <c r="P9" s="74" t="s">
        <v>223</v>
      </c>
      <c r="R9" s="76">
        <f t="shared" si="0"/>
        <v>7.5</v>
      </c>
      <c r="S9" s="76">
        <f t="shared" si="1"/>
        <v>7.8888888888888893</v>
      </c>
      <c r="T9" s="76">
        <f t="shared" si="2"/>
        <v>0</v>
      </c>
      <c r="U9" s="76">
        <f t="shared" si="3"/>
        <v>0</v>
      </c>
    </row>
    <row r="10" spans="1:21" ht="187.2" x14ac:dyDescent="0.3">
      <c r="A10" s="72" t="s">
        <v>234</v>
      </c>
      <c r="B10" s="75" t="s">
        <v>235</v>
      </c>
      <c r="C10" s="73" t="s">
        <v>3</v>
      </c>
      <c r="D10" s="73" t="s">
        <v>69</v>
      </c>
      <c r="E10" s="8">
        <v>1</v>
      </c>
      <c r="F10" s="8">
        <v>5</v>
      </c>
      <c r="G10" s="8">
        <v>3</v>
      </c>
      <c r="H10" s="8">
        <v>4</v>
      </c>
      <c r="I10" s="8">
        <v>3</v>
      </c>
      <c r="J10" s="74" t="s">
        <v>223</v>
      </c>
      <c r="K10" s="74" t="s">
        <v>223</v>
      </c>
      <c r="L10" s="74" t="s">
        <v>223</v>
      </c>
      <c r="M10" s="74" t="s">
        <v>223</v>
      </c>
      <c r="N10" s="74" t="s">
        <v>223</v>
      </c>
      <c r="O10" s="74" t="s">
        <v>223</v>
      </c>
      <c r="P10" s="74" t="s">
        <v>223</v>
      </c>
      <c r="R10" s="76">
        <f t="shared" si="0"/>
        <v>3</v>
      </c>
      <c r="S10" s="76">
        <f t="shared" si="1"/>
        <v>3.4444444444444446</v>
      </c>
      <c r="T10" s="76">
        <f t="shared" si="2"/>
        <v>0</v>
      </c>
      <c r="U10" s="76">
        <f t="shared" si="3"/>
        <v>0</v>
      </c>
    </row>
    <row r="11" spans="1:21" ht="187.2" x14ac:dyDescent="0.3">
      <c r="A11" s="72" t="s">
        <v>236</v>
      </c>
      <c r="B11" s="75" t="s">
        <v>237</v>
      </c>
      <c r="C11" s="73" t="s">
        <v>4</v>
      </c>
      <c r="D11" s="73" t="s">
        <v>69</v>
      </c>
      <c r="E11" s="8">
        <v>1</v>
      </c>
      <c r="F11" s="8">
        <v>5</v>
      </c>
      <c r="G11" s="8">
        <v>4</v>
      </c>
      <c r="H11" s="8">
        <v>7</v>
      </c>
      <c r="I11" s="8">
        <v>7</v>
      </c>
      <c r="J11" s="74" t="s">
        <v>223</v>
      </c>
      <c r="K11" s="74" t="s">
        <v>223</v>
      </c>
      <c r="L11" s="74" t="s">
        <v>223</v>
      </c>
      <c r="M11" s="74" t="s">
        <v>223</v>
      </c>
      <c r="N11" s="74" t="s">
        <v>223</v>
      </c>
      <c r="O11" s="74" t="s">
        <v>223</v>
      </c>
      <c r="P11" s="74" t="s">
        <v>223</v>
      </c>
      <c r="R11" s="76">
        <f t="shared" si="0"/>
        <v>3</v>
      </c>
      <c r="S11" s="76">
        <f t="shared" si="1"/>
        <v>6.166666666666667</v>
      </c>
      <c r="T11" s="76">
        <f t="shared" si="2"/>
        <v>0</v>
      </c>
      <c r="U11" s="76">
        <f t="shared" si="3"/>
        <v>0</v>
      </c>
    </row>
    <row r="12" spans="1:21" ht="187.2" x14ac:dyDescent="0.3">
      <c r="A12" s="72" t="s">
        <v>238</v>
      </c>
      <c r="B12" s="75" t="s">
        <v>239</v>
      </c>
      <c r="C12" s="73" t="s">
        <v>5</v>
      </c>
      <c r="D12" s="73" t="s">
        <v>69</v>
      </c>
      <c r="E12" s="8">
        <v>5</v>
      </c>
      <c r="F12" s="8">
        <v>10</v>
      </c>
      <c r="G12" s="8">
        <v>7</v>
      </c>
      <c r="H12" s="8">
        <v>8</v>
      </c>
      <c r="I12" s="8">
        <v>9</v>
      </c>
      <c r="J12" s="74" t="s">
        <v>223</v>
      </c>
      <c r="K12" s="74" t="s">
        <v>223</v>
      </c>
      <c r="L12" s="74" t="s">
        <v>223</v>
      </c>
      <c r="M12" s="74" t="s">
        <v>223</v>
      </c>
      <c r="N12" s="74" t="s">
        <v>223</v>
      </c>
      <c r="O12" s="74" t="s">
        <v>223</v>
      </c>
      <c r="P12" s="74" t="s">
        <v>223</v>
      </c>
      <c r="R12" s="76">
        <f t="shared" si="0"/>
        <v>7.5</v>
      </c>
      <c r="S12" s="76">
        <f t="shared" si="1"/>
        <v>8</v>
      </c>
      <c r="T12" s="76">
        <f t="shared" si="2"/>
        <v>0</v>
      </c>
      <c r="U12" s="76">
        <f t="shared" si="3"/>
        <v>0</v>
      </c>
    </row>
    <row r="13" spans="1:21" ht="129.6" x14ac:dyDescent="0.3">
      <c r="A13" s="72" t="s">
        <v>240</v>
      </c>
      <c r="B13" s="75" t="s">
        <v>241</v>
      </c>
      <c r="C13" s="73" t="s">
        <v>3</v>
      </c>
      <c r="D13" s="73" t="s">
        <v>71</v>
      </c>
      <c r="E13" s="8">
        <v>10</v>
      </c>
      <c r="F13" s="8">
        <v>10</v>
      </c>
      <c r="G13" s="8">
        <v>9</v>
      </c>
      <c r="H13" s="8">
        <v>10</v>
      </c>
      <c r="I13" s="8">
        <v>10</v>
      </c>
      <c r="J13" s="74" t="s">
        <v>223</v>
      </c>
      <c r="K13" s="74" t="s">
        <v>223</v>
      </c>
      <c r="L13" s="74" t="s">
        <v>223</v>
      </c>
      <c r="M13" s="74" t="s">
        <v>223</v>
      </c>
      <c r="N13" s="74" t="s">
        <v>223</v>
      </c>
      <c r="O13" s="74" t="s">
        <v>223</v>
      </c>
      <c r="P13" s="74" t="s">
        <v>223</v>
      </c>
      <c r="R13" s="76">
        <f t="shared" si="0"/>
        <v>10</v>
      </c>
      <c r="S13" s="76">
        <f t="shared" si="1"/>
        <v>9.7222222222222214</v>
      </c>
      <c r="T13" s="76">
        <f t="shared" si="2"/>
        <v>0</v>
      </c>
      <c r="U13" s="76">
        <f t="shared" si="3"/>
        <v>0</v>
      </c>
    </row>
    <row r="14" spans="1:21" ht="129.6" x14ac:dyDescent="0.3">
      <c r="A14" s="72" t="s">
        <v>242</v>
      </c>
      <c r="B14" s="75" t="s">
        <v>243</v>
      </c>
      <c r="C14" s="73" t="s">
        <v>4</v>
      </c>
      <c r="D14" s="73" t="s">
        <v>71</v>
      </c>
      <c r="E14" s="8">
        <v>10</v>
      </c>
      <c r="F14" s="8">
        <v>10</v>
      </c>
      <c r="G14" s="8">
        <v>9</v>
      </c>
      <c r="H14" s="8">
        <v>10</v>
      </c>
      <c r="I14" s="8">
        <v>7</v>
      </c>
      <c r="J14" s="74" t="s">
        <v>223</v>
      </c>
      <c r="K14" s="74" t="s">
        <v>223</v>
      </c>
      <c r="L14" s="74" t="s">
        <v>223</v>
      </c>
      <c r="M14" s="74" t="s">
        <v>223</v>
      </c>
      <c r="N14" s="74" t="s">
        <v>223</v>
      </c>
      <c r="O14" s="74" t="s">
        <v>223</v>
      </c>
      <c r="P14" s="74" t="s">
        <v>223</v>
      </c>
      <c r="R14" s="76">
        <f t="shared" si="0"/>
        <v>10</v>
      </c>
      <c r="S14" s="76">
        <f t="shared" si="1"/>
        <v>8.8888888888888893</v>
      </c>
      <c r="T14" s="76">
        <f t="shared" si="2"/>
        <v>0</v>
      </c>
      <c r="U14" s="76">
        <f t="shared" si="3"/>
        <v>0</v>
      </c>
    </row>
    <row r="15" spans="1:21" ht="129.6" x14ac:dyDescent="0.3">
      <c r="A15" s="72" t="s">
        <v>244</v>
      </c>
      <c r="B15" s="75" t="s">
        <v>245</v>
      </c>
      <c r="C15" s="73" t="s">
        <v>5</v>
      </c>
      <c r="D15" s="73" t="s">
        <v>71</v>
      </c>
      <c r="E15" s="8">
        <v>10</v>
      </c>
      <c r="F15" s="8">
        <v>10</v>
      </c>
      <c r="G15" s="8">
        <v>9</v>
      </c>
      <c r="H15" s="8">
        <v>10</v>
      </c>
      <c r="I15" s="8">
        <v>1</v>
      </c>
      <c r="J15" s="74" t="s">
        <v>223</v>
      </c>
      <c r="K15" s="74" t="s">
        <v>223</v>
      </c>
      <c r="L15" s="74" t="s">
        <v>223</v>
      </c>
      <c r="M15" s="74" t="s">
        <v>223</v>
      </c>
      <c r="N15" s="74" t="s">
        <v>223</v>
      </c>
      <c r="O15" s="74" t="s">
        <v>223</v>
      </c>
      <c r="P15" s="74" t="s">
        <v>223</v>
      </c>
      <c r="R15" s="76">
        <f t="shared" si="0"/>
        <v>10</v>
      </c>
      <c r="S15" s="76">
        <f t="shared" si="1"/>
        <v>7.2222222222222223</v>
      </c>
      <c r="T15" s="76">
        <f t="shared" si="2"/>
        <v>0</v>
      </c>
      <c r="U15" s="76">
        <f t="shared" si="3"/>
        <v>0</v>
      </c>
    </row>
    <row r="16" spans="1:21" ht="100.8" x14ac:dyDescent="0.3">
      <c r="A16" s="72" t="s">
        <v>246</v>
      </c>
      <c r="B16" s="75" t="s">
        <v>247</v>
      </c>
      <c r="C16" s="73" t="s">
        <v>3</v>
      </c>
      <c r="D16" s="73" t="s">
        <v>76</v>
      </c>
      <c r="E16" s="8">
        <v>10</v>
      </c>
      <c r="F16" s="8">
        <v>10</v>
      </c>
      <c r="G16" s="8">
        <v>9</v>
      </c>
      <c r="H16" s="8">
        <v>9</v>
      </c>
      <c r="I16" s="8">
        <v>1</v>
      </c>
      <c r="J16" s="74" t="s">
        <v>223</v>
      </c>
      <c r="K16" s="74" t="s">
        <v>223</v>
      </c>
      <c r="L16" s="74" t="s">
        <v>223</v>
      </c>
      <c r="M16" s="74" t="s">
        <v>223</v>
      </c>
      <c r="N16" s="74" t="s">
        <v>223</v>
      </c>
      <c r="O16" s="74" t="s">
        <v>223</v>
      </c>
      <c r="P16" s="74" t="s">
        <v>223</v>
      </c>
      <c r="R16" s="76">
        <f t="shared" si="0"/>
        <v>10</v>
      </c>
      <c r="S16" s="76">
        <f t="shared" si="1"/>
        <v>6.7777777777777777</v>
      </c>
      <c r="T16" s="76">
        <f t="shared" si="2"/>
        <v>0</v>
      </c>
      <c r="U16" s="76">
        <f t="shared" si="3"/>
        <v>0</v>
      </c>
    </row>
    <row r="17" spans="1:21" ht="100.8" x14ac:dyDescent="0.3">
      <c r="A17" s="72" t="s">
        <v>248</v>
      </c>
      <c r="B17" s="75" t="s">
        <v>249</v>
      </c>
      <c r="C17" s="73" t="s">
        <v>4</v>
      </c>
      <c r="D17" s="73" t="s">
        <v>76</v>
      </c>
      <c r="E17" s="8">
        <v>5</v>
      </c>
      <c r="F17" s="8">
        <v>10</v>
      </c>
      <c r="G17" s="8">
        <v>7</v>
      </c>
      <c r="H17" s="8">
        <v>8</v>
      </c>
      <c r="I17" s="8">
        <v>3</v>
      </c>
      <c r="J17" s="74" t="s">
        <v>223</v>
      </c>
      <c r="K17" s="74" t="s">
        <v>223</v>
      </c>
      <c r="L17" s="74" t="s">
        <v>223</v>
      </c>
      <c r="M17" s="74" t="s">
        <v>223</v>
      </c>
      <c r="N17" s="74" t="s">
        <v>223</v>
      </c>
      <c r="O17" s="74" t="s">
        <v>223</v>
      </c>
      <c r="P17" s="74" t="s">
        <v>223</v>
      </c>
      <c r="R17" s="76">
        <f t="shared" si="0"/>
        <v>7.5</v>
      </c>
      <c r="S17" s="76">
        <f t="shared" si="1"/>
        <v>6.333333333333333</v>
      </c>
      <c r="T17" s="76">
        <f t="shared" si="2"/>
        <v>0</v>
      </c>
      <c r="U17" s="76">
        <f t="shared" si="3"/>
        <v>0</v>
      </c>
    </row>
    <row r="18" spans="1:21" ht="100.8" x14ac:dyDescent="0.3">
      <c r="A18" s="72" t="s">
        <v>250</v>
      </c>
      <c r="B18" s="75" t="s">
        <v>251</v>
      </c>
      <c r="C18" s="73" t="s">
        <v>5</v>
      </c>
      <c r="D18" s="73" t="s">
        <v>76</v>
      </c>
      <c r="E18" s="8">
        <v>1</v>
      </c>
      <c r="F18" s="8">
        <v>7</v>
      </c>
      <c r="G18" s="8">
        <v>5</v>
      </c>
      <c r="H18" s="8">
        <v>4</v>
      </c>
      <c r="I18" s="8">
        <v>5</v>
      </c>
      <c r="J18" s="74" t="s">
        <v>223</v>
      </c>
      <c r="K18" s="74" t="s">
        <v>223</v>
      </c>
      <c r="L18" s="74" t="s">
        <v>223</v>
      </c>
      <c r="M18" s="74" t="s">
        <v>223</v>
      </c>
      <c r="N18" s="74" t="s">
        <v>223</v>
      </c>
      <c r="O18" s="74" t="s">
        <v>223</v>
      </c>
      <c r="P18" s="74" t="s">
        <v>223</v>
      </c>
      <c r="R18" s="76">
        <f t="shared" si="0"/>
        <v>4</v>
      </c>
      <c r="S18" s="76">
        <f t="shared" si="1"/>
        <v>4.5555555555555554</v>
      </c>
      <c r="T18" s="76">
        <f t="shared" si="2"/>
        <v>0</v>
      </c>
      <c r="U18" s="76">
        <f t="shared" si="3"/>
        <v>0</v>
      </c>
    </row>
    <row r="19" spans="1:21" ht="72" x14ac:dyDescent="0.3">
      <c r="A19" s="72" t="s">
        <v>252</v>
      </c>
      <c r="B19" s="75" t="s">
        <v>253</v>
      </c>
      <c r="C19" s="73" t="s">
        <v>3</v>
      </c>
      <c r="D19" s="73" t="s">
        <v>83</v>
      </c>
      <c r="E19" s="8">
        <v>1</v>
      </c>
      <c r="F19" s="8">
        <v>7</v>
      </c>
      <c r="G19" s="8">
        <v>9</v>
      </c>
      <c r="H19" s="8">
        <v>5</v>
      </c>
      <c r="I19" s="8">
        <v>5</v>
      </c>
      <c r="J19" s="74" t="s">
        <v>223</v>
      </c>
      <c r="K19" s="74" t="s">
        <v>223</v>
      </c>
      <c r="L19" s="74" t="s">
        <v>223</v>
      </c>
      <c r="M19" s="74" t="s">
        <v>223</v>
      </c>
      <c r="N19" s="74" t="s">
        <v>223</v>
      </c>
      <c r="O19" s="74" t="s">
        <v>223</v>
      </c>
      <c r="P19" s="74" t="s">
        <v>223</v>
      </c>
      <c r="R19" s="76">
        <f t="shared" si="0"/>
        <v>4</v>
      </c>
      <c r="S19" s="76">
        <f t="shared" si="1"/>
        <v>6.1111111111111107</v>
      </c>
      <c r="T19" s="76">
        <f t="shared" si="2"/>
        <v>0</v>
      </c>
      <c r="U19" s="76">
        <f t="shared" si="3"/>
        <v>0</v>
      </c>
    </row>
    <row r="20" spans="1:21" ht="72" x14ac:dyDescent="0.3">
      <c r="A20" s="72" t="s">
        <v>254</v>
      </c>
      <c r="B20" s="75" t="s">
        <v>255</v>
      </c>
      <c r="C20" s="73" t="s">
        <v>4</v>
      </c>
      <c r="D20" s="73" t="s">
        <v>83</v>
      </c>
      <c r="E20" s="8">
        <v>4</v>
      </c>
      <c r="F20" s="8">
        <v>7</v>
      </c>
      <c r="G20" s="8">
        <v>9</v>
      </c>
      <c r="H20" s="8">
        <v>8</v>
      </c>
      <c r="I20" s="8">
        <v>6</v>
      </c>
      <c r="J20" s="74" t="s">
        <v>223</v>
      </c>
      <c r="K20" s="74" t="s">
        <v>223</v>
      </c>
      <c r="L20" s="74" t="s">
        <v>223</v>
      </c>
      <c r="M20" s="74" t="s">
        <v>223</v>
      </c>
      <c r="N20" s="74" t="s">
        <v>223</v>
      </c>
      <c r="O20" s="74" t="s">
        <v>223</v>
      </c>
      <c r="P20" s="74" t="s">
        <v>223</v>
      </c>
      <c r="R20" s="76">
        <f t="shared" si="0"/>
        <v>5.5</v>
      </c>
      <c r="S20" s="76">
        <f t="shared" si="1"/>
        <v>7.7222222222222223</v>
      </c>
      <c r="T20" s="76">
        <f t="shared" si="2"/>
        <v>0</v>
      </c>
      <c r="U20" s="76">
        <f t="shared" si="3"/>
        <v>0</v>
      </c>
    </row>
    <row r="21" spans="1:21" ht="72" x14ac:dyDescent="0.3">
      <c r="A21" s="72" t="s">
        <v>256</v>
      </c>
      <c r="B21" s="75" t="s">
        <v>257</v>
      </c>
      <c r="C21" s="73" t="s">
        <v>5</v>
      </c>
      <c r="D21" s="73" t="s">
        <v>83</v>
      </c>
      <c r="E21" s="8">
        <v>7</v>
      </c>
      <c r="F21" s="8">
        <v>7</v>
      </c>
      <c r="G21" s="8">
        <v>9</v>
      </c>
      <c r="H21" s="8">
        <v>10</v>
      </c>
      <c r="I21" s="8">
        <v>10</v>
      </c>
      <c r="J21" s="74" t="s">
        <v>223</v>
      </c>
      <c r="K21" s="74" t="s">
        <v>223</v>
      </c>
      <c r="L21" s="74" t="s">
        <v>223</v>
      </c>
      <c r="M21" s="74" t="s">
        <v>223</v>
      </c>
      <c r="N21" s="74" t="s">
        <v>223</v>
      </c>
      <c r="O21" s="74" t="s">
        <v>223</v>
      </c>
      <c r="P21" s="74" t="s">
        <v>223</v>
      </c>
      <c r="R21" s="76">
        <f t="shared" si="0"/>
        <v>7</v>
      </c>
      <c r="S21" s="76">
        <f t="shared" si="1"/>
        <v>9.7222222222222214</v>
      </c>
      <c r="T21" s="76">
        <f t="shared" si="2"/>
        <v>0</v>
      </c>
      <c r="U21" s="76">
        <f t="shared" si="3"/>
        <v>0</v>
      </c>
    </row>
    <row r="22" spans="1:21" ht="169.2" customHeight="1" x14ac:dyDescent="0.3">
      <c r="A22" s="72" t="s">
        <v>258</v>
      </c>
      <c r="B22" s="75" t="s">
        <v>259</v>
      </c>
      <c r="C22" s="73" t="s">
        <v>3</v>
      </c>
      <c r="D22" s="73" t="s">
        <v>85</v>
      </c>
      <c r="E22" s="8">
        <v>1</v>
      </c>
      <c r="F22" s="8">
        <v>7</v>
      </c>
      <c r="G22" s="8">
        <v>9</v>
      </c>
      <c r="H22" s="8">
        <v>6</v>
      </c>
      <c r="I22" s="8">
        <v>5</v>
      </c>
      <c r="J22" s="74" t="s">
        <v>223</v>
      </c>
      <c r="K22" s="74" t="s">
        <v>223</v>
      </c>
      <c r="L22" s="74" t="s">
        <v>223</v>
      </c>
      <c r="M22" s="74" t="s">
        <v>223</v>
      </c>
      <c r="N22" s="74" t="s">
        <v>223</v>
      </c>
      <c r="O22" s="74" t="s">
        <v>223</v>
      </c>
      <c r="P22" s="74" t="s">
        <v>223</v>
      </c>
      <c r="R22" s="76">
        <f t="shared" si="0"/>
        <v>4</v>
      </c>
      <c r="S22" s="76">
        <f t="shared" si="1"/>
        <v>6.5555555555555554</v>
      </c>
      <c r="T22" s="76">
        <f t="shared" si="2"/>
        <v>0</v>
      </c>
      <c r="U22" s="76">
        <f t="shared" si="3"/>
        <v>0</v>
      </c>
    </row>
    <row r="23" spans="1:21" ht="169.2" customHeight="1" x14ac:dyDescent="0.3">
      <c r="A23" s="72" t="s">
        <v>260</v>
      </c>
      <c r="B23" s="75" t="s">
        <v>261</v>
      </c>
      <c r="C23" s="73" t="s">
        <v>4</v>
      </c>
      <c r="D23" s="73" t="s">
        <v>85</v>
      </c>
      <c r="E23" s="8">
        <v>1</v>
      </c>
      <c r="F23" s="8">
        <v>7</v>
      </c>
      <c r="G23" s="8">
        <v>9</v>
      </c>
      <c r="H23" s="8">
        <v>8</v>
      </c>
      <c r="I23" s="8">
        <v>8</v>
      </c>
      <c r="J23" s="74" t="s">
        <v>223</v>
      </c>
      <c r="K23" s="74" t="s">
        <v>223</v>
      </c>
      <c r="L23" s="74" t="s">
        <v>223</v>
      </c>
      <c r="M23" s="74" t="s">
        <v>223</v>
      </c>
      <c r="N23" s="74" t="s">
        <v>223</v>
      </c>
      <c r="O23" s="74" t="s">
        <v>223</v>
      </c>
      <c r="P23" s="74" t="s">
        <v>223</v>
      </c>
      <c r="R23" s="76">
        <f t="shared" si="0"/>
        <v>4</v>
      </c>
      <c r="S23" s="76">
        <f t="shared" si="1"/>
        <v>8.2777777777777786</v>
      </c>
      <c r="T23" s="76">
        <f t="shared" si="2"/>
        <v>0</v>
      </c>
      <c r="U23" s="76">
        <f t="shared" si="3"/>
        <v>0</v>
      </c>
    </row>
    <row r="24" spans="1:21" ht="169.95" customHeight="1" x14ac:dyDescent="0.3">
      <c r="A24" s="72" t="s">
        <v>262</v>
      </c>
      <c r="B24" s="75" t="s">
        <v>263</v>
      </c>
      <c r="C24" s="73" t="s">
        <v>5</v>
      </c>
      <c r="D24" s="73" t="s">
        <v>85</v>
      </c>
      <c r="E24" s="8">
        <v>1</v>
      </c>
      <c r="F24" s="8">
        <v>7</v>
      </c>
      <c r="G24" s="8">
        <v>9</v>
      </c>
      <c r="H24" s="8">
        <v>10</v>
      </c>
      <c r="I24" s="8">
        <v>10</v>
      </c>
      <c r="J24" s="74" t="s">
        <v>223</v>
      </c>
      <c r="K24" s="74" t="s">
        <v>223</v>
      </c>
      <c r="L24" s="74" t="s">
        <v>223</v>
      </c>
      <c r="M24" s="74" t="s">
        <v>223</v>
      </c>
      <c r="N24" s="74" t="s">
        <v>223</v>
      </c>
      <c r="O24" s="74" t="s">
        <v>223</v>
      </c>
      <c r="P24" s="74" t="s">
        <v>223</v>
      </c>
      <c r="R24" s="76">
        <f t="shared" si="0"/>
        <v>4</v>
      </c>
      <c r="S24" s="76">
        <f t="shared" si="1"/>
        <v>9.7222222222222214</v>
      </c>
      <c r="T24" s="76">
        <f t="shared" si="2"/>
        <v>0</v>
      </c>
      <c r="U24" s="76">
        <f t="shared" si="3"/>
        <v>0</v>
      </c>
    </row>
    <row r="25" spans="1:21" ht="100.8" x14ac:dyDescent="0.3">
      <c r="A25" s="72" t="s">
        <v>264</v>
      </c>
      <c r="B25" s="75" t="s">
        <v>265</v>
      </c>
      <c r="C25" s="73" t="s">
        <v>3</v>
      </c>
      <c r="D25" s="73" t="s">
        <v>64</v>
      </c>
      <c r="E25" s="74"/>
      <c r="F25" s="74" t="s">
        <v>223</v>
      </c>
      <c r="G25" s="74" t="s">
        <v>223</v>
      </c>
      <c r="H25" s="74" t="s">
        <v>223</v>
      </c>
      <c r="I25" s="74" t="s">
        <v>223</v>
      </c>
      <c r="J25" s="8">
        <v>7</v>
      </c>
      <c r="K25" s="8">
        <v>10</v>
      </c>
      <c r="L25" s="8">
        <v>7</v>
      </c>
      <c r="M25" s="8">
        <v>9</v>
      </c>
      <c r="N25" s="8">
        <v>10</v>
      </c>
      <c r="O25" s="8">
        <v>8</v>
      </c>
      <c r="P25" s="8">
        <v>8</v>
      </c>
      <c r="R25" s="76">
        <f t="shared" si="0"/>
        <v>0</v>
      </c>
      <c r="S25" s="76">
        <f t="shared" si="1"/>
        <v>0</v>
      </c>
      <c r="T25" s="76">
        <f t="shared" si="2"/>
        <v>8</v>
      </c>
      <c r="U25" s="76">
        <f t="shared" si="3"/>
        <v>8.75</v>
      </c>
    </row>
    <row r="26" spans="1:21" ht="100.8" x14ac:dyDescent="0.3">
      <c r="A26" s="72" t="s">
        <v>266</v>
      </c>
      <c r="B26" s="75" t="s">
        <v>267</v>
      </c>
      <c r="C26" s="73" t="s">
        <v>4</v>
      </c>
      <c r="D26" s="73" t="s">
        <v>64</v>
      </c>
      <c r="E26" s="74" t="s">
        <v>223</v>
      </c>
      <c r="F26" s="74" t="s">
        <v>223</v>
      </c>
      <c r="G26" s="74" t="s">
        <v>223</v>
      </c>
      <c r="H26" s="74" t="s">
        <v>223</v>
      </c>
      <c r="I26" s="74" t="s">
        <v>223</v>
      </c>
      <c r="J26" s="8">
        <v>8</v>
      </c>
      <c r="K26" s="8">
        <v>10</v>
      </c>
      <c r="L26" s="8">
        <v>9</v>
      </c>
      <c r="M26" s="8">
        <v>10</v>
      </c>
      <c r="N26" s="8">
        <v>10</v>
      </c>
      <c r="O26" s="8">
        <v>8</v>
      </c>
      <c r="P26" s="8">
        <v>9</v>
      </c>
      <c r="R26" s="76">
        <f t="shared" si="0"/>
        <v>0</v>
      </c>
      <c r="S26" s="76">
        <f t="shared" si="1"/>
        <v>0</v>
      </c>
      <c r="T26" s="76">
        <f t="shared" si="2"/>
        <v>9</v>
      </c>
      <c r="U26" s="76">
        <f t="shared" si="3"/>
        <v>9.25</v>
      </c>
    </row>
    <row r="27" spans="1:21" ht="100.8" x14ac:dyDescent="0.3">
      <c r="A27" s="72" t="s">
        <v>268</v>
      </c>
      <c r="B27" s="75" t="s">
        <v>269</v>
      </c>
      <c r="C27" s="73" t="s">
        <v>5</v>
      </c>
      <c r="D27" s="73" t="s">
        <v>64</v>
      </c>
      <c r="E27" s="74" t="s">
        <v>223</v>
      </c>
      <c r="F27" s="74" t="s">
        <v>223</v>
      </c>
      <c r="G27" s="74" t="s">
        <v>223</v>
      </c>
      <c r="H27" s="74" t="s">
        <v>223</v>
      </c>
      <c r="I27" s="74" t="s">
        <v>223</v>
      </c>
      <c r="J27" s="8">
        <v>9</v>
      </c>
      <c r="K27" s="8">
        <v>10</v>
      </c>
      <c r="L27" s="8">
        <v>10</v>
      </c>
      <c r="M27" s="8">
        <v>10</v>
      </c>
      <c r="N27" s="8">
        <v>10</v>
      </c>
      <c r="O27" s="8">
        <v>10</v>
      </c>
      <c r="P27" s="8">
        <v>10</v>
      </c>
      <c r="R27" s="76">
        <f t="shared" si="0"/>
        <v>0</v>
      </c>
      <c r="S27" s="76">
        <f t="shared" si="1"/>
        <v>0</v>
      </c>
      <c r="T27" s="76">
        <f t="shared" si="2"/>
        <v>9.6666666666666661</v>
      </c>
      <c r="U27" s="76">
        <f t="shared" si="3"/>
        <v>10</v>
      </c>
    </row>
    <row r="28" spans="1:21" ht="117.6" customHeight="1" x14ac:dyDescent="0.3">
      <c r="A28" s="72" t="s">
        <v>270</v>
      </c>
      <c r="B28" s="75" t="s">
        <v>271</v>
      </c>
      <c r="C28" s="73" t="s">
        <v>3</v>
      </c>
      <c r="D28" s="73" t="s">
        <v>65</v>
      </c>
      <c r="E28" s="74" t="s">
        <v>223</v>
      </c>
      <c r="F28" s="74" t="s">
        <v>223</v>
      </c>
      <c r="G28" s="74" t="s">
        <v>223</v>
      </c>
      <c r="H28" s="74" t="s">
        <v>223</v>
      </c>
      <c r="I28" s="74" t="s">
        <v>223</v>
      </c>
      <c r="J28" s="8">
        <v>9</v>
      </c>
      <c r="K28" s="8">
        <v>7</v>
      </c>
      <c r="L28" s="8">
        <v>4</v>
      </c>
      <c r="M28" s="8">
        <v>8</v>
      </c>
      <c r="N28" s="8">
        <v>7</v>
      </c>
      <c r="O28" s="8">
        <v>6</v>
      </c>
      <c r="P28" s="8">
        <v>7</v>
      </c>
      <c r="R28" s="76">
        <f t="shared" si="0"/>
        <v>0</v>
      </c>
      <c r="S28" s="76">
        <f t="shared" si="1"/>
        <v>0</v>
      </c>
      <c r="T28" s="76">
        <f t="shared" si="2"/>
        <v>6.666666666666667</v>
      </c>
      <c r="U28" s="76">
        <f t="shared" si="3"/>
        <v>7</v>
      </c>
    </row>
    <row r="29" spans="1:21" ht="120.6" customHeight="1" x14ac:dyDescent="0.3">
      <c r="A29" s="72" t="s">
        <v>272</v>
      </c>
      <c r="B29" s="75" t="s">
        <v>273</v>
      </c>
      <c r="C29" s="73" t="s">
        <v>4</v>
      </c>
      <c r="D29" s="73" t="s">
        <v>65</v>
      </c>
      <c r="E29" s="74" t="s">
        <v>223</v>
      </c>
      <c r="F29" s="74" t="s">
        <v>223</v>
      </c>
      <c r="G29" s="74" t="s">
        <v>223</v>
      </c>
      <c r="H29" s="74" t="s">
        <v>223</v>
      </c>
      <c r="I29" s="74" t="s">
        <v>223</v>
      </c>
      <c r="J29" s="8">
        <v>10</v>
      </c>
      <c r="K29" s="8">
        <v>9</v>
      </c>
      <c r="L29" s="8">
        <v>8</v>
      </c>
      <c r="M29" s="8">
        <v>10</v>
      </c>
      <c r="N29" s="8">
        <v>9</v>
      </c>
      <c r="O29" s="8">
        <v>6</v>
      </c>
      <c r="P29" s="8">
        <v>9</v>
      </c>
      <c r="R29" s="76">
        <f t="shared" si="0"/>
        <v>0</v>
      </c>
      <c r="S29" s="76">
        <f t="shared" si="1"/>
        <v>0</v>
      </c>
      <c r="T29" s="76">
        <f t="shared" si="2"/>
        <v>9</v>
      </c>
      <c r="U29" s="76">
        <f t="shared" si="3"/>
        <v>8.5</v>
      </c>
    </row>
    <row r="30" spans="1:21" ht="100.8" x14ac:dyDescent="0.3">
      <c r="A30" s="72" t="s">
        <v>274</v>
      </c>
      <c r="B30" s="75" t="s">
        <v>275</v>
      </c>
      <c r="C30" s="73" t="s">
        <v>5</v>
      </c>
      <c r="D30" s="73" t="s">
        <v>65</v>
      </c>
      <c r="E30" s="74" t="s">
        <v>223</v>
      </c>
      <c r="F30" s="74" t="s">
        <v>223</v>
      </c>
      <c r="G30" s="74" t="s">
        <v>223</v>
      </c>
      <c r="H30" s="74" t="s">
        <v>223</v>
      </c>
      <c r="I30" s="74" t="s">
        <v>223</v>
      </c>
      <c r="J30" s="8">
        <v>10</v>
      </c>
      <c r="K30" s="8">
        <v>10</v>
      </c>
      <c r="L30" s="8">
        <v>9</v>
      </c>
      <c r="M30" s="8">
        <v>10</v>
      </c>
      <c r="N30" s="8">
        <v>10</v>
      </c>
      <c r="O30" s="8">
        <v>10</v>
      </c>
      <c r="P30" s="8">
        <v>10</v>
      </c>
      <c r="R30" s="76">
        <f t="shared" si="0"/>
        <v>0</v>
      </c>
      <c r="S30" s="76">
        <f t="shared" si="1"/>
        <v>0</v>
      </c>
      <c r="T30" s="76">
        <f t="shared" si="2"/>
        <v>9.6666666666666661</v>
      </c>
      <c r="U30" s="76">
        <f t="shared" si="3"/>
        <v>10</v>
      </c>
    </row>
    <row r="31" spans="1:21" ht="86.4" x14ac:dyDescent="0.3">
      <c r="A31" s="72" t="s">
        <v>276</v>
      </c>
      <c r="B31" s="75" t="s">
        <v>277</v>
      </c>
      <c r="C31" s="73" t="s">
        <v>3</v>
      </c>
      <c r="D31" s="73" t="s">
        <v>67</v>
      </c>
      <c r="E31" s="74" t="s">
        <v>223</v>
      </c>
      <c r="F31" s="74" t="s">
        <v>223</v>
      </c>
      <c r="G31" s="74" t="s">
        <v>223</v>
      </c>
      <c r="H31" s="74" t="s">
        <v>223</v>
      </c>
      <c r="I31" s="74" t="s">
        <v>223</v>
      </c>
      <c r="J31" s="8">
        <v>8</v>
      </c>
      <c r="K31" s="8">
        <v>5</v>
      </c>
      <c r="L31" s="8">
        <v>1</v>
      </c>
      <c r="M31" s="8">
        <v>8</v>
      </c>
      <c r="N31" s="8">
        <v>5</v>
      </c>
      <c r="O31" s="8">
        <v>5</v>
      </c>
      <c r="P31" s="8">
        <v>7</v>
      </c>
      <c r="R31" s="76">
        <f t="shared" si="0"/>
        <v>0</v>
      </c>
      <c r="S31" s="76">
        <f t="shared" si="1"/>
        <v>0</v>
      </c>
      <c r="T31" s="76">
        <f t="shared" si="2"/>
        <v>4.666666666666667</v>
      </c>
      <c r="U31" s="76">
        <f t="shared" si="3"/>
        <v>6.25</v>
      </c>
    </row>
    <row r="32" spans="1:21" ht="86.4" x14ac:dyDescent="0.3">
      <c r="A32" s="72" t="s">
        <v>278</v>
      </c>
      <c r="B32" s="75" t="s">
        <v>279</v>
      </c>
      <c r="C32" s="73" t="s">
        <v>4</v>
      </c>
      <c r="D32" s="73" t="s">
        <v>67</v>
      </c>
      <c r="E32" s="74" t="s">
        <v>223</v>
      </c>
      <c r="F32" s="74" t="s">
        <v>223</v>
      </c>
      <c r="G32" s="74" t="s">
        <v>223</v>
      </c>
      <c r="H32" s="74" t="s">
        <v>223</v>
      </c>
      <c r="I32" s="74" t="s">
        <v>223</v>
      </c>
      <c r="J32" s="8">
        <v>10</v>
      </c>
      <c r="K32" s="8">
        <v>8</v>
      </c>
      <c r="L32" s="8">
        <v>6</v>
      </c>
      <c r="M32" s="8">
        <v>10</v>
      </c>
      <c r="N32" s="8">
        <v>8</v>
      </c>
      <c r="O32" s="8">
        <v>7</v>
      </c>
      <c r="P32" s="8">
        <v>9</v>
      </c>
      <c r="R32" s="76">
        <f t="shared" si="0"/>
        <v>0</v>
      </c>
      <c r="S32" s="76">
        <f t="shared" si="1"/>
        <v>0</v>
      </c>
      <c r="T32" s="76">
        <f t="shared" si="2"/>
        <v>8</v>
      </c>
      <c r="U32" s="76">
        <f t="shared" si="3"/>
        <v>8.5</v>
      </c>
    </row>
    <row r="33" spans="1:21" ht="86.4" x14ac:dyDescent="0.3">
      <c r="A33" s="72" t="s">
        <v>280</v>
      </c>
      <c r="B33" s="75" t="s">
        <v>281</v>
      </c>
      <c r="C33" s="73" t="s">
        <v>5</v>
      </c>
      <c r="D33" s="73" t="s">
        <v>67</v>
      </c>
      <c r="E33" s="74" t="s">
        <v>223</v>
      </c>
      <c r="F33" s="74" t="s">
        <v>223</v>
      </c>
      <c r="G33" s="74" t="s">
        <v>223</v>
      </c>
      <c r="H33" s="74" t="s">
        <v>223</v>
      </c>
      <c r="I33" s="74" t="s">
        <v>223</v>
      </c>
      <c r="J33" s="8">
        <v>10</v>
      </c>
      <c r="K33" s="8">
        <v>10</v>
      </c>
      <c r="L33" s="8">
        <v>10</v>
      </c>
      <c r="M33" s="8">
        <v>10</v>
      </c>
      <c r="N33" s="8">
        <v>10</v>
      </c>
      <c r="O33" s="8">
        <v>9</v>
      </c>
      <c r="P33" s="8">
        <v>10</v>
      </c>
      <c r="R33" s="76">
        <f t="shared" si="0"/>
        <v>0</v>
      </c>
      <c r="S33" s="76">
        <f t="shared" si="1"/>
        <v>0</v>
      </c>
      <c r="T33" s="76">
        <f t="shared" si="2"/>
        <v>10</v>
      </c>
      <c r="U33" s="76">
        <f t="shared" si="3"/>
        <v>9.75</v>
      </c>
    </row>
    <row r="34" spans="1:21" ht="100.8" x14ac:dyDescent="0.3">
      <c r="A34" s="72" t="s">
        <v>282</v>
      </c>
      <c r="B34" s="75" t="s">
        <v>283</v>
      </c>
      <c r="C34" s="73" t="s">
        <v>3</v>
      </c>
      <c r="D34" s="73" t="s">
        <v>70</v>
      </c>
      <c r="E34" s="74" t="s">
        <v>223</v>
      </c>
      <c r="F34" s="74" t="s">
        <v>223</v>
      </c>
      <c r="G34" s="74" t="s">
        <v>223</v>
      </c>
      <c r="H34" s="74" t="s">
        <v>223</v>
      </c>
      <c r="I34" s="74" t="s">
        <v>223</v>
      </c>
      <c r="J34" s="8">
        <v>5</v>
      </c>
      <c r="K34" s="8">
        <v>5</v>
      </c>
      <c r="L34" s="8">
        <v>5</v>
      </c>
      <c r="M34" s="8">
        <v>5</v>
      </c>
      <c r="N34" s="8">
        <v>5</v>
      </c>
      <c r="O34" s="8">
        <v>4</v>
      </c>
      <c r="P34" s="8">
        <v>4</v>
      </c>
      <c r="R34" s="76">
        <f t="shared" si="0"/>
        <v>0</v>
      </c>
      <c r="S34" s="76">
        <f t="shared" si="1"/>
        <v>0</v>
      </c>
      <c r="T34" s="76">
        <f t="shared" si="2"/>
        <v>5</v>
      </c>
      <c r="U34" s="76">
        <f t="shared" si="3"/>
        <v>4.5</v>
      </c>
    </row>
    <row r="35" spans="1:21" ht="100.8" x14ac:dyDescent="0.3">
      <c r="A35" s="72" t="s">
        <v>284</v>
      </c>
      <c r="B35" s="75" t="s">
        <v>285</v>
      </c>
      <c r="C35" s="73" t="s">
        <v>4</v>
      </c>
      <c r="D35" s="73" t="s">
        <v>70</v>
      </c>
      <c r="E35" s="74" t="s">
        <v>223</v>
      </c>
      <c r="F35" s="74" t="s">
        <v>223</v>
      </c>
      <c r="G35" s="74" t="s">
        <v>223</v>
      </c>
      <c r="H35" s="74" t="s">
        <v>223</v>
      </c>
      <c r="I35" s="74" t="s">
        <v>223</v>
      </c>
      <c r="J35" s="8">
        <v>7</v>
      </c>
      <c r="K35" s="8">
        <v>8</v>
      </c>
      <c r="L35" s="8">
        <v>8</v>
      </c>
      <c r="M35" s="8">
        <v>7</v>
      </c>
      <c r="N35" s="8">
        <v>8</v>
      </c>
      <c r="O35" s="8">
        <v>6</v>
      </c>
      <c r="P35" s="8">
        <v>7</v>
      </c>
      <c r="R35" s="76">
        <f t="shared" si="0"/>
        <v>0</v>
      </c>
      <c r="S35" s="76">
        <f t="shared" si="1"/>
        <v>0</v>
      </c>
      <c r="T35" s="76">
        <f t="shared" si="2"/>
        <v>7.666666666666667</v>
      </c>
      <c r="U35" s="76">
        <f t="shared" si="3"/>
        <v>7</v>
      </c>
    </row>
    <row r="36" spans="1:21" ht="100.8" x14ac:dyDescent="0.3">
      <c r="A36" s="72" t="s">
        <v>286</v>
      </c>
      <c r="B36" s="75" t="s">
        <v>287</v>
      </c>
      <c r="C36" s="73" t="s">
        <v>5</v>
      </c>
      <c r="D36" s="73" t="s">
        <v>70</v>
      </c>
      <c r="E36" s="74" t="s">
        <v>223</v>
      </c>
      <c r="F36" s="74" t="s">
        <v>223</v>
      </c>
      <c r="G36" s="74" t="s">
        <v>223</v>
      </c>
      <c r="H36" s="74" t="s">
        <v>223</v>
      </c>
      <c r="I36" s="74" t="s">
        <v>223</v>
      </c>
      <c r="J36" s="8">
        <v>9</v>
      </c>
      <c r="K36" s="8">
        <v>9</v>
      </c>
      <c r="L36" s="8">
        <v>9</v>
      </c>
      <c r="M36" s="8">
        <v>9</v>
      </c>
      <c r="N36" s="8">
        <v>9</v>
      </c>
      <c r="O36" s="8">
        <v>8</v>
      </c>
      <c r="P36" s="8">
        <v>8</v>
      </c>
      <c r="R36" s="76">
        <f t="shared" ref="R36:R69" si="4">+SUMPRODUCT(E36:F36,$E$2:$F$2)/SUM($E$2:$F$2)</f>
        <v>0</v>
      </c>
      <c r="S36" s="76">
        <f t="shared" ref="S36:S69" si="5">+SUMPRODUCT(G36:I36,$G$2:$I$2)/SUM($G$2:$I$2)</f>
        <v>0</v>
      </c>
      <c r="T36" s="76">
        <f t="shared" ref="T36:T69" si="6">+SUMPRODUCT(J36:L36,$J$2:$L$2)/SUM($J$2:$L$2)</f>
        <v>9</v>
      </c>
      <c r="U36" s="76">
        <f t="shared" si="3"/>
        <v>8.5</v>
      </c>
    </row>
    <row r="37" spans="1:21" ht="129.6" x14ac:dyDescent="0.3">
      <c r="A37" s="72" t="s">
        <v>288</v>
      </c>
      <c r="B37" s="75" t="s">
        <v>289</v>
      </c>
      <c r="C37" s="73" t="s">
        <v>3</v>
      </c>
      <c r="D37" s="73" t="s">
        <v>72</v>
      </c>
      <c r="E37" s="74" t="s">
        <v>223</v>
      </c>
      <c r="F37" s="74" t="s">
        <v>223</v>
      </c>
      <c r="G37" s="74" t="s">
        <v>223</v>
      </c>
      <c r="H37" s="74" t="s">
        <v>223</v>
      </c>
      <c r="I37" s="74" t="s">
        <v>223</v>
      </c>
      <c r="J37" s="8">
        <v>8</v>
      </c>
      <c r="K37" s="8">
        <v>10</v>
      </c>
      <c r="L37" s="8">
        <v>9</v>
      </c>
      <c r="M37" s="8">
        <v>5</v>
      </c>
      <c r="N37" s="8">
        <v>10</v>
      </c>
      <c r="O37" s="8">
        <v>7</v>
      </c>
      <c r="P37" s="8">
        <v>5</v>
      </c>
      <c r="R37" s="76">
        <f t="shared" si="4"/>
        <v>0</v>
      </c>
      <c r="S37" s="76">
        <f t="shared" si="5"/>
        <v>0</v>
      </c>
      <c r="T37" s="76">
        <f t="shared" si="6"/>
        <v>9</v>
      </c>
      <c r="U37" s="76">
        <f t="shared" si="3"/>
        <v>6.75</v>
      </c>
    </row>
    <row r="38" spans="1:21" ht="129.6" x14ac:dyDescent="0.3">
      <c r="A38" s="72" t="s">
        <v>290</v>
      </c>
      <c r="B38" s="75" t="s">
        <v>291</v>
      </c>
      <c r="C38" s="73" t="s">
        <v>4</v>
      </c>
      <c r="D38" s="73" t="s">
        <v>72</v>
      </c>
      <c r="E38" s="74" t="s">
        <v>223</v>
      </c>
      <c r="F38" s="74" t="s">
        <v>223</v>
      </c>
      <c r="G38" s="74" t="s">
        <v>223</v>
      </c>
      <c r="H38" s="74" t="s">
        <v>223</v>
      </c>
      <c r="I38" s="74" t="s">
        <v>223</v>
      </c>
      <c r="J38" s="8">
        <v>9</v>
      </c>
      <c r="K38" s="8">
        <v>10</v>
      </c>
      <c r="L38" s="8">
        <v>3</v>
      </c>
      <c r="M38" s="8">
        <v>9</v>
      </c>
      <c r="N38" s="8">
        <v>10</v>
      </c>
      <c r="O38" s="8">
        <v>7</v>
      </c>
      <c r="P38" s="8">
        <v>8</v>
      </c>
      <c r="R38" s="76">
        <f t="shared" si="4"/>
        <v>0</v>
      </c>
      <c r="S38" s="76">
        <f t="shared" si="5"/>
        <v>0</v>
      </c>
      <c r="T38" s="76">
        <f t="shared" si="6"/>
        <v>7.333333333333333</v>
      </c>
      <c r="U38" s="76">
        <f t="shared" si="3"/>
        <v>8.5</v>
      </c>
    </row>
    <row r="39" spans="1:21" ht="129.6" x14ac:dyDescent="0.3">
      <c r="A39" s="72" t="s">
        <v>292</v>
      </c>
      <c r="B39" s="75" t="s">
        <v>293</v>
      </c>
      <c r="C39" s="73" t="s">
        <v>5</v>
      </c>
      <c r="D39" s="73" t="s">
        <v>72</v>
      </c>
      <c r="E39" s="74" t="s">
        <v>223</v>
      </c>
      <c r="F39" s="74" t="s">
        <v>223</v>
      </c>
      <c r="G39" s="74" t="s">
        <v>223</v>
      </c>
      <c r="H39" s="74" t="s">
        <v>223</v>
      </c>
      <c r="I39" s="74" t="s">
        <v>223</v>
      </c>
      <c r="J39" s="8">
        <v>9</v>
      </c>
      <c r="K39" s="8">
        <v>8</v>
      </c>
      <c r="L39" s="8">
        <v>1</v>
      </c>
      <c r="M39" s="8">
        <v>10</v>
      </c>
      <c r="N39" s="8">
        <v>8</v>
      </c>
      <c r="O39" s="8">
        <v>7</v>
      </c>
      <c r="P39" s="8">
        <v>9</v>
      </c>
      <c r="R39" s="76">
        <f t="shared" si="4"/>
        <v>0</v>
      </c>
      <c r="S39" s="76">
        <f t="shared" si="5"/>
        <v>0</v>
      </c>
      <c r="T39" s="76">
        <f t="shared" si="6"/>
        <v>6</v>
      </c>
      <c r="U39" s="76">
        <f t="shared" si="3"/>
        <v>8.5</v>
      </c>
    </row>
    <row r="40" spans="1:21" ht="86.4" x14ac:dyDescent="0.3">
      <c r="A40" s="72" t="s">
        <v>294</v>
      </c>
      <c r="B40" s="75" t="s">
        <v>295</v>
      </c>
      <c r="C40" s="73" t="s">
        <v>3</v>
      </c>
      <c r="D40" s="73" t="s">
        <v>73</v>
      </c>
      <c r="E40" s="74" t="s">
        <v>223</v>
      </c>
      <c r="F40" s="74" t="s">
        <v>223</v>
      </c>
      <c r="G40" s="74" t="s">
        <v>223</v>
      </c>
      <c r="H40" s="74" t="s">
        <v>223</v>
      </c>
      <c r="I40" s="74" t="s">
        <v>223</v>
      </c>
      <c r="J40" s="8">
        <v>5</v>
      </c>
      <c r="K40" s="8">
        <v>7</v>
      </c>
      <c r="L40" s="8">
        <v>1</v>
      </c>
      <c r="M40" s="8">
        <v>3</v>
      </c>
      <c r="N40" s="8">
        <v>7</v>
      </c>
      <c r="O40" s="8">
        <v>4</v>
      </c>
      <c r="P40" s="8">
        <v>6</v>
      </c>
      <c r="R40" s="76">
        <f t="shared" si="4"/>
        <v>0</v>
      </c>
      <c r="S40" s="76">
        <f t="shared" si="5"/>
        <v>0</v>
      </c>
      <c r="T40" s="76">
        <f t="shared" si="6"/>
        <v>4.333333333333333</v>
      </c>
      <c r="U40" s="76">
        <f t="shared" si="3"/>
        <v>5</v>
      </c>
    </row>
    <row r="41" spans="1:21" ht="86.4" x14ac:dyDescent="0.3">
      <c r="A41" s="72" t="s">
        <v>296</v>
      </c>
      <c r="B41" s="75" t="s">
        <v>297</v>
      </c>
      <c r="C41" s="73" t="s">
        <v>4</v>
      </c>
      <c r="D41" s="73" t="s">
        <v>73</v>
      </c>
      <c r="E41" s="74" t="s">
        <v>223</v>
      </c>
      <c r="F41" s="74" t="s">
        <v>223</v>
      </c>
      <c r="G41" s="74" t="s">
        <v>223</v>
      </c>
      <c r="H41" s="74" t="s">
        <v>223</v>
      </c>
      <c r="I41" s="74" t="s">
        <v>223</v>
      </c>
      <c r="J41" s="8">
        <v>10</v>
      </c>
      <c r="K41" s="8">
        <v>9</v>
      </c>
      <c r="L41" s="8">
        <v>5</v>
      </c>
      <c r="M41" s="8">
        <v>9</v>
      </c>
      <c r="N41" s="8">
        <v>9</v>
      </c>
      <c r="O41" s="8">
        <v>5</v>
      </c>
      <c r="P41" s="8">
        <v>8</v>
      </c>
      <c r="R41" s="76">
        <f t="shared" si="4"/>
        <v>0</v>
      </c>
      <c r="S41" s="76">
        <f t="shared" si="5"/>
        <v>0</v>
      </c>
      <c r="T41" s="76">
        <f t="shared" si="6"/>
        <v>8</v>
      </c>
      <c r="U41" s="76">
        <f t="shared" si="3"/>
        <v>7.75</v>
      </c>
    </row>
    <row r="42" spans="1:21" ht="86.4" x14ac:dyDescent="0.3">
      <c r="A42" s="72" t="s">
        <v>298</v>
      </c>
      <c r="B42" s="75" t="s">
        <v>299</v>
      </c>
      <c r="C42" s="73" t="s">
        <v>5</v>
      </c>
      <c r="D42" s="73" t="s">
        <v>73</v>
      </c>
      <c r="E42" s="74" t="s">
        <v>223</v>
      </c>
      <c r="F42" s="74" t="s">
        <v>223</v>
      </c>
      <c r="G42" s="74" t="s">
        <v>223</v>
      </c>
      <c r="H42" s="74" t="s">
        <v>223</v>
      </c>
      <c r="I42" s="74" t="s">
        <v>223</v>
      </c>
      <c r="J42" s="8">
        <v>10</v>
      </c>
      <c r="K42" s="8">
        <v>10</v>
      </c>
      <c r="L42" s="8">
        <v>9</v>
      </c>
      <c r="M42" s="8">
        <v>10</v>
      </c>
      <c r="N42" s="8">
        <v>10</v>
      </c>
      <c r="O42" s="8">
        <v>8</v>
      </c>
      <c r="P42" s="8">
        <v>9</v>
      </c>
      <c r="R42" s="76">
        <f t="shared" si="4"/>
        <v>0</v>
      </c>
      <c r="S42" s="76">
        <f t="shared" si="5"/>
        <v>0</v>
      </c>
      <c r="T42" s="76">
        <f t="shared" si="6"/>
        <v>9.6666666666666661</v>
      </c>
      <c r="U42" s="76">
        <f t="shared" si="3"/>
        <v>9.25</v>
      </c>
    </row>
    <row r="43" spans="1:21" ht="172.8" x14ac:dyDescent="0.3">
      <c r="A43" s="72" t="s">
        <v>300</v>
      </c>
      <c r="B43" s="75" t="s">
        <v>301</v>
      </c>
      <c r="C43" s="73" t="s">
        <v>3</v>
      </c>
      <c r="D43" s="73" t="s">
        <v>74</v>
      </c>
      <c r="E43" s="74" t="s">
        <v>223</v>
      </c>
      <c r="F43" s="74" t="s">
        <v>223</v>
      </c>
      <c r="G43" s="74" t="s">
        <v>223</v>
      </c>
      <c r="H43" s="74" t="s">
        <v>223</v>
      </c>
      <c r="I43" s="74" t="s">
        <v>223</v>
      </c>
      <c r="J43" s="8">
        <v>5</v>
      </c>
      <c r="K43" s="8">
        <v>10</v>
      </c>
      <c r="L43" s="8">
        <v>8</v>
      </c>
      <c r="M43" s="8">
        <v>8</v>
      </c>
      <c r="N43" s="8">
        <v>10</v>
      </c>
      <c r="O43" s="8">
        <v>7</v>
      </c>
      <c r="P43" s="8">
        <v>9</v>
      </c>
      <c r="R43" s="76">
        <f t="shared" si="4"/>
        <v>0</v>
      </c>
      <c r="S43" s="76">
        <f t="shared" si="5"/>
        <v>0</v>
      </c>
      <c r="T43" s="76">
        <f t="shared" si="6"/>
        <v>7.666666666666667</v>
      </c>
      <c r="U43" s="76">
        <f t="shared" si="3"/>
        <v>8.5</v>
      </c>
    </row>
    <row r="44" spans="1:21" ht="172.8" x14ac:dyDescent="0.3">
      <c r="A44" s="72" t="s">
        <v>302</v>
      </c>
      <c r="B44" s="75" t="s">
        <v>303</v>
      </c>
      <c r="C44" s="73" t="s">
        <v>4</v>
      </c>
      <c r="D44" s="73" t="s">
        <v>74</v>
      </c>
      <c r="E44" s="74" t="s">
        <v>223</v>
      </c>
      <c r="F44" s="74" t="s">
        <v>223</v>
      </c>
      <c r="G44" s="74" t="s">
        <v>223</v>
      </c>
      <c r="H44" s="74" t="s">
        <v>223</v>
      </c>
      <c r="I44" s="74" t="s">
        <v>223</v>
      </c>
      <c r="J44" s="8">
        <v>8</v>
      </c>
      <c r="K44" s="8">
        <v>9</v>
      </c>
      <c r="L44" s="8">
        <v>2</v>
      </c>
      <c r="M44" s="8">
        <v>10</v>
      </c>
      <c r="N44" s="8">
        <v>9</v>
      </c>
      <c r="O44" s="8">
        <v>7</v>
      </c>
      <c r="P44" s="8">
        <v>8</v>
      </c>
      <c r="R44" s="76">
        <f t="shared" si="4"/>
        <v>0</v>
      </c>
      <c r="S44" s="76">
        <f t="shared" si="5"/>
        <v>0</v>
      </c>
      <c r="T44" s="76">
        <f t="shared" si="6"/>
        <v>6.333333333333333</v>
      </c>
      <c r="U44" s="76">
        <f t="shared" si="3"/>
        <v>8.5</v>
      </c>
    </row>
    <row r="45" spans="1:21" ht="172.8" x14ac:dyDescent="0.3">
      <c r="A45" s="72" t="s">
        <v>304</v>
      </c>
      <c r="B45" s="75" t="s">
        <v>305</v>
      </c>
      <c r="C45" s="73" t="s">
        <v>5</v>
      </c>
      <c r="D45" s="73" t="s">
        <v>74</v>
      </c>
      <c r="E45" s="74" t="s">
        <v>223</v>
      </c>
      <c r="F45" s="74" t="s">
        <v>223</v>
      </c>
      <c r="G45" s="74" t="s">
        <v>223</v>
      </c>
      <c r="H45" s="74" t="s">
        <v>223</v>
      </c>
      <c r="I45" s="74" t="s">
        <v>223</v>
      </c>
      <c r="J45" s="8">
        <v>8</v>
      </c>
      <c r="K45" s="8">
        <v>7</v>
      </c>
      <c r="L45" s="8">
        <v>1</v>
      </c>
      <c r="M45" s="8">
        <v>10</v>
      </c>
      <c r="N45" s="8">
        <v>7</v>
      </c>
      <c r="O45" s="8">
        <v>2</v>
      </c>
      <c r="P45" s="8">
        <v>6</v>
      </c>
      <c r="R45" s="76">
        <f t="shared" si="4"/>
        <v>0</v>
      </c>
      <c r="S45" s="76">
        <f t="shared" si="5"/>
        <v>0</v>
      </c>
      <c r="T45" s="76">
        <f t="shared" si="6"/>
        <v>5.333333333333333</v>
      </c>
      <c r="U45" s="76">
        <f t="shared" si="3"/>
        <v>6.25</v>
      </c>
    </row>
    <row r="46" spans="1:21" ht="115.2" x14ac:dyDescent="0.3">
      <c r="A46" s="72" t="s">
        <v>306</v>
      </c>
      <c r="B46" s="75" t="s">
        <v>307</v>
      </c>
      <c r="C46" s="73" t="s">
        <v>3</v>
      </c>
      <c r="D46" s="73" t="s">
        <v>77</v>
      </c>
      <c r="E46" s="74" t="s">
        <v>223</v>
      </c>
      <c r="F46" s="74" t="s">
        <v>223</v>
      </c>
      <c r="G46" s="74" t="s">
        <v>223</v>
      </c>
      <c r="H46" s="74" t="s">
        <v>223</v>
      </c>
      <c r="I46" s="74" t="s">
        <v>223</v>
      </c>
      <c r="J46" s="8">
        <v>9</v>
      </c>
      <c r="K46" s="8">
        <v>9</v>
      </c>
      <c r="L46" s="8">
        <v>8</v>
      </c>
      <c r="M46" s="8">
        <v>10</v>
      </c>
      <c r="N46" s="8">
        <v>9</v>
      </c>
      <c r="O46" s="8">
        <v>6</v>
      </c>
      <c r="P46" s="8">
        <v>9</v>
      </c>
      <c r="R46" s="76">
        <f t="shared" si="4"/>
        <v>0</v>
      </c>
      <c r="S46" s="76">
        <f t="shared" si="5"/>
        <v>0</v>
      </c>
      <c r="T46" s="76">
        <f t="shared" si="6"/>
        <v>8.6666666666666661</v>
      </c>
      <c r="U46" s="76">
        <f t="shared" si="3"/>
        <v>8.5</v>
      </c>
    </row>
    <row r="47" spans="1:21" ht="115.2" x14ac:dyDescent="0.3">
      <c r="A47" s="72" t="s">
        <v>308</v>
      </c>
      <c r="B47" s="75" t="s">
        <v>309</v>
      </c>
      <c r="C47" s="73" t="s">
        <v>4</v>
      </c>
      <c r="D47" s="73" t="s">
        <v>77</v>
      </c>
      <c r="E47" s="74" t="s">
        <v>223</v>
      </c>
      <c r="F47" s="74" t="s">
        <v>223</v>
      </c>
      <c r="G47" s="74" t="s">
        <v>223</v>
      </c>
      <c r="H47" s="74" t="s">
        <v>223</v>
      </c>
      <c r="I47" s="74" t="s">
        <v>223</v>
      </c>
      <c r="J47" s="8">
        <v>8</v>
      </c>
      <c r="K47" s="8">
        <v>8</v>
      </c>
      <c r="L47" s="8">
        <v>3</v>
      </c>
      <c r="M47" s="8">
        <v>8</v>
      </c>
      <c r="N47" s="8">
        <v>8</v>
      </c>
      <c r="O47" s="8">
        <v>6</v>
      </c>
      <c r="P47" s="8">
        <v>8</v>
      </c>
      <c r="R47" s="76">
        <f t="shared" si="4"/>
        <v>0</v>
      </c>
      <c r="S47" s="76">
        <f t="shared" si="5"/>
        <v>0</v>
      </c>
      <c r="T47" s="76">
        <f t="shared" si="6"/>
        <v>6.333333333333333</v>
      </c>
      <c r="U47" s="76">
        <f t="shared" si="3"/>
        <v>7.5</v>
      </c>
    </row>
    <row r="48" spans="1:21" ht="115.2" x14ac:dyDescent="0.3">
      <c r="A48" s="72" t="s">
        <v>310</v>
      </c>
      <c r="B48" s="75" t="s">
        <v>311</v>
      </c>
      <c r="C48" s="73" t="s">
        <v>5</v>
      </c>
      <c r="D48" s="73" t="s">
        <v>77</v>
      </c>
      <c r="E48" s="74" t="s">
        <v>223</v>
      </c>
      <c r="F48" s="74" t="s">
        <v>223</v>
      </c>
      <c r="G48" s="74" t="s">
        <v>223</v>
      </c>
      <c r="H48" s="74" t="s">
        <v>223</v>
      </c>
      <c r="I48" s="74" t="s">
        <v>223</v>
      </c>
      <c r="J48" s="8">
        <v>7</v>
      </c>
      <c r="K48" s="8">
        <v>6</v>
      </c>
      <c r="L48" s="8">
        <v>1</v>
      </c>
      <c r="M48" s="8">
        <v>7</v>
      </c>
      <c r="N48" s="8">
        <v>6</v>
      </c>
      <c r="O48" s="8">
        <v>3</v>
      </c>
      <c r="P48" s="8">
        <v>4</v>
      </c>
      <c r="R48" s="76">
        <f t="shared" si="4"/>
        <v>0</v>
      </c>
      <c r="S48" s="76">
        <f t="shared" si="5"/>
        <v>0</v>
      </c>
      <c r="T48" s="76">
        <f t="shared" si="6"/>
        <v>4.666666666666667</v>
      </c>
      <c r="U48" s="76">
        <f t="shared" si="3"/>
        <v>5</v>
      </c>
    </row>
    <row r="49" spans="1:21" ht="201.6" x14ac:dyDescent="0.3">
      <c r="A49" s="72" t="s">
        <v>312</v>
      </c>
      <c r="B49" s="75" t="s">
        <v>313</v>
      </c>
      <c r="C49" s="73" t="s">
        <v>3</v>
      </c>
      <c r="D49" s="73" t="s">
        <v>78</v>
      </c>
      <c r="E49" s="74" t="s">
        <v>223</v>
      </c>
      <c r="F49" s="74" t="s">
        <v>223</v>
      </c>
      <c r="G49" s="74" t="s">
        <v>223</v>
      </c>
      <c r="H49" s="74" t="s">
        <v>223</v>
      </c>
      <c r="I49" s="74" t="s">
        <v>223</v>
      </c>
      <c r="J49" s="8">
        <v>9</v>
      </c>
      <c r="K49" s="8">
        <v>10</v>
      </c>
      <c r="L49" s="8">
        <v>10</v>
      </c>
      <c r="M49" s="8">
        <v>10</v>
      </c>
      <c r="N49" s="8">
        <v>10</v>
      </c>
      <c r="O49" s="8">
        <v>5</v>
      </c>
      <c r="P49" s="8">
        <v>7</v>
      </c>
      <c r="R49" s="76">
        <f t="shared" si="4"/>
        <v>0</v>
      </c>
      <c r="S49" s="76">
        <f t="shared" si="5"/>
        <v>0</v>
      </c>
      <c r="T49" s="76">
        <f t="shared" si="6"/>
        <v>9.6666666666666661</v>
      </c>
      <c r="U49" s="76">
        <f t="shared" si="3"/>
        <v>8</v>
      </c>
    </row>
    <row r="50" spans="1:21" ht="201.6" x14ac:dyDescent="0.3">
      <c r="A50" s="72" t="s">
        <v>314</v>
      </c>
      <c r="B50" s="75" t="s">
        <v>315</v>
      </c>
      <c r="C50" s="73" t="s">
        <v>4</v>
      </c>
      <c r="D50" s="73" t="s">
        <v>78</v>
      </c>
      <c r="E50" s="74" t="s">
        <v>223</v>
      </c>
      <c r="F50" s="74" t="s">
        <v>223</v>
      </c>
      <c r="G50" s="74" t="s">
        <v>223</v>
      </c>
      <c r="H50" s="74" t="s">
        <v>223</v>
      </c>
      <c r="I50" s="74" t="s">
        <v>223</v>
      </c>
      <c r="J50" s="8">
        <v>8</v>
      </c>
      <c r="K50" s="8">
        <v>10</v>
      </c>
      <c r="L50" s="8">
        <v>2</v>
      </c>
      <c r="M50" s="8">
        <v>10</v>
      </c>
      <c r="N50" s="8">
        <v>10</v>
      </c>
      <c r="O50" s="8">
        <v>5</v>
      </c>
      <c r="P50" s="8">
        <v>8</v>
      </c>
      <c r="R50" s="76">
        <f t="shared" si="4"/>
        <v>0</v>
      </c>
      <c r="S50" s="76">
        <f t="shared" si="5"/>
        <v>0</v>
      </c>
      <c r="T50" s="76">
        <f t="shared" si="6"/>
        <v>6.666666666666667</v>
      </c>
      <c r="U50" s="76">
        <f t="shared" si="3"/>
        <v>8.25</v>
      </c>
    </row>
    <row r="51" spans="1:21" ht="201.6" x14ac:dyDescent="0.3">
      <c r="A51" s="72" t="s">
        <v>316</v>
      </c>
      <c r="B51" s="75" t="s">
        <v>317</v>
      </c>
      <c r="C51" s="73" t="s">
        <v>5</v>
      </c>
      <c r="D51" s="73" t="s">
        <v>78</v>
      </c>
      <c r="E51" s="74" t="s">
        <v>223</v>
      </c>
      <c r="F51" s="74" t="s">
        <v>223</v>
      </c>
      <c r="G51" s="74" t="s">
        <v>223</v>
      </c>
      <c r="H51" s="74" t="s">
        <v>223</v>
      </c>
      <c r="I51" s="74" t="s">
        <v>223</v>
      </c>
      <c r="J51" s="8">
        <v>8</v>
      </c>
      <c r="K51" s="8">
        <v>10</v>
      </c>
      <c r="L51" s="8">
        <v>4</v>
      </c>
      <c r="M51" s="8">
        <v>10</v>
      </c>
      <c r="N51" s="8">
        <v>10</v>
      </c>
      <c r="O51" s="8">
        <v>7</v>
      </c>
      <c r="P51" s="8">
        <v>9</v>
      </c>
      <c r="R51" s="76">
        <f t="shared" si="4"/>
        <v>0</v>
      </c>
      <c r="S51" s="76">
        <f t="shared" si="5"/>
        <v>0</v>
      </c>
      <c r="T51" s="76">
        <f t="shared" si="6"/>
        <v>7.333333333333333</v>
      </c>
      <c r="U51" s="76">
        <f t="shared" si="3"/>
        <v>9</v>
      </c>
    </row>
    <row r="52" spans="1:21" ht="129.6" x14ac:dyDescent="0.3">
      <c r="A52" s="72" t="s">
        <v>318</v>
      </c>
      <c r="B52" s="75" t="s">
        <v>319</v>
      </c>
      <c r="C52" s="73" t="s">
        <v>3</v>
      </c>
      <c r="D52" s="73" t="s">
        <v>79</v>
      </c>
      <c r="E52" s="74" t="s">
        <v>223</v>
      </c>
      <c r="F52" s="74" t="s">
        <v>223</v>
      </c>
      <c r="G52" s="74" t="s">
        <v>223</v>
      </c>
      <c r="H52" s="74" t="s">
        <v>223</v>
      </c>
      <c r="I52" s="74" t="s">
        <v>223</v>
      </c>
      <c r="J52" s="8">
        <v>7</v>
      </c>
      <c r="K52" s="8">
        <v>8</v>
      </c>
      <c r="L52" s="8">
        <v>6</v>
      </c>
      <c r="M52" s="8">
        <v>6</v>
      </c>
      <c r="N52" s="8">
        <v>8</v>
      </c>
      <c r="O52" s="8">
        <v>4</v>
      </c>
      <c r="P52" s="8">
        <v>7</v>
      </c>
      <c r="R52" s="76">
        <f t="shared" si="4"/>
        <v>0</v>
      </c>
      <c r="S52" s="76">
        <f t="shared" si="5"/>
        <v>0</v>
      </c>
      <c r="T52" s="76">
        <f t="shared" si="6"/>
        <v>7</v>
      </c>
      <c r="U52" s="76">
        <f t="shared" si="3"/>
        <v>6.25</v>
      </c>
    </row>
    <row r="53" spans="1:21" ht="129.6" x14ac:dyDescent="0.3">
      <c r="A53" s="72" t="s">
        <v>320</v>
      </c>
      <c r="B53" s="75" t="s">
        <v>321</v>
      </c>
      <c r="C53" s="73" t="s">
        <v>4</v>
      </c>
      <c r="D53" s="73" t="s">
        <v>79</v>
      </c>
      <c r="E53" s="74" t="s">
        <v>223</v>
      </c>
      <c r="F53" s="74" t="s">
        <v>223</v>
      </c>
      <c r="G53" s="74" t="s">
        <v>223</v>
      </c>
      <c r="H53" s="74" t="s">
        <v>223</v>
      </c>
      <c r="I53" s="74" t="s">
        <v>223</v>
      </c>
      <c r="J53" s="8">
        <v>8</v>
      </c>
      <c r="K53" s="8">
        <v>8</v>
      </c>
      <c r="L53" s="8">
        <v>4</v>
      </c>
      <c r="M53" s="8">
        <v>9</v>
      </c>
      <c r="N53" s="8">
        <v>8</v>
      </c>
      <c r="O53" s="8">
        <v>5</v>
      </c>
      <c r="P53" s="8">
        <v>8</v>
      </c>
      <c r="R53" s="76">
        <f t="shared" si="4"/>
        <v>0</v>
      </c>
      <c r="S53" s="76">
        <f t="shared" si="5"/>
        <v>0</v>
      </c>
      <c r="T53" s="76">
        <f t="shared" si="6"/>
        <v>6.666666666666667</v>
      </c>
      <c r="U53" s="76">
        <f t="shared" si="3"/>
        <v>7.5</v>
      </c>
    </row>
    <row r="54" spans="1:21" ht="129.6" x14ac:dyDescent="0.3">
      <c r="A54" s="72" t="s">
        <v>322</v>
      </c>
      <c r="B54" s="75" t="s">
        <v>323</v>
      </c>
      <c r="C54" s="73" t="s">
        <v>5</v>
      </c>
      <c r="D54" s="73" t="s">
        <v>79</v>
      </c>
      <c r="E54" s="74" t="s">
        <v>223</v>
      </c>
      <c r="F54" s="74" t="s">
        <v>223</v>
      </c>
      <c r="G54" s="74" t="s">
        <v>223</v>
      </c>
      <c r="H54" s="74" t="s">
        <v>223</v>
      </c>
      <c r="I54" s="74" t="s">
        <v>223</v>
      </c>
      <c r="J54" s="8">
        <v>10</v>
      </c>
      <c r="K54" s="8">
        <v>8</v>
      </c>
      <c r="L54" s="8">
        <v>5</v>
      </c>
      <c r="M54" s="8">
        <v>10</v>
      </c>
      <c r="N54" s="8">
        <v>8</v>
      </c>
      <c r="O54" s="8">
        <v>8</v>
      </c>
      <c r="P54" s="8">
        <v>9</v>
      </c>
      <c r="R54" s="76">
        <f t="shared" si="4"/>
        <v>0</v>
      </c>
      <c r="S54" s="76">
        <f t="shared" si="5"/>
        <v>0</v>
      </c>
      <c r="T54" s="76">
        <f t="shared" si="6"/>
        <v>7.666666666666667</v>
      </c>
      <c r="U54" s="76">
        <f t="shared" si="3"/>
        <v>8.75</v>
      </c>
    </row>
    <row r="55" spans="1:21" ht="100.8" x14ac:dyDescent="0.3">
      <c r="A55" s="72" t="s">
        <v>324</v>
      </c>
      <c r="B55" s="75" t="s">
        <v>325</v>
      </c>
      <c r="C55" s="73" t="s">
        <v>3</v>
      </c>
      <c r="D55" s="73" t="s">
        <v>80</v>
      </c>
      <c r="E55" s="74" t="s">
        <v>223</v>
      </c>
      <c r="F55" s="74" t="s">
        <v>223</v>
      </c>
      <c r="G55" s="74" t="s">
        <v>223</v>
      </c>
      <c r="H55" s="74" t="s">
        <v>223</v>
      </c>
      <c r="I55" s="74" t="s">
        <v>223</v>
      </c>
      <c r="J55" s="8">
        <v>8</v>
      </c>
      <c r="K55" s="8">
        <v>10</v>
      </c>
      <c r="L55" s="8">
        <v>10</v>
      </c>
      <c r="M55" s="8">
        <v>8</v>
      </c>
      <c r="N55" s="8">
        <v>10</v>
      </c>
      <c r="O55" s="8">
        <v>7</v>
      </c>
      <c r="P55" s="8">
        <v>9</v>
      </c>
      <c r="R55" s="76">
        <f t="shared" si="4"/>
        <v>0</v>
      </c>
      <c r="S55" s="76">
        <f t="shared" si="5"/>
        <v>0</v>
      </c>
      <c r="T55" s="76">
        <f t="shared" si="6"/>
        <v>9.3333333333333339</v>
      </c>
      <c r="U55" s="76">
        <f t="shared" si="3"/>
        <v>8.5</v>
      </c>
    </row>
    <row r="56" spans="1:21" ht="100.8" x14ac:dyDescent="0.3">
      <c r="A56" s="72" t="s">
        <v>326</v>
      </c>
      <c r="B56" s="75" t="s">
        <v>327</v>
      </c>
      <c r="C56" s="73" t="s">
        <v>4</v>
      </c>
      <c r="D56" s="73" t="s">
        <v>80</v>
      </c>
      <c r="E56" s="74" t="s">
        <v>223</v>
      </c>
      <c r="F56" s="74" t="s">
        <v>223</v>
      </c>
      <c r="G56" s="74" t="s">
        <v>223</v>
      </c>
      <c r="H56" s="74" t="s">
        <v>223</v>
      </c>
      <c r="I56" s="74" t="s">
        <v>223</v>
      </c>
      <c r="J56" s="8">
        <v>9</v>
      </c>
      <c r="K56" s="8">
        <v>9</v>
      </c>
      <c r="L56" s="8">
        <v>3</v>
      </c>
      <c r="M56" s="8">
        <v>9</v>
      </c>
      <c r="N56" s="8">
        <v>9</v>
      </c>
      <c r="O56" s="8">
        <v>7</v>
      </c>
      <c r="P56" s="8">
        <v>9</v>
      </c>
      <c r="R56" s="76">
        <f t="shared" si="4"/>
        <v>0</v>
      </c>
      <c r="S56" s="76">
        <f t="shared" si="5"/>
        <v>0</v>
      </c>
      <c r="T56" s="76">
        <f t="shared" si="6"/>
        <v>7</v>
      </c>
      <c r="U56" s="76">
        <f t="shared" si="3"/>
        <v>8.5</v>
      </c>
    </row>
    <row r="57" spans="1:21" ht="100.8" x14ac:dyDescent="0.3">
      <c r="A57" s="72" t="s">
        <v>328</v>
      </c>
      <c r="B57" s="75" t="s">
        <v>329</v>
      </c>
      <c r="C57" s="73" t="s">
        <v>5</v>
      </c>
      <c r="D57" s="73" t="s">
        <v>80</v>
      </c>
      <c r="E57" s="74" t="s">
        <v>223</v>
      </c>
      <c r="F57" s="74" t="s">
        <v>223</v>
      </c>
      <c r="G57" s="74" t="s">
        <v>223</v>
      </c>
      <c r="H57" s="74" t="s">
        <v>223</v>
      </c>
      <c r="I57" s="74" t="s">
        <v>223</v>
      </c>
      <c r="J57" s="8">
        <v>9</v>
      </c>
      <c r="K57" s="8">
        <v>7</v>
      </c>
      <c r="L57" s="8">
        <v>1</v>
      </c>
      <c r="M57" s="8">
        <v>9</v>
      </c>
      <c r="N57" s="8">
        <v>7</v>
      </c>
      <c r="O57" s="8">
        <v>3</v>
      </c>
      <c r="P57" s="8">
        <v>9</v>
      </c>
      <c r="R57" s="76">
        <f t="shared" si="4"/>
        <v>0</v>
      </c>
      <c r="S57" s="76">
        <f t="shared" si="5"/>
        <v>0</v>
      </c>
      <c r="T57" s="76">
        <f t="shared" si="6"/>
        <v>5.666666666666667</v>
      </c>
      <c r="U57" s="76">
        <f t="shared" si="3"/>
        <v>7</v>
      </c>
    </row>
    <row r="58" spans="1:21" ht="136.19999999999999" customHeight="1" x14ac:dyDescent="0.3">
      <c r="A58" s="72" t="s">
        <v>330</v>
      </c>
      <c r="B58" s="75" t="s">
        <v>331</v>
      </c>
      <c r="C58" s="73" t="s">
        <v>3</v>
      </c>
      <c r="D58" s="73" t="s">
        <v>81</v>
      </c>
      <c r="E58" s="74" t="s">
        <v>223</v>
      </c>
      <c r="F58" s="74" t="s">
        <v>223</v>
      </c>
      <c r="G58" s="74" t="s">
        <v>223</v>
      </c>
      <c r="H58" s="74" t="s">
        <v>223</v>
      </c>
      <c r="I58" s="74" t="s">
        <v>223</v>
      </c>
      <c r="J58" s="8">
        <v>9</v>
      </c>
      <c r="K58" s="8">
        <v>9</v>
      </c>
      <c r="L58" s="8">
        <v>7</v>
      </c>
      <c r="M58" s="8">
        <v>6</v>
      </c>
      <c r="N58" s="8">
        <v>9</v>
      </c>
      <c r="O58" s="8">
        <v>5</v>
      </c>
      <c r="P58" s="8">
        <v>9</v>
      </c>
      <c r="R58" s="76">
        <f t="shared" si="4"/>
        <v>0</v>
      </c>
      <c r="S58" s="76">
        <f t="shared" si="5"/>
        <v>0</v>
      </c>
      <c r="T58" s="76">
        <f t="shared" si="6"/>
        <v>8.3333333333333339</v>
      </c>
      <c r="U58" s="76">
        <f t="shared" si="3"/>
        <v>7.25</v>
      </c>
    </row>
    <row r="59" spans="1:21" ht="138" customHeight="1" x14ac:dyDescent="0.3">
      <c r="A59" s="72" t="s">
        <v>332</v>
      </c>
      <c r="B59" s="75" t="s">
        <v>333</v>
      </c>
      <c r="C59" s="73" t="s">
        <v>4</v>
      </c>
      <c r="D59" s="73" t="s">
        <v>81</v>
      </c>
      <c r="E59" s="74" t="s">
        <v>223</v>
      </c>
      <c r="F59" s="74" t="s">
        <v>223</v>
      </c>
      <c r="G59" s="74" t="s">
        <v>223</v>
      </c>
      <c r="H59" s="74" t="s">
        <v>223</v>
      </c>
      <c r="I59" s="74" t="s">
        <v>223</v>
      </c>
      <c r="J59" s="8">
        <v>10</v>
      </c>
      <c r="K59" s="8">
        <v>9</v>
      </c>
      <c r="L59" s="8">
        <v>5</v>
      </c>
      <c r="M59" s="8">
        <v>9</v>
      </c>
      <c r="N59" s="8">
        <v>9</v>
      </c>
      <c r="O59" s="8">
        <v>5</v>
      </c>
      <c r="P59" s="8">
        <v>9</v>
      </c>
      <c r="R59" s="76">
        <f t="shared" si="4"/>
        <v>0</v>
      </c>
      <c r="S59" s="76">
        <f t="shared" si="5"/>
        <v>0</v>
      </c>
      <c r="T59" s="76">
        <f t="shared" si="6"/>
        <v>8</v>
      </c>
      <c r="U59" s="76">
        <f t="shared" si="3"/>
        <v>8</v>
      </c>
    </row>
    <row r="60" spans="1:21" ht="136.94999999999999" customHeight="1" x14ac:dyDescent="0.3">
      <c r="A60" s="72" t="s">
        <v>334</v>
      </c>
      <c r="B60" s="75" t="s">
        <v>335</v>
      </c>
      <c r="C60" s="73" t="s">
        <v>5</v>
      </c>
      <c r="D60" s="73" t="s">
        <v>81</v>
      </c>
      <c r="E60" s="74" t="s">
        <v>223</v>
      </c>
      <c r="F60" s="74" t="s">
        <v>223</v>
      </c>
      <c r="G60" s="74" t="s">
        <v>223</v>
      </c>
      <c r="H60" s="74" t="s">
        <v>223</v>
      </c>
      <c r="I60" s="74" t="s">
        <v>223</v>
      </c>
      <c r="J60" s="8">
        <v>7</v>
      </c>
      <c r="K60" s="8">
        <v>9</v>
      </c>
      <c r="L60" s="8">
        <v>1</v>
      </c>
      <c r="M60" s="8">
        <v>6</v>
      </c>
      <c r="N60" s="8">
        <v>9</v>
      </c>
      <c r="O60" s="8">
        <v>5</v>
      </c>
      <c r="P60" s="8">
        <v>9</v>
      </c>
      <c r="R60" s="76">
        <f t="shared" si="4"/>
        <v>0</v>
      </c>
      <c r="S60" s="76">
        <f t="shared" si="5"/>
        <v>0</v>
      </c>
      <c r="T60" s="76">
        <f t="shared" si="6"/>
        <v>5.666666666666667</v>
      </c>
      <c r="U60" s="76">
        <f t="shared" si="3"/>
        <v>7.25</v>
      </c>
    </row>
    <row r="61" spans="1:21" ht="187.2" x14ac:dyDescent="0.3">
      <c r="A61" s="72" t="s">
        <v>336</v>
      </c>
      <c r="B61" s="75" t="s">
        <v>337</v>
      </c>
      <c r="C61" s="73" t="s">
        <v>3</v>
      </c>
      <c r="D61" s="73" t="s">
        <v>82</v>
      </c>
      <c r="E61" s="74" t="s">
        <v>223</v>
      </c>
      <c r="F61" s="74" t="s">
        <v>223</v>
      </c>
      <c r="G61" s="74" t="s">
        <v>223</v>
      </c>
      <c r="H61" s="74" t="s">
        <v>223</v>
      </c>
      <c r="I61" s="74" t="s">
        <v>223</v>
      </c>
      <c r="J61" s="8">
        <v>7</v>
      </c>
      <c r="K61" s="8">
        <v>6</v>
      </c>
      <c r="L61" s="8">
        <v>2</v>
      </c>
      <c r="M61" s="8">
        <v>8</v>
      </c>
      <c r="N61" s="8">
        <v>6</v>
      </c>
      <c r="O61" s="8">
        <v>5</v>
      </c>
      <c r="P61" s="8">
        <v>8</v>
      </c>
      <c r="R61" s="76">
        <f t="shared" si="4"/>
        <v>0</v>
      </c>
      <c r="S61" s="76">
        <f t="shared" si="5"/>
        <v>0</v>
      </c>
      <c r="T61" s="76">
        <f t="shared" si="6"/>
        <v>5</v>
      </c>
      <c r="U61" s="76">
        <f t="shared" si="3"/>
        <v>6.75</v>
      </c>
    </row>
    <row r="62" spans="1:21" ht="187.2" x14ac:dyDescent="0.3">
      <c r="A62" s="72" t="s">
        <v>338</v>
      </c>
      <c r="B62" s="75" t="s">
        <v>339</v>
      </c>
      <c r="C62" s="73" t="s">
        <v>4</v>
      </c>
      <c r="D62" s="73" t="s">
        <v>82</v>
      </c>
      <c r="E62" s="74" t="s">
        <v>223</v>
      </c>
      <c r="F62" s="74" t="s">
        <v>223</v>
      </c>
      <c r="G62" s="74" t="s">
        <v>223</v>
      </c>
      <c r="H62" s="74" t="s">
        <v>223</v>
      </c>
      <c r="I62" s="74" t="s">
        <v>223</v>
      </c>
      <c r="J62" s="8">
        <v>9</v>
      </c>
      <c r="K62" s="8">
        <v>7</v>
      </c>
      <c r="L62" s="8">
        <v>7</v>
      </c>
      <c r="M62" s="8">
        <v>9</v>
      </c>
      <c r="N62" s="8">
        <v>7</v>
      </c>
      <c r="O62" s="8">
        <v>6</v>
      </c>
      <c r="P62" s="8">
        <v>8</v>
      </c>
      <c r="R62" s="76">
        <f t="shared" si="4"/>
        <v>0</v>
      </c>
      <c r="S62" s="76">
        <f t="shared" si="5"/>
        <v>0</v>
      </c>
      <c r="T62" s="76">
        <f t="shared" si="6"/>
        <v>7.666666666666667</v>
      </c>
      <c r="U62" s="76">
        <f t="shared" si="3"/>
        <v>7.5</v>
      </c>
    </row>
    <row r="63" spans="1:21" ht="187.2" x14ac:dyDescent="0.3">
      <c r="A63" s="72" t="s">
        <v>340</v>
      </c>
      <c r="B63" s="75" t="s">
        <v>341</v>
      </c>
      <c r="C63" s="73" t="s">
        <v>5</v>
      </c>
      <c r="D63" s="73" t="s">
        <v>82</v>
      </c>
      <c r="E63" s="74" t="s">
        <v>223</v>
      </c>
      <c r="F63" s="74" t="s">
        <v>223</v>
      </c>
      <c r="G63" s="74" t="s">
        <v>223</v>
      </c>
      <c r="H63" s="74" t="s">
        <v>223</v>
      </c>
      <c r="I63" s="74" t="s">
        <v>223</v>
      </c>
      <c r="J63" s="8">
        <v>10</v>
      </c>
      <c r="K63" s="8">
        <v>7</v>
      </c>
      <c r="L63" s="8">
        <v>8</v>
      </c>
      <c r="M63" s="8">
        <v>10</v>
      </c>
      <c r="N63" s="8">
        <v>7</v>
      </c>
      <c r="O63" s="8">
        <v>8</v>
      </c>
      <c r="P63" s="8">
        <v>8</v>
      </c>
      <c r="R63" s="76">
        <f t="shared" si="4"/>
        <v>0</v>
      </c>
      <c r="S63" s="76">
        <f t="shared" si="5"/>
        <v>0</v>
      </c>
      <c r="T63" s="76">
        <f t="shared" si="6"/>
        <v>8.3333333333333339</v>
      </c>
      <c r="U63" s="76">
        <f t="shared" si="3"/>
        <v>8.25</v>
      </c>
    </row>
    <row r="64" spans="1:21" ht="86.4" x14ac:dyDescent="0.3">
      <c r="A64" s="72" t="s">
        <v>342</v>
      </c>
      <c r="B64" s="75" t="s">
        <v>343</v>
      </c>
      <c r="C64" s="73" t="s">
        <v>3</v>
      </c>
      <c r="D64" s="73" t="s">
        <v>84</v>
      </c>
      <c r="E64" s="74" t="s">
        <v>223</v>
      </c>
      <c r="F64" s="74" t="s">
        <v>223</v>
      </c>
      <c r="G64" s="74" t="s">
        <v>223</v>
      </c>
      <c r="H64" s="74" t="s">
        <v>223</v>
      </c>
      <c r="I64" s="74" t="s">
        <v>223</v>
      </c>
      <c r="J64" s="8">
        <v>5</v>
      </c>
      <c r="K64" s="8">
        <v>8</v>
      </c>
      <c r="L64" s="8">
        <v>10</v>
      </c>
      <c r="M64" s="8">
        <v>10</v>
      </c>
      <c r="N64" s="8">
        <v>8</v>
      </c>
      <c r="O64" s="8">
        <v>3</v>
      </c>
      <c r="P64" s="8">
        <v>8</v>
      </c>
      <c r="R64" s="76">
        <f t="shared" si="4"/>
        <v>0</v>
      </c>
      <c r="S64" s="76">
        <f t="shared" si="5"/>
        <v>0</v>
      </c>
      <c r="T64" s="76">
        <f t="shared" si="6"/>
        <v>7.666666666666667</v>
      </c>
      <c r="U64" s="76">
        <f t="shared" si="3"/>
        <v>7.25</v>
      </c>
    </row>
    <row r="65" spans="1:21" ht="86.4" x14ac:dyDescent="0.3">
      <c r="A65" s="72" t="s">
        <v>344</v>
      </c>
      <c r="B65" s="75" t="s">
        <v>345</v>
      </c>
      <c r="C65" s="73" t="s">
        <v>4</v>
      </c>
      <c r="D65" s="73" t="s">
        <v>84</v>
      </c>
      <c r="E65" s="74" t="s">
        <v>223</v>
      </c>
      <c r="F65" s="74" t="s">
        <v>223</v>
      </c>
      <c r="G65" s="74" t="s">
        <v>223</v>
      </c>
      <c r="H65" s="74" t="s">
        <v>223</v>
      </c>
      <c r="I65" s="74" t="s">
        <v>223</v>
      </c>
      <c r="J65" s="8">
        <v>7</v>
      </c>
      <c r="K65" s="8">
        <v>9</v>
      </c>
      <c r="L65" s="8">
        <v>5</v>
      </c>
      <c r="M65" s="8">
        <v>10</v>
      </c>
      <c r="N65" s="8">
        <v>9</v>
      </c>
      <c r="O65" s="8">
        <v>3</v>
      </c>
      <c r="P65" s="8">
        <v>9</v>
      </c>
      <c r="R65" s="76">
        <f t="shared" si="4"/>
        <v>0</v>
      </c>
      <c r="S65" s="76">
        <f t="shared" si="5"/>
        <v>0</v>
      </c>
      <c r="T65" s="76">
        <f t="shared" si="6"/>
        <v>7</v>
      </c>
      <c r="U65" s="76">
        <f t="shared" si="3"/>
        <v>7.75</v>
      </c>
    </row>
    <row r="66" spans="1:21" ht="86.4" x14ac:dyDescent="0.3">
      <c r="A66" s="72" t="s">
        <v>346</v>
      </c>
      <c r="B66" s="75" t="s">
        <v>347</v>
      </c>
      <c r="C66" s="73" t="s">
        <v>5</v>
      </c>
      <c r="D66" s="73" t="s">
        <v>84</v>
      </c>
      <c r="E66" s="74" t="s">
        <v>223</v>
      </c>
      <c r="F66" s="74" t="s">
        <v>223</v>
      </c>
      <c r="G66" s="74" t="s">
        <v>223</v>
      </c>
      <c r="H66" s="74" t="s">
        <v>223</v>
      </c>
      <c r="I66" s="74" t="s">
        <v>223</v>
      </c>
      <c r="J66" s="8">
        <v>9</v>
      </c>
      <c r="K66" s="8">
        <v>10</v>
      </c>
      <c r="L66" s="8">
        <v>10</v>
      </c>
      <c r="M66" s="8">
        <v>10</v>
      </c>
      <c r="N66" s="8">
        <v>10</v>
      </c>
      <c r="O66" s="8">
        <v>9</v>
      </c>
      <c r="P66" s="8">
        <v>10</v>
      </c>
      <c r="R66" s="76">
        <f t="shared" si="4"/>
        <v>0</v>
      </c>
      <c r="S66" s="76">
        <f t="shared" si="5"/>
        <v>0</v>
      </c>
      <c r="T66" s="76">
        <f t="shared" si="6"/>
        <v>9.6666666666666661</v>
      </c>
      <c r="U66" s="76">
        <f t="shared" si="3"/>
        <v>9.75</v>
      </c>
    </row>
    <row r="67" spans="1:21" ht="144" x14ac:dyDescent="0.3">
      <c r="A67" s="72" t="s">
        <v>348</v>
      </c>
      <c r="B67" s="75" t="s">
        <v>349</v>
      </c>
      <c r="C67" s="73" t="s">
        <v>3</v>
      </c>
      <c r="D67" s="73" t="s">
        <v>86</v>
      </c>
      <c r="E67" s="74" t="s">
        <v>223</v>
      </c>
      <c r="F67" s="74" t="s">
        <v>223</v>
      </c>
      <c r="G67" s="74" t="s">
        <v>223</v>
      </c>
      <c r="H67" s="74" t="s">
        <v>223</v>
      </c>
      <c r="I67" s="74" t="s">
        <v>223</v>
      </c>
      <c r="J67" s="8">
        <v>5</v>
      </c>
      <c r="K67" s="8">
        <v>7</v>
      </c>
      <c r="L67" s="8">
        <v>4</v>
      </c>
      <c r="M67" s="8">
        <v>5</v>
      </c>
      <c r="N67" s="8">
        <v>7</v>
      </c>
      <c r="O67" s="8">
        <v>4</v>
      </c>
      <c r="P67" s="8">
        <v>5</v>
      </c>
      <c r="R67" s="76">
        <f t="shared" si="4"/>
        <v>0</v>
      </c>
      <c r="S67" s="76">
        <f t="shared" si="5"/>
        <v>0</v>
      </c>
      <c r="T67" s="76">
        <f t="shared" si="6"/>
        <v>5.333333333333333</v>
      </c>
      <c r="U67" s="76">
        <f t="shared" si="3"/>
        <v>5.25</v>
      </c>
    </row>
    <row r="68" spans="1:21" ht="144" x14ac:dyDescent="0.3">
      <c r="A68" s="72" t="s">
        <v>350</v>
      </c>
      <c r="B68" s="75" t="s">
        <v>351</v>
      </c>
      <c r="C68" s="73" t="s">
        <v>4</v>
      </c>
      <c r="D68" s="73" t="s">
        <v>86</v>
      </c>
      <c r="E68" s="74" t="s">
        <v>223</v>
      </c>
      <c r="F68" s="74" t="s">
        <v>223</v>
      </c>
      <c r="G68" s="74" t="s">
        <v>223</v>
      </c>
      <c r="H68" s="74" t="s">
        <v>223</v>
      </c>
      <c r="I68" s="74" t="s">
        <v>223</v>
      </c>
      <c r="J68" s="8">
        <v>7</v>
      </c>
      <c r="K68" s="8">
        <v>7</v>
      </c>
      <c r="L68" s="8">
        <v>4</v>
      </c>
      <c r="M68" s="8">
        <v>6</v>
      </c>
      <c r="N68" s="8">
        <v>7</v>
      </c>
      <c r="O68" s="8">
        <v>4</v>
      </c>
      <c r="P68" s="8">
        <v>7</v>
      </c>
      <c r="R68" s="76">
        <f t="shared" si="4"/>
        <v>0</v>
      </c>
      <c r="S68" s="76">
        <f t="shared" si="5"/>
        <v>0</v>
      </c>
      <c r="T68" s="76">
        <f t="shared" si="6"/>
        <v>6</v>
      </c>
      <c r="U68" s="76">
        <f t="shared" si="3"/>
        <v>6</v>
      </c>
    </row>
    <row r="69" spans="1:21" ht="144" x14ac:dyDescent="0.3">
      <c r="A69" s="72" t="s">
        <v>352</v>
      </c>
      <c r="B69" s="75" t="s">
        <v>353</v>
      </c>
      <c r="C69" s="73" t="s">
        <v>5</v>
      </c>
      <c r="D69" s="73" t="s">
        <v>86</v>
      </c>
      <c r="E69" s="74" t="s">
        <v>223</v>
      </c>
      <c r="F69" s="74" t="s">
        <v>223</v>
      </c>
      <c r="G69" s="74" t="s">
        <v>223</v>
      </c>
      <c r="H69" s="74" t="s">
        <v>223</v>
      </c>
      <c r="I69" s="74" t="s">
        <v>223</v>
      </c>
      <c r="J69" s="8">
        <v>5</v>
      </c>
      <c r="K69" s="8">
        <v>7</v>
      </c>
      <c r="L69" s="8">
        <v>4</v>
      </c>
      <c r="M69" s="8">
        <v>6</v>
      </c>
      <c r="N69" s="8">
        <v>7</v>
      </c>
      <c r="O69" s="8">
        <v>8</v>
      </c>
      <c r="P69" s="8">
        <v>10</v>
      </c>
      <c r="R69" s="76">
        <f t="shared" si="4"/>
        <v>0</v>
      </c>
      <c r="S69" s="76">
        <f t="shared" si="5"/>
        <v>0</v>
      </c>
      <c r="T69" s="76">
        <f t="shared" si="6"/>
        <v>5.333333333333333</v>
      </c>
      <c r="U69" s="76">
        <f t="shared" ref="U69" si="7">+SUMPRODUCT(M69:P69,$M$2:$P$2)/SUM($M$2:$P$2)</f>
        <v>7.75</v>
      </c>
    </row>
    <row r="70" spans="1:21" x14ac:dyDescent="0.3">
      <c r="H70" s="2" t="s">
        <v>223</v>
      </c>
    </row>
    <row r="71" spans="1:21" x14ac:dyDescent="0.3">
      <c r="H71" s="2" t="s">
        <v>223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CC204-4E21-4C27-8A33-1625A58A23FF}">
  <dimension ref="A1:L43"/>
  <sheetViews>
    <sheetView workbookViewId="0">
      <selection activeCell="E14" sqref="E14"/>
    </sheetView>
  </sheetViews>
  <sheetFormatPr defaultRowHeight="14.4" x14ac:dyDescent="0.3"/>
  <cols>
    <col min="1" max="1" width="8.88671875" style="11"/>
    <col min="2" max="2" width="34" style="11" bestFit="1" customWidth="1"/>
    <col min="3" max="3" width="34" style="24" customWidth="1"/>
    <col min="4" max="4" width="83.5546875" style="2" customWidth="1"/>
    <col min="5" max="5" width="40.44140625" style="2" customWidth="1"/>
    <col min="11" max="11" width="8.88671875" style="11"/>
    <col min="12" max="12" width="68.33203125" style="7" customWidth="1"/>
  </cols>
  <sheetData>
    <row r="1" spans="1:12" s="19" customFormat="1" x14ac:dyDescent="0.3">
      <c r="A1" s="25" t="s">
        <v>95</v>
      </c>
      <c r="B1" s="25" t="s">
        <v>354</v>
      </c>
      <c r="C1" s="25" t="s">
        <v>355</v>
      </c>
      <c r="D1" s="25" t="s">
        <v>108</v>
      </c>
      <c r="E1" s="27" t="s">
        <v>109</v>
      </c>
      <c r="F1" s="28" t="s">
        <v>356</v>
      </c>
      <c r="G1" s="28" t="s">
        <v>357</v>
      </c>
      <c r="H1" s="28" t="s">
        <v>358</v>
      </c>
      <c r="K1" s="20"/>
      <c r="L1" s="21"/>
    </row>
    <row r="2" spans="1:12" ht="28.8" x14ac:dyDescent="0.3">
      <c r="A2" s="8"/>
      <c r="B2" s="6" t="s">
        <v>359</v>
      </c>
      <c r="C2" s="13"/>
      <c r="D2" s="13" t="s">
        <v>360</v>
      </c>
      <c r="E2" s="29"/>
      <c r="F2" s="30"/>
      <c r="G2" s="30"/>
      <c r="H2" s="30"/>
      <c r="L2" s="12" t="s">
        <v>113</v>
      </c>
    </row>
    <row r="3" spans="1:12" ht="28.8" x14ac:dyDescent="0.3">
      <c r="A3" s="8">
        <v>1</v>
      </c>
      <c r="B3" s="17" t="s">
        <v>361</v>
      </c>
      <c r="C3" s="17" t="s">
        <v>13</v>
      </c>
      <c r="D3" s="17" t="s">
        <v>362</v>
      </c>
      <c r="E3" s="29"/>
      <c r="F3" s="30"/>
      <c r="G3" s="30"/>
      <c r="H3" s="30"/>
      <c r="L3" s="7" t="s">
        <v>363</v>
      </c>
    </row>
    <row r="4" spans="1:12" x14ac:dyDescent="0.3">
      <c r="A4" s="8">
        <f>A3+1</f>
        <v>2</v>
      </c>
      <c r="B4" s="31" t="s">
        <v>364</v>
      </c>
      <c r="C4" s="17" t="s">
        <v>13</v>
      </c>
      <c r="D4" s="17" t="s">
        <v>362</v>
      </c>
      <c r="E4" s="32"/>
      <c r="F4" s="30"/>
      <c r="G4" s="30"/>
      <c r="H4" s="30"/>
    </row>
    <row r="5" spans="1:12" ht="28.8" x14ac:dyDescent="0.3">
      <c r="A5" s="8">
        <f t="shared" ref="A5:A8" si="0">A4+1</f>
        <v>3</v>
      </c>
      <c r="B5" s="17" t="s">
        <v>365</v>
      </c>
      <c r="C5" s="17" t="s">
        <v>13</v>
      </c>
      <c r="D5" s="17" t="s">
        <v>362</v>
      </c>
      <c r="E5" s="32"/>
      <c r="F5" s="30"/>
      <c r="G5" s="30"/>
      <c r="H5" s="30"/>
      <c r="K5" s="2">
        <v>1</v>
      </c>
      <c r="L5" s="9" t="s">
        <v>118</v>
      </c>
    </row>
    <row r="6" spans="1:12" x14ac:dyDescent="0.3">
      <c r="A6" s="8">
        <f t="shared" si="0"/>
        <v>4</v>
      </c>
      <c r="B6" s="17" t="s">
        <v>119</v>
      </c>
      <c r="C6" s="17" t="s">
        <v>13</v>
      </c>
      <c r="D6" s="31" t="s">
        <v>362</v>
      </c>
      <c r="E6" s="29"/>
      <c r="F6" s="30"/>
      <c r="G6" s="30"/>
      <c r="H6" s="30"/>
      <c r="K6" s="2">
        <f>+K5+1</f>
        <v>2</v>
      </c>
      <c r="L6" s="9" t="s">
        <v>122</v>
      </c>
    </row>
    <row r="7" spans="1:12" ht="28.8" x14ac:dyDescent="0.3">
      <c r="A7" s="8">
        <f t="shared" si="0"/>
        <v>5</v>
      </c>
      <c r="B7" s="17" t="s">
        <v>366</v>
      </c>
      <c r="C7" s="17" t="s">
        <v>14</v>
      </c>
      <c r="D7" s="17" t="s">
        <v>367</v>
      </c>
      <c r="E7" s="29" t="s">
        <v>121</v>
      </c>
      <c r="F7" s="30"/>
      <c r="G7" s="30"/>
      <c r="H7" s="30"/>
      <c r="K7" s="2">
        <f t="shared" ref="K7:K11" si="1">+K6+1</f>
        <v>3</v>
      </c>
      <c r="L7" s="9" t="s">
        <v>126</v>
      </c>
    </row>
    <row r="8" spans="1:12" x14ac:dyDescent="0.3">
      <c r="A8" s="8">
        <f t="shared" si="0"/>
        <v>6</v>
      </c>
      <c r="B8" s="17" t="s">
        <v>368</v>
      </c>
      <c r="C8" s="17" t="s">
        <v>14</v>
      </c>
      <c r="D8" s="17" t="s">
        <v>369</v>
      </c>
      <c r="E8" s="29" t="s">
        <v>138</v>
      </c>
      <c r="F8" s="30"/>
      <c r="G8" s="30"/>
      <c r="H8" s="30"/>
      <c r="K8" s="2">
        <f t="shared" si="1"/>
        <v>4</v>
      </c>
      <c r="L8" s="9" t="s">
        <v>129</v>
      </c>
    </row>
    <row r="9" spans="1:12" ht="28.8" x14ac:dyDescent="0.3">
      <c r="A9" s="8"/>
      <c r="B9" s="33"/>
      <c r="C9" s="10"/>
      <c r="D9" s="10" t="s">
        <v>370</v>
      </c>
      <c r="E9" s="29"/>
      <c r="F9" s="30"/>
      <c r="G9" s="30"/>
      <c r="H9" s="30"/>
      <c r="K9" s="2">
        <f t="shared" si="1"/>
        <v>5</v>
      </c>
      <c r="L9" s="9" t="s">
        <v>132</v>
      </c>
    </row>
    <row r="10" spans="1:12" ht="28.8" x14ac:dyDescent="0.3">
      <c r="A10" s="8"/>
      <c r="B10" s="6" t="s">
        <v>371</v>
      </c>
      <c r="C10" s="13"/>
      <c r="D10" s="13" t="s">
        <v>372</v>
      </c>
      <c r="E10" s="29" t="s">
        <v>138</v>
      </c>
      <c r="F10" s="30"/>
      <c r="G10" s="30"/>
      <c r="H10" s="30"/>
      <c r="K10" s="2">
        <f t="shared" si="1"/>
        <v>6</v>
      </c>
      <c r="L10" s="9" t="s">
        <v>139</v>
      </c>
    </row>
    <row r="11" spans="1:12" ht="28.8" x14ac:dyDescent="0.3">
      <c r="A11" s="8">
        <f>A8+1</f>
        <v>7</v>
      </c>
      <c r="B11" s="17" t="s">
        <v>373</v>
      </c>
      <c r="C11" s="17" t="s">
        <v>374</v>
      </c>
      <c r="D11" s="31" t="s">
        <v>375</v>
      </c>
      <c r="E11" s="29"/>
      <c r="F11" s="30"/>
      <c r="G11" s="30"/>
      <c r="H11" s="30"/>
      <c r="K11" s="2">
        <f t="shared" si="1"/>
        <v>7</v>
      </c>
      <c r="L11" s="9" t="s">
        <v>144</v>
      </c>
    </row>
    <row r="12" spans="1:12" x14ac:dyDescent="0.3">
      <c r="A12" s="8">
        <f>A11+1</f>
        <v>8</v>
      </c>
      <c r="B12" s="17" t="s">
        <v>376</v>
      </c>
      <c r="C12" s="17" t="s">
        <v>14</v>
      </c>
      <c r="D12" s="17" t="s">
        <v>377</v>
      </c>
      <c r="E12" s="29"/>
      <c r="F12" s="30"/>
      <c r="G12" s="30"/>
      <c r="H12" s="30"/>
    </row>
    <row r="13" spans="1:12" ht="28.8" x14ac:dyDescent="0.3">
      <c r="A13" s="8">
        <f t="shared" ref="A13:A17" si="2">A12+1</f>
        <v>9</v>
      </c>
      <c r="B13" s="17" t="s">
        <v>140</v>
      </c>
      <c r="C13" s="17" t="s">
        <v>14</v>
      </c>
      <c r="D13" s="17" t="s">
        <v>378</v>
      </c>
      <c r="E13" s="29"/>
      <c r="F13" s="30"/>
      <c r="G13" s="30"/>
      <c r="H13" s="30"/>
      <c r="K13" s="2"/>
      <c r="L13" s="16" t="s">
        <v>151</v>
      </c>
    </row>
    <row r="14" spans="1:12" ht="43.2" x14ac:dyDescent="0.3">
      <c r="A14" s="8">
        <f t="shared" si="2"/>
        <v>10</v>
      </c>
      <c r="B14" s="17" t="s">
        <v>379</v>
      </c>
      <c r="C14" s="17" t="s">
        <v>14</v>
      </c>
      <c r="D14" s="17" t="s">
        <v>380</v>
      </c>
      <c r="E14" s="29" t="s">
        <v>381</v>
      </c>
      <c r="F14" s="30"/>
      <c r="G14" s="30"/>
      <c r="H14" s="30"/>
      <c r="L14" s="7" t="s">
        <v>382</v>
      </c>
    </row>
    <row r="15" spans="1:12" ht="28.8" x14ac:dyDescent="0.3">
      <c r="A15" s="8">
        <f t="shared" si="2"/>
        <v>11</v>
      </c>
      <c r="B15" s="17" t="s">
        <v>383</v>
      </c>
      <c r="C15" s="17" t="s">
        <v>384</v>
      </c>
      <c r="D15" s="31" t="s">
        <v>385</v>
      </c>
      <c r="E15" s="29" t="s">
        <v>381</v>
      </c>
      <c r="F15" s="30"/>
      <c r="G15" s="30"/>
      <c r="H15" s="30"/>
    </row>
    <row r="16" spans="1:12" ht="28.8" x14ac:dyDescent="0.3">
      <c r="A16" s="8">
        <f t="shared" si="2"/>
        <v>12</v>
      </c>
      <c r="B16" s="17" t="s">
        <v>386</v>
      </c>
      <c r="C16" s="17" t="s">
        <v>384</v>
      </c>
      <c r="D16" s="17" t="s">
        <v>387</v>
      </c>
      <c r="E16" s="29" t="s">
        <v>381</v>
      </c>
      <c r="F16" s="30"/>
      <c r="G16" s="30"/>
      <c r="H16" s="30"/>
      <c r="K16" s="11">
        <v>1</v>
      </c>
      <c r="L16" s="7" t="s">
        <v>157</v>
      </c>
    </row>
    <row r="17" spans="1:12" ht="28.8" x14ac:dyDescent="0.3">
      <c r="A17" s="8">
        <f t="shared" si="2"/>
        <v>13</v>
      </c>
      <c r="B17" s="17" t="s">
        <v>388</v>
      </c>
      <c r="C17" s="17" t="s">
        <v>374</v>
      </c>
      <c r="D17" s="17" t="s">
        <v>389</v>
      </c>
      <c r="E17" s="29"/>
      <c r="F17" s="30"/>
      <c r="G17" s="30"/>
      <c r="H17" s="30"/>
      <c r="K17" s="11">
        <v>2</v>
      </c>
      <c r="L17" s="7" t="s">
        <v>160</v>
      </c>
    </row>
    <row r="18" spans="1:12" x14ac:dyDescent="0.3">
      <c r="A18" s="8"/>
      <c r="B18" s="33"/>
      <c r="C18" s="10"/>
      <c r="D18" s="10"/>
      <c r="E18" s="29"/>
      <c r="F18" s="30"/>
      <c r="G18" s="30"/>
      <c r="H18" s="30"/>
      <c r="K18" s="2">
        <v>3</v>
      </c>
      <c r="L18" s="9" t="s">
        <v>163</v>
      </c>
    </row>
    <row r="19" spans="1:12" ht="28.8" x14ac:dyDescent="0.3">
      <c r="A19" s="8"/>
      <c r="B19" s="6" t="s">
        <v>390</v>
      </c>
      <c r="C19" s="13"/>
      <c r="D19" s="13" t="s">
        <v>179</v>
      </c>
      <c r="E19" s="29"/>
      <c r="F19" s="30"/>
      <c r="G19" s="30"/>
      <c r="H19" s="30"/>
    </row>
    <row r="20" spans="1:12" ht="60" x14ac:dyDescent="0.35">
      <c r="A20" s="8">
        <f>A17+1</f>
        <v>14</v>
      </c>
      <c r="B20" s="17" t="s">
        <v>180</v>
      </c>
      <c r="C20" s="17" t="s">
        <v>14</v>
      </c>
      <c r="D20" s="49" t="s">
        <v>391</v>
      </c>
      <c r="E20" s="29"/>
      <c r="F20" s="30"/>
      <c r="G20" s="30"/>
      <c r="H20" s="30"/>
      <c r="L20" s="34" t="s">
        <v>392</v>
      </c>
    </row>
    <row r="21" spans="1:12" ht="28.8" x14ac:dyDescent="0.3">
      <c r="A21" s="8">
        <f>A20+1</f>
        <v>15</v>
      </c>
      <c r="B21" s="17" t="s">
        <v>393</v>
      </c>
      <c r="C21" s="17" t="s">
        <v>14</v>
      </c>
      <c r="D21" s="49" t="s">
        <v>394</v>
      </c>
      <c r="E21" s="29"/>
      <c r="F21" s="30"/>
      <c r="G21" s="30"/>
      <c r="H21" s="30"/>
      <c r="K21" s="11">
        <v>1</v>
      </c>
      <c r="L21" s="7" t="s">
        <v>395</v>
      </c>
    </row>
    <row r="22" spans="1:12" x14ac:dyDescent="0.3">
      <c r="A22" s="8"/>
      <c r="B22" s="33"/>
      <c r="C22" s="10"/>
      <c r="D22" s="10"/>
      <c r="E22" s="29"/>
      <c r="F22" s="30"/>
      <c r="G22" s="30"/>
      <c r="H22" s="30"/>
      <c r="K22" s="11">
        <v>2</v>
      </c>
      <c r="L22" s="7" t="s">
        <v>396</v>
      </c>
    </row>
    <row r="23" spans="1:12" x14ac:dyDescent="0.3">
      <c r="A23" s="8"/>
      <c r="B23" s="6" t="s">
        <v>397</v>
      </c>
      <c r="C23" s="13"/>
      <c r="D23" s="13" t="s">
        <v>146</v>
      </c>
      <c r="E23" s="29"/>
      <c r="F23" s="30"/>
      <c r="G23" s="30"/>
      <c r="H23" s="30"/>
      <c r="K23" s="11">
        <v>3</v>
      </c>
      <c r="L23" s="7" t="s">
        <v>398</v>
      </c>
    </row>
    <row r="24" spans="1:12" x14ac:dyDescent="0.3">
      <c r="A24" s="8">
        <f>A21+1</f>
        <v>16</v>
      </c>
      <c r="B24" s="17" t="s">
        <v>399</v>
      </c>
      <c r="C24" s="17" t="s">
        <v>374</v>
      </c>
      <c r="D24" s="31" t="s">
        <v>400</v>
      </c>
      <c r="E24" s="29"/>
      <c r="F24" s="30"/>
      <c r="G24" s="30"/>
      <c r="H24" s="30"/>
      <c r="K24" s="11">
        <v>4</v>
      </c>
      <c r="L24" s="7" t="s">
        <v>401</v>
      </c>
    </row>
    <row r="25" spans="1:12" ht="28.8" x14ac:dyDescent="0.3">
      <c r="A25" s="8">
        <f>A24+1</f>
        <v>17</v>
      </c>
      <c r="B25" s="17" t="s">
        <v>402</v>
      </c>
      <c r="C25" s="17" t="s">
        <v>384</v>
      </c>
      <c r="D25" s="17" t="s">
        <v>403</v>
      </c>
      <c r="E25" s="29"/>
      <c r="F25" s="30"/>
      <c r="G25" s="30"/>
      <c r="H25" s="30"/>
      <c r="K25" s="11">
        <v>5</v>
      </c>
      <c r="L25" s="7" t="s">
        <v>404</v>
      </c>
    </row>
    <row r="26" spans="1:12" ht="28.8" x14ac:dyDescent="0.3">
      <c r="A26" s="8"/>
      <c r="B26" s="6" t="s">
        <v>405</v>
      </c>
      <c r="C26" s="13"/>
      <c r="D26" s="13" t="s">
        <v>406</v>
      </c>
      <c r="E26" s="29"/>
      <c r="F26" s="30"/>
      <c r="G26" s="30"/>
      <c r="H26" s="30"/>
      <c r="K26" s="11">
        <v>6</v>
      </c>
      <c r="L26" s="7" t="s">
        <v>407</v>
      </c>
    </row>
    <row r="27" spans="1:12" ht="43.2" x14ac:dyDescent="0.3">
      <c r="A27" s="8"/>
      <c r="B27" s="8" t="s">
        <v>408</v>
      </c>
      <c r="C27" s="49"/>
      <c r="D27" s="49"/>
      <c r="E27" s="29" t="s">
        <v>409</v>
      </c>
      <c r="F27" s="30"/>
      <c r="G27" s="30"/>
      <c r="H27" s="30"/>
    </row>
    <row r="28" spans="1:12" ht="28.8" x14ac:dyDescent="0.3">
      <c r="A28" s="8">
        <f>A25+1</f>
        <v>18</v>
      </c>
      <c r="B28" s="17" t="s">
        <v>410</v>
      </c>
      <c r="C28" s="17" t="s">
        <v>14</v>
      </c>
      <c r="D28" s="17" t="s">
        <v>411</v>
      </c>
      <c r="E28" s="29"/>
      <c r="F28" s="30"/>
      <c r="G28" s="30"/>
      <c r="H28" s="30"/>
    </row>
    <row r="29" spans="1:12" ht="43.2" x14ac:dyDescent="0.3">
      <c r="A29" s="8">
        <f>A28+1</f>
        <v>19</v>
      </c>
      <c r="B29" s="17" t="s">
        <v>412</v>
      </c>
      <c r="C29" s="17" t="s">
        <v>14</v>
      </c>
      <c r="D29" s="17" t="s">
        <v>413</v>
      </c>
      <c r="E29" s="29"/>
      <c r="F29" s="30"/>
      <c r="G29" s="30"/>
      <c r="H29" s="30"/>
    </row>
    <row r="30" spans="1:12" x14ac:dyDescent="0.3">
      <c r="A30" s="8">
        <f t="shared" ref="A30:A31" si="3">A29+1</f>
        <v>20</v>
      </c>
      <c r="B30" s="17" t="s">
        <v>414</v>
      </c>
      <c r="C30" s="17" t="s">
        <v>374</v>
      </c>
      <c r="D30" s="17" t="s">
        <v>415</v>
      </c>
      <c r="E30" s="29"/>
      <c r="F30" s="30"/>
      <c r="G30" s="30"/>
      <c r="H30" s="30"/>
    </row>
    <row r="31" spans="1:12" ht="28.8" x14ac:dyDescent="0.3">
      <c r="A31" s="8">
        <f t="shared" si="3"/>
        <v>21</v>
      </c>
      <c r="B31" s="17" t="s">
        <v>416</v>
      </c>
      <c r="C31" s="17" t="s">
        <v>14</v>
      </c>
      <c r="D31" s="17" t="s">
        <v>417</v>
      </c>
      <c r="E31" s="29"/>
      <c r="F31" s="30"/>
      <c r="G31" s="30"/>
      <c r="H31" s="30"/>
    </row>
    <row r="32" spans="1:12" x14ac:dyDescent="0.3">
      <c r="A32" s="8"/>
      <c r="B32" s="8" t="s">
        <v>418</v>
      </c>
      <c r="C32" s="22"/>
      <c r="D32" s="49"/>
      <c r="E32" s="29"/>
      <c r="F32" s="30"/>
      <c r="G32" s="30"/>
      <c r="H32" s="30"/>
    </row>
    <row r="33" spans="1:8" ht="43.2" x14ac:dyDescent="0.3">
      <c r="A33" s="8">
        <f>A31+1</f>
        <v>22</v>
      </c>
      <c r="B33" s="17" t="s">
        <v>419</v>
      </c>
      <c r="C33" s="17" t="s">
        <v>14</v>
      </c>
      <c r="D33" s="17" t="s">
        <v>420</v>
      </c>
      <c r="E33" s="29" t="s">
        <v>409</v>
      </c>
      <c r="F33" s="30"/>
      <c r="G33" s="30"/>
      <c r="H33" s="30"/>
    </row>
    <row r="34" spans="1:8" ht="43.2" x14ac:dyDescent="0.3">
      <c r="A34" s="8">
        <f t="shared" ref="A34" si="4">A33+1</f>
        <v>23</v>
      </c>
      <c r="B34" s="17" t="s">
        <v>421</v>
      </c>
      <c r="C34" s="17" t="s">
        <v>13</v>
      </c>
      <c r="D34" s="17" t="s">
        <v>422</v>
      </c>
      <c r="E34" s="29" t="s">
        <v>409</v>
      </c>
      <c r="F34" s="30"/>
      <c r="G34" s="30"/>
      <c r="H34" s="30"/>
    </row>
    <row r="35" spans="1:8" x14ac:dyDescent="0.3">
      <c r="A35" s="8"/>
      <c r="B35" s="35" t="s">
        <v>423</v>
      </c>
      <c r="C35" s="22"/>
      <c r="D35" s="8"/>
      <c r="E35" s="29"/>
      <c r="F35" s="30"/>
      <c r="G35" s="30"/>
      <c r="H35" s="30"/>
    </row>
    <row r="36" spans="1:8" ht="43.2" x14ac:dyDescent="0.3">
      <c r="A36" s="8">
        <f>A34+1</f>
        <v>24</v>
      </c>
      <c r="B36" s="17" t="s">
        <v>424</v>
      </c>
      <c r="C36" s="17" t="s">
        <v>13</v>
      </c>
      <c r="D36" s="17" t="s">
        <v>425</v>
      </c>
      <c r="E36" s="29" t="s">
        <v>409</v>
      </c>
      <c r="F36" s="30"/>
      <c r="G36" s="30"/>
      <c r="H36" s="30"/>
    </row>
    <row r="37" spans="1:8" ht="43.2" x14ac:dyDescent="0.3">
      <c r="A37" s="8">
        <f t="shared" ref="A37:A39" si="5">A36+1</f>
        <v>25</v>
      </c>
      <c r="B37" s="17" t="s">
        <v>426</v>
      </c>
      <c r="C37" s="17" t="s">
        <v>374</v>
      </c>
      <c r="D37" s="17" t="s">
        <v>427</v>
      </c>
      <c r="E37" s="29" t="s">
        <v>409</v>
      </c>
      <c r="F37" s="30"/>
      <c r="G37" s="30"/>
      <c r="H37" s="30"/>
    </row>
    <row r="38" spans="1:8" ht="43.2" x14ac:dyDescent="0.3">
      <c r="A38" s="8">
        <f t="shared" si="5"/>
        <v>26</v>
      </c>
      <c r="B38" s="31" t="s">
        <v>428</v>
      </c>
      <c r="C38" s="17" t="s">
        <v>384</v>
      </c>
      <c r="D38" s="17" t="s">
        <v>429</v>
      </c>
      <c r="E38" s="29" t="s">
        <v>135</v>
      </c>
      <c r="F38" s="30"/>
      <c r="G38" s="30"/>
      <c r="H38" s="30"/>
    </row>
    <row r="39" spans="1:8" ht="57.6" x14ac:dyDescent="0.3">
      <c r="A39" s="8">
        <f t="shared" si="5"/>
        <v>27</v>
      </c>
      <c r="B39" s="17" t="s">
        <v>430</v>
      </c>
      <c r="C39" s="17" t="s">
        <v>13</v>
      </c>
      <c r="D39" s="17" t="s">
        <v>431</v>
      </c>
      <c r="E39" s="29" t="s">
        <v>135</v>
      </c>
      <c r="F39" s="30"/>
      <c r="G39" s="30"/>
      <c r="H39" s="30"/>
    </row>
    <row r="40" spans="1:8" x14ac:dyDescent="0.3">
      <c r="A40" s="8"/>
      <c r="B40" s="33"/>
      <c r="C40" s="10"/>
      <c r="D40" s="10"/>
      <c r="E40" s="29"/>
      <c r="F40" s="30"/>
      <c r="G40" s="30"/>
      <c r="H40" s="30"/>
    </row>
    <row r="41" spans="1:8" ht="28.8" x14ac:dyDescent="0.3">
      <c r="A41" s="8"/>
      <c r="B41" s="6" t="s">
        <v>432</v>
      </c>
      <c r="C41" s="23"/>
      <c r="D41" s="8"/>
      <c r="E41" s="29"/>
      <c r="F41" s="30"/>
      <c r="G41" s="30"/>
      <c r="H41" s="30"/>
    </row>
    <row r="42" spans="1:8" ht="72" x14ac:dyDescent="0.3">
      <c r="A42" s="8">
        <f>A39+1</f>
        <v>28</v>
      </c>
      <c r="B42" s="17" t="s">
        <v>433</v>
      </c>
      <c r="C42" s="17" t="s">
        <v>13</v>
      </c>
      <c r="D42" s="17" t="s">
        <v>434</v>
      </c>
      <c r="E42" s="29" t="s">
        <v>177</v>
      </c>
      <c r="F42" s="30"/>
      <c r="G42" s="30"/>
      <c r="H42" s="30"/>
    </row>
    <row r="43" spans="1:8" x14ac:dyDescent="0.3">
      <c r="A43" s="1"/>
    </row>
  </sheetData>
  <pageMargins left="0.7" right="0.7" top="0.75" bottom="0.75" header="0.3" footer="0.3"/>
  <pageSetup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79626-5253-4D7A-AF4D-8AEA7F483DAB}">
  <sheetPr>
    <tabColor theme="1"/>
  </sheetPr>
  <dimension ref="A1:I73"/>
  <sheetViews>
    <sheetView zoomScaleNormal="100" workbookViewId="0">
      <pane xSplit="2" ySplit="1" topLeftCell="D2" activePane="bottomRight" state="frozen"/>
      <selection pane="topRight" activeCell="B2" sqref="B2:C2"/>
      <selection pane="bottomLeft" activeCell="B2" sqref="B2:C2"/>
      <selection pane="bottomRight" activeCell="D11" sqref="D11"/>
    </sheetView>
  </sheetViews>
  <sheetFormatPr defaultColWidth="8.88671875" defaultRowHeight="14.4" x14ac:dyDescent="0.3"/>
  <cols>
    <col min="1" max="1" width="8.88671875" style="2"/>
    <col min="2" max="2" width="87.88671875" style="2" bestFit="1" customWidth="1"/>
    <col min="3" max="3" width="47.109375" style="2" customWidth="1"/>
    <col min="4" max="4" width="56.5546875" style="2" bestFit="1" customWidth="1"/>
    <col min="5" max="5" width="8.109375" style="2" bestFit="1" customWidth="1"/>
    <col min="6" max="6" width="18.6640625" style="2" bestFit="1" customWidth="1"/>
    <col min="7" max="7" width="7.109375" style="2" bestFit="1" customWidth="1"/>
    <col min="8" max="16384" width="8.88671875" style="2"/>
  </cols>
  <sheetData>
    <row r="1" spans="1:9" x14ac:dyDescent="0.3">
      <c r="A1" s="37" t="s">
        <v>95</v>
      </c>
      <c r="B1" s="37" t="s">
        <v>435</v>
      </c>
      <c r="C1" s="37" t="s">
        <v>23</v>
      </c>
      <c r="D1" s="37" t="s">
        <v>436</v>
      </c>
      <c r="E1" s="38" t="s">
        <v>45</v>
      </c>
      <c r="F1" s="38" t="s">
        <v>46</v>
      </c>
      <c r="G1" s="38" t="s">
        <v>437</v>
      </c>
    </row>
    <row r="2" spans="1:9" ht="66.599999999999994" customHeight="1" x14ac:dyDescent="0.3">
      <c r="A2" s="51">
        <v>1</v>
      </c>
      <c r="B2" s="25" t="s">
        <v>438</v>
      </c>
      <c r="C2" s="25" t="s">
        <v>439</v>
      </c>
      <c r="D2" s="5"/>
      <c r="E2" s="5"/>
      <c r="F2" s="5"/>
      <c r="G2" s="5"/>
    </row>
    <row r="3" spans="1:9" x14ac:dyDescent="0.3">
      <c r="A3" s="166" t="s">
        <v>440</v>
      </c>
      <c r="B3" s="5" t="s">
        <v>441</v>
      </c>
      <c r="C3" s="5"/>
      <c r="D3" s="5" t="s">
        <v>155</v>
      </c>
      <c r="E3" s="5">
        <v>3</v>
      </c>
      <c r="F3" s="5">
        <v>3</v>
      </c>
      <c r="G3" s="5">
        <v>4</v>
      </c>
    </row>
    <row r="4" spans="1:9" x14ac:dyDescent="0.3">
      <c r="A4" s="167" t="s">
        <v>442</v>
      </c>
      <c r="B4" s="71" t="s">
        <v>443</v>
      </c>
      <c r="C4" s="71"/>
      <c r="D4" s="71" t="s">
        <v>155</v>
      </c>
      <c r="E4" s="71"/>
      <c r="F4" s="71">
        <v>3</v>
      </c>
      <c r="G4" s="71"/>
      <c r="H4" s="58"/>
    </row>
    <row r="5" spans="1:9" x14ac:dyDescent="0.3">
      <c r="A5" s="167" t="s">
        <v>444</v>
      </c>
      <c r="B5" s="71" t="s">
        <v>445</v>
      </c>
      <c r="C5" s="71"/>
      <c r="D5" s="71" t="s">
        <v>155</v>
      </c>
      <c r="E5" s="71"/>
      <c r="F5" s="71">
        <v>3</v>
      </c>
      <c r="G5" s="71"/>
      <c r="H5" s="58"/>
    </row>
    <row r="6" spans="1:9" x14ac:dyDescent="0.3">
      <c r="A6" s="166" t="s">
        <v>446</v>
      </c>
      <c r="B6" s="5" t="s">
        <v>447</v>
      </c>
      <c r="C6" s="5"/>
      <c r="D6" s="5" t="s">
        <v>158</v>
      </c>
      <c r="E6" s="70">
        <v>2</v>
      </c>
      <c r="F6" s="5">
        <v>4</v>
      </c>
      <c r="G6" s="5">
        <v>3</v>
      </c>
    </row>
    <row r="7" spans="1:9" x14ac:dyDescent="0.3">
      <c r="A7" s="167" t="s">
        <v>448</v>
      </c>
      <c r="B7" s="71" t="s">
        <v>449</v>
      </c>
      <c r="C7" s="71"/>
      <c r="D7" s="71" t="s">
        <v>158</v>
      </c>
      <c r="E7" s="71"/>
      <c r="F7" s="71">
        <v>3</v>
      </c>
      <c r="G7" s="71"/>
      <c r="H7" s="58"/>
    </row>
    <row r="8" spans="1:9" x14ac:dyDescent="0.3">
      <c r="A8" s="166" t="s">
        <v>450</v>
      </c>
      <c r="B8" s="5" t="s">
        <v>451</v>
      </c>
      <c r="C8" s="5"/>
      <c r="D8" s="5" t="s">
        <v>158</v>
      </c>
      <c r="E8" s="70">
        <v>2</v>
      </c>
      <c r="F8" s="5">
        <v>3</v>
      </c>
      <c r="G8" s="5">
        <v>3</v>
      </c>
    </row>
    <row r="9" spans="1:9" x14ac:dyDescent="0.3">
      <c r="A9" s="167" t="s">
        <v>452</v>
      </c>
      <c r="B9" s="71" t="s">
        <v>453</v>
      </c>
      <c r="C9" s="71"/>
      <c r="D9" s="71" t="s">
        <v>158</v>
      </c>
      <c r="E9" s="71"/>
      <c r="F9" s="71">
        <v>3</v>
      </c>
      <c r="G9" s="71"/>
    </row>
    <row r="10" spans="1:9" x14ac:dyDescent="0.3">
      <c r="A10" s="166">
        <v>1.4</v>
      </c>
      <c r="B10" s="5" t="s">
        <v>454</v>
      </c>
      <c r="C10" s="5"/>
      <c r="D10" s="5" t="s">
        <v>158</v>
      </c>
      <c r="E10" s="70">
        <v>3</v>
      </c>
      <c r="F10" s="5">
        <v>4</v>
      </c>
      <c r="G10" s="5">
        <v>4</v>
      </c>
    </row>
    <row r="11" spans="1:9" x14ac:dyDescent="0.3">
      <c r="A11" s="166">
        <v>1.5</v>
      </c>
      <c r="B11" s="5" t="s">
        <v>455</v>
      </c>
      <c r="C11" s="5"/>
      <c r="D11" s="5" t="s">
        <v>161</v>
      </c>
      <c r="E11" s="70">
        <v>4</v>
      </c>
      <c r="F11" s="5">
        <v>3</v>
      </c>
      <c r="G11" s="5">
        <v>0</v>
      </c>
    </row>
    <row r="12" spans="1:9" x14ac:dyDescent="0.3">
      <c r="A12" s="166">
        <v>1.6</v>
      </c>
      <c r="B12" s="5" t="s">
        <v>456</v>
      </c>
      <c r="C12" s="5"/>
      <c r="D12" s="5" t="s">
        <v>161</v>
      </c>
      <c r="E12" s="70">
        <v>3</v>
      </c>
      <c r="F12" s="5">
        <v>2</v>
      </c>
      <c r="G12" s="5">
        <v>0</v>
      </c>
    </row>
    <row r="13" spans="1:9" ht="28.8" x14ac:dyDescent="0.3">
      <c r="A13" s="166">
        <v>1.7</v>
      </c>
      <c r="B13" s="5" t="s">
        <v>457</v>
      </c>
      <c r="C13" s="5"/>
      <c r="D13" s="8" t="s">
        <v>175</v>
      </c>
      <c r="E13" s="5">
        <v>0</v>
      </c>
      <c r="F13" s="5">
        <v>4</v>
      </c>
      <c r="G13" s="5">
        <v>0</v>
      </c>
    </row>
    <row r="14" spans="1:9" ht="72" x14ac:dyDescent="0.3">
      <c r="A14" s="51">
        <v>2</v>
      </c>
      <c r="B14" s="25" t="s">
        <v>458</v>
      </c>
      <c r="C14" s="25" t="s">
        <v>459</v>
      </c>
      <c r="D14" s="5"/>
      <c r="E14" s="5"/>
      <c r="F14" s="5"/>
      <c r="G14" s="5"/>
      <c r="I14" s="2" t="s">
        <v>460</v>
      </c>
    </row>
    <row r="15" spans="1:9" ht="28.8" x14ac:dyDescent="0.3">
      <c r="A15" s="166" t="s">
        <v>461</v>
      </c>
      <c r="B15" s="8" t="s">
        <v>462</v>
      </c>
      <c r="C15" s="5"/>
      <c r="D15" s="5" t="s">
        <v>164</v>
      </c>
      <c r="E15" s="5">
        <v>3</v>
      </c>
      <c r="F15" s="5">
        <v>3</v>
      </c>
      <c r="G15" s="5">
        <v>4</v>
      </c>
    </row>
    <row r="16" spans="1:9" ht="28.8" x14ac:dyDescent="0.3">
      <c r="A16" s="168" t="s">
        <v>463</v>
      </c>
      <c r="B16" s="8" t="s">
        <v>464</v>
      </c>
      <c r="C16" s="5"/>
      <c r="D16" s="5" t="s">
        <v>164</v>
      </c>
      <c r="E16" s="5">
        <v>3</v>
      </c>
      <c r="F16" s="5">
        <v>3</v>
      </c>
      <c r="G16" s="5">
        <v>4</v>
      </c>
    </row>
    <row r="17" spans="1:7" ht="28.8" x14ac:dyDescent="0.3">
      <c r="A17" s="168" t="s">
        <v>465</v>
      </c>
      <c r="B17" s="8" t="s">
        <v>466</v>
      </c>
      <c r="C17" s="5"/>
      <c r="D17" s="5" t="s">
        <v>164</v>
      </c>
      <c r="E17" s="5">
        <v>3</v>
      </c>
      <c r="F17" s="5">
        <v>3</v>
      </c>
      <c r="G17" s="5">
        <v>4</v>
      </c>
    </row>
    <row r="18" spans="1:7" ht="28.8" x14ac:dyDescent="0.3">
      <c r="A18" s="168" t="s">
        <v>467</v>
      </c>
      <c r="B18" s="8" t="s">
        <v>468</v>
      </c>
      <c r="C18" s="5"/>
      <c r="D18" s="5" t="s">
        <v>164</v>
      </c>
      <c r="E18" s="5">
        <v>4</v>
      </c>
      <c r="F18" s="5">
        <v>4</v>
      </c>
      <c r="G18" s="5">
        <v>4</v>
      </c>
    </row>
    <row r="19" spans="1:7" ht="28.8" x14ac:dyDescent="0.3">
      <c r="A19" s="168" t="s">
        <v>469</v>
      </c>
      <c r="B19" s="8" t="s">
        <v>470</v>
      </c>
      <c r="C19" s="5"/>
      <c r="D19" s="5" t="s">
        <v>164</v>
      </c>
      <c r="E19" s="5">
        <v>2</v>
      </c>
      <c r="F19" s="5">
        <v>2</v>
      </c>
      <c r="G19" s="5">
        <v>4</v>
      </c>
    </row>
    <row r="20" spans="1:7" ht="28.8" x14ac:dyDescent="0.3">
      <c r="A20" s="168" t="s">
        <v>471</v>
      </c>
      <c r="B20" s="8" t="s">
        <v>472</v>
      </c>
      <c r="C20" s="5"/>
      <c r="D20" s="5" t="s">
        <v>164</v>
      </c>
      <c r="E20" s="5">
        <v>2</v>
      </c>
      <c r="F20" s="5">
        <v>2</v>
      </c>
      <c r="G20" s="5">
        <v>4</v>
      </c>
    </row>
    <row r="21" spans="1:7" x14ac:dyDescent="0.3">
      <c r="A21" s="168" t="s">
        <v>473</v>
      </c>
      <c r="B21" s="5" t="s">
        <v>474</v>
      </c>
      <c r="C21" s="5"/>
      <c r="D21" s="5" t="s">
        <v>166</v>
      </c>
      <c r="E21" s="5">
        <v>4</v>
      </c>
      <c r="F21" s="5">
        <v>4</v>
      </c>
      <c r="G21" s="5">
        <v>4</v>
      </c>
    </row>
    <row r="22" spans="1:7" x14ac:dyDescent="0.3">
      <c r="A22" s="168" t="s">
        <v>475</v>
      </c>
      <c r="B22" s="5" t="s">
        <v>476</v>
      </c>
      <c r="C22" s="5"/>
      <c r="D22" s="5" t="s">
        <v>166</v>
      </c>
      <c r="E22" s="5">
        <v>1</v>
      </c>
      <c r="F22" s="5">
        <v>4</v>
      </c>
      <c r="G22" s="5">
        <v>4</v>
      </c>
    </row>
    <row r="23" spans="1:7" ht="28.8" x14ac:dyDescent="0.3">
      <c r="A23" s="168" t="s">
        <v>477</v>
      </c>
      <c r="B23" s="8" t="s">
        <v>478</v>
      </c>
      <c r="C23" s="5"/>
      <c r="D23" s="5" t="s">
        <v>166</v>
      </c>
      <c r="E23" s="5">
        <v>1</v>
      </c>
      <c r="F23" s="5">
        <v>4</v>
      </c>
      <c r="G23" s="5">
        <v>4</v>
      </c>
    </row>
    <row r="24" spans="1:7" x14ac:dyDescent="0.3">
      <c r="A24" s="168" t="s">
        <v>479</v>
      </c>
      <c r="B24" s="5" t="s">
        <v>480</v>
      </c>
      <c r="C24" s="5"/>
      <c r="D24" s="5" t="s">
        <v>166</v>
      </c>
      <c r="E24" s="5">
        <v>4</v>
      </c>
      <c r="F24" s="5">
        <v>4</v>
      </c>
      <c r="G24" s="5">
        <v>4</v>
      </c>
    </row>
    <row r="25" spans="1:7" ht="28.8" x14ac:dyDescent="0.3">
      <c r="A25" s="25">
        <v>3</v>
      </c>
      <c r="B25" s="25" t="s">
        <v>481</v>
      </c>
      <c r="C25" s="25" t="s">
        <v>482</v>
      </c>
      <c r="D25" s="5"/>
      <c r="E25" s="5"/>
      <c r="F25" s="5"/>
      <c r="G25" s="5"/>
    </row>
    <row r="26" spans="1:7" x14ac:dyDescent="0.3">
      <c r="A26" s="168" t="s">
        <v>483</v>
      </c>
      <c r="B26" s="8" t="s">
        <v>484</v>
      </c>
      <c r="C26" s="5"/>
      <c r="D26" s="5" t="s">
        <v>168</v>
      </c>
      <c r="E26" s="5">
        <v>2</v>
      </c>
      <c r="F26" s="5">
        <v>2</v>
      </c>
      <c r="G26" s="5">
        <v>3</v>
      </c>
    </row>
    <row r="27" spans="1:7" x14ac:dyDescent="0.3">
      <c r="A27" s="168" t="s">
        <v>485</v>
      </c>
      <c r="B27" s="5" t="s">
        <v>486</v>
      </c>
      <c r="C27" s="5"/>
      <c r="D27" s="5" t="s">
        <v>168</v>
      </c>
      <c r="E27" s="5">
        <v>3</v>
      </c>
      <c r="F27" s="5">
        <v>2</v>
      </c>
      <c r="G27" s="5">
        <v>2</v>
      </c>
    </row>
    <row r="28" spans="1:7" x14ac:dyDescent="0.3">
      <c r="A28" s="168" t="s">
        <v>487</v>
      </c>
      <c r="B28" s="5" t="s">
        <v>488</v>
      </c>
      <c r="C28" s="5"/>
      <c r="D28" s="5" t="s">
        <v>168</v>
      </c>
      <c r="E28" s="5">
        <v>3</v>
      </c>
      <c r="F28" s="5">
        <v>3</v>
      </c>
      <c r="G28" s="5">
        <v>2</v>
      </c>
    </row>
    <row r="29" spans="1:7" x14ac:dyDescent="0.3">
      <c r="A29" s="168" t="s">
        <v>489</v>
      </c>
      <c r="B29" s="5" t="s">
        <v>490</v>
      </c>
      <c r="C29" s="5"/>
      <c r="D29" s="5" t="s">
        <v>168</v>
      </c>
      <c r="E29" s="5">
        <v>1</v>
      </c>
      <c r="F29" s="5">
        <v>3</v>
      </c>
      <c r="G29" s="5">
        <v>2</v>
      </c>
    </row>
    <row r="30" spans="1:7" x14ac:dyDescent="0.3">
      <c r="A30" s="168" t="s">
        <v>491</v>
      </c>
      <c r="B30" s="5" t="s">
        <v>492</v>
      </c>
      <c r="C30" s="5"/>
      <c r="D30" s="5" t="s">
        <v>168</v>
      </c>
      <c r="E30" s="5">
        <v>1</v>
      </c>
      <c r="F30" s="5">
        <v>3</v>
      </c>
      <c r="G30" s="5">
        <v>1</v>
      </c>
    </row>
    <row r="31" spans="1:7" x14ac:dyDescent="0.3">
      <c r="A31" s="168" t="s">
        <v>493</v>
      </c>
      <c r="B31" s="5" t="s">
        <v>494</v>
      </c>
      <c r="C31" s="5"/>
      <c r="D31" s="5" t="s">
        <v>168</v>
      </c>
      <c r="E31" s="5">
        <v>1</v>
      </c>
      <c r="F31" s="5">
        <v>3</v>
      </c>
      <c r="G31" s="5">
        <v>3</v>
      </c>
    </row>
    <row r="32" spans="1:7" ht="28.8" x14ac:dyDescent="0.3">
      <c r="A32" s="25">
        <v>4</v>
      </c>
      <c r="B32" s="25" t="s">
        <v>495</v>
      </c>
      <c r="C32" s="25" t="s">
        <v>496</v>
      </c>
      <c r="D32" s="5"/>
      <c r="E32" s="5"/>
      <c r="F32" s="5"/>
      <c r="G32" s="5"/>
    </row>
    <row r="33" spans="1:7" x14ac:dyDescent="0.3">
      <c r="A33" s="168" t="s">
        <v>497</v>
      </c>
      <c r="B33" s="5" t="s">
        <v>498</v>
      </c>
      <c r="C33" s="5"/>
      <c r="D33" s="5" t="s">
        <v>170</v>
      </c>
      <c r="E33" s="5">
        <v>4</v>
      </c>
      <c r="F33" s="5">
        <v>4</v>
      </c>
      <c r="G33" s="5">
        <v>3</v>
      </c>
    </row>
    <row r="34" spans="1:7" ht="28.8" x14ac:dyDescent="0.3">
      <c r="A34" s="168" t="s">
        <v>499</v>
      </c>
      <c r="B34" s="8" t="s">
        <v>500</v>
      </c>
      <c r="C34" s="5"/>
      <c r="D34" s="5" t="s">
        <v>170</v>
      </c>
      <c r="E34" s="5">
        <v>4</v>
      </c>
      <c r="F34" s="5">
        <v>3</v>
      </c>
      <c r="G34" s="5">
        <v>4</v>
      </c>
    </row>
    <row r="35" spans="1:7" ht="28.8" x14ac:dyDescent="0.3">
      <c r="A35" s="168" t="s">
        <v>501</v>
      </c>
      <c r="B35" s="8" t="s">
        <v>502</v>
      </c>
      <c r="C35" s="5"/>
      <c r="D35" s="5" t="s">
        <v>170</v>
      </c>
      <c r="E35" s="5">
        <v>4</v>
      </c>
      <c r="F35" s="5">
        <v>4</v>
      </c>
      <c r="G35" s="5">
        <v>4</v>
      </c>
    </row>
    <row r="36" spans="1:7" x14ac:dyDescent="0.3">
      <c r="A36" s="168" t="s">
        <v>503</v>
      </c>
      <c r="B36" s="5" t="s">
        <v>504</v>
      </c>
      <c r="C36" s="5"/>
      <c r="D36" s="5" t="s">
        <v>170</v>
      </c>
      <c r="E36" s="5">
        <v>4</v>
      </c>
      <c r="F36" s="5">
        <v>1</v>
      </c>
      <c r="G36" s="5">
        <v>1</v>
      </c>
    </row>
    <row r="37" spans="1:7" x14ac:dyDescent="0.3">
      <c r="A37" s="5" t="s">
        <v>505</v>
      </c>
      <c r="B37" s="5" t="s">
        <v>506</v>
      </c>
      <c r="C37" s="5"/>
      <c r="D37" s="5" t="s">
        <v>172</v>
      </c>
      <c r="E37" s="5">
        <v>4</v>
      </c>
      <c r="F37" s="5">
        <v>4</v>
      </c>
      <c r="G37" s="5">
        <v>4</v>
      </c>
    </row>
    <row r="38" spans="1:7" x14ac:dyDescent="0.3">
      <c r="A38"/>
      <c r="B38"/>
      <c r="C38"/>
    </row>
    <row r="39" spans="1:7" x14ac:dyDescent="0.3">
      <c r="A39"/>
      <c r="B39"/>
      <c r="C39"/>
    </row>
    <row r="56" spans="4:4" x14ac:dyDescent="0.3">
      <c r="D56" s="11"/>
    </row>
    <row r="57" spans="4:4" x14ac:dyDescent="0.3">
      <c r="D57" s="11"/>
    </row>
    <row r="58" spans="4:4" x14ac:dyDescent="0.3">
      <c r="D58" s="11"/>
    </row>
    <row r="59" spans="4:4" x14ac:dyDescent="0.3">
      <c r="D59" s="11"/>
    </row>
    <row r="60" spans="4:4" x14ac:dyDescent="0.3">
      <c r="D60" s="11"/>
    </row>
    <row r="61" spans="4:4" x14ac:dyDescent="0.3">
      <c r="D61" s="11"/>
    </row>
    <row r="62" spans="4:4" x14ac:dyDescent="0.3">
      <c r="D62" s="11"/>
    </row>
    <row r="63" spans="4:4" x14ac:dyDescent="0.3">
      <c r="D63" s="11"/>
    </row>
    <row r="64" spans="4:4" x14ac:dyDescent="0.3">
      <c r="D64" s="11"/>
    </row>
    <row r="65" spans="4:4" x14ac:dyDescent="0.3">
      <c r="D65" s="11"/>
    </row>
    <row r="66" spans="4:4" x14ac:dyDescent="0.3">
      <c r="D66" s="11"/>
    </row>
    <row r="67" spans="4:4" x14ac:dyDescent="0.3">
      <c r="D67" s="11"/>
    </row>
    <row r="68" spans="4:4" x14ac:dyDescent="0.3">
      <c r="D68" s="11"/>
    </row>
    <row r="69" spans="4:4" x14ac:dyDescent="0.3">
      <c r="D69" s="11"/>
    </row>
    <row r="70" spans="4:4" x14ac:dyDescent="0.3">
      <c r="D70" s="11"/>
    </row>
    <row r="71" spans="4:4" x14ac:dyDescent="0.3">
      <c r="D71" s="11"/>
    </row>
    <row r="72" spans="4:4" x14ac:dyDescent="0.3">
      <c r="D72" s="11"/>
    </row>
    <row r="73" spans="4:4" x14ac:dyDescent="0.3">
      <c r="D73" s="11"/>
    </row>
  </sheetData>
  <conditionalFormatting sqref="E8:G8 E10:G37 E3:G5">
    <cfRule type="cellIs" dxfId="3" priority="5" operator="lessThan">
      <formula>0</formula>
    </cfRule>
  </conditionalFormatting>
  <conditionalFormatting sqref="E7:G7">
    <cfRule type="cellIs" dxfId="2" priority="3" operator="lessThan">
      <formula>0</formula>
    </cfRule>
  </conditionalFormatting>
  <conditionalFormatting sqref="E9:G9">
    <cfRule type="cellIs" dxfId="1" priority="2" operator="lessThan">
      <formula>0</formula>
    </cfRule>
  </conditionalFormatting>
  <conditionalFormatting sqref="E6:G6">
    <cfRule type="cellIs" dxfId="0" priority="1" operator="lessThan">
      <formula>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D1613-8E6F-4824-920B-13A9848E1DBE}">
  <sheetPr>
    <tabColor theme="5" tint="0.59999389629810485"/>
  </sheetPr>
  <dimension ref="A1"/>
  <sheetViews>
    <sheetView zoomScaleNormal="100" workbookViewId="0">
      <selection activeCell="D10" sqref="A1:XFD1048576"/>
    </sheetView>
  </sheetViews>
  <sheetFormatPr defaultRowHeight="14.4" x14ac:dyDescent="0.3"/>
  <cols>
    <col min="2" max="3" width="57.5546875" customWidth="1"/>
    <col min="4" max="4" width="80.6640625" customWidth="1"/>
  </cols>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3CF61-1E5C-4228-A0AB-2BBB18E8B57E}">
  <dimension ref="A1:A5"/>
  <sheetViews>
    <sheetView workbookViewId="0">
      <selection activeCell="E41" sqref="E41"/>
    </sheetView>
  </sheetViews>
  <sheetFormatPr defaultColWidth="8.88671875" defaultRowHeight="14.4" x14ac:dyDescent="0.3"/>
  <cols>
    <col min="1" max="1" width="50.6640625" customWidth="1"/>
    <col min="14" max="14" width="18.33203125" bestFit="1" customWidth="1"/>
  </cols>
  <sheetData>
    <row r="1" spans="1:1" x14ac:dyDescent="0.3">
      <c r="A1" s="36" t="s">
        <v>507</v>
      </c>
    </row>
    <row r="2" spans="1:1" x14ac:dyDescent="0.3">
      <c r="A2" s="36" t="s">
        <v>508</v>
      </c>
    </row>
    <row r="3" spans="1:1" x14ac:dyDescent="0.3">
      <c r="A3" s="36" t="s">
        <v>509</v>
      </c>
    </row>
    <row r="4" spans="1:1" x14ac:dyDescent="0.3">
      <c r="A4" s="36" t="s">
        <v>510</v>
      </c>
    </row>
    <row r="5" spans="1:1" x14ac:dyDescent="0.3">
      <c r="A5" s="36" t="s">
        <v>511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E9D7C-97C7-41A9-8F4A-42F5A00C19ED}">
  <dimension ref="A1:P19"/>
  <sheetViews>
    <sheetView workbookViewId="0">
      <selection activeCell="O18" sqref="O18:P19"/>
    </sheetView>
  </sheetViews>
  <sheetFormatPr defaultRowHeight="14.4" x14ac:dyDescent="0.3"/>
  <cols>
    <col min="2" max="2" width="27.88671875" customWidth="1"/>
  </cols>
  <sheetData>
    <row r="1" spans="1:7" ht="18" x14ac:dyDescent="0.35">
      <c r="A1" s="40" t="s">
        <v>512</v>
      </c>
      <c r="B1" s="41"/>
      <c r="C1" s="41"/>
      <c r="D1" s="41"/>
      <c r="E1" s="41"/>
      <c r="F1" s="39"/>
      <c r="G1" s="39"/>
    </row>
    <row r="2" spans="1:7" x14ac:dyDescent="0.3">
      <c r="A2" s="11">
        <v>1</v>
      </c>
      <c r="B2" s="19" t="s">
        <v>513</v>
      </c>
    </row>
    <row r="3" spans="1:7" x14ac:dyDescent="0.3">
      <c r="A3" s="11">
        <f>+A2+1</f>
        <v>2</v>
      </c>
      <c r="B3" s="19" t="s">
        <v>514</v>
      </c>
    </row>
    <row r="4" spans="1:7" x14ac:dyDescent="0.3">
      <c r="A4" s="11">
        <f>+A3+1</f>
        <v>3</v>
      </c>
      <c r="B4" s="19" t="s">
        <v>515</v>
      </c>
    </row>
    <row r="5" spans="1:7" x14ac:dyDescent="0.3">
      <c r="A5" s="11">
        <f>+A4+1</f>
        <v>4</v>
      </c>
      <c r="B5" s="19" t="s">
        <v>516</v>
      </c>
    </row>
    <row r="6" spans="1:7" x14ac:dyDescent="0.3">
      <c r="A6" s="11">
        <f>+A5+1</f>
        <v>5</v>
      </c>
      <c r="B6" s="19" t="s">
        <v>517</v>
      </c>
    </row>
    <row r="11" spans="1:7" x14ac:dyDescent="0.3">
      <c r="A11" s="19" t="s">
        <v>518</v>
      </c>
    </row>
    <row r="12" spans="1:7" x14ac:dyDescent="0.3">
      <c r="A12" s="24" t="s">
        <v>519</v>
      </c>
    </row>
    <row r="13" spans="1:7" x14ac:dyDescent="0.3">
      <c r="A13" t="s">
        <v>520</v>
      </c>
    </row>
    <row r="14" spans="1:7" x14ac:dyDescent="0.3">
      <c r="A14" t="s">
        <v>521</v>
      </c>
    </row>
    <row r="18" spans="16:16" x14ac:dyDescent="0.3">
      <c r="P18" t="s">
        <v>522</v>
      </c>
    </row>
    <row r="19" spans="16:16" x14ac:dyDescent="0.3">
      <c r="P19" t="s">
        <v>523</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B44CA-A7FC-4F6E-B51E-3054A96172A7}">
  <sheetPr>
    <tabColor rgb="FF00B050"/>
  </sheetPr>
  <dimension ref="A1:Z62"/>
  <sheetViews>
    <sheetView tabSelected="1" zoomScale="85" zoomScaleNormal="85" workbookViewId="0">
      <pane xSplit="2" ySplit="2" topLeftCell="C15" activePane="bottomRight" state="frozen"/>
      <selection pane="topRight" activeCell="A2" sqref="A2"/>
      <selection pane="bottomLeft" activeCell="A2" sqref="A2"/>
      <selection pane="bottomRight" activeCell="E7" sqref="E7"/>
    </sheetView>
  </sheetViews>
  <sheetFormatPr defaultColWidth="8.88671875" defaultRowHeight="14.4" x14ac:dyDescent="0.3"/>
  <cols>
    <col min="1" max="1" width="12.6640625" style="2" customWidth="1"/>
    <col min="2" max="2" width="44.6640625" style="1" customWidth="1"/>
    <col min="3" max="3" width="12.33203125" style="2" customWidth="1"/>
    <col min="4" max="5" width="12.44140625" style="1" customWidth="1"/>
    <col min="6" max="10" width="13.44140625" style="1" customWidth="1"/>
    <col min="11" max="14" width="12" style="2" customWidth="1"/>
    <col min="15" max="17" width="16.88671875" style="2" customWidth="1"/>
    <col min="18" max="18" width="1.33203125" style="43" customWidth="1"/>
    <col min="19" max="20" width="7.109375" style="63" hidden="1" customWidth="1"/>
    <col min="21" max="21" width="9.5546875" style="63" customWidth="1"/>
    <col min="22" max="22" width="17.6640625" style="63" customWidth="1"/>
    <col min="23" max="23" width="26.88671875" style="63" bestFit="1" customWidth="1"/>
    <col min="24" max="24" width="27.5546875" style="63" customWidth="1"/>
    <col min="25" max="25" width="16.109375" style="63" customWidth="1"/>
    <col min="26" max="26" width="31" style="63" customWidth="1"/>
    <col min="27" max="16384" width="8.88671875" style="63"/>
  </cols>
  <sheetData>
    <row r="1" spans="1:26" ht="28.95" customHeight="1" x14ac:dyDescent="0.3">
      <c r="A1" s="86" t="s">
        <v>44</v>
      </c>
      <c r="B1" s="15"/>
      <c r="C1" s="38" t="s">
        <v>45</v>
      </c>
      <c r="D1" s="6" t="s">
        <v>46</v>
      </c>
      <c r="E1" s="6" t="s">
        <v>47</v>
      </c>
      <c r="F1" s="214" t="s">
        <v>48</v>
      </c>
      <c r="G1" s="215"/>
      <c r="H1" s="215"/>
      <c r="I1" s="215"/>
      <c r="J1" s="216"/>
      <c r="K1" s="217" t="s">
        <v>49</v>
      </c>
      <c r="L1" s="218"/>
      <c r="M1" s="218"/>
      <c r="N1" s="218"/>
      <c r="O1" s="218" t="s">
        <v>50</v>
      </c>
      <c r="P1" s="218"/>
      <c r="Q1" s="218"/>
      <c r="V1" s="60" t="s">
        <v>51</v>
      </c>
      <c r="W1" s="61" t="s">
        <v>52</v>
      </c>
      <c r="X1" s="61" t="s">
        <v>53</v>
      </c>
      <c r="Y1" s="61" t="s">
        <v>54</v>
      </c>
      <c r="Z1" s="62" t="s">
        <v>55</v>
      </c>
    </row>
    <row r="2" spans="1:26" ht="28.8" x14ac:dyDescent="0.3">
      <c r="A2" s="77" t="str">
        <f>Visualization_Average!B2</f>
        <v>Policy Maker</v>
      </c>
      <c r="B2" s="77" t="str">
        <f>Visualization_Average!B3</f>
        <v>Strategic Planning</v>
      </c>
      <c r="C2" s="77" t="s">
        <v>56</v>
      </c>
      <c r="D2" s="77" t="s">
        <v>57</v>
      </c>
      <c r="E2" s="77" t="s">
        <v>58</v>
      </c>
      <c r="F2" s="89" t="s">
        <v>59</v>
      </c>
      <c r="G2" s="89" t="s">
        <v>60</v>
      </c>
      <c r="H2" s="89" t="s">
        <v>56</v>
      </c>
      <c r="I2" s="89" t="s">
        <v>57</v>
      </c>
      <c r="J2" s="89" t="s">
        <v>58</v>
      </c>
      <c r="K2" s="90" t="s">
        <v>7</v>
      </c>
      <c r="L2" s="90" t="s">
        <v>8</v>
      </c>
      <c r="M2" s="90" t="s">
        <v>9</v>
      </c>
      <c r="N2" s="90" t="s">
        <v>10</v>
      </c>
      <c r="O2" s="91" t="s">
        <v>56</v>
      </c>
      <c r="P2" s="91" t="s">
        <v>57</v>
      </c>
      <c r="Q2" s="91" t="s">
        <v>58</v>
      </c>
      <c r="V2" s="64" t="s">
        <v>61</v>
      </c>
    </row>
    <row r="3" spans="1:26" ht="30.6" customHeight="1" x14ac:dyDescent="0.3">
      <c r="A3" s="88"/>
      <c r="B3" s="97" t="str">
        <f>+MOPs!B2</f>
        <v>Conceptual Validation</v>
      </c>
      <c r="C3" s="98"/>
      <c r="D3" s="99"/>
      <c r="E3" s="99"/>
      <c r="F3" s="100"/>
      <c r="G3" s="100"/>
      <c r="H3" s="100"/>
      <c r="I3" s="100"/>
      <c r="J3" s="100"/>
      <c r="K3" s="98"/>
      <c r="L3" s="98"/>
      <c r="M3" s="98"/>
      <c r="N3" s="98"/>
      <c r="O3" s="98"/>
      <c r="P3" s="98"/>
      <c r="Q3" s="101"/>
    </row>
    <row r="4" spans="1:26" ht="34.950000000000003" customHeight="1" x14ac:dyDescent="0.3">
      <c r="A4" s="14"/>
      <c r="B4" s="92" t="str">
        <f>+MOPs!B3</f>
        <v>Flow Metering or Blocking back - strict capacity constraint</v>
      </c>
      <c r="C4" s="105">
        <v>2</v>
      </c>
      <c r="D4" s="106">
        <v>3</v>
      </c>
      <c r="E4" s="106">
        <v>3</v>
      </c>
      <c r="F4" s="93" t="s">
        <v>62</v>
      </c>
      <c r="G4" s="93">
        <v>1</v>
      </c>
      <c r="H4" s="94">
        <f>Standardization!H5</f>
        <v>0.66666666666666663</v>
      </c>
      <c r="I4" s="94">
        <f>Standardization!I5</f>
        <v>1</v>
      </c>
      <c r="J4" s="94">
        <f>Standardization!J5</f>
        <v>1</v>
      </c>
      <c r="K4" s="95">
        <f>+SUMIFS(Weights1!R$4:R$69,Weights1!$C$4:$C$69,EMMa!$B$2,Weights1!$D$4:$D$69,EMMa!$S4)+SUMIFS(Weights1!R$4:R$69,Weights1!$C$4:$C$69,EMMa!$B$2,Weights1!$D$4:$D$69,EMMa!$T4)</f>
        <v>7</v>
      </c>
      <c r="L4" s="95">
        <f>+SUMIFS(Weights1!S$4:S$69,Weights1!$C$4:$C$69,EMMa!$B$2,Weights1!$D$4:$D$69,EMMa!$S4)+SUMIFS(Weights1!S$4:S$69,Weights1!$C$4:$C$69,EMMa!$B$2,Weights1!$D$4:$D$69,EMMa!$T4)</f>
        <v>7.5</v>
      </c>
      <c r="M4" s="95">
        <f>+SUMIFS(Weights1!T$4:T$69,Weights1!$C$4:$C$69,EMMa!$B$2,Weights1!$D$4:$D$69,EMMa!$S4)+SUMIFS(Weights1!T$4:T$69,Weights1!$C$4:$C$69,EMMa!$B$2,Weights1!$D$4:$D$69,EMMa!$T4)</f>
        <v>8</v>
      </c>
      <c r="N4" s="95">
        <f>+SUMIFS(Weights1!U$4:U$69,Weights1!$C$4:$C$69,EMMa!$B$2,Weights1!$D$4:$D$69,EMMa!$S4)+SUMIFS(Weights1!U$4:U$69,Weights1!$C$4:$C$69,EMMa!$B$2,Weights1!$D$4:$D$69,EMMa!$T4)</f>
        <v>8.75</v>
      </c>
      <c r="O4" s="96">
        <f>+IF($A$2=$K$2,$K4*H4,IF($A$2=$L$2,$L4*H4,IF($A$2=$M$2,$M4*H4,IF($A$2=$N$2,$N4*H4))))</f>
        <v>4.6666666666666661</v>
      </c>
      <c r="P4" s="96">
        <f>+IF($A$2=$K$2,$K4*I4,IF($A$2=$L$2,$L4*I4,IF($A$2=$M$2,$M4*I4,IF($A$2=$N$2,$N4*I4))))</f>
        <v>7</v>
      </c>
      <c r="Q4" s="96">
        <f>+IF($A$2=$K$2,$K4*J4,IF($A$2=$L$2,$L4*J4,IF($A$2=$M$2,$M4*J4,IF($A$2=$N$2,$N4*J4))))</f>
        <v>7</v>
      </c>
      <c r="S4" s="63" t="s">
        <v>63</v>
      </c>
      <c r="T4" s="63" t="s">
        <v>64</v>
      </c>
    </row>
    <row r="5" spans="1:26" ht="28.8" x14ac:dyDescent="0.3">
      <c r="A5" s="14"/>
      <c r="B5" s="55" t="str">
        <f>+MOPs!B4</f>
        <v>Traffic Spillback - strict storage constraint</v>
      </c>
      <c r="C5" s="107">
        <v>3</v>
      </c>
      <c r="D5" s="108">
        <v>4</v>
      </c>
      <c r="E5" s="108">
        <v>3</v>
      </c>
      <c r="F5" s="84" t="s">
        <v>62</v>
      </c>
      <c r="G5" s="84">
        <v>1</v>
      </c>
      <c r="H5" s="94">
        <f>Standardization!H6</f>
        <v>0.75</v>
      </c>
      <c r="I5" s="94">
        <f>Standardization!I6</f>
        <v>1</v>
      </c>
      <c r="J5" s="94">
        <f>Standardization!J6</f>
        <v>0.75</v>
      </c>
      <c r="K5" s="85">
        <f>+SUMIFS(Weights1!R$4:R$69,Weights1!$C$4:$C$69,EMMa!$B$2,Weights1!$D$4:$D$69,EMMa!$S5)+SUMIFS(Weights1!R$4:R$69,Weights1!$C$4:$C$69,EMMa!$B$2,Weights1!$D$4:$D$69,EMMa!$T5)</f>
        <v>7</v>
      </c>
      <c r="L5" s="85">
        <f>+SUMIFS(Weights1!S$4:S$69,Weights1!$C$4:$C$69,EMMa!$B$2,Weights1!$D$4:$D$69,EMMa!$S5)+SUMIFS(Weights1!S$4:S$69,Weights1!$C$4:$C$69,EMMa!$B$2,Weights1!$D$4:$D$69,EMMa!$T5)</f>
        <v>7.5</v>
      </c>
      <c r="M5" s="85">
        <f>+SUMIFS(Weights1!T$4:T$69,Weights1!$C$4:$C$69,EMMa!$B$2,Weights1!$D$4:$D$69,EMMa!$S5)+SUMIFS(Weights1!T$4:T$69,Weights1!$C$4:$C$69,EMMa!$B$2,Weights1!$D$4:$D$69,EMMa!$T5)</f>
        <v>6.666666666666667</v>
      </c>
      <c r="N5" s="85">
        <f>+SUMIFS(Weights1!U$4:U$69,Weights1!$C$4:$C$69,EMMa!$B$2,Weights1!$D$4:$D$69,EMMa!$S5)+SUMIFS(Weights1!U$4:U$69,Weights1!$C$4:$C$69,EMMa!$B$2,Weights1!$D$4:$D$69,EMMa!$T5)</f>
        <v>7</v>
      </c>
      <c r="O5" s="87">
        <f t="shared" ref="O5:O10" si="0">+IF($A$2=$K$2,$K5*H5,IF($A$2=$L$2,$L5*H5,IF($A$2=$M$2,$M5*H5,IF($A$2=$N$2,$N5*H5))))</f>
        <v>5.25</v>
      </c>
      <c r="P5" s="87">
        <f t="shared" ref="P5:P10" si="1">+IF($A$2=$K$2,$K5*I5,IF($A$2=$L$2,$L5*I5,IF($A$2=$M$2,$M5*I5,IF($A$2=$N$2,$N5*I5))))</f>
        <v>7</v>
      </c>
      <c r="Q5" s="87">
        <f t="shared" ref="Q5:Q10" si="2">+IF($A$2=$K$2,$K5*J5,IF($A$2=$L$2,$L5*J5,IF($A$2=$M$2,$M5*J5,IF($A$2=$N$2,$N5*J5))))</f>
        <v>5.25</v>
      </c>
      <c r="S5" s="63" t="s">
        <v>63</v>
      </c>
      <c r="T5" s="63" t="s">
        <v>65</v>
      </c>
    </row>
    <row r="6" spans="1:26" ht="28.8" x14ac:dyDescent="0.3">
      <c r="A6" s="14"/>
      <c r="B6" s="55" t="str">
        <f>+MOPs!B5</f>
        <v>Capacity drop</v>
      </c>
      <c r="C6" s="107">
        <v>0</v>
      </c>
      <c r="D6" s="108">
        <v>2</v>
      </c>
      <c r="E6" s="108">
        <v>0</v>
      </c>
      <c r="F6" s="84" t="s">
        <v>62</v>
      </c>
      <c r="G6" s="84">
        <v>1</v>
      </c>
      <c r="H6" s="94">
        <f>Standardization!H7</f>
        <v>0</v>
      </c>
      <c r="I6" s="94">
        <f>Standardization!I7</f>
        <v>1</v>
      </c>
      <c r="J6" s="94">
        <f>Standardization!J7</f>
        <v>0</v>
      </c>
      <c r="K6" s="85">
        <f>+SUMIFS(Weights1!R$4:R$69,Weights1!$C$4:$C$69,EMMa!$B$2,Weights1!$D$4:$D$69,EMMa!$S6)+SUMIFS(Weights1!R$4:R$69,Weights1!$C$4:$C$69,EMMa!$B$2,Weights1!$D$4:$D$69,EMMa!$T6)</f>
        <v>4</v>
      </c>
      <c r="L6" s="85">
        <f>+SUMIFS(Weights1!S$4:S$69,Weights1!$C$4:$C$69,EMMa!$B$2,Weights1!$D$4:$D$69,EMMa!$S6)+SUMIFS(Weights1!S$4:S$69,Weights1!$C$4:$C$69,EMMa!$B$2,Weights1!$D$4:$D$69,EMMa!$T6)</f>
        <v>5.333333333333333</v>
      </c>
      <c r="M6" s="85">
        <f>+SUMIFS(Weights1!T$4:T$69,Weights1!$C$4:$C$69,EMMa!$B$2,Weights1!$D$4:$D$69,EMMa!$S6)+SUMIFS(Weights1!T$4:T$69,Weights1!$C$4:$C$69,EMMa!$B$2,Weights1!$D$4:$D$69,EMMa!$T6)</f>
        <v>4.666666666666667</v>
      </c>
      <c r="N6" s="85">
        <f>+SUMIFS(Weights1!U$4:U$69,Weights1!$C$4:$C$69,EMMa!$B$2,Weights1!$D$4:$D$69,EMMa!$S6)+SUMIFS(Weights1!U$4:U$69,Weights1!$C$4:$C$69,EMMa!$B$2,Weights1!$D$4:$D$69,EMMa!$T6)</f>
        <v>6.25</v>
      </c>
      <c r="O6" s="87">
        <f t="shared" si="0"/>
        <v>0</v>
      </c>
      <c r="P6" s="87">
        <f t="shared" si="1"/>
        <v>4</v>
      </c>
      <c r="Q6" s="87">
        <f t="shared" si="2"/>
        <v>0</v>
      </c>
      <c r="S6" s="63" t="s">
        <v>66</v>
      </c>
      <c r="T6" s="63" t="s">
        <v>67</v>
      </c>
    </row>
    <row r="7" spans="1:26" ht="28.8" x14ac:dyDescent="0.3">
      <c r="A7" s="4"/>
      <c r="B7" s="55" t="str">
        <f>+MOPs!B6</f>
        <v>Smoothness of temporal speed variations</v>
      </c>
      <c r="C7" s="107">
        <v>44.567325656538536</v>
      </c>
      <c r="D7" s="108">
        <v>33.638820757092056</v>
      </c>
      <c r="E7" s="108">
        <v>34.784960084434964</v>
      </c>
      <c r="F7" s="84" t="s">
        <v>68</v>
      </c>
      <c r="G7" s="84">
        <v>0</v>
      </c>
      <c r="H7" s="94">
        <f>Standardization!H8</f>
        <v>0</v>
      </c>
      <c r="I7" s="94">
        <f>Standardization!I8</f>
        <v>0.24521338757608724</v>
      </c>
      <c r="J7" s="94">
        <f>Standardization!J8</f>
        <v>0.21949635586151417</v>
      </c>
      <c r="K7" s="85">
        <f>+SUMIFS(Weights1!R$4:R$69,Weights1!$C$4:$C$69,EMMa!$B$2,Weights1!$D$4:$D$69,EMMa!$S7)+SUMIFS(Weights1!R$4:R$69,Weights1!$C$4:$C$69,EMMa!$B$2,Weights1!$D$4:$D$69,EMMa!$T7)</f>
        <v>3</v>
      </c>
      <c r="L7" s="85">
        <f>+SUMIFS(Weights1!S$4:S$69,Weights1!$C$4:$C$69,EMMa!$B$2,Weights1!$D$4:$D$69,EMMa!$S7)+SUMIFS(Weights1!S$4:S$69,Weights1!$C$4:$C$69,EMMa!$B$2,Weights1!$D$4:$D$69,EMMa!$T7)</f>
        <v>3.4444444444444446</v>
      </c>
      <c r="M7" s="85">
        <f>+SUMIFS(Weights1!T$4:T$69,Weights1!$C$4:$C$69,EMMa!$B$2,Weights1!$D$4:$D$69,EMMa!$S7)+SUMIFS(Weights1!T$4:T$69,Weights1!$C$4:$C$69,EMMa!$B$2,Weights1!$D$4:$D$69,EMMa!$T7)</f>
        <v>5</v>
      </c>
      <c r="N7" s="85">
        <f>+SUMIFS(Weights1!U$4:U$69,Weights1!$C$4:$C$69,EMMa!$B$2,Weights1!$D$4:$D$69,EMMa!$S7)+SUMIFS(Weights1!U$4:U$69,Weights1!$C$4:$C$69,EMMa!$B$2,Weights1!$D$4:$D$69,EMMa!$T7)</f>
        <v>4.5</v>
      </c>
      <c r="O7" s="87">
        <f t="shared" si="0"/>
        <v>0</v>
      </c>
      <c r="P7" s="87">
        <f t="shared" si="1"/>
        <v>0.73564016272826172</v>
      </c>
      <c r="Q7" s="87">
        <f t="shared" si="2"/>
        <v>0.65848906758454251</v>
      </c>
      <c r="S7" s="63" t="s">
        <v>69</v>
      </c>
      <c r="T7" s="63" t="s">
        <v>70</v>
      </c>
    </row>
    <row r="8" spans="1:26" ht="34.200000000000003" customHeight="1" x14ac:dyDescent="0.3">
      <c r="A8" s="4"/>
      <c r="B8" s="55" t="str">
        <f>+MOPs!B7</f>
        <v>Smoothness of temporal flow variations</v>
      </c>
      <c r="C8" s="107">
        <v>18.386254123197098</v>
      </c>
      <c r="D8" s="108">
        <v>1087.7371903363016</v>
      </c>
      <c r="E8" s="108">
        <v>1089.1996356886873</v>
      </c>
      <c r="F8" s="84" t="s">
        <v>68</v>
      </c>
      <c r="G8" s="84">
        <v>0</v>
      </c>
      <c r="H8" s="94">
        <f>Standardization!H9</f>
        <v>0.98311948193815568</v>
      </c>
      <c r="I8" s="194">
        <f>Standardization!I9</f>
        <v>1.3426788849970617E-3</v>
      </c>
      <c r="J8" s="94">
        <f>Standardization!J9</f>
        <v>0</v>
      </c>
      <c r="K8" s="85">
        <f>+SUMIFS(Weights1!R$4:R$69,Weights1!$C$4:$C$69,EMMa!$B$2,Weights1!$D$4:$D$69,EMMa!$S8)+SUMIFS(Weights1!R$4:R$69,Weights1!$C$4:$C$69,EMMa!$B$2,Weights1!$D$4:$D$69,EMMa!$T8)</f>
        <v>3</v>
      </c>
      <c r="L8" s="85">
        <f>+SUMIFS(Weights1!S$4:S$69,Weights1!$C$4:$C$69,EMMa!$B$2,Weights1!$D$4:$D$69,EMMa!$S8)+SUMIFS(Weights1!S$4:S$69,Weights1!$C$4:$C$69,EMMa!$B$2,Weights1!$D$4:$D$69,EMMa!$T8)</f>
        <v>3.4444444444444446</v>
      </c>
      <c r="M8" s="85">
        <f>+SUMIFS(Weights1!T$4:T$69,Weights1!$C$4:$C$69,EMMa!$B$2,Weights1!$D$4:$D$69,EMMa!$S8)+SUMIFS(Weights1!T$4:T$69,Weights1!$C$4:$C$69,EMMa!$B$2,Weights1!$D$4:$D$69,EMMa!$T8)</f>
        <v>5</v>
      </c>
      <c r="N8" s="85">
        <f>+SUMIFS(Weights1!U$4:U$69,Weights1!$C$4:$C$69,EMMa!$B$2,Weights1!$D$4:$D$69,EMMa!$S8)+SUMIFS(Weights1!U$4:U$69,Weights1!$C$4:$C$69,EMMa!$B$2,Weights1!$D$4:$D$69,EMMa!$T8)</f>
        <v>4.5</v>
      </c>
      <c r="O8" s="87">
        <f t="shared" si="0"/>
        <v>2.9493584458144673</v>
      </c>
      <c r="P8" s="87">
        <f t="shared" si="1"/>
        <v>4.028036654991185E-3</v>
      </c>
      <c r="Q8" s="87">
        <f t="shared" si="2"/>
        <v>0</v>
      </c>
      <c r="S8" s="63" t="s">
        <v>69</v>
      </c>
      <c r="T8" s="63" t="s">
        <v>70</v>
      </c>
    </row>
    <row r="9" spans="1:26" ht="34.200000000000003" customHeight="1" x14ac:dyDescent="0.3">
      <c r="A9" s="4"/>
      <c r="B9" s="55" t="str">
        <f>+MOPs!B8</f>
        <v>Presence of variable route set</v>
      </c>
      <c r="C9" s="107">
        <v>0</v>
      </c>
      <c r="D9" s="107">
        <v>0</v>
      </c>
      <c r="E9" s="107">
        <v>0</v>
      </c>
      <c r="F9" s="84" t="s">
        <v>62</v>
      </c>
      <c r="G9" s="84">
        <v>1</v>
      </c>
      <c r="H9" s="94">
        <f>Standardization!H10</f>
        <v>0</v>
      </c>
      <c r="I9" s="94">
        <f>Standardization!I10</f>
        <v>0</v>
      </c>
      <c r="J9" s="94">
        <f>Standardization!J10</f>
        <v>0</v>
      </c>
      <c r="K9" s="85">
        <f>+SUMIFS(Weights1!R$4:R$69,Weights1!$C$4:$C$69,EMMa!$B$2,Weights1!$D$4:$D$69,EMMa!$S9)+SUMIFS(Weights1!R$4:R$69,Weights1!$C$4:$C$69,EMMa!$B$2,Weights1!$D$4:$D$69,EMMa!$T9)</f>
        <v>10</v>
      </c>
      <c r="L9" s="85">
        <f>+SUMIFS(Weights1!S$4:S$69,Weights1!$C$4:$C$69,EMMa!$B$2,Weights1!$D$4:$D$69,EMMa!$S9)+SUMIFS(Weights1!S$4:S$69,Weights1!$C$4:$C$69,EMMa!$B$2,Weights1!$D$4:$D$69,EMMa!$T9)</f>
        <v>9.7222222222222214</v>
      </c>
      <c r="M9" s="85">
        <f>+SUMIFS(Weights1!T$4:T$69,Weights1!$C$4:$C$69,EMMa!$B$2,Weights1!$D$4:$D$69,EMMa!$S9)+SUMIFS(Weights1!T$4:T$69,Weights1!$C$4:$C$69,EMMa!$B$2,Weights1!$D$4:$D$69,EMMa!$T9)</f>
        <v>9</v>
      </c>
      <c r="N9" s="85">
        <f>+SUMIFS(Weights1!U$4:U$69,Weights1!$C$4:$C$69,EMMa!$B$2,Weights1!$D$4:$D$69,EMMa!$S9)+SUMIFS(Weights1!U$4:U$69,Weights1!$C$4:$C$69,EMMa!$B$2,Weights1!$D$4:$D$69,EMMa!$T9)</f>
        <v>6.75</v>
      </c>
      <c r="O9" s="87">
        <f t="shared" si="0"/>
        <v>0</v>
      </c>
      <c r="P9" s="87">
        <f t="shared" si="1"/>
        <v>0</v>
      </c>
      <c r="Q9" s="87">
        <f t="shared" si="2"/>
        <v>0</v>
      </c>
      <c r="S9" s="63" t="s">
        <v>71</v>
      </c>
      <c r="T9" s="63" t="s">
        <v>72</v>
      </c>
    </row>
    <row r="10" spans="1:26" ht="28.8" x14ac:dyDescent="0.3">
      <c r="A10" s="4"/>
      <c r="B10" s="55" t="str">
        <f>+MOPs!B9</f>
        <v>Modelling of stop and go waves</v>
      </c>
      <c r="C10" s="107">
        <v>0</v>
      </c>
      <c r="D10" s="108">
        <v>0</v>
      </c>
      <c r="E10" s="108">
        <v>0</v>
      </c>
      <c r="F10" s="84" t="s">
        <v>62</v>
      </c>
      <c r="G10" s="84">
        <v>1</v>
      </c>
      <c r="H10" s="94">
        <f>Standardization!H11</f>
        <v>0</v>
      </c>
      <c r="I10" s="94">
        <f>Standardization!I11</f>
        <v>0</v>
      </c>
      <c r="J10" s="94">
        <f>Standardization!J11</f>
        <v>0</v>
      </c>
      <c r="K10" s="85">
        <f>+SUMIFS(Weights1!R$4:R$69,Weights1!$C$4:$C$69,EMMa!$B$2,Weights1!$D$4:$D$69,EMMa!$S10)+SUMIFS(Weights1!R$4:R$69,Weights1!$C$4:$C$69,EMMa!$B$2,Weights1!$D$4:$D$69,EMMa!$T10)</f>
        <v>7</v>
      </c>
      <c r="L10" s="85">
        <f>+SUMIFS(Weights1!S$4:S$69,Weights1!$C$4:$C$69,EMMa!$B$2,Weights1!$D$4:$D$69,EMMa!$S10)+SUMIFS(Weights1!S$4:S$69,Weights1!$C$4:$C$69,EMMa!$B$2,Weights1!$D$4:$D$69,EMMa!$T10)</f>
        <v>7.5</v>
      </c>
      <c r="M10" s="85">
        <f>+SUMIFS(Weights1!T$4:T$69,Weights1!$C$4:$C$69,EMMa!$B$2,Weights1!$D$4:$D$69,EMMa!$S10)+SUMIFS(Weights1!T$4:T$69,Weights1!$C$4:$C$69,EMMa!$B$2,Weights1!$D$4:$D$69,EMMa!$T10)</f>
        <v>4.333333333333333</v>
      </c>
      <c r="N10" s="85">
        <f>+SUMIFS(Weights1!U$4:U$69,Weights1!$C$4:$C$69,EMMa!$B$2,Weights1!$D$4:$D$69,EMMa!$S10)+SUMIFS(Weights1!U$4:U$69,Weights1!$C$4:$C$69,EMMa!$B$2,Weights1!$D$4:$D$69,EMMa!$T10)</f>
        <v>5</v>
      </c>
      <c r="O10" s="87">
        <f t="shared" si="0"/>
        <v>0</v>
      </c>
      <c r="P10" s="87">
        <f t="shared" si="1"/>
        <v>0</v>
      </c>
      <c r="Q10" s="87">
        <f t="shared" si="2"/>
        <v>0</v>
      </c>
      <c r="S10" s="63" t="s">
        <v>63</v>
      </c>
      <c r="T10" s="63" t="s">
        <v>73</v>
      </c>
    </row>
    <row r="11" spans="1:26" ht="30.6" customHeight="1" x14ac:dyDescent="0.3">
      <c r="A11" s="4"/>
      <c r="B11" s="97" t="str">
        <f>+MOPs!B10</f>
        <v>Model robustness</v>
      </c>
      <c r="C11" s="98"/>
      <c r="D11" s="99"/>
      <c r="E11" s="99"/>
      <c r="F11" s="100"/>
      <c r="G11" s="100"/>
      <c r="H11" s="100"/>
      <c r="I11" s="100"/>
      <c r="J11" s="100"/>
      <c r="K11" s="98"/>
      <c r="L11" s="98"/>
      <c r="M11" s="98"/>
      <c r="N11" s="98"/>
      <c r="O11" s="98"/>
      <c r="P11" s="98"/>
      <c r="Q11" s="101"/>
    </row>
    <row r="12" spans="1:26" ht="28.8" x14ac:dyDescent="0.3">
      <c r="A12" s="4"/>
      <c r="B12" s="55" t="str">
        <f>+MOPs!B11</f>
        <v>Dynamic Relative duality gap</v>
      </c>
      <c r="C12" s="111">
        <v>2.0000000000000001E-4</v>
      </c>
      <c r="D12" s="112">
        <v>7.8558726986531879E-2</v>
      </c>
      <c r="E12" s="112">
        <v>8.5276472333985112E-4</v>
      </c>
      <c r="F12" s="84" t="s">
        <v>68</v>
      </c>
      <c r="G12" s="84">
        <v>0</v>
      </c>
      <c r="H12" s="94">
        <f>Standardization!H13</f>
        <v>0.99745413389865278</v>
      </c>
      <c r="I12" s="194">
        <f>Standardization!I13</f>
        <v>0</v>
      </c>
      <c r="J12" s="94">
        <f>Standardization!J13</f>
        <v>0.98914487599212175</v>
      </c>
      <c r="K12" s="85">
        <f>+SUMIFS(Weights1!R$4:R$69,Weights1!$C$4:$C$69,EMMa!$B$2,Weights1!$D$4:$D$69,EMMa!$S12)+SUMIFS(Weights1!R$4:R$69,Weights1!$C$4:$C$69,EMMa!$B$2,Weights1!$D$4:$D$69,EMMa!$T12)</f>
        <v>10</v>
      </c>
      <c r="L12" s="85">
        <f>+SUMIFS(Weights1!S$4:S$69,Weights1!$C$4:$C$69,EMMa!$B$2,Weights1!$D$4:$D$69,EMMa!$S12)+SUMIFS(Weights1!S$4:S$69,Weights1!$C$4:$C$69,EMMa!$B$2,Weights1!$D$4:$D$69,EMMa!$T12)</f>
        <v>9.7222222222222214</v>
      </c>
      <c r="M12" s="85">
        <f>+SUMIFS(Weights1!T$4:T$69,Weights1!$C$4:$C$69,EMMa!$B$2,Weights1!$D$4:$D$69,EMMa!$S12)+SUMIFS(Weights1!T$4:T$69,Weights1!$C$4:$C$69,EMMa!$B$2,Weights1!$D$4:$D$69,EMMa!$T12)</f>
        <v>7.666666666666667</v>
      </c>
      <c r="N12" s="85">
        <f>+SUMIFS(Weights1!U$4:U$69,Weights1!$C$4:$C$69,EMMa!$B$2,Weights1!$D$4:$D$69,EMMa!$S12)+SUMIFS(Weights1!U$4:U$69,Weights1!$C$4:$C$69,EMMa!$B$2,Weights1!$D$4:$D$69,EMMa!$T12)</f>
        <v>8.5</v>
      </c>
      <c r="O12" s="87">
        <f t="shared" ref="O12" si="3">+IF($A$2=$K$2,$K12*H12,IF($A$2=$L$2,$L12*H12,IF($A$2=$M$2,$M12*H12,IF($A$2=$N$2,$N12*H12))))</f>
        <v>9.9745413389865281</v>
      </c>
      <c r="P12" s="87">
        <f t="shared" ref="P12" si="4">+IF($A$2=$K$2,$K12*I12,IF($A$2=$L$2,$L12*I12,IF($A$2=$M$2,$M12*I12,IF($A$2=$N$2,$N12*I12))))</f>
        <v>0</v>
      </c>
      <c r="Q12" s="87">
        <f t="shared" ref="Q12" si="5">+IF($A$2=$K$2,$K12*J12,IF($A$2=$L$2,$L12*J12,IF($A$2=$M$2,$M12*J12,IF($A$2=$N$2,$N12*J12))))</f>
        <v>9.891448759921218</v>
      </c>
      <c r="S12" s="63" t="s">
        <v>71</v>
      </c>
      <c r="T12" s="63" t="s">
        <v>74</v>
      </c>
    </row>
    <row r="13" spans="1:26" ht="30.6" customHeight="1" x14ac:dyDescent="0.3">
      <c r="A13" s="4"/>
      <c r="B13" s="97" t="str">
        <f>+MOPs!B12</f>
        <v>Applicability</v>
      </c>
      <c r="C13" s="98"/>
      <c r="D13" s="99"/>
      <c r="E13" s="99"/>
      <c r="F13" s="100"/>
      <c r="G13" s="100"/>
      <c r="H13" s="100"/>
      <c r="I13" s="100"/>
      <c r="J13" s="100"/>
      <c r="K13" s="98"/>
      <c r="L13" s="98"/>
      <c r="M13" s="98"/>
      <c r="N13" s="98"/>
      <c r="O13" s="98"/>
      <c r="P13" s="98"/>
      <c r="Q13" s="101"/>
    </row>
    <row r="14" spans="1:26" ht="28.8" x14ac:dyDescent="0.3">
      <c r="A14" s="79" t="s">
        <v>75</v>
      </c>
      <c r="B14" s="55" t="str">
        <f>+MOPs!B13</f>
        <v>Difference in Network Supply based on Modes</v>
      </c>
      <c r="C14" s="105">
        <v>1</v>
      </c>
      <c r="D14" s="106">
        <v>1</v>
      </c>
      <c r="E14" s="106">
        <v>1</v>
      </c>
      <c r="F14" s="84" t="s">
        <v>62</v>
      </c>
      <c r="G14" s="84">
        <v>1</v>
      </c>
      <c r="H14" s="94">
        <f>Standardization!H15</f>
        <v>1</v>
      </c>
      <c r="I14" s="94">
        <f>Standardization!I15</f>
        <v>1</v>
      </c>
      <c r="J14" s="94">
        <f>Standardization!J15</f>
        <v>1</v>
      </c>
      <c r="K14" s="85">
        <f>+SUMIFS(Weights1!R$4:R$69,Weights1!$C$4:$C$69,EMMa!$B$2,Weights1!$D$4:$D$69,EMMa!$S14)+SUMIFS(Weights1!R$4:R$69,Weights1!$C$4:$C$69,EMMa!$B$2,Weights1!$D$4:$D$69,EMMa!$T14)</f>
        <v>10</v>
      </c>
      <c r="L14" s="85">
        <f>+SUMIFS(Weights1!S$4:S$69,Weights1!$C$4:$C$69,EMMa!$B$2,Weights1!$D$4:$D$69,EMMa!$S14)+SUMIFS(Weights1!S$4:S$69,Weights1!$C$4:$C$69,EMMa!$B$2,Weights1!$D$4:$D$69,EMMa!$T14)</f>
        <v>6.7777777777777777</v>
      </c>
      <c r="M14" s="85">
        <f>+SUMIFS(Weights1!T$4:T$69,Weights1!$C$4:$C$69,EMMa!$B$2,Weights1!$D$4:$D$69,EMMa!$S14)+SUMIFS(Weights1!T$4:T$69,Weights1!$C$4:$C$69,EMMa!$B$2,Weights1!$D$4:$D$69,EMMa!$T14)</f>
        <v>8.6666666666666661</v>
      </c>
      <c r="N14" s="85">
        <f>+SUMIFS(Weights1!U$4:U$69,Weights1!$C$4:$C$69,EMMa!$B$2,Weights1!$D$4:$D$69,EMMa!$S14)+SUMIFS(Weights1!U$4:U$69,Weights1!$C$4:$C$69,EMMa!$B$2,Weights1!$D$4:$D$69,EMMa!$T14)</f>
        <v>8.5</v>
      </c>
      <c r="O14" s="87">
        <f t="shared" ref="O14:O15" si="6">+IF($A$2=$K$2,$K14*H14,IF($A$2=$L$2,$L14*H14,IF($A$2=$M$2,$M14*H14,IF($A$2=$N$2,$N14*H14))))</f>
        <v>10</v>
      </c>
      <c r="P14" s="87">
        <f t="shared" ref="P14:P15" si="7">+IF($A$2=$K$2,$K14*I14,IF($A$2=$L$2,$L14*I14,IF($A$2=$M$2,$M14*I14,IF($A$2=$N$2,$N14*I14))))</f>
        <v>10</v>
      </c>
      <c r="Q14" s="87">
        <f t="shared" ref="Q14:Q15" si="8">+IF($A$2=$K$2,$K14*J14,IF($A$2=$L$2,$L14*J14,IF($A$2=$M$2,$M14*J14,IF($A$2=$N$2,$N14*J14))))</f>
        <v>10</v>
      </c>
      <c r="S14" s="63" t="s">
        <v>76</v>
      </c>
      <c r="T14" s="63" t="s">
        <v>77</v>
      </c>
      <c r="X14" s="69"/>
    </row>
    <row r="15" spans="1:26" ht="28.8" x14ac:dyDescent="0.3">
      <c r="A15" s="4"/>
      <c r="B15" s="56" t="str">
        <f>+MOPs!B14</f>
        <v>Difference in Input parameters based on different trip purposes</v>
      </c>
      <c r="C15" s="105">
        <v>1</v>
      </c>
      <c r="D15" s="106">
        <v>1</v>
      </c>
      <c r="E15" s="106">
        <v>1</v>
      </c>
      <c r="F15" s="84" t="s">
        <v>62</v>
      </c>
      <c r="G15" s="84">
        <v>1</v>
      </c>
      <c r="H15" s="94">
        <f>Standardization!H16</f>
        <v>1</v>
      </c>
      <c r="I15" s="94">
        <f>Standardization!I16</f>
        <v>1</v>
      </c>
      <c r="J15" s="94">
        <f>Standardization!J16</f>
        <v>1</v>
      </c>
      <c r="K15" s="85">
        <f>+SUMIFS(Weights1!R$4:R$69,Weights1!$C$4:$C$69,EMMa!$B$2,Weights1!$D$4:$D$69,EMMa!$S15)+SUMIFS(Weights1!R$4:R$69,Weights1!$C$4:$C$69,EMMa!$B$2,Weights1!$D$4:$D$69,EMMa!$T15)</f>
        <v>10</v>
      </c>
      <c r="L15" s="85">
        <f>+SUMIFS(Weights1!S$4:S$69,Weights1!$C$4:$C$69,EMMa!$B$2,Weights1!$D$4:$D$69,EMMa!$S15)+SUMIFS(Weights1!S$4:S$69,Weights1!$C$4:$C$69,EMMa!$B$2,Weights1!$D$4:$D$69,EMMa!$T15)</f>
        <v>6.7777777777777777</v>
      </c>
      <c r="M15" s="85">
        <f>+SUMIFS(Weights1!T$4:T$69,Weights1!$C$4:$C$69,EMMa!$B$2,Weights1!$D$4:$D$69,EMMa!$S15)+SUMIFS(Weights1!T$4:T$69,Weights1!$C$4:$C$69,EMMa!$B$2,Weights1!$D$4:$D$69,EMMa!$T15)</f>
        <v>8.6666666666666661</v>
      </c>
      <c r="N15" s="85">
        <f>+SUMIFS(Weights1!U$4:U$69,Weights1!$C$4:$C$69,EMMa!$B$2,Weights1!$D$4:$D$69,EMMa!$S15)+SUMIFS(Weights1!U$4:U$69,Weights1!$C$4:$C$69,EMMa!$B$2,Weights1!$D$4:$D$69,EMMa!$T15)</f>
        <v>8.5</v>
      </c>
      <c r="O15" s="87">
        <f t="shared" si="6"/>
        <v>10</v>
      </c>
      <c r="P15" s="87">
        <f t="shared" si="7"/>
        <v>10</v>
      </c>
      <c r="Q15" s="87">
        <f t="shared" si="8"/>
        <v>10</v>
      </c>
      <c r="S15" s="63" t="s">
        <v>76</v>
      </c>
      <c r="T15" s="63" t="s">
        <v>77</v>
      </c>
    </row>
    <row r="16" spans="1:26" ht="30.6" customHeight="1" x14ac:dyDescent="0.3">
      <c r="A16" s="4"/>
      <c r="B16" s="97" t="str">
        <f>+MOPs!B15</f>
        <v>Tractability</v>
      </c>
      <c r="C16" s="98"/>
      <c r="D16" s="99"/>
      <c r="E16" s="99"/>
      <c r="F16" s="100"/>
      <c r="G16" s="100"/>
      <c r="H16" s="100"/>
      <c r="I16" s="100"/>
      <c r="J16" s="100"/>
      <c r="K16" s="98"/>
      <c r="L16" s="98"/>
      <c r="M16" s="98"/>
      <c r="N16" s="98"/>
      <c r="O16" s="98"/>
      <c r="P16" s="98"/>
      <c r="Q16" s="101"/>
    </row>
    <row r="17" spans="1:23" ht="28.8" x14ac:dyDescent="0.3">
      <c r="A17" s="4"/>
      <c r="B17" s="55" t="str">
        <f>+MOPs!B16</f>
        <v>Propagation - Link flows</v>
      </c>
      <c r="C17" s="105">
        <f>+AVERAGEIFS('Therotical model testing'!E$2:E$37,'Therotical model testing'!$D$2:$D$37,EMMa!$B17)</f>
        <v>3</v>
      </c>
      <c r="D17" s="106">
        <f>+AVERAGEIFS('Therotical model testing'!F$2:F$37,'Therotical model testing'!$D$2:$D$37,EMMa!$B17)</f>
        <v>3</v>
      </c>
      <c r="E17" s="106">
        <f>+AVERAGEIFS('Therotical model testing'!G$2:G$37,'Therotical model testing'!$D$2:$D$37,EMMa!$B17)</f>
        <v>4</v>
      </c>
      <c r="F17" s="84" t="s">
        <v>62</v>
      </c>
      <c r="G17" s="84">
        <v>1</v>
      </c>
      <c r="H17" s="94">
        <f>Standardization!H18</f>
        <v>0.75</v>
      </c>
      <c r="I17" s="94">
        <f>Standardization!I18</f>
        <v>0.75</v>
      </c>
      <c r="J17" s="94">
        <f>Standardization!J18</f>
        <v>1</v>
      </c>
      <c r="K17" s="85">
        <f>+SUMIFS(Weights1!R$4:R$69,Weights1!$C$4:$C$69,EMMa!$B$2,Weights1!$D$4:$D$69,EMMa!$S17)+SUMIFS(Weights1!R$4:R$69,Weights1!$C$4:$C$69,EMMa!$B$2,Weights1!$D$4:$D$69,EMMa!$T17)</f>
        <v>7</v>
      </c>
      <c r="L17" s="85">
        <f>+SUMIFS(Weights1!S$4:S$69,Weights1!$C$4:$C$69,EMMa!$B$2,Weights1!$D$4:$D$69,EMMa!$S17)+SUMIFS(Weights1!S$4:S$69,Weights1!$C$4:$C$69,EMMa!$B$2,Weights1!$D$4:$D$69,EMMa!$T17)</f>
        <v>7.5</v>
      </c>
      <c r="M17" s="85">
        <f>+SUMIFS(Weights1!T$4:T$69,Weights1!$C$4:$C$69,EMMa!$B$2,Weights1!$D$4:$D$69,EMMa!$S17)+SUMIFS(Weights1!T$4:T$69,Weights1!$C$4:$C$69,EMMa!$B$2,Weights1!$D$4:$D$69,EMMa!$T17)</f>
        <v>8</v>
      </c>
      <c r="N17" s="85">
        <f>+SUMIFS(Weights1!U$4:U$69,Weights1!$C$4:$C$69,EMMa!$B$2,Weights1!$D$4:$D$69,EMMa!$S17)+SUMIFS(Weights1!U$4:U$69,Weights1!$C$4:$C$69,EMMa!$B$2,Weights1!$D$4:$D$69,EMMa!$T17)</f>
        <v>8.75</v>
      </c>
      <c r="O17" s="87">
        <f t="shared" ref="O17:O24" si="9">+IF($A$2=$K$2,$K17*H17,IF($A$2=$L$2,$L17*H17,IF($A$2=$M$2,$M17*H17,IF($A$2=$N$2,$N17*H17))))</f>
        <v>5.25</v>
      </c>
      <c r="P17" s="87">
        <f t="shared" ref="P17:P24" si="10">+IF($A$2=$K$2,$K17*I17,IF($A$2=$L$2,$L17*I17,IF($A$2=$M$2,$M17*I17,IF($A$2=$N$2,$N17*I17))))</f>
        <v>5.25</v>
      </c>
      <c r="Q17" s="87">
        <f t="shared" ref="Q17:Q24" si="11">+IF($A$2=$K$2,$K17*J17,IF($A$2=$L$2,$L17*J17,IF($A$2=$M$2,$M17*J17,IF($A$2=$N$2,$N17*J17))))</f>
        <v>7</v>
      </c>
      <c r="S17" s="63" t="s">
        <v>63</v>
      </c>
      <c r="T17" s="63" t="s">
        <v>64</v>
      </c>
    </row>
    <row r="18" spans="1:23" ht="28.8" x14ac:dyDescent="0.3">
      <c r="A18" s="4"/>
      <c r="B18" s="55" t="str">
        <f>+MOPs!B17</f>
        <v>Propagation - Queuing</v>
      </c>
      <c r="C18" s="105">
        <f>+AVERAGEIFS('Therotical model testing'!E$2:E$37,'Therotical model testing'!$D$2:$D$37,EMMa!$B18)</f>
        <v>2.3333333333333335</v>
      </c>
      <c r="D18" s="106">
        <f>+AVERAGEIFS('Therotical model testing'!F$2:F$37,'Therotical model testing'!$D$2:$D$37,EMMa!$B18)</f>
        <v>3.4</v>
      </c>
      <c r="E18" s="106">
        <f>+AVERAGEIFS('Therotical model testing'!G$2:G$37,'Therotical model testing'!$D$2:$D$37,EMMa!$B18)</f>
        <v>3.3333333333333335</v>
      </c>
      <c r="F18" s="84" t="s">
        <v>62</v>
      </c>
      <c r="G18" s="84">
        <v>1</v>
      </c>
      <c r="H18" s="94">
        <f>Standardization!H19</f>
        <v>0.68627450980392168</v>
      </c>
      <c r="I18" s="94">
        <f>Standardization!I19</f>
        <v>1</v>
      </c>
      <c r="J18" s="94">
        <f>Standardization!J19</f>
        <v>0.98039215686274517</v>
      </c>
      <c r="K18" s="85">
        <f>+SUMIFS(Weights1!R$4:R$69,Weights1!$C$4:$C$69,EMMa!$B$2,Weights1!$D$4:$D$69,EMMa!$S18)+SUMIFS(Weights1!R$4:R$69,Weights1!$C$4:$C$69,EMMa!$B$2,Weights1!$D$4:$D$69,EMMa!$T18)</f>
        <v>7</v>
      </c>
      <c r="L18" s="85">
        <f>+SUMIFS(Weights1!S$4:S$69,Weights1!$C$4:$C$69,EMMa!$B$2,Weights1!$D$4:$D$69,EMMa!$S18)+SUMIFS(Weights1!S$4:S$69,Weights1!$C$4:$C$69,EMMa!$B$2,Weights1!$D$4:$D$69,EMMa!$T18)</f>
        <v>7.5</v>
      </c>
      <c r="M18" s="85">
        <f>+SUMIFS(Weights1!T$4:T$69,Weights1!$C$4:$C$69,EMMa!$B$2,Weights1!$D$4:$D$69,EMMa!$S18)+SUMIFS(Weights1!T$4:T$69,Weights1!$C$4:$C$69,EMMa!$B$2,Weights1!$D$4:$D$69,EMMa!$T18)</f>
        <v>6.666666666666667</v>
      </c>
      <c r="N18" s="85">
        <f>+SUMIFS(Weights1!U$4:U$69,Weights1!$C$4:$C$69,EMMa!$B$2,Weights1!$D$4:$D$69,EMMa!$S18)+SUMIFS(Weights1!U$4:U$69,Weights1!$C$4:$C$69,EMMa!$B$2,Weights1!$D$4:$D$69,EMMa!$T18)</f>
        <v>7</v>
      </c>
      <c r="O18" s="87">
        <f t="shared" si="9"/>
        <v>4.8039215686274517</v>
      </c>
      <c r="P18" s="87">
        <f t="shared" si="10"/>
        <v>7</v>
      </c>
      <c r="Q18" s="87">
        <f t="shared" si="11"/>
        <v>6.8627450980392162</v>
      </c>
      <c r="S18" s="63" t="s">
        <v>63</v>
      </c>
      <c r="T18" s="63" t="s">
        <v>65</v>
      </c>
    </row>
    <row r="19" spans="1:23" ht="28.8" x14ac:dyDescent="0.3">
      <c r="A19" s="4"/>
      <c r="B19" s="55" t="str">
        <f>+MOPs!B18</f>
        <v>Propagation - Effect of link-level traffic controls</v>
      </c>
      <c r="C19" s="105">
        <f>+AVERAGEIFS('Therotical model testing'!E$2:E$37,'Therotical model testing'!$D$2:$D$37,EMMa!$B19)</f>
        <v>3.5</v>
      </c>
      <c r="D19" s="106">
        <f>+AVERAGEIFS('Therotical model testing'!F$2:F$37,'Therotical model testing'!$D$2:$D$37,EMMa!$B19)</f>
        <v>2.5</v>
      </c>
      <c r="E19" s="106">
        <f>+AVERAGEIFS('Therotical model testing'!G$2:G$37,'Therotical model testing'!$D$2:$D$37,EMMa!$B19)</f>
        <v>0</v>
      </c>
      <c r="F19" s="84" t="s">
        <v>62</v>
      </c>
      <c r="G19" s="84">
        <v>1</v>
      </c>
      <c r="H19" s="94">
        <f>Standardization!H20</f>
        <v>1</v>
      </c>
      <c r="I19" s="94">
        <f>Standardization!I20</f>
        <v>0.7142857142857143</v>
      </c>
      <c r="J19" s="94">
        <f>Standardization!J20</f>
        <v>0</v>
      </c>
      <c r="K19" s="85">
        <f>+SUMIFS(Weights1!R$4:R$69,Weights1!$C$4:$C$69,EMMa!$B$2,Weights1!$D$4:$D$69,EMMa!$S19)+SUMIFS(Weights1!R$4:R$69,Weights1!$C$4:$C$69,EMMa!$B$2,Weights1!$D$4:$D$69,EMMa!$T19)</f>
        <v>7</v>
      </c>
      <c r="L19" s="85">
        <f>+SUMIFS(Weights1!S$4:S$69,Weights1!$C$4:$C$69,EMMa!$B$2,Weights1!$D$4:$D$69,EMMa!$S19)+SUMIFS(Weights1!S$4:S$69,Weights1!$C$4:$C$69,EMMa!$B$2,Weights1!$D$4:$D$69,EMMa!$T19)</f>
        <v>7.5</v>
      </c>
      <c r="M19" s="85">
        <f>+SUMIFS(Weights1!T$4:T$69,Weights1!$C$4:$C$69,EMMa!$B$2,Weights1!$D$4:$D$69,EMMa!$S19)+SUMIFS(Weights1!T$4:T$69,Weights1!$C$4:$C$69,EMMa!$B$2,Weights1!$D$4:$D$69,EMMa!$T19)</f>
        <v>8</v>
      </c>
      <c r="N19" s="85">
        <f>+SUMIFS(Weights1!U$4:U$69,Weights1!$C$4:$C$69,EMMa!$B$2,Weights1!$D$4:$D$69,EMMa!$S19)+SUMIFS(Weights1!U$4:U$69,Weights1!$C$4:$C$69,EMMa!$B$2,Weights1!$D$4:$D$69,EMMa!$T19)</f>
        <v>8.75</v>
      </c>
      <c r="O19" s="87">
        <f t="shared" si="9"/>
        <v>7</v>
      </c>
      <c r="P19" s="87">
        <f t="shared" si="10"/>
        <v>5</v>
      </c>
      <c r="Q19" s="87">
        <f t="shared" si="11"/>
        <v>0</v>
      </c>
      <c r="S19" s="63" t="s">
        <v>63</v>
      </c>
      <c r="T19" s="63" t="s">
        <v>64</v>
      </c>
    </row>
    <row r="20" spans="1:23" ht="28.8" x14ac:dyDescent="0.3">
      <c r="A20" s="4"/>
      <c r="B20" s="55" t="str">
        <f>+MOPs!B19</f>
        <v>Node model-merge behaviour</v>
      </c>
      <c r="C20" s="105">
        <f>+AVERAGEIFS('Therotical model testing'!E$2:E$37,'Therotical model testing'!$D$2:$D$37,EMMa!$B20)</f>
        <v>2.8333333333333335</v>
      </c>
      <c r="D20" s="106">
        <f>+AVERAGEIFS('Therotical model testing'!F$2:F$37,'Therotical model testing'!$D$2:$D$37,EMMa!$B20)</f>
        <v>2.8333333333333335</v>
      </c>
      <c r="E20" s="106">
        <f>+AVERAGEIFS('Therotical model testing'!G$2:G$37,'Therotical model testing'!$D$2:$D$37,EMMa!$B20)</f>
        <v>4</v>
      </c>
      <c r="F20" s="84" t="s">
        <v>62</v>
      </c>
      <c r="G20" s="84">
        <v>1</v>
      </c>
      <c r="H20" s="94">
        <f>Standardization!H21</f>
        <v>0.70833333333333337</v>
      </c>
      <c r="I20" s="94">
        <f>Standardization!I21</f>
        <v>0.70833333333333337</v>
      </c>
      <c r="J20" s="94">
        <f>Standardization!J21</f>
        <v>1</v>
      </c>
      <c r="K20" s="85">
        <f>+SUMIFS(Weights1!R$4:R$69,Weights1!$C$4:$C$69,EMMa!$B$2,Weights1!$D$4:$D$69,EMMa!$S20)+SUMIFS(Weights1!R$4:R$69,Weights1!$C$4:$C$69,EMMa!$B$2,Weights1!$D$4:$D$69,EMMa!$T20)</f>
        <v>7</v>
      </c>
      <c r="L20" s="85">
        <f>+SUMIFS(Weights1!S$4:S$69,Weights1!$C$4:$C$69,EMMa!$B$2,Weights1!$D$4:$D$69,EMMa!$S20)+SUMIFS(Weights1!S$4:S$69,Weights1!$C$4:$C$69,EMMa!$B$2,Weights1!$D$4:$D$69,EMMa!$T20)</f>
        <v>7.5</v>
      </c>
      <c r="M20" s="85">
        <f>+SUMIFS(Weights1!T$4:T$69,Weights1!$C$4:$C$69,EMMa!$B$2,Weights1!$D$4:$D$69,EMMa!$S20)+SUMIFS(Weights1!T$4:T$69,Weights1!$C$4:$C$69,EMMa!$B$2,Weights1!$D$4:$D$69,EMMa!$T20)</f>
        <v>9.6666666666666661</v>
      </c>
      <c r="N20" s="85">
        <f>+SUMIFS(Weights1!U$4:U$69,Weights1!$C$4:$C$69,EMMa!$B$2,Weights1!$D$4:$D$69,EMMa!$S20)+SUMIFS(Weights1!U$4:U$69,Weights1!$C$4:$C$69,EMMa!$B$2,Weights1!$D$4:$D$69,EMMa!$T20)</f>
        <v>8</v>
      </c>
      <c r="O20" s="87">
        <f t="shared" si="9"/>
        <v>4.9583333333333339</v>
      </c>
      <c r="P20" s="87">
        <f t="shared" si="10"/>
        <v>4.9583333333333339</v>
      </c>
      <c r="Q20" s="87">
        <f t="shared" si="11"/>
        <v>7</v>
      </c>
      <c r="S20" s="63" t="s">
        <v>63</v>
      </c>
      <c r="T20" s="63" t="s">
        <v>78</v>
      </c>
    </row>
    <row r="21" spans="1:23" ht="28.8" x14ac:dyDescent="0.3">
      <c r="A21" s="4"/>
      <c r="B21" s="55" t="str">
        <f>+MOPs!B20</f>
        <v>Node model-diverge behaviour</v>
      </c>
      <c r="C21" s="105">
        <f>+AVERAGEIFS('Therotical model testing'!E$2:E$37,'Therotical model testing'!$D$2:$D$37,EMMa!$B21)</f>
        <v>2.5</v>
      </c>
      <c r="D21" s="106">
        <f>+AVERAGEIFS('Therotical model testing'!F$2:F$37,'Therotical model testing'!$D$2:$D$37,EMMa!$B21)</f>
        <v>4</v>
      </c>
      <c r="E21" s="106">
        <f>+AVERAGEIFS('Therotical model testing'!G$2:G$37,'Therotical model testing'!$D$2:$D$37,EMMa!$B21)</f>
        <v>4</v>
      </c>
      <c r="F21" s="84" t="s">
        <v>62</v>
      </c>
      <c r="G21" s="84">
        <v>1</v>
      </c>
      <c r="H21" s="94">
        <f>Standardization!H22</f>
        <v>0.625</v>
      </c>
      <c r="I21" s="94">
        <f>Standardization!I22</f>
        <v>1</v>
      </c>
      <c r="J21" s="94">
        <f>Standardization!J22</f>
        <v>1</v>
      </c>
      <c r="K21" s="85">
        <f>+SUMIFS(Weights1!R$4:R$69,Weights1!$C$4:$C$69,EMMa!$B$2,Weights1!$D$4:$D$69,EMMa!$S21)+SUMIFS(Weights1!R$4:R$69,Weights1!$C$4:$C$69,EMMa!$B$2,Weights1!$D$4:$D$69,EMMa!$T21)</f>
        <v>7</v>
      </c>
      <c r="L21" s="85">
        <f>+SUMIFS(Weights1!S$4:S$69,Weights1!$C$4:$C$69,EMMa!$B$2,Weights1!$D$4:$D$69,EMMa!$S21)+SUMIFS(Weights1!S$4:S$69,Weights1!$C$4:$C$69,EMMa!$B$2,Weights1!$D$4:$D$69,EMMa!$T21)</f>
        <v>7.5</v>
      </c>
      <c r="M21" s="85">
        <f>+SUMIFS(Weights1!T$4:T$69,Weights1!$C$4:$C$69,EMMa!$B$2,Weights1!$D$4:$D$69,EMMa!$S21)+SUMIFS(Weights1!T$4:T$69,Weights1!$C$4:$C$69,EMMa!$B$2,Weights1!$D$4:$D$69,EMMa!$T21)</f>
        <v>9.6666666666666661</v>
      </c>
      <c r="N21" s="85">
        <f>+SUMIFS(Weights1!U$4:U$69,Weights1!$C$4:$C$69,EMMa!$B$2,Weights1!$D$4:$D$69,EMMa!$S21)+SUMIFS(Weights1!U$4:U$69,Weights1!$C$4:$C$69,EMMa!$B$2,Weights1!$D$4:$D$69,EMMa!$T21)</f>
        <v>8</v>
      </c>
      <c r="O21" s="87">
        <f t="shared" si="9"/>
        <v>4.375</v>
      </c>
      <c r="P21" s="87">
        <f t="shared" si="10"/>
        <v>7</v>
      </c>
      <c r="Q21" s="87">
        <f t="shared" si="11"/>
        <v>7</v>
      </c>
      <c r="S21" s="63" t="s">
        <v>63</v>
      </c>
      <c r="T21" s="63" t="s">
        <v>78</v>
      </c>
    </row>
    <row r="22" spans="1:23" ht="28.8" x14ac:dyDescent="0.3">
      <c r="A22" s="4"/>
      <c r="B22" s="55" t="str">
        <f>+MOPs!B21</f>
        <v>Signalized Intersection</v>
      </c>
      <c r="C22" s="105">
        <f>+AVERAGEIFS('Therotical model testing'!E$2:E$37,'Therotical model testing'!$D$2:$D$37,EMMa!$B22)</f>
        <v>1.8333333333333333</v>
      </c>
      <c r="D22" s="106">
        <f>+AVERAGEIFS('Therotical model testing'!F$2:F$37,'Therotical model testing'!$D$2:$D$37,EMMa!$B22)</f>
        <v>2.6666666666666665</v>
      </c>
      <c r="E22" s="106">
        <f>+AVERAGEIFS('Therotical model testing'!G$2:G$37,'Therotical model testing'!$D$2:$D$37,EMMa!$B22)</f>
        <v>2.1666666666666665</v>
      </c>
      <c r="F22" s="84" t="s">
        <v>62</v>
      </c>
      <c r="G22" s="84">
        <v>1</v>
      </c>
      <c r="H22" s="94">
        <f>Standardization!H23</f>
        <v>0.6875</v>
      </c>
      <c r="I22" s="94">
        <f>Standardization!I23</f>
        <v>1</v>
      </c>
      <c r="J22" s="94">
        <f>Standardization!J23</f>
        <v>0.8125</v>
      </c>
      <c r="K22" s="85">
        <f>+SUMIFS(Weights1!R$4:R$69,Weights1!$C$4:$C$69,EMMa!$B$2,Weights1!$D$4:$D$69,EMMa!$S22)+SUMIFS(Weights1!R$4:R$69,Weights1!$C$4:$C$69,EMMa!$B$2,Weights1!$D$4:$D$69,EMMa!$T22)</f>
        <v>7</v>
      </c>
      <c r="L22" s="85">
        <f>+SUMIFS(Weights1!S$4:S$69,Weights1!$C$4:$C$69,EMMa!$B$2,Weights1!$D$4:$D$69,EMMa!$S22)+SUMIFS(Weights1!S$4:S$69,Weights1!$C$4:$C$69,EMMa!$B$2,Weights1!$D$4:$D$69,EMMa!$T22)</f>
        <v>7.5</v>
      </c>
      <c r="M22" s="85">
        <f>+SUMIFS(Weights1!T$4:T$69,Weights1!$C$4:$C$69,EMMa!$B$2,Weights1!$D$4:$D$69,EMMa!$S22)+SUMIFS(Weights1!T$4:T$69,Weights1!$C$4:$C$69,EMMa!$B$2,Weights1!$D$4:$D$69,EMMa!$T22)</f>
        <v>7</v>
      </c>
      <c r="N22" s="85">
        <f>+SUMIFS(Weights1!U$4:U$69,Weights1!$C$4:$C$69,EMMa!$B$2,Weights1!$D$4:$D$69,EMMa!$S22)+SUMIFS(Weights1!U$4:U$69,Weights1!$C$4:$C$69,EMMa!$B$2,Weights1!$D$4:$D$69,EMMa!$T22)</f>
        <v>6.25</v>
      </c>
      <c r="O22" s="87">
        <f t="shared" si="9"/>
        <v>4.8125</v>
      </c>
      <c r="P22" s="87">
        <f t="shared" si="10"/>
        <v>7</v>
      </c>
      <c r="Q22" s="87">
        <f t="shared" si="11"/>
        <v>5.6875</v>
      </c>
      <c r="S22" s="63" t="s">
        <v>63</v>
      </c>
      <c r="T22" s="63" t="s">
        <v>79</v>
      </c>
    </row>
    <row r="23" spans="1:23" ht="28.8" x14ac:dyDescent="0.3">
      <c r="A23" s="4"/>
      <c r="B23" s="55" t="str">
        <f>+MOPs!B22</f>
        <v>Route choice (general)</v>
      </c>
      <c r="C23" s="105">
        <f>+AVERAGEIFS('Therotical model testing'!E$2:E$37,'Therotical model testing'!$D$2:$D$37,EMMa!$B23)</f>
        <v>4</v>
      </c>
      <c r="D23" s="106">
        <f>+AVERAGEIFS('Therotical model testing'!F$2:F$37,'Therotical model testing'!$D$2:$D$37,EMMa!$B23)</f>
        <v>3</v>
      </c>
      <c r="E23" s="106">
        <f>+AVERAGEIFS('Therotical model testing'!G$2:G$37,'Therotical model testing'!$D$2:$D$37,EMMa!$B23)</f>
        <v>3</v>
      </c>
      <c r="F23" s="84" t="s">
        <v>62</v>
      </c>
      <c r="G23" s="84">
        <v>1</v>
      </c>
      <c r="H23" s="94">
        <f>Standardization!H24</f>
        <v>1</v>
      </c>
      <c r="I23" s="94">
        <f>Standardization!I24</f>
        <v>0.75</v>
      </c>
      <c r="J23" s="94">
        <f>Standardization!J24</f>
        <v>0.75</v>
      </c>
      <c r="K23" s="85">
        <f>+SUMIFS(Weights1!R$4:R$69,Weights1!$C$4:$C$69,EMMa!$B$2,Weights1!$D$4:$D$69,EMMa!$S23)+SUMIFS(Weights1!R$4:R$69,Weights1!$C$4:$C$69,EMMa!$B$2,Weights1!$D$4:$D$69,EMMa!$T23)</f>
        <v>10</v>
      </c>
      <c r="L23" s="85">
        <f>+SUMIFS(Weights1!S$4:S$69,Weights1!$C$4:$C$69,EMMa!$B$2,Weights1!$D$4:$D$69,EMMa!$S23)+SUMIFS(Weights1!S$4:S$69,Weights1!$C$4:$C$69,EMMa!$B$2,Weights1!$D$4:$D$69,EMMa!$T23)</f>
        <v>9.7222222222222214</v>
      </c>
      <c r="M23" s="85">
        <f>+SUMIFS(Weights1!T$4:T$69,Weights1!$C$4:$C$69,EMMa!$B$2,Weights1!$D$4:$D$69,EMMa!$S23)+SUMIFS(Weights1!T$4:T$69,Weights1!$C$4:$C$69,EMMa!$B$2,Weights1!$D$4:$D$69,EMMa!$T23)</f>
        <v>9.3333333333333339</v>
      </c>
      <c r="N23" s="85">
        <f>+SUMIFS(Weights1!U$4:U$69,Weights1!$C$4:$C$69,EMMa!$B$2,Weights1!$D$4:$D$69,EMMa!$S23)+SUMIFS(Weights1!U$4:U$69,Weights1!$C$4:$C$69,EMMa!$B$2,Weights1!$D$4:$D$69,EMMa!$T23)</f>
        <v>8.5</v>
      </c>
      <c r="O23" s="87">
        <f t="shared" si="9"/>
        <v>10</v>
      </c>
      <c r="P23" s="87">
        <f t="shared" si="10"/>
        <v>7.5</v>
      </c>
      <c r="Q23" s="87">
        <f t="shared" si="11"/>
        <v>7.5</v>
      </c>
      <c r="S23" s="63" t="s">
        <v>71</v>
      </c>
      <c r="T23" s="63" t="s">
        <v>80</v>
      </c>
    </row>
    <row r="24" spans="1:23" ht="28.8" x14ac:dyDescent="0.3">
      <c r="A24" s="4"/>
      <c r="B24" s="55" t="str">
        <f>+MOPs!B23</f>
        <v>Route choice (route overlap)</v>
      </c>
      <c r="C24" s="105">
        <f>+AVERAGEIFS('Therotical model testing'!E$2:E$37,'Therotical model testing'!$D$2:$D$37,EMMa!$B24)</f>
        <v>4</v>
      </c>
      <c r="D24" s="106">
        <f>+AVERAGEIFS('Therotical model testing'!F$2:F$37,'Therotical model testing'!$D$2:$D$37,EMMa!$B24)</f>
        <v>4</v>
      </c>
      <c r="E24" s="106">
        <f>+AVERAGEIFS('Therotical model testing'!G$2:G$37,'Therotical model testing'!$D$2:$D$37,EMMa!$B24)</f>
        <v>4</v>
      </c>
      <c r="F24" s="84" t="s">
        <v>62</v>
      </c>
      <c r="G24" s="84">
        <v>1</v>
      </c>
      <c r="H24" s="94">
        <f>Standardization!H25</f>
        <v>1</v>
      </c>
      <c r="I24" s="94">
        <f>Standardization!I25</f>
        <v>1</v>
      </c>
      <c r="J24" s="94">
        <f>Standardization!J25</f>
        <v>1</v>
      </c>
      <c r="K24" s="85">
        <f>+SUMIFS(Weights1!R$4:R$69,Weights1!$C$4:$C$69,EMMa!$B$2,Weights1!$D$4:$D$69,EMMa!$S24)+SUMIFS(Weights1!R$4:R$69,Weights1!$C$4:$C$69,EMMa!$B$2,Weights1!$D$4:$D$69,EMMa!$T24)</f>
        <v>10</v>
      </c>
      <c r="L24" s="85">
        <f>+SUMIFS(Weights1!S$4:S$69,Weights1!$C$4:$C$69,EMMa!$B$2,Weights1!$D$4:$D$69,EMMa!$S24)+SUMIFS(Weights1!S$4:S$69,Weights1!$C$4:$C$69,EMMa!$B$2,Weights1!$D$4:$D$69,EMMa!$T24)</f>
        <v>9.7222222222222214</v>
      </c>
      <c r="M24" s="85">
        <f>+SUMIFS(Weights1!T$4:T$69,Weights1!$C$4:$C$69,EMMa!$B$2,Weights1!$D$4:$D$69,EMMa!$S24)+SUMIFS(Weights1!T$4:T$69,Weights1!$C$4:$C$69,EMMa!$B$2,Weights1!$D$4:$D$69,EMMa!$T24)</f>
        <v>8.3333333333333339</v>
      </c>
      <c r="N24" s="85">
        <f>+SUMIFS(Weights1!U$4:U$69,Weights1!$C$4:$C$69,EMMa!$B$2,Weights1!$D$4:$D$69,EMMa!$S24)+SUMIFS(Weights1!U$4:U$69,Weights1!$C$4:$C$69,EMMa!$B$2,Weights1!$D$4:$D$69,EMMa!$T24)</f>
        <v>7.25</v>
      </c>
      <c r="O24" s="87">
        <f t="shared" si="9"/>
        <v>10</v>
      </c>
      <c r="P24" s="87">
        <f t="shared" si="10"/>
        <v>10</v>
      </c>
      <c r="Q24" s="87">
        <f t="shared" si="11"/>
        <v>10</v>
      </c>
      <c r="S24" s="63" t="s">
        <v>71</v>
      </c>
      <c r="T24" s="63" t="s">
        <v>81</v>
      </c>
    </row>
    <row r="25" spans="1:23" ht="30.6" customHeight="1" x14ac:dyDescent="0.3">
      <c r="A25" s="4"/>
      <c r="B25" s="97" t="str">
        <f>+MOPs!B24</f>
        <v>Integration of Network Hierarchies - Urban and Motorway roads</v>
      </c>
      <c r="C25" s="98"/>
      <c r="D25" s="99"/>
      <c r="E25" s="99"/>
      <c r="F25" s="100"/>
      <c r="G25" s="100"/>
      <c r="H25" s="100"/>
      <c r="I25" s="100"/>
      <c r="J25" s="100"/>
      <c r="K25" s="98"/>
      <c r="L25" s="98"/>
      <c r="M25" s="98"/>
      <c r="N25" s="98"/>
      <c r="O25" s="98"/>
      <c r="P25" s="98"/>
      <c r="Q25" s="101"/>
    </row>
    <row r="26" spans="1:23" ht="28.8" x14ac:dyDescent="0.3">
      <c r="A26" s="4"/>
      <c r="B26" s="55" t="str">
        <f>+MOPs!B25</f>
        <v>Fluctuation of traffic states over a series of urban and non-urban links</v>
      </c>
      <c r="C26" s="105">
        <f>+'Therotical model testing'!E13</f>
        <v>0</v>
      </c>
      <c r="D26" s="106">
        <f>+'Therotical model testing'!F13</f>
        <v>4</v>
      </c>
      <c r="E26" s="106">
        <f>+'Therotical model testing'!G13</f>
        <v>0</v>
      </c>
      <c r="F26" s="84" t="s">
        <v>62</v>
      </c>
      <c r="G26" s="84">
        <v>1</v>
      </c>
      <c r="H26" s="94">
        <f>Standardization!H27</f>
        <v>0</v>
      </c>
      <c r="I26" s="94">
        <f>Standardization!I27</f>
        <v>1</v>
      </c>
      <c r="J26" s="94">
        <f>Standardization!J27</f>
        <v>0</v>
      </c>
      <c r="K26" s="85">
        <f>+SUMIFS(Weights1!R$4:R$69,Weights1!$C$4:$C$69,EMMa!$B$2,Weights1!$D$4:$D$69,EMMa!$S26)+SUMIFS(Weights1!R$4:R$69,Weights1!$C$4:$C$69,EMMa!$B$2,Weights1!$D$4:$D$69,EMMa!$T26)</f>
        <v>7</v>
      </c>
      <c r="L26" s="85">
        <f>+SUMIFS(Weights1!S$4:S$69,Weights1!$C$4:$C$69,EMMa!$B$2,Weights1!$D$4:$D$69,EMMa!$S26)+SUMIFS(Weights1!S$4:S$69,Weights1!$C$4:$C$69,EMMa!$B$2,Weights1!$D$4:$D$69,EMMa!$T26)</f>
        <v>7.5</v>
      </c>
      <c r="M26" s="85">
        <f>+SUMIFS(Weights1!T$4:T$69,Weights1!$C$4:$C$69,EMMa!$B$2,Weights1!$D$4:$D$69,EMMa!$S26)+SUMIFS(Weights1!T$4:T$69,Weights1!$C$4:$C$69,EMMa!$B$2,Weights1!$D$4:$D$69,EMMa!$T26)</f>
        <v>5</v>
      </c>
      <c r="N26" s="85">
        <f>+SUMIFS(Weights1!U$4:U$69,Weights1!$C$4:$C$69,EMMa!$B$2,Weights1!$D$4:$D$69,EMMa!$S26)+SUMIFS(Weights1!U$4:U$69,Weights1!$C$4:$C$69,EMMa!$B$2,Weights1!$D$4:$D$69,EMMa!$T26)</f>
        <v>6.75</v>
      </c>
      <c r="O26" s="87">
        <f t="shared" ref="O26" si="12">+IF($A$2=$K$2,$K26*H26,IF($A$2=$L$2,$L26*H26,IF($A$2=$M$2,$M26*H26,IF($A$2=$N$2,$N26*H26))))</f>
        <v>0</v>
      </c>
      <c r="P26" s="87">
        <f t="shared" ref="P26" si="13">+IF($A$2=$K$2,$K26*I26,IF($A$2=$L$2,$L26*I26,IF($A$2=$M$2,$M26*I26,IF($A$2=$N$2,$N26*I26))))</f>
        <v>7</v>
      </c>
      <c r="Q26" s="87">
        <f t="shared" ref="Q26" si="14">+IF($A$2=$K$2,$K26*J26,IF($A$2=$L$2,$L26*J26,IF($A$2=$M$2,$M26*J26,IF($A$2=$N$2,$N26*J26))))</f>
        <v>0</v>
      </c>
      <c r="S26" s="63" t="s">
        <v>63</v>
      </c>
      <c r="T26" s="63" t="s">
        <v>82</v>
      </c>
    </row>
    <row r="27" spans="1:23" ht="30.6" customHeight="1" x14ac:dyDescent="0.3">
      <c r="A27" s="4"/>
      <c r="B27" s="97" t="str">
        <f>+MOPs!B26</f>
        <v>Computational efficiency</v>
      </c>
      <c r="C27" s="98"/>
      <c r="D27" s="99"/>
      <c r="E27" s="99"/>
      <c r="F27" s="100"/>
      <c r="G27" s="100"/>
      <c r="H27" s="100"/>
      <c r="I27" s="100"/>
      <c r="J27" s="100"/>
      <c r="K27" s="98"/>
      <c r="L27" s="98"/>
      <c r="M27" s="98"/>
      <c r="N27" s="98"/>
      <c r="O27" s="98"/>
      <c r="P27" s="98"/>
      <c r="Q27" s="101"/>
    </row>
    <row r="28" spans="1:23" ht="28.8" x14ac:dyDescent="0.3">
      <c r="A28" s="4"/>
      <c r="B28" s="55" t="str">
        <f>+MOPs!B27</f>
        <v>Run Time in Sec</v>
      </c>
      <c r="C28" s="105">
        <v>7421.4</v>
      </c>
      <c r="D28" s="106">
        <v>668989.08823500003</v>
      </c>
      <c r="E28" s="106">
        <v>9488.2753489999996</v>
      </c>
      <c r="F28" s="84" t="s">
        <v>68</v>
      </c>
      <c r="G28" s="84">
        <v>0</v>
      </c>
      <c r="H28" s="94">
        <f>Standardization!H29</f>
        <v>0.98890654551693813</v>
      </c>
      <c r="I28" s="94">
        <f>Standardization!I29</f>
        <v>0</v>
      </c>
      <c r="J28" s="94">
        <f>Standardization!J29</f>
        <v>0.98581699535035316</v>
      </c>
      <c r="K28" s="85">
        <f>+SUMIFS(Weights1!R$4:R$69,Weights1!$C$4:$C$69,EMMa!$B$2,Weights1!$D$4:$D$69,EMMa!$S28)+SUMIFS(Weights1!R$4:R$69,Weights1!$C$4:$C$69,EMMa!$B$2,Weights1!$D$4:$D$69,EMMa!$T28)</f>
        <v>4</v>
      </c>
      <c r="L28" s="85">
        <f>+SUMIFS(Weights1!S$4:S$69,Weights1!$C$4:$C$69,EMMa!$B$2,Weights1!$D$4:$D$69,EMMa!$S28)+SUMIFS(Weights1!S$4:S$69,Weights1!$C$4:$C$69,EMMa!$B$2,Weights1!$D$4:$D$69,EMMa!$T28)</f>
        <v>6.1111111111111107</v>
      </c>
      <c r="M28" s="85">
        <f>+SUMIFS(Weights1!T$4:T$69,Weights1!$C$4:$C$69,EMMa!$B$2,Weights1!$D$4:$D$69,EMMa!$S28)+SUMIFS(Weights1!T$4:T$69,Weights1!$C$4:$C$69,EMMa!$B$2,Weights1!$D$4:$D$69,EMMa!$T28)</f>
        <v>7.666666666666667</v>
      </c>
      <c r="N28" s="85">
        <f>+SUMIFS(Weights1!U$4:U$69,Weights1!$C$4:$C$69,EMMa!$B$2,Weights1!$D$4:$D$69,EMMa!$S28)+SUMIFS(Weights1!U$4:U$69,Weights1!$C$4:$C$69,EMMa!$B$2,Weights1!$D$4:$D$69,EMMa!$T28)</f>
        <v>7.25</v>
      </c>
      <c r="O28" s="87">
        <f t="shared" ref="O28:O29" si="15">+IF($A$2=$K$2,$K28*H28,IF($A$2=$L$2,$L28*H28,IF($A$2=$M$2,$M28*H28,IF($A$2=$N$2,$N28*H28))))</f>
        <v>3.9556261820677525</v>
      </c>
      <c r="P28" s="87">
        <f t="shared" ref="P28:P29" si="16">+IF($A$2=$K$2,$K28*I28,IF($A$2=$L$2,$L28*I28,IF($A$2=$M$2,$M28*I28,IF($A$2=$N$2,$N28*I28))))</f>
        <v>0</v>
      </c>
      <c r="Q28" s="87">
        <f t="shared" ref="Q28:Q29" si="17">+IF($A$2=$K$2,$K28*J28,IF($A$2=$L$2,$L28*J28,IF($A$2=$M$2,$M28*J28,IF($A$2=$N$2,$N28*J28))))</f>
        <v>3.9432679814014127</v>
      </c>
      <c r="S28" s="63" t="s">
        <v>83</v>
      </c>
      <c r="T28" s="63" t="s">
        <v>84</v>
      </c>
    </row>
    <row r="29" spans="1:23" ht="28.8" x14ac:dyDescent="0.3">
      <c r="A29" s="4"/>
      <c r="B29" s="55" t="str">
        <f>+MOPs!B28</f>
        <v>Peak memory Usage in MB's</v>
      </c>
      <c r="C29" s="105">
        <v>712.78</v>
      </c>
      <c r="D29" s="106">
        <v>1768</v>
      </c>
      <c r="E29" s="106">
        <v>3992</v>
      </c>
      <c r="F29" s="84" t="s">
        <v>68</v>
      </c>
      <c r="G29" s="84">
        <v>0</v>
      </c>
      <c r="H29" s="94">
        <f>Standardization!H30</f>
        <v>0.82144789579158317</v>
      </c>
      <c r="I29" s="94">
        <f>Standardization!I30</f>
        <v>0.55711422845691383</v>
      </c>
      <c r="J29" s="94">
        <f>Standardization!J30</f>
        <v>0</v>
      </c>
      <c r="K29" s="85">
        <f>+SUMIFS(Weights1!R$4:R$69,Weights1!$C$4:$C$69,EMMa!$B$2,Weights1!$D$4:$D$69,EMMa!$S29)+SUMIFS(Weights1!R$4:R$69,Weights1!$C$4:$C$69,EMMa!$B$2,Weights1!$D$4:$D$69,EMMa!$T29)</f>
        <v>4</v>
      </c>
      <c r="L29" s="85">
        <f>+SUMIFS(Weights1!S$4:S$69,Weights1!$C$4:$C$69,EMMa!$B$2,Weights1!$D$4:$D$69,EMMa!$S29)+SUMIFS(Weights1!S$4:S$69,Weights1!$C$4:$C$69,EMMa!$B$2,Weights1!$D$4:$D$69,EMMa!$T29)</f>
        <v>6.1111111111111107</v>
      </c>
      <c r="M29" s="85">
        <f>+SUMIFS(Weights1!T$4:T$69,Weights1!$C$4:$C$69,EMMa!$B$2,Weights1!$D$4:$D$69,EMMa!$S29)+SUMIFS(Weights1!T$4:T$69,Weights1!$C$4:$C$69,EMMa!$B$2,Weights1!$D$4:$D$69,EMMa!$T29)</f>
        <v>7.666666666666667</v>
      </c>
      <c r="N29" s="85">
        <f>+SUMIFS(Weights1!U$4:U$69,Weights1!$C$4:$C$69,EMMa!$B$2,Weights1!$D$4:$D$69,EMMa!$S29)+SUMIFS(Weights1!U$4:U$69,Weights1!$C$4:$C$69,EMMa!$B$2,Weights1!$D$4:$D$69,EMMa!$T29)</f>
        <v>7.25</v>
      </c>
      <c r="O29" s="87">
        <f t="shared" si="15"/>
        <v>3.2857915831663327</v>
      </c>
      <c r="P29" s="87">
        <f t="shared" si="16"/>
        <v>2.2284569138276553</v>
      </c>
      <c r="Q29" s="87">
        <f t="shared" si="17"/>
        <v>0</v>
      </c>
      <c r="S29" s="63" t="s">
        <v>83</v>
      </c>
      <c r="T29" s="63" t="s">
        <v>84</v>
      </c>
    </row>
    <row r="30" spans="1:23" ht="30.6" customHeight="1" x14ac:dyDescent="0.3">
      <c r="A30" s="4"/>
      <c r="B30" s="97" t="str">
        <f>+MOPs!B29</f>
        <v>Usability</v>
      </c>
      <c r="C30" s="98"/>
      <c r="D30" s="99"/>
      <c r="E30" s="99"/>
      <c r="F30" s="100"/>
      <c r="G30" s="100"/>
      <c r="H30" s="100"/>
      <c r="I30" s="100"/>
      <c r="J30" s="100"/>
      <c r="K30" s="98"/>
      <c r="L30" s="98"/>
      <c r="M30" s="98"/>
      <c r="N30" s="98"/>
      <c r="O30" s="98"/>
      <c r="P30" s="98"/>
      <c r="Q30" s="101"/>
    </row>
    <row r="31" spans="1:23" ht="28.8" x14ac:dyDescent="0.3">
      <c r="A31" s="4"/>
      <c r="B31" s="55" t="str">
        <f>+MOPs!B30</f>
        <v>Familiarity</v>
      </c>
      <c r="C31" s="105">
        <v>3</v>
      </c>
      <c r="D31" s="106">
        <v>7</v>
      </c>
      <c r="E31" s="106">
        <v>6</v>
      </c>
      <c r="F31" s="84" t="s">
        <v>62</v>
      </c>
      <c r="G31" s="84">
        <v>1</v>
      </c>
      <c r="H31" s="94">
        <f>Standardization!H32</f>
        <v>0.42857142857142855</v>
      </c>
      <c r="I31" s="94">
        <f>Standardization!I32</f>
        <v>1</v>
      </c>
      <c r="J31" s="94">
        <f>Standardization!J32</f>
        <v>0.8571428571428571</v>
      </c>
      <c r="K31" s="85">
        <f>+SUMIFS(Weights1!R$4:R$69,Weights1!$C$4:$C$69,EMMa!$B$2,Weights1!$D$4:$D$69,EMMa!$S31)+SUMIFS(Weights1!R$4:R$69,Weights1!$C$4:$C$69,EMMa!$B$2,Weights1!$D$4:$D$69,EMMa!$T31)</f>
        <v>4</v>
      </c>
      <c r="L31" s="85">
        <f>+SUMIFS(Weights1!S$4:S$69,Weights1!$C$4:$C$69,EMMa!$B$2,Weights1!$D$4:$D$69,EMMa!$S31)+SUMIFS(Weights1!S$4:S$69,Weights1!$C$4:$C$69,EMMa!$B$2,Weights1!$D$4:$D$69,EMMa!$T31)</f>
        <v>6.5555555555555554</v>
      </c>
      <c r="M31" s="85">
        <f>+SUMIFS(Weights1!T$4:T$69,Weights1!$C$4:$C$69,EMMa!$B$2,Weights1!$D$4:$D$69,EMMa!$S31)+SUMIFS(Weights1!T$4:T$69,Weights1!$C$4:$C$69,EMMa!$B$2,Weights1!$D$4:$D$69,EMMa!$T31)</f>
        <v>5.333333333333333</v>
      </c>
      <c r="N31" s="85">
        <f>+SUMIFS(Weights1!U$4:U$69,Weights1!$C$4:$C$69,EMMa!$B$2,Weights1!$D$4:$D$69,EMMa!$S31)+SUMIFS(Weights1!U$4:U$69,Weights1!$C$4:$C$69,EMMa!$B$2,Weights1!$D$4:$D$69,EMMa!$T31)</f>
        <v>5.25</v>
      </c>
      <c r="O31" s="87">
        <f t="shared" ref="O31:O37" si="18">+IF($A$2=$K$2,$K31*H31,IF($A$2=$L$2,$L31*H31,IF($A$2=$M$2,$M31*H31,IF($A$2=$N$2,$N31*H31))))</f>
        <v>1.7142857142857142</v>
      </c>
      <c r="P31" s="87">
        <f t="shared" ref="P31:P37" si="19">+IF($A$2=$K$2,$K31*I31,IF($A$2=$L$2,$L31*I31,IF($A$2=$M$2,$M31*I31,IF($A$2=$N$2,$N31*I31))))</f>
        <v>4</v>
      </c>
      <c r="Q31" s="87">
        <f t="shared" ref="Q31:Q37" si="20">+IF($A$2=$K$2,$K31*J31,IF($A$2=$L$2,$L31*J31,IF($A$2=$M$2,$M31*J31,IF($A$2=$N$2,$N31*J31))))</f>
        <v>3.4285714285714284</v>
      </c>
      <c r="S31" s="63" t="s">
        <v>85</v>
      </c>
      <c r="T31" s="63" t="s">
        <v>86</v>
      </c>
      <c r="W31" s="65"/>
    </row>
    <row r="32" spans="1:23" ht="28.8" x14ac:dyDescent="0.3">
      <c r="A32" s="4"/>
      <c r="B32" s="55" t="str">
        <f>+MOPs!B31</f>
        <v>Simplicity</v>
      </c>
      <c r="C32" s="105">
        <v>8</v>
      </c>
      <c r="D32" s="106">
        <v>6</v>
      </c>
      <c r="E32" s="106">
        <v>5</v>
      </c>
      <c r="F32" s="84" t="s">
        <v>62</v>
      </c>
      <c r="G32" s="84">
        <v>1</v>
      </c>
      <c r="H32" s="94">
        <f>Standardization!H33</f>
        <v>1</v>
      </c>
      <c r="I32" s="94">
        <f>Standardization!I33</f>
        <v>0.75</v>
      </c>
      <c r="J32" s="94">
        <f>Standardization!J33</f>
        <v>0.625</v>
      </c>
      <c r="K32" s="85">
        <f>+SUMIFS(Weights1!R$4:R$69,Weights1!$C$4:$C$69,EMMa!$B$2,Weights1!$D$4:$D$69,EMMa!$S32)+SUMIFS(Weights1!R$4:R$69,Weights1!$C$4:$C$69,EMMa!$B$2,Weights1!$D$4:$D$69,EMMa!$T32)</f>
        <v>4</v>
      </c>
      <c r="L32" s="85">
        <f>+SUMIFS(Weights1!S$4:S$69,Weights1!$C$4:$C$69,EMMa!$B$2,Weights1!$D$4:$D$69,EMMa!$S32)+SUMIFS(Weights1!S$4:S$69,Weights1!$C$4:$C$69,EMMa!$B$2,Weights1!$D$4:$D$69,EMMa!$T32)</f>
        <v>6.5555555555555554</v>
      </c>
      <c r="M32" s="85">
        <f>+SUMIFS(Weights1!T$4:T$69,Weights1!$C$4:$C$69,EMMa!$B$2,Weights1!$D$4:$D$69,EMMa!$S32)+SUMIFS(Weights1!T$4:T$69,Weights1!$C$4:$C$69,EMMa!$B$2,Weights1!$D$4:$D$69,EMMa!$T32)</f>
        <v>5.333333333333333</v>
      </c>
      <c r="N32" s="85">
        <f>+SUMIFS(Weights1!U$4:U$69,Weights1!$C$4:$C$69,EMMa!$B$2,Weights1!$D$4:$D$69,EMMa!$S32)+SUMIFS(Weights1!U$4:U$69,Weights1!$C$4:$C$69,EMMa!$B$2,Weights1!$D$4:$D$69,EMMa!$T32)</f>
        <v>5.25</v>
      </c>
      <c r="O32" s="87">
        <f t="shared" si="18"/>
        <v>4</v>
      </c>
      <c r="P32" s="87">
        <f t="shared" si="19"/>
        <v>3</v>
      </c>
      <c r="Q32" s="87">
        <f t="shared" si="20"/>
        <v>2.5</v>
      </c>
      <c r="S32" s="63" t="s">
        <v>85</v>
      </c>
      <c r="T32" s="63" t="s">
        <v>86</v>
      </c>
      <c r="W32" s="65"/>
    </row>
    <row r="33" spans="1:25" ht="28.8" x14ac:dyDescent="0.3">
      <c r="A33" s="4"/>
      <c r="B33" s="55" t="str">
        <f>+MOPs!B32</f>
        <v>Navigability</v>
      </c>
      <c r="C33" s="105">
        <v>4</v>
      </c>
      <c r="D33" s="106">
        <v>7</v>
      </c>
      <c r="E33" s="106">
        <v>7</v>
      </c>
      <c r="F33" s="84" t="s">
        <v>62</v>
      </c>
      <c r="G33" s="84">
        <v>1</v>
      </c>
      <c r="H33" s="94">
        <f>Standardization!H34</f>
        <v>0.5714285714285714</v>
      </c>
      <c r="I33" s="94">
        <f>Standardization!I34</f>
        <v>1</v>
      </c>
      <c r="J33" s="94">
        <f>Standardization!J34</f>
        <v>1</v>
      </c>
      <c r="K33" s="85">
        <f>+SUMIFS(Weights1!R$4:R$69,Weights1!$C$4:$C$69,EMMa!$B$2,Weights1!$D$4:$D$69,EMMa!$S33)+SUMIFS(Weights1!R$4:R$69,Weights1!$C$4:$C$69,EMMa!$B$2,Weights1!$D$4:$D$69,EMMa!$T33)</f>
        <v>4</v>
      </c>
      <c r="L33" s="85">
        <f>+SUMIFS(Weights1!S$4:S$69,Weights1!$C$4:$C$69,EMMa!$B$2,Weights1!$D$4:$D$69,EMMa!$S33)+SUMIFS(Weights1!S$4:S$69,Weights1!$C$4:$C$69,EMMa!$B$2,Weights1!$D$4:$D$69,EMMa!$T33)</f>
        <v>6.5555555555555554</v>
      </c>
      <c r="M33" s="85">
        <f>+SUMIFS(Weights1!T$4:T$69,Weights1!$C$4:$C$69,EMMa!$B$2,Weights1!$D$4:$D$69,EMMa!$S33)+SUMIFS(Weights1!T$4:T$69,Weights1!$C$4:$C$69,EMMa!$B$2,Weights1!$D$4:$D$69,EMMa!$T33)</f>
        <v>5.333333333333333</v>
      </c>
      <c r="N33" s="85">
        <f>+SUMIFS(Weights1!U$4:U$69,Weights1!$C$4:$C$69,EMMa!$B$2,Weights1!$D$4:$D$69,EMMa!$S33)+SUMIFS(Weights1!U$4:U$69,Weights1!$C$4:$C$69,EMMa!$B$2,Weights1!$D$4:$D$69,EMMa!$T33)</f>
        <v>5.25</v>
      </c>
      <c r="O33" s="87">
        <f t="shared" si="18"/>
        <v>2.2857142857142856</v>
      </c>
      <c r="P33" s="87">
        <f t="shared" si="19"/>
        <v>4</v>
      </c>
      <c r="Q33" s="87">
        <f t="shared" si="20"/>
        <v>4</v>
      </c>
      <c r="S33" s="63" t="s">
        <v>85</v>
      </c>
      <c r="T33" s="63" t="s">
        <v>86</v>
      </c>
      <c r="W33" s="65"/>
    </row>
    <row r="34" spans="1:25" ht="28.8" x14ac:dyDescent="0.3">
      <c r="A34" s="4"/>
      <c r="B34" s="55" t="str">
        <f>+MOPs!B33</f>
        <v>Controllability</v>
      </c>
      <c r="C34" s="105">
        <v>8</v>
      </c>
      <c r="D34" s="106">
        <v>7</v>
      </c>
      <c r="E34" s="106">
        <v>6</v>
      </c>
      <c r="F34" s="84" t="s">
        <v>62</v>
      </c>
      <c r="G34" s="84">
        <v>1</v>
      </c>
      <c r="H34" s="94">
        <f>Standardization!H35</f>
        <v>1</v>
      </c>
      <c r="I34" s="94">
        <f>Standardization!I35</f>
        <v>0.875</v>
      </c>
      <c r="J34" s="94">
        <f>Standardization!J35</f>
        <v>0.75</v>
      </c>
      <c r="K34" s="85">
        <f>+SUMIFS(Weights1!R$4:R$69,Weights1!$C$4:$C$69,EMMa!$B$2,Weights1!$D$4:$D$69,EMMa!$S34)+SUMIFS(Weights1!R$4:R$69,Weights1!$C$4:$C$69,EMMa!$B$2,Weights1!$D$4:$D$69,EMMa!$T34)</f>
        <v>4</v>
      </c>
      <c r="L34" s="85">
        <f>+SUMIFS(Weights1!S$4:S$69,Weights1!$C$4:$C$69,EMMa!$B$2,Weights1!$D$4:$D$69,EMMa!$S34)+SUMIFS(Weights1!S$4:S$69,Weights1!$C$4:$C$69,EMMa!$B$2,Weights1!$D$4:$D$69,EMMa!$T34)</f>
        <v>6.5555555555555554</v>
      </c>
      <c r="M34" s="85">
        <f>+SUMIFS(Weights1!T$4:T$69,Weights1!$C$4:$C$69,EMMa!$B$2,Weights1!$D$4:$D$69,EMMa!$S34)+SUMIFS(Weights1!T$4:T$69,Weights1!$C$4:$C$69,EMMa!$B$2,Weights1!$D$4:$D$69,EMMa!$T34)</f>
        <v>5.333333333333333</v>
      </c>
      <c r="N34" s="85">
        <f>+SUMIFS(Weights1!U$4:U$69,Weights1!$C$4:$C$69,EMMa!$B$2,Weights1!$D$4:$D$69,EMMa!$S34)+SUMIFS(Weights1!U$4:U$69,Weights1!$C$4:$C$69,EMMa!$B$2,Weights1!$D$4:$D$69,EMMa!$T34)</f>
        <v>5.25</v>
      </c>
      <c r="O34" s="87">
        <f t="shared" si="18"/>
        <v>4</v>
      </c>
      <c r="P34" s="87">
        <f t="shared" si="19"/>
        <v>3.5</v>
      </c>
      <c r="Q34" s="87">
        <f t="shared" si="20"/>
        <v>3</v>
      </c>
      <c r="S34" s="63" t="s">
        <v>85</v>
      </c>
      <c r="T34" s="63" t="s">
        <v>86</v>
      </c>
      <c r="W34" s="65"/>
    </row>
    <row r="35" spans="1:25" ht="28.8" x14ac:dyDescent="0.3">
      <c r="A35" s="4"/>
      <c r="B35" s="55" t="str">
        <f>+MOPs!B34</f>
        <v>Readability</v>
      </c>
      <c r="C35" s="105">
        <v>5</v>
      </c>
      <c r="D35" s="106">
        <v>7</v>
      </c>
      <c r="E35" s="106">
        <v>7</v>
      </c>
      <c r="F35" s="84" t="s">
        <v>62</v>
      </c>
      <c r="G35" s="84">
        <v>1</v>
      </c>
      <c r="H35" s="94">
        <f>Standardization!H36</f>
        <v>0.7142857142857143</v>
      </c>
      <c r="I35" s="94">
        <f>Standardization!I36</f>
        <v>1</v>
      </c>
      <c r="J35" s="94">
        <f>Standardization!J36</f>
        <v>1</v>
      </c>
      <c r="K35" s="85">
        <f>+SUMIFS(Weights1!R$4:R$69,Weights1!$C$4:$C$69,EMMa!$B$2,Weights1!$D$4:$D$69,EMMa!$S35)+SUMIFS(Weights1!R$4:R$69,Weights1!$C$4:$C$69,EMMa!$B$2,Weights1!$D$4:$D$69,EMMa!$T35)</f>
        <v>4</v>
      </c>
      <c r="L35" s="85">
        <f>+SUMIFS(Weights1!S$4:S$69,Weights1!$C$4:$C$69,EMMa!$B$2,Weights1!$D$4:$D$69,EMMa!$S35)+SUMIFS(Weights1!S$4:S$69,Weights1!$C$4:$C$69,EMMa!$B$2,Weights1!$D$4:$D$69,EMMa!$T35)</f>
        <v>6.5555555555555554</v>
      </c>
      <c r="M35" s="85">
        <f>+SUMIFS(Weights1!T$4:T$69,Weights1!$C$4:$C$69,EMMa!$B$2,Weights1!$D$4:$D$69,EMMa!$S35)+SUMIFS(Weights1!T$4:T$69,Weights1!$C$4:$C$69,EMMa!$B$2,Weights1!$D$4:$D$69,EMMa!$T35)</f>
        <v>5.333333333333333</v>
      </c>
      <c r="N35" s="85">
        <f>+SUMIFS(Weights1!U$4:U$69,Weights1!$C$4:$C$69,EMMa!$B$2,Weights1!$D$4:$D$69,EMMa!$S35)+SUMIFS(Weights1!U$4:U$69,Weights1!$C$4:$C$69,EMMa!$B$2,Weights1!$D$4:$D$69,EMMa!$T35)</f>
        <v>5.25</v>
      </c>
      <c r="O35" s="87">
        <f t="shared" si="18"/>
        <v>2.8571428571428572</v>
      </c>
      <c r="P35" s="87">
        <f t="shared" si="19"/>
        <v>4</v>
      </c>
      <c r="Q35" s="87">
        <f t="shared" si="20"/>
        <v>4</v>
      </c>
      <c r="S35" s="63" t="s">
        <v>85</v>
      </c>
      <c r="T35" s="63" t="s">
        <v>86</v>
      </c>
      <c r="W35" s="65"/>
    </row>
    <row r="36" spans="1:25" ht="28.8" x14ac:dyDescent="0.3">
      <c r="A36" s="4"/>
      <c r="B36" s="55" t="str">
        <f>+MOPs!B35</f>
        <v>User guidance</v>
      </c>
      <c r="C36" s="105">
        <v>6</v>
      </c>
      <c r="D36" s="106">
        <v>9</v>
      </c>
      <c r="E36" s="106">
        <v>9</v>
      </c>
      <c r="F36" s="84" t="s">
        <v>62</v>
      </c>
      <c r="G36" s="84">
        <v>1</v>
      </c>
      <c r="H36" s="94">
        <f>Standardization!H37</f>
        <v>0.66666666666666663</v>
      </c>
      <c r="I36" s="94">
        <f>Standardization!I37</f>
        <v>1</v>
      </c>
      <c r="J36" s="94">
        <f>Standardization!J37</f>
        <v>1</v>
      </c>
      <c r="K36" s="85">
        <f>+SUMIFS(Weights1!R$4:R$69,Weights1!$C$4:$C$69,EMMa!$B$2,Weights1!$D$4:$D$69,EMMa!$S36)+SUMIFS(Weights1!R$4:R$69,Weights1!$C$4:$C$69,EMMa!$B$2,Weights1!$D$4:$D$69,EMMa!$T36)</f>
        <v>4</v>
      </c>
      <c r="L36" s="85">
        <f>+SUMIFS(Weights1!S$4:S$69,Weights1!$C$4:$C$69,EMMa!$B$2,Weights1!$D$4:$D$69,EMMa!$S36)+SUMIFS(Weights1!S$4:S$69,Weights1!$C$4:$C$69,EMMa!$B$2,Weights1!$D$4:$D$69,EMMa!$T36)</f>
        <v>6.5555555555555554</v>
      </c>
      <c r="M36" s="85">
        <f>+SUMIFS(Weights1!T$4:T$69,Weights1!$C$4:$C$69,EMMa!$B$2,Weights1!$D$4:$D$69,EMMa!$S36)+SUMIFS(Weights1!T$4:T$69,Weights1!$C$4:$C$69,EMMa!$B$2,Weights1!$D$4:$D$69,EMMa!$T36)</f>
        <v>5.333333333333333</v>
      </c>
      <c r="N36" s="85">
        <f>+SUMIFS(Weights1!U$4:U$69,Weights1!$C$4:$C$69,EMMa!$B$2,Weights1!$D$4:$D$69,EMMa!$S36)+SUMIFS(Weights1!U$4:U$69,Weights1!$C$4:$C$69,EMMa!$B$2,Weights1!$D$4:$D$69,EMMa!$T36)</f>
        <v>5.25</v>
      </c>
      <c r="O36" s="87">
        <f t="shared" si="18"/>
        <v>2.6666666666666665</v>
      </c>
      <c r="P36" s="87">
        <f t="shared" si="19"/>
        <v>4</v>
      </c>
      <c r="Q36" s="87">
        <f t="shared" si="20"/>
        <v>4</v>
      </c>
      <c r="S36" s="63" t="s">
        <v>85</v>
      </c>
      <c r="T36" s="63" t="s">
        <v>86</v>
      </c>
      <c r="W36" s="65"/>
    </row>
    <row r="37" spans="1:25" ht="28.8" x14ac:dyDescent="0.3">
      <c r="A37" s="26"/>
      <c r="B37" s="55" t="str">
        <f>+MOPs!B36</f>
        <v>Flexibility</v>
      </c>
      <c r="C37" s="105">
        <v>4</v>
      </c>
      <c r="D37" s="106">
        <v>6</v>
      </c>
      <c r="E37" s="106">
        <v>5</v>
      </c>
      <c r="F37" s="84" t="s">
        <v>62</v>
      </c>
      <c r="G37" s="84">
        <v>1</v>
      </c>
      <c r="H37" s="94">
        <f>Standardization!H38</f>
        <v>0.66666666666666663</v>
      </c>
      <c r="I37" s="94">
        <f>Standardization!I38</f>
        <v>1</v>
      </c>
      <c r="J37" s="94">
        <f>Standardization!J38</f>
        <v>0.83333333333333337</v>
      </c>
      <c r="K37" s="85">
        <f>+SUMIFS(Weights1!R$4:R$69,Weights1!$C$4:$C$69,EMMa!$B$2,Weights1!$D$4:$D$69,EMMa!$S37)+SUMIFS(Weights1!R$4:R$69,Weights1!$C$4:$C$69,EMMa!$B$2,Weights1!$D$4:$D$69,EMMa!$T37)</f>
        <v>4</v>
      </c>
      <c r="L37" s="85">
        <f>+SUMIFS(Weights1!S$4:S$69,Weights1!$C$4:$C$69,EMMa!$B$2,Weights1!$D$4:$D$69,EMMa!$S37)+SUMIFS(Weights1!S$4:S$69,Weights1!$C$4:$C$69,EMMa!$B$2,Weights1!$D$4:$D$69,EMMa!$T37)</f>
        <v>6.5555555555555554</v>
      </c>
      <c r="M37" s="85">
        <f>+SUMIFS(Weights1!T$4:T$69,Weights1!$C$4:$C$69,EMMa!$B$2,Weights1!$D$4:$D$69,EMMa!$S37)+SUMIFS(Weights1!T$4:T$69,Weights1!$C$4:$C$69,EMMa!$B$2,Weights1!$D$4:$D$69,EMMa!$T37)</f>
        <v>5.333333333333333</v>
      </c>
      <c r="N37" s="85">
        <f>+SUMIFS(Weights1!U$4:U$69,Weights1!$C$4:$C$69,EMMa!$B$2,Weights1!$D$4:$D$69,EMMa!$S37)+SUMIFS(Weights1!U$4:U$69,Weights1!$C$4:$C$69,EMMa!$B$2,Weights1!$D$4:$D$69,EMMa!$T37)</f>
        <v>5.25</v>
      </c>
      <c r="O37" s="87">
        <f t="shared" si="18"/>
        <v>2.6666666666666665</v>
      </c>
      <c r="P37" s="87">
        <f t="shared" si="19"/>
        <v>4</v>
      </c>
      <c r="Q37" s="87">
        <f t="shared" si="20"/>
        <v>3.3333333333333335</v>
      </c>
      <c r="S37" s="63" t="s">
        <v>85</v>
      </c>
      <c r="T37" s="63" t="s">
        <v>86</v>
      </c>
      <c r="W37" s="65"/>
    </row>
    <row r="38" spans="1:25" x14ac:dyDescent="0.3">
      <c r="W38" s="66"/>
    </row>
    <row r="39" spans="1:25" x14ac:dyDescent="0.3">
      <c r="N39" s="110" t="s">
        <v>87</v>
      </c>
      <c r="O39" s="104">
        <f>AVERAGE(O4:O10)+AVERAGE(O12)+AVERAGE(O14:O15)+AVERAGE(O17:O24)+AVERAGE(O26)+AVERAGE(O28:O29)+AVERAGE(O31:O37)</f>
        <v>34.717576913342569</v>
      </c>
      <c r="P39" s="104">
        <f>AVERAGE(P4:P10)+AVERAGE(P12)+AVERAGE(P14:P15)+AVERAGE(P17:P24)+AVERAGE(P26)+AVERAGE(P28:P29)+AVERAGE(P31:P37)</f>
        <v>31.290579866349532</v>
      </c>
      <c r="Q39" s="104">
        <f>AVERAGE(Q4:Q10)+AVERAGE(Q12)+AVERAGE(Q14:Q15)+AVERAGE(Q17:Q24)+AVERAGE(Q26)+AVERAGE(Q28:Q29)+AVERAGE(Q31:Q37)</f>
        <v>33.554419649232436</v>
      </c>
      <c r="W39" s="66"/>
    </row>
    <row r="40" spans="1:25" ht="50.4" customHeight="1" x14ac:dyDescent="0.3">
      <c r="E40" s="210" t="s">
        <v>88</v>
      </c>
      <c r="F40" s="219" t="str">
        <f>+C1</f>
        <v>MARPLE</v>
      </c>
      <c r="G40" s="219"/>
      <c r="H40" s="211" t="str">
        <f>+D1</f>
        <v>StreamLine-MaDAM</v>
      </c>
      <c r="I40" s="211"/>
      <c r="J40" s="211" t="str">
        <f>+E1</f>
        <v>StreamLine-eGLTM</v>
      </c>
      <c r="K40" s="211"/>
      <c r="W40" s="66"/>
      <c r="X40" s="67"/>
      <c r="Y40" s="15"/>
    </row>
    <row r="41" spans="1:25" ht="69" customHeight="1" x14ac:dyDescent="0.3">
      <c r="E41" s="210"/>
      <c r="F41" s="212">
        <f>+_xlfn.RANK.AVG(O39,$O$39:$Q$39,0)</f>
        <v>1</v>
      </c>
      <c r="G41" s="213"/>
      <c r="H41" s="212">
        <f>+_xlfn.RANK.AVG(P39,$O$39:$Q$39,0)</f>
        <v>3</v>
      </c>
      <c r="I41" s="213"/>
      <c r="J41" s="212">
        <f>+_xlfn.RANK.AVG(Q39,$O$39:$Q$39,0)</f>
        <v>2</v>
      </c>
      <c r="K41" s="213"/>
      <c r="W41" s="66"/>
    </row>
    <row r="42" spans="1:25" ht="25.8" x14ac:dyDescent="0.3">
      <c r="E42" s="109"/>
      <c r="W42" s="66"/>
    </row>
    <row r="43" spans="1:25" x14ac:dyDescent="0.3">
      <c r="W43" s="66"/>
    </row>
    <row r="44" spans="1:25" x14ac:dyDescent="0.3">
      <c r="W44" s="66"/>
    </row>
    <row r="45" spans="1:25" x14ac:dyDescent="0.3">
      <c r="W45" s="66"/>
    </row>
    <row r="46" spans="1:25" x14ac:dyDescent="0.3">
      <c r="W46" s="66"/>
    </row>
    <row r="47" spans="1:25" x14ac:dyDescent="0.3">
      <c r="W47" s="66"/>
    </row>
    <row r="48" spans="1:25" x14ac:dyDescent="0.3">
      <c r="W48" s="66"/>
    </row>
    <row r="49" spans="23:23" x14ac:dyDescent="0.3">
      <c r="W49" s="66"/>
    </row>
    <row r="50" spans="23:23" x14ac:dyDescent="0.3">
      <c r="W50" s="66"/>
    </row>
    <row r="51" spans="23:23" x14ac:dyDescent="0.3">
      <c r="W51" s="66"/>
    </row>
    <row r="52" spans="23:23" x14ac:dyDescent="0.3">
      <c r="W52" s="66"/>
    </row>
    <row r="53" spans="23:23" x14ac:dyDescent="0.3">
      <c r="W53" s="66"/>
    </row>
    <row r="54" spans="23:23" x14ac:dyDescent="0.3">
      <c r="W54" s="66"/>
    </row>
    <row r="55" spans="23:23" x14ac:dyDescent="0.3">
      <c r="W55" s="66"/>
    </row>
    <row r="56" spans="23:23" x14ac:dyDescent="0.3">
      <c r="W56" s="66"/>
    </row>
    <row r="57" spans="23:23" x14ac:dyDescent="0.3">
      <c r="W57" s="66"/>
    </row>
    <row r="58" spans="23:23" x14ac:dyDescent="0.3">
      <c r="W58" s="66"/>
    </row>
    <row r="59" spans="23:23" x14ac:dyDescent="0.3">
      <c r="W59" s="66"/>
    </row>
    <row r="60" spans="23:23" x14ac:dyDescent="0.3">
      <c r="W60" s="66"/>
    </row>
    <row r="61" spans="23:23" x14ac:dyDescent="0.3">
      <c r="W61" s="66"/>
    </row>
    <row r="62" spans="23:23" x14ac:dyDescent="0.3">
      <c r="W62" s="66"/>
    </row>
  </sheetData>
  <mergeCells count="10">
    <mergeCell ref="O1:Q1"/>
    <mergeCell ref="J40:K40"/>
    <mergeCell ref="J41:K41"/>
    <mergeCell ref="F40:G40"/>
    <mergeCell ref="F41:G41"/>
    <mergeCell ref="E40:E41"/>
    <mergeCell ref="H40:I40"/>
    <mergeCell ref="H41:I41"/>
    <mergeCell ref="F1:J1"/>
    <mergeCell ref="K1:N1"/>
  </mergeCells>
  <conditionalFormatting sqref="B3:B10 B14:B15 B12 B17:B24 B26 B28:B29 B31:B37">
    <cfRule type="cellIs" dxfId="31" priority="12" operator="equal">
      <formula>0</formula>
    </cfRule>
  </conditionalFormatting>
  <conditionalFormatting sqref="B27">
    <cfRule type="cellIs" dxfId="30" priority="5" operator="equal">
      <formula>0</formula>
    </cfRule>
  </conditionalFormatting>
  <conditionalFormatting sqref="B11">
    <cfRule type="cellIs" dxfId="29" priority="9" operator="equal">
      <formula>0</formula>
    </cfRule>
  </conditionalFormatting>
  <conditionalFormatting sqref="B13">
    <cfRule type="cellIs" dxfId="28" priority="8" operator="equal">
      <formula>0</formula>
    </cfRule>
  </conditionalFormatting>
  <conditionalFormatting sqref="B16">
    <cfRule type="cellIs" dxfId="27" priority="7" operator="equal">
      <formula>0</formula>
    </cfRule>
  </conditionalFormatting>
  <conditionalFormatting sqref="B25">
    <cfRule type="cellIs" dxfId="26" priority="6" operator="equal">
      <formula>0</formula>
    </cfRule>
  </conditionalFormatting>
  <conditionalFormatting sqref="B30">
    <cfRule type="cellIs" dxfId="25" priority="4" operator="equal">
      <formula>0</formula>
    </cfRule>
  </conditionalFormatting>
  <conditionalFormatting sqref="F41:K41">
    <cfRule type="cellIs" dxfId="24" priority="1" operator="equal">
      <formula>3</formula>
    </cfRule>
    <cfRule type="cellIs" dxfId="23" priority="2" operator="equal">
      <formula>2</formula>
    </cfRule>
    <cfRule type="cellIs" dxfId="22" priority="3" operator="equal">
      <formula>1</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xWindow="78" yWindow="361" count="2">
        <x14:dataValidation type="custom" errorStyle="warning" allowBlank="1" showInputMessage="1" showErrorMessage="1" error="Alterations to model user cannot be performed here. Please change it in the visualization tab!" promptTitle="Selecting the Model User" prompt="Please choose the model user in the visualization tab, to select the weightage perspective._x000a_" xr:uid="{710A835B-32D8-4369-BE52-3461FF567149}">
          <x14:formula1>
            <xm:f>Visualization_Average!B2</xm:f>
          </x14:formula1>
          <xm:sqref>A2</xm:sqref>
        </x14:dataValidation>
        <x14:dataValidation type="custom" errorStyle="warning" allowBlank="1" showInputMessage="1" showErrorMessage="1" error="Alterations to application horizon cannot be performed here. Please change it in the visualization tab!" promptTitle="Selecting the Application type" prompt="Please choose the application planning horizon in the visualization tab, to select the weightage perspective._x000a_" xr:uid="{88BCFC5C-0FF2-4EB5-9280-D2F930DD023F}">
          <x14:formula1>
            <xm:f>Visualization_Average!B2</xm:f>
          </x14:formula1>
          <xm:sqref>B2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8666F-AD84-4DB3-BDAD-DA14590B6F71}">
  <sheetPr>
    <tabColor rgb="FFFFC000"/>
  </sheetPr>
  <dimension ref="A1:AK44"/>
  <sheetViews>
    <sheetView zoomScale="85" zoomScaleNormal="85" workbookViewId="0">
      <selection activeCell="B3" sqref="B3:C3"/>
    </sheetView>
  </sheetViews>
  <sheetFormatPr defaultColWidth="8.88671875" defaultRowHeight="14.4" x14ac:dyDescent="0.3"/>
  <cols>
    <col min="1" max="1" width="32.33203125" style="169" customWidth="1"/>
    <col min="2" max="2" width="16.33203125" style="169" customWidth="1"/>
    <col min="3" max="3" width="18.44140625" style="169" bestFit="1" customWidth="1"/>
    <col min="4" max="4" width="17.44140625" style="169" bestFit="1" customWidth="1"/>
    <col min="5" max="5" width="8.88671875" style="169" customWidth="1"/>
    <col min="6" max="11" width="8.88671875" style="169"/>
    <col min="12" max="12" width="35.88671875" style="169" customWidth="1"/>
    <col min="13" max="16" width="12.6640625" style="169" customWidth="1"/>
    <col min="17" max="21" width="8.88671875" style="169"/>
    <col min="22" max="22" width="55.6640625" style="169" bestFit="1" customWidth="1"/>
    <col min="23" max="26" width="12.88671875" style="169" customWidth="1"/>
    <col min="27" max="31" width="8.88671875" style="169"/>
    <col min="32" max="32" width="55.6640625" style="169" bestFit="1" customWidth="1"/>
    <col min="33" max="36" width="12.88671875" style="169" customWidth="1"/>
    <col min="37" max="16384" width="8.88671875" style="169"/>
  </cols>
  <sheetData>
    <row r="1" spans="1:37" ht="21" x14ac:dyDescent="0.3">
      <c r="A1" s="183" t="s">
        <v>89</v>
      </c>
    </row>
    <row r="2" spans="1:37" x14ac:dyDescent="0.3">
      <c r="A2" s="184" t="s">
        <v>90</v>
      </c>
      <c r="B2" s="221" t="s">
        <v>10</v>
      </c>
      <c r="C2" s="221"/>
    </row>
    <row r="3" spans="1:37" x14ac:dyDescent="0.3">
      <c r="A3" s="184" t="s">
        <v>91</v>
      </c>
      <c r="B3" s="220" t="s">
        <v>5</v>
      </c>
      <c r="C3" s="220"/>
    </row>
    <row r="5" spans="1:37" ht="28.8" x14ac:dyDescent="0.3">
      <c r="A5" s="170" t="s">
        <v>92</v>
      </c>
      <c r="B5" s="171" t="str">
        <f>+EMMa!C1</f>
        <v>MARPLE</v>
      </c>
      <c r="C5" s="171" t="str">
        <f>+EMMa!D1</f>
        <v>StreamLine-MaDAM</v>
      </c>
      <c r="D5" s="171" t="str">
        <f>+EMMa!E1</f>
        <v>StreamLine-eGLTM</v>
      </c>
      <c r="L5" s="172" t="s">
        <v>93</v>
      </c>
      <c r="M5" s="173" t="s">
        <v>7</v>
      </c>
      <c r="N5" s="174" t="s">
        <v>8</v>
      </c>
      <c r="O5" s="174" t="s">
        <v>9</v>
      </c>
      <c r="P5" s="174" t="s">
        <v>10</v>
      </c>
      <c r="V5" s="186" t="str">
        <f>EMMa!B16</f>
        <v>Tractability</v>
      </c>
      <c r="W5" s="173" t="str">
        <f>B5</f>
        <v>MARPLE</v>
      </c>
      <c r="X5" s="174" t="str">
        <f>C5</f>
        <v>StreamLine-MaDAM</v>
      </c>
      <c r="Y5" s="174" t="str">
        <f>D5</f>
        <v>StreamLine-eGLTM</v>
      </c>
      <c r="Z5"/>
      <c r="AF5" s="186" t="str">
        <f>EMMa!B3</f>
        <v>Conceptual Validation</v>
      </c>
      <c r="AG5" s="174" t="str">
        <f>W5</f>
        <v>MARPLE</v>
      </c>
      <c r="AH5" s="174" t="str">
        <f>X5</f>
        <v>StreamLine-MaDAM</v>
      </c>
      <c r="AI5" s="174" t="str">
        <f>Y5</f>
        <v>StreamLine-eGLTM</v>
      </c>
      <c r="AJ5"/>
    </row>
    <row r="6" spans="1:37" x14ac:dyDescent="0.3">
      <c r="A6" s="175" t="str">
        <f>+EMMa!B3</f>
        <v>Conceptual Validation</v>
      </c>
      <c r="B6" s="176">
        <f>+SUM(EMMa!O4:O10)</f>
        <v>12.866025112481132</v>
      </c>
      <c r="C6" s="176">
        <f>+SUM(EMMa!P4:P10)</f>
        <v>18.739668199383253</v>
      </c>
      <c r="D6" s="176">
        <f>+SUM(EMMa!Q4:Q10)</f>
        <v>12.908489067584542</v>
      </c>
      <c r="E6" s="177"/>
      <c r="F6" s="177"/>
      <c r="G6" s="177"/>
      <c r="H6" s="177"/>
      <c r="I6" s="177"/>
      <c r="J6" s="177"/>
      <c r="K6" s="177"/>
      <c r="L6" s="176" t="str">
        <f>+A6</f>
        <v>Conceptual Validation</v>
      </c>
      <c r="M6" s="176">
        <f>+AVERAGE(EMMa!K4:K10)</f>
        <v>5.8571428571428568</v>
      </c>
      <c r="N6" s="176">
        <f>+AVERAGE(EMMa!L4:L10)</f>
        <v>6.3492063492063489</v>
      </c>
      <c r="O6" s="176">
        <f>+AVERAGE(EMMa!M4:M10)</f>
        <v>6.0952380952380958</v>
      </c>
      <c r="P6" s="176">
        <f>+AVERAGE(EMMa!N4:N10)</f>
        <v>6.1071428571428568</v>
      </c>
      <c r="V6" s="185" t="str">
        <f>EMMa!B17</f>
        <v>Propagation - Link flows</v>
      </c>
      <c r="W6" s="187">
        <f>EMMa!O17</f>
        <v>5.25</v>
      </c>
      <c r="X6" s="187">
        <f>EMMa!P17</f>
        <v>5.25</v>
      </c>
      <c r="Y6" s="187">
        <f>EMMa!Q17</f>
        <v>7</v>
      </c>
      <c r="Z6"/>
      <c r="AF6" s="188" t="str">
        <f>EMMa!B4</f>
        <v>Flow Metering or Blocking back - strict capacity constraint</v>
      </c>
      <c r="AG6" s="187">
        <f>EMMa!O4</f>
        <v>4.6666666666666661</v>
      </c>
      <c r="AH6" s="187">
        <f>EMMa!P4</f>
        <v>7</v>
      </c>
      <c r="AI6" s="187">
        <f>EMMa!Q4</f>
        <v>7</v>
      </c>
      <c r="AJ6"/>
    </row>
    <row r="7" spans="1:37" x14ac:dyDescent="0.3">
      <c r="A7" s="175" t="str">
        <f>+EMMa!B11</f>
        <v>Model robustness</v>
      </c>
      <c r="B7" s="176">
        <f>+EMMa!O12</f>
        <v>9.9745413389865281</v>
      </c>
      <c r="C7" s="176">
        <f>+EMMa!P12</f>
        <v>0</v>
      </c>
      <c r="D7" s="176">
        <f>+EMMa!Q12</f>
        <v>9.891448759921218</v>
      </c>
      <c r="E7" s="177"/>
      <c r="F7" s="177"/>
      <c r="G7" s="177"/>
      <c r="H7" s="177"/>
      <c r="I7" s="177"/>
      <c r="J7" s="177"/>
      <c r="K7" s="177"/>
      <c r="L7" s="176" t="str">
        <f t="shared" ref="L7:L12" si="0">+A7</f>
        <v>Model robustness</v>
      </c>
      <c r="M7" s="176">
        <f>+EMMa!K12</f>
        <v>10</v>
      </c>
      <c r="N7" s="176">
        <f>+EMMa!L12</f>
        <v>9.7222222222222214</v>
      </c>
      <c r="O7" s="176">
        <f>+EMMa!M12</f>
        <v>7.666666666666667</v>
      </c>
      <c r="P7" s="176">
        <f>+EMMa!N12</f>
        <v>8.5</v>
      </c>
      <c r="V7" s="185" t="str">
        <f>EMMa!B18</f>
        <v>Propagation - Queuing</v>
      </c>
      <c r="W7" s="187">
        <f>EMMa!O18</f>
        <v>4.8039215686274517</v>
      </c>
      <c r="X7" s="187">
        <f>EMMa!P18</f>
        <v>7</v>
      </c>
      <c r="Y7" s="187">
        <f>EMMa!Q18</f>
        <v>6.8627450980392162</v>
      </c>
      <c r="Z7"/>
      <c r="AF7" s="188" t="str">
        <f>EMMa!B5</f>
        <v>Traffic Spillback - strict storage constraint</v>
      </c>
      <c r="AG7" s="187">
        <f>EMMa!O5</f>
        <v>5.25</v>
      </c>
      <c r="AH7" s="187">
        <f>EMMa!P5</f>
        <v>7</v>
      </c>
      <c r="AI7" s="187">
        <f>EMMa!Q5</f>
        <v>5.25</v>
      </c>
      <c r="AJ7"/>
    </row>
    <row r="8" spans="1:37" x14ac:dyDescent="0.3">
      <c r="A8" s="175" t="str">
        <f>+EMMa!B13</f>
        <v>Applicability</v>
      </c>
      <c r="B8" s="176">
        <f>+SUM(EMMa!O14:O15)</f>
        <v>20</v>
      </c>
      <c r="C8" s="176">
        <f>+SUM(EMMa!P14:P15)</f>
        <v>20</v>
      </c>
      <c r="D8" s="176">
        <f>+SUM(EMMa!Q14:Q15)</f>
        <v>20</v>
      </c>
      <c r="E8" s="177"/>
      <c r="F8" s="177"/>
      <c r="G8" s="177"/>
      <c r="H8" s="177"/>
      <c r="I8" s="177"/>
      <c r="J8" s="177"/>
      <c r="K8" s="177"/>
      <c r="L8" s="176" t="str">
        <f t="shared" si="0"/>
        <v>Applicability</v>
      </c>
      <c r="M8" s="176">
        <f>+AVERAGE(EMMa!K14:K15)</f>
        <v>10</v>
      </c>
      <c r="N8" s="176">
        <f>+AVERAGE(EMMa!L14:L15)</f>
        <v>6.7777777777777777</v>
      </c>
      <c r="O8" s="176">
        <f>+AVERAGE(EMMa!M14:M15)</f>
        <v>8.6666666666666661</v>
      </c>
      <c r="P8" s="176">
        <f>+AVERAGE(EMMa!N14:N15)</f>
        <v>8.5</v>
      </c>
      <c r="V8" s="185" t="str">
        <f>EMMa!B19</f>
        <v>Propagation - Effect of link-level traffic controls</v>
      </c>
      <c r="W8" s="187">
        <f>EMMa!O19</f>
        <v>7</v>
      </c>
      <c r="X8" s="187">
        <f>EMMa!P19</f>
        <v>5</v>
      </c>
      <c r="Y8" s="187">
        <f>EMMa!Q19</f>
        <v>0</v>
      </c>
      <c r="Z8"/>
      <c r="AF8" s="188" t="str">
        <f>EMMa!B6</f>
        <v>Capacity drop</v>
      </c>
      <c r="AG8" s="187">
        <f>EMMa!O6</f>
        <v>0</v>
      </c>
      <c r="AH8" s="187">
        <f>EMMa!P6</f>
        <v>4</v>
      </c>
      <c r="AI8" s="187">
        <f>EMMa!Q6</f>
        <v>0</v>
      </c>
      <c r="AJ8"/>
    </row>
    <row r="9" spans="1:37" x14ac:dyDescent="0.3">
      <c r="A9" s="175" t="str">
        <f>+EMMa!B16</f>
        <v>Tractability</v>
      </c>
      <c r="B9" s="176">
        <f>+SUM(EMMa!O17:O24)</f>
        <v>51.199754901960787</v>
      </c>
      <c r="C9" s="176">
        <f>+SUM(EMMa!P17:P24)</f>
        <v>53.708333333333336</v>
      </c>
      <c r="D9" s="176">
        <f>+SUM(EMMa!Q17:Q24)</f>
        <v>51.050245098039213</v>
      </c>
      <c r="E9" s="177"/>
      <c r="F9" s="177"/>
      <c r="G9" s="177"/>
      <c r="H9" s="177"/>
      <c r="I9" s="177"/>
      <c r="J9" s="177"/>
      <c r="K9" s="177"/>
      <c r="L9" s="176" t="str">
        <f t="shared" si="0"/>
        <v>Tractability</v>
      </c>
      <c r="M9" s="176">
        <f>AVERAGE(EMMa!K17:K24)</f>
        <v>7.75</v>
      </c>
      <c r="N9" s="176">
        <f>AVERAGE(EMMa!L17:L24)</f>
        <v>8.0555555555555554</v>
      </c>
      <c r="O9" s="176">
        <f>AVERAGE(EMMa!M17:M24)</f>
        <v>8.3333333333333339</v>
      </c>
      <c r="P9" s="176">
        <f>AVERAGE(EMMa!N17:N24)</f>
        <v>7.8125</v>
      </c>
      <c r="V9" s="185" t="str">
        <f>EMMa!B20</f>
        <v>Node model-merge behaviour</v>
      </c>
      <c r="W9" s="187">
        <f>EMMa!O20</f>
        <v>4.9583333333333339</v>
      </c>
      <c r="X9" s="187">
        <f>EMMa!P20</f>
        <v>4.9583333333333339</v>
      </c>
      <c r="Y9" s="187">
        <f>EMMa!Q20</f>
        <v>7</v>
      </c>
      <c r="Z9"/>
      <c r="AF9" s="188" t="str">
        <f>EMMa!B7</f>
        <v>Smoothness of temporal speed variations</v>
      </c>
      <c r="AG9" s="187">
        <f>EMMa!O7</f>
        <v>0</v>
      </c>
      <c r="AH9" s="187">
        <f>EMMa!P7</f>
        <v>0.73564016272826172</v>
      </c>
      <c r="AI9" s="187">
        <f>EMMa!Q7</f>
        <v>0.65848906758454251</v>
      </c>
      <c r="AJ9"/>
    </row>
    <row r="10" spans="1:37" ht="27" customHeight="1" x14ac:dyDescent="0.3">
      <c r="A10" s="178" t="str">
        <f>+EMMa!B25</f>
        <v>Integration of Network Hierarchies - Urban and Motorway roads</v>
      </c>
      <c r="B10" s="176">
        <f>+EMMa!O26</f>
        <v>0</v>
      </c>
      <c r="C10" s="176">
        <f>+EMMa!P26</f>
        <v>7</v>
      </c>
      <c r="D10" s="176">
        <f>+EMMa!Q26</f>
        <v>0</v>
      </c>
      <c r="E10" s="177"/>
      <c r="F10" s="177"/>
      <c r="G10" s="177"/>
      <c r="H10" s="177"/>
      <c r="I10" s="177"/>
      <c r="J10" s="177"/>
      <c r="K10" s="177"/>
      <c r="L10" s="179" t="str">
        <f t="shared" si="0"/>
        <v>Integration of Network Hierarchies - Urban and Motorway roads</v>
      </c>
      <c r="M10" s="176">
        <f>+EMMa!K26</f>
        <v>7</v>
      </c>
      <c r="N10" s="176">
        <f>+EMMa!L26</f>
        <v>7.5</v>
      </c>
      <c r="O10" s="176">
        <f>+EMMa!M26</f>
        <v>5</v>
      </c>
      <c r="P10" s="176">
        <f>+EMMa!N26</f>
        <v>6.75</v>
      </c>
      <c r="V10" s="185" t="str">
        <f>EMMa!B21</f>
        <v>Node model-diverge behaviour</v>
      </c>
      <c r="W10" s="187">
        <f>EMMa!O21</f>
        <v>4.375</v>
      </c>
      <c r="X10" s="187">
        <f>EMMa!P21</f>
        <v>7</v>
      </c>
      <c r="Y10" s="187">
        <f>EMMa!Q21</f>
        <v>7</v>
      </c>
      <c r="Z10"/>
      <c r="AF10" s="188" t="str">
        <f>EMMa!B8</f>
        <v>Smoothness of temporal flow variations</v>
      </c>
      <c r="AG10" s="187">
        <f>EMMa!O8</f>
        <v>2.9493584458144673</v>
      </c>
      <c r="AH10" s="187">
        <f>EMMa!P8</f>
        <v>4.028036654991185E-3</v>
      </c>
      <c r="AI10" s="187">
        <f>EMMa!Q8</f>
        <v>0</v>
      </c>
      <c r="AJ10"/>
    </row>
    <row r="11" spans="1:37" x14ac:dyDescent="0.3">
      <c r="A11" s="175" t="str">
        <f>+EMMa!B27</f>
        <v>Computational efficiency</v>
      </c>
      <c r="B11" s="176">
        <f>+SUM(EMMa!O28:O29)</f>
        <v>7.2414177652340852</v>
      </c>
      <c r="C11" s="176">
        <f>+SUM(EMMa!P28:P29)</f>
        <v>2.2284569138276553</v>
      </c>
      <c r="D11" s="176">
        <f>+SUM(EMMa!Q28:Q29)</f>
        <v>3.9432679814014127</v>
      </c>
      <c r="E11" s="177"/>
      <c r="F11" s="177"/>
      <c r="G11" s="177"/>
      <c r="H11" s="177"/>
      <c r="I11" s="177"/>
      <c r="J11" s="177"/>
      <c r="K11" s="177"/>
      <c r="L11" s="176" t="str">
        <f t="shared" si="0"/>
        <v>Computational efficiency</v>
      </c>
      <c r="M11" s="176">
        <f>AVERAGE(EMMa!K28:K29)</f>
        <v>4</v>
      </c>
      <c r="N11" s="176">
        <f>AVERAGE(EMMa!L28:L29)</f>
        <v>6.1111111111111107</v>
      </c>
      <c r="O11" s="176">
        <f>AVERAGE(EMMa!M28:M29)</f>
        <v>7.666666666666667</v>
      </c>
      <c r="P11" s="176">
        <f>AVERAGE(EMMa!N28:N29)</f>
        <v>7.25</v>
      </c>
      <c r="V11" s="185" t="str">
        <f>EMMa!B22</f>
        <v>Signalized Intersection</v>
      </c>
      <c r="W11" s="187">
        <f>EMMa!O22</f>
        <v>4.8125</v>
      </c>
      <c r="X11" s="187">
        <f>EMMa!P22</f>
        <v>7</v>
      </c>
      <c r="Y11" s="187">
        <f>EMMa!Q22</f>
        <v>5.6875</v>
      </c>
      <c r="Z11"/>
      <c r="AF11" s="188" t="str">
        <f>EMMa!B9</f>
        <v>Presence of variable route set</v>
      </c>
      <c r="AG11" s="187">
        <f>EMMa!O9</f>
        <v>0</v>
      </c>
      <c r="AH11" s="187">
        <f>EMMa!P9</f>
        <v>0</v>
      </c>
      <c r="AI11" s="187">
        <f>EMMa!Q9</f>
        <v>0</v>
      </c>
      <c r="AJ11"/>
    </row>
    <row r="12" spans="1:37" x14ac:dyDescent="0.3">
      <c r="A12" s="175" t="str">
        <f>+EMMa!B30</f>
        <v>Usability</v>
      </c>
      <c r="B12" s="176">
        <f>+SUM(EMMa!O31:O37)</f>
        <v>20.190476190476193</v>
      </c>
      <c r="C12" s="176">
        <f>+SUM(EMMa!P31:P37)</f>
        <v>26.5</v>
      </c>
      <c r="D12" s="176">
        <f>+SUM(EMMa!Q31:Q37)</f>
        <v>24.261904761904763</v>
      </c>
      <c r="E12" s="177"/>
      <c r="F12" s="177"/>
      <c r="G12" s="177"/>
      <c r="H12" s="177"/>
      <c r="I12" s="177"/>
      <c r="J12" s="177"/>
      <c r="K12" s="177"/>
      <c r="L12" s="176" t="str">
        <f t="shared" si="0"/>
        <v>Usability</v>
      </c>
      <c r="M12" s="176">
        <f>AVERAGE(EMMa!K31:K37)</f>
        <v>4</v>
      </c>
      <c r="N12" s="176">
        <f>AVERAGE(EMMa!L31:L37)</f>
        <v>6.5555555555555562</v>
      </c>
      <c r="O12" s="176">
        <f>AVERAGE(EMMa!M31:M37)</f>
        <v>5.333333333333333</v>
      </c>
      <c r="P12" s="176">
        <f>AVERAGE(EMMa!N31:N37)</f>
        <v>5.25</v>
      </c>
      <c r="V12" s="185" t="str">
        <f>EMMa!B23</f>
        <v>Route choice (general)</v>
      </c>
      <c r="W12" s="187">
        <f>EMMa!O23</f>
        <v>10</v>
      </c>
      <c r="X12" s="187">
        <f>EMMa!P23</f>
        <v>7.5</v>
      </c>
      <c r="Y12" s="187">
        <f>EMMa!Q23</f>
        <v>7.5</v>
      </c>
      <c r="Z12"/>
      <c r="AF12" s="188" t="str">
        <f>EMMa!B10</f>
        <v>Modelling of stop and go waves</v>
      </c>
      <c r="AG12" s="187">
        <f>EMMa!O10</f>
        <v>0</v>
      </c>
      <c r="AH12" s="187">
        <f>EMMa!P10</f>
        <v>0</v>
      </c>
      <c r="AI12" s="187">
        <f>EMMa!Q10</f>
        <v>0</v>
      </c>
      <c r="AJ12"/>
    </row>
    <row r="13" spans="1:37" x14ac:dyDescent="0.3">
      <c r="B13" s="177"/>
      <c r="C13" s="177"/>
      <c r="D13" s="177"/>
      <c r="E13" s="177"/>
      <c r="F13" s="177"/>
      <c r="G13" s="177"/>
      <c r="H13" s="177"/>
      <c r="I13" s="177"/>
      <c r="J13" s="177"/>
      <c r="K13" s="177"/>
      <c r="L13" s="181" t="str">
        <f>"Model User Weights - "&amp;$B$3</f>
        <v>Model User Weights - Operational Planning</v>
      </c>
      <c r="V13" s="185" t="str">
        <f>EMMa!B24</f>
        <v>Route choice (route overlap)</v>
      </c>
      <c r="W13" s="187">
        <f>EMMa!O24</f>
        <v>10</v>
      </c>
      <c r="X13" s="187">
        <f>EMMa!P24</f>
        <v>10</v>
      </c>
      <c r="Y13" s="187">
        <f>EMMa!Q24</f>
        <v>10</v>
      </c>
      <c r="Z13"/>
      <c r="AF13"/>
      <c r="AG13"/>
      <c r="AH13"/>
      <c r="AI13"/>
      <c r="AJ13"/>
      <c r="AK13"/>
    </row>
    <row r="14" spans="1:37" x14ac:dyDescent="0.3">
      <c r="A14" s="171" t="s">
        <v>94</v>
      </c>
      <c r="B14" s="176">
        <f>+SUM(B6:B12)</f>
        <v>121.47221530913873</v>
      </c>
      <c r="C14" s="176">
        <f>+SUM(C6:C12)</f>
        <v>128.17645844654425</v>
      </c>
      <c r="D14" s="176">
        <f>+SUM(D6:D12)</f>
        <v>122.05535566885115</v>
      </c>
      <c r="E14" s="177"/>
      <c r="F14" s="177"/>
      <c r="G14" s="177"/>
      <c r="H14" s="177"/>
      <c r="I14" s="177"/>
      <c r="J14" s="177"/>
      <c r="K14" s="177"/>
      <c r="V14" s="181" t="str">
        <f>"MoPs in "&amp;$V$5&amp;" - "&amp;$B$3&amp;" , "&amp;$B$2</f>
        <v>MoPs in Tractability - Operational Planning , Model Developer</v>
      </c>
      <c r="AF14" s="181" t="str">
        <f>"MoPs in "&amp;$AF$5&amp;" - "&amp;$B$3&amp;" , "&amp;$B$2</f>
        <v>MoPs in Conceptual Validation - Operational Planning , Model Developer</v>
      </c>
    </row>
    <row r="15" spans="1:37" x14ac:dyDescent="0.3">
      <c r="A15" s="181" t="str">
        <f>"MoP Category-wise scores - "&amp;$B$3&amp;" , "&amp;$B$2</f>
        <v>MoP Category-wise scores - Operational Planning , Model Developer</v>
      </c>
      <c r="B15" s="180"/>
      <c r="C15" s="180"/>
      <c r="D15" s="180"/>
      <c r="E15" s="177"/>
      <c r="F15" s="177"/>
      <c r="G15" s="177"/>
      <c r="H15" s="177"/>
      <c r="I15" s="177"/>
      <c r="J15" s="177"/>
      <c r="K15" s="177"/>
    </row>
    <row r="16" spans="1:37" x14ac:dyDescent="0.3">
      <c r="C16" s="177"/>
      <c r="D16" s="177"/>
      <c r="E16" s="177"/>
      <c r="F16" s="177"/>
      <c r="G16" s="177"/>
      <c r="H16" s="177"/>
      <c r="I16" s="177"/>
      <c r="J16" s="177"/>
      <c r="K16" s="177"/>
    </row>
    <row r="17" spans="1:16" x14ac:dyDescent="0.3">
      <c r="B17" s="177"/>
      <c r="C17" s="177"/>
      <c r="D17" s="177"/>
      <c r="E17" s="177"/>
      <c r="F17" s="177"/>
      <c r="G17" s="177"/>
      <c r="H17" s="177"/>
      <c r="I17" s="177"/>
      <c r="J17" s="177"/>
      <c r="K17" s="177"/>
    </row>
    <row r="18" spans="1:16" x14ac:dyDescent="0.3">
      <c r="B18" s="177"/>
      <c r="C18" s="177"/>
      <c r="D18" s="177"/>
      <c r="E18" s="177"/>
      <c r="F18" s="177"/>
      <c r="G18" s="177"/>
      <c r="H18" s="177"/>
      <c r="I18" s="177"/>
      <c r="J18" s="177"/>
      <c r="K18" s="177"/>
    </row>
    <row r="19" spans="1:16" x14ac:dyDescent="0.3">
      <c r="B19" s="177"/>
      <c r="C19" s="177"/>
      <c r="D19" s="177"/>
      <c r="E19" s="177"/>
      <c r="F19" s="177"/>
      <c r="G19" s="177"/>
      <c r="H19" s="177"/>
      <c r="I19" s="177"/>
      <c r="J19" s="177"/>
      <c r="K19" s="177"/>
    </row>
    <row r="20" spans="1:16" x14ac:dyDescent="0.3">
      <c r="B20" s="177"/>
      <c r="C20" s="177"/>
      <c r="D20" s="177"/>
      <c r="E20" s="177"/>
      <c r="F20" s="177"/>
      <c r="G20" s="177"/>
      <c r="H20" s="177"/>
      <c r="I20" s="177"/>
      <c r="J20" s="177"/>
      <c r="K20" s="177"/>
    </row>
    <row r="21" spans="1:16" x14ac:dyDescent="0.3">
      <c r="B21" s="177"/>
      <c r="C21" s="177"/>
      <c r="D21" s="177"/>
      <c r="E21" s="177"/>
      <c r="F21" s="177"/>
      <c r="G21" s="177"/>
      <c r="H21" s="177"/>
      <c r="I21" s="177"/>
      <c r="J21" s="177"/>
      <c r="K21" s="177"/>
    </row>
    <row r="22" spans="1:16" x14ac:dyDescent="0.3">
      <c r="B22" s="177"/>
      <c r="C22" s="177"/>
      <c r="D22" s="177"/>
      <c r="E22" s="177"/>
      <c r="F22" s="177"/>
      <c r="G22" s="177"/>
      <c r="H22" s="177"/>
      <c r="I22" s="177"/>
      <c r="J22" s="177"/>
      <c r="K22" s="177"/>
      <c r="L22" s="177"/>
      <c r="M22" s="177"/>
      <c r="N22" s="177"/>
      <c r="O22" s="177"/>
      <c r="P22" s="177"/>
    </row>
    <row r="23" spans="1:16" x14ac:dyDescent="0.3">
      <c r="A23" s="178"/>
      <c r="B23" s="176"/>
      <c r="C23" s="176"/>
      <c r="D23" s="176"/>
      <c r="E23" s="177"/>
      <c r="F23" s="177"/>
      <c r="G23" s="177"/>
      <c r="H23" s="177"/>
      <c r="I23" s="177"/>
      <c r="J23" s="177"/>
      <c r="K23" s="177"/>
      <c r="L23" s="66"/>
      <c r="M23" s="66"/>
      <c r="N23" s="66"/>
      <c r="O23" s="66"/>
      <c r="P23" s="66"/>
    </row>
    <row r="24" spans="1:16" x14ac:dyDescent="0.3">
      <c r="B24" s="177"/>
      <c r="C24" s="177"/>
      <c r="D24" s="177"/>
      <c r="E24" s="177"/>
      <c r="F24" s="177"/>
      <c r="G24" s="177"/>
      <c r="H24" s="177"/>
      <c r="I24" s="177"/>
      <c r="J24" s="177"/>
      <c r="K24" s="177"/>
      <c r="L24" s="177"/>
      <c r="M24" s="177"/>
      <c r="N24" s="177"/>
      <c r="O24" s="177"/>
      <c r="P24" s="177"/>
    </row>
    <row r="25" spans="1:16" x14ac:dyDescent="0.3">
      <c r="B25" s="177"/>
      <c r="C25" s="177"/>
      <c r="D25" s="177"/>
      <c r="E25" s="177"/>
      <c r="F25" s="177"/>
      <c r="G25" s="177"/>
      <c r="H25" s="177"/>
      <c r="I25" s="177"/>
      <c r="J25" s="177"/>
      <c r="K25" s="177"/>
      <c r="L25" s="66"/>
      <c r="M25" s="66"/>
      <c r="N25" s="66"/>
      <c r="O25" s="66"/>
      <c r="P25" s="66"/>
    </row>
    <row r="26" spans="1:16" x14ac:dyDescent="0.3">
      <c r="B26" s="177"/>
      <c r="C26" s="177"/>
      <c r="D26" s="177"/>
      <c r="E26" s="177"/>
      <c r="F26" s="177"/>
      <c r="G26" s="177"/>
      <c r="H26" s="177"/>
      <c r="I26" s="177"/>
      <c r="J26" s="177"/>
      <c r="K26" s="177"/>
      <c r="L26" s="66"/>
      <c r="M26" s="66"/>
      <c r="N26" s="66"/>
      <c r="O26" s="66"/>
      <c r="P26" s="66"/>
    </row>
    <row r="27" spans="1:16" x14ac:dyDescent="0.3">
      <c r="B27" s="177"/>
      <c r="C27" s="177"/>
      <c r="D27" s="177"/>
      <c r="E27" s="177"/>
      <c r="F27" s="177"/>
      <c r="G27" s="177"/>
      <c r="H27" s="177"/>
      <c r="I27" s="177"/>
      <c r="J27" s="177"/>
      <c r="K27" s="177"/>
      <c r="L27" s="66"/>
      <c r="M27" s="66"/>
      <c r="N27" s="66"/>
      <c r="O27" s="66"/>
      <c r="P27" s="66"/>
    </row>
    <row r="28" spans="1:16" x14ac:dyDescent="0.3">
      <c r="L28" s="66"/>
      <c r="M28" s="66"/>
      <c r="N28" s="66"/>
      <c r="O28" s="66"/>
      <c r="P28" s="66"/>
    </row>
    <row r="29" spans="1:16" x14ac:dyDescent="0.3">
      <c r="L29" s="66"/>
      <c r="M29" s="66"/>
      <c r="N29" s="66"/>
      <c r="O29" s="66"/>
      <c r="P29" s="66"/>
    </row>
    <row r="30" spans="1:16" x14ac:dyDescent="0.3">
      <c r="L30" s="66"/>
      <c r="M30" s="66"/>
      <c r="N30" s="66"/>
      <c r="O30" s="66"/>
      <c r="P30" s="66"/>
    </row>
    <row r="31" spans="1:16" x14ac:dyDescent="0.3">
      <c r="L31" s="66"/>
      <c r="M31" s="66"/>
      <c r="N31" s="66"/>
      <c r="O31" s="66"/>
      <c r="P31" s="66"/>
    </row>
    <row r="32" spans="1:16" x14ac:dyDescent="0.3">
      <c r="L32" s="66"/>
      <c r="M32" s="66"/>
      <c r="N32" s="66"/>
      <c r="O32" s="66"/>
      <c r="P32" s="66"/>
    </row>
    <row r="37" spans="1:12" x14ac:dyDescent="0.3">
      <c r="C37" s="182"/>
    </row>
    <row r="38" spans="1:12" x14ac:dyDescent="0.3">
      <c r="A38" s="181" t="str">
        <f>"Final Scores - "&amp;$B$3&amp;" , "&amp;$B$2</f>
        <v>Final Scores - Operational Planning , Model Developer</v>
      </c>
    </row>
    <row r="44" spans="1:12" x14ac:dyDescent="0.3">
      <c r="L44" s="169">
        <f>40761-24823</f>
        <v>15938</v>
      </c>
    </row>
  </sheetData>
  <mergeCells count="2">
    <mergeCell ref="B3:C3"/>
    <mergeCell ref="B2:C2"/>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FB17DAC-BB51-4CE7-995D-16B2F8B21B94}">
          <x14:formula1>
            <xm:f>Info!$B$3:$B$5</xm:f>
          </x14:formula1>
          <xm:sqref>B3</xm:sqref>
        </x14:dataValidation>
        <x14:dataValidation type="list" allowBlank="1" showInputMessage="1" showErrorMessage="1" xr:uid="{90238356-8654-4CE4-B6C7-321D17E1E04A}">
          <x14:formula1>
            <xm:f>Info!$B$10:$B$13</xm:f>
          </x14:formula1>
          <xm:sqref>B2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E0DCA-4AAA-4C2A-BD02-A2A3C0BC3B24}">
  <dimension ref="A1:X37"/>
  <sheetViews>
    <sheetView topLeftCell="D1" workbookViewId="0">
      <selection activeCell="F19" sqref="F19"/>
    </sheetView>
  </sheetViews>
  <sheetFormatPr defaultColWidth="8.88671875" defaultRowHeight="14.4" x14ac:dyDescent="0.3"/>
  <cols>
    <col min="1" max="1" width="8.88671875" style="11"/>
    <col min="2" max="5" width="18.109375" style="11" bestFit="1" customWidth="1"/>
    <col min="6" max="6" width="15.109375" style="11" bestFit="1" customWidth="1"/>
    <col min="7" max="7" width="20.88671875" style="11" bestFit="1" customWidth="1"/>
    <col min="8" max="8" width="17.6640625" style="11" bestFit="1" customWidth="1"/>
    <col min="9" max="9" width="18.33203125" style="11" bestFit="1" customWidth="1"/>
    <col min="10" max="10" width="17.33203125" style="11" bestFit="1" customWidth="1"/>
    <col min="11" max="11" width="18.44140625" style="11" bestFit="1" customWidth="1"/>
    <col min="12" max="12" width="10.6640625" style="11" bestFit="1" customWidth="1"/>
    <col min="13" max="13" width="16.33203125" style="11" bestFit="1" customWidth="1"/>
    <col min="14" max="14" width="15.33203125" style="11" bestFit="1" customWidth="1"/>
    <col min="15" max="15" width="20.33203125" style="11" bestFit="1" customWidth="1"/>
    <col min="16" max="16" width="18.88671875" style="11" bestFit="1" customWidth="1"/>
    <col min="17" max="17" width="16.33203125" style="11" bestFit="1" customWidth="1"/>
    <col min="18" max="18" width="15.33203125" style="11" bestFit="1" customWidth="1"/>
    <col min="19" max="19" width="16.6640625" style="11" bestFit="1" customWidth="1"/>
    <col min="20" max="20" width="20.44140625" style="11" bestFit="1" customWidth="1"/>
    <col min="21" max="21" width="16.33203125" style="11" bestFit="1" customWidth="1"/>
    <col min="22" max="22" width="15.33203125" style="11" bestFit="1" customWidth="1"/>
    <col min="23" max="23" width="23.33203125" style="11" bestFit="1" customWidth="1"/>
    <col min="24" max="24" width="10.6640625" style="11" bestFit="1" customWidth="1"/>
    <col min="25" max="16384" width="8.88671875" style="11"/>
  </cols>
  <sheetData>
    <row r="1" spans="1:24" x14ac:dyDescent="0.3">
      <c r="A1" s="119" t="s">
        <v>95</v>
      </c>
      <c r="B1" s="119" t="s">
        <v>96</v>
      </c>
      <c r="C1" s="38" t="s">
        <v>97</v>
      </c>
      <c r="D1" s="38" t="s">
        <v>2</v>
      </c>
      <c r="E1" s="38" t="s">
        <v>98</v>
      </c>
      <c r="F1" s="2"/>
      <c r="G1" s="190" t="s">
        <v>2</v>
      </c>
      <c r="H1" t="s">
        <v>3</v>
      </c>
      <c r="I1"/>
      <c r="J1"/>
      <c r="K1"/>
      <c r="L1"/>
      <c r="M1"/>
      <c r="N1"/>
      <c r="O1"/>
      <c r="P1"/>
      <c r="Q1"/>
      <c r="R1"/>
      <c r="S1"/>
      <c r="T1"/>
      <c r="U1"/>
      <c r="V1"/>
      <c r="W1"/>
      <c r="X1"/>
    </row>
    <row r="2" spans="1:24" x14ac:dyDescent="0.3">
      <c r="A2" s="70">
        <v>1</v>
      </c>
      <c r="B2" s="70" t="s">
        <v>45</v>
      </c>
      <c r="C2" s="5" t="s">
        <v>7</v>
      </c>
      <c r="D2" s="70" t="s">
        <v>3</v>
      </c>
      <c r="E2" s="189">
        <v>130</v>
      </c>
      <c r="G2"/>
      <c r="H2"/>
      <c r="I2"/>
      <c r="J2"/>
      <c r="K2"/>
      <c r="L2"/>
      <c r="M2"/>
      <c r="N2"/>
      <c r="O2"/>
      <c r="P2"/>
      <c r="Q2"/>
      <c r="R2"/>
      <c r="S2"/>
      <c r="T2"/>
      <c r="U2"/>
      <c r="V2"/>
      <c r="W2"/>
      <c r="X2"/>
    </row>
    <row r="3" spans="1:24" x14ac:dyDescent="0.3">
      <c r="A3" s="70">
        <f>A2+1</f>
        <v>2</v>
      </c>
      <c r="B3" s="70" t="s">
        <v>45</v>
      </c>
      <c r="C3" s="5" t="s">
        <v>7</v>
      </c>
      <c r="D3" s="70" t="s">
        <v>4</v>
      </c>
      <c r="E3" s="70">
        <v>139</v>
      </c>
      <c r="G3" s="190" t="s">
        <v>99</v>
      </c>
      <c r="H3" s="190" t="s">
        <v>100</v>
      </c>
      <c r="I3"/>
      <c r="J3"/>
      <c r="K3"/>
      <c r="L3"/>
      <c r="M3"/>
      <c r="N3"/>
      <c r="O3"/>
      <c r="P3"/>
      <c r="Q3"/>
      <c r="R3"/>
      <c r="S3"/>
      <c r="T3"/>
      <c r="U3"/>
      <c r="V3"/>
      <c r="W3"/>
      <c r="X3"/>
    </row>
    <row r="4" spans="1:24" x14ac:dyDescent="0.3">
      <c r="A4" s="70">
        <f t="shared" ref="A4:A37" si="0">A3+1</f>
        <v>3</v>
      </c>
      <c r="B4" s="70" t="s">
        <v>45</v>
      </c>
      <c r="C4" s="5" t="s">
        <v>7</v>
      </c>
      <c r="D4" s="70" t="s">
        <v>5</v>
      </c>
      <c r="E4" s="70">
        <v>146</v>
      </c>
      <c r="G4" s="190" t="s">
        <v>101</v>
      </c>
      <c r="H4" t="s">
        <v>45</v>
      </c>
      <c r="I4" t="s">
        <v>46</v>
      </c>
      <c r="J4" t="s">
        <v>47</v>
      </c>
      <c r="K4"/>
      <c r="L4"/>
      <c r="M4"/>
      <c r="N4"/>
      <c r="O4"/>
      <c r="P4"/>
      <c r="Q4"/>
      <c r="R4"/>
      <c r="S4"/>
      <c r="T4"/>
      <c r="U4"/>
      <c r="V4"/>
      <c r="W4"/>
      <c r="X4"/>
    </row>
    <row r="5" spans="1:24" x14ac:dyDescent="0.3">
      <c r="A5" s="70">
        <f t="shared" si="0"/>
        <v>4</v>
      </c>
      <c r="B5" s="70" t="s">
        <v>45</v>
      </c>
      <c r="C5" s="5" t="s">
        <v>8</v>
      </c>
      <c r="D5" s="70" t="s">
        <v>3</v>
      </c>
      <c r="E5" s="70">
        <v>143</v>
      </c>
      <c r="G5" s="191" t="s">
        <v>7</v>
      </c>
      <c r="H5">
        <v>130</v>
      </c>
      <c r="I5">
        <v>146</v>
      </c>
      <c r="J5">
        <v>132</v>
      </c>
      <c r="K5"/>
      <c r="L5"/>
      <c r="M5"/>
      <c r="N5"/>
      <c r="O5"/>
      <c r="P5"/>
      <c r="Q5"/>
      <c r="R5"/>
      <c r="S5"/>
      <c r="T5"/>
      <c r="U5"/>
      <c r="V5"/>
      <c r="W5"/>
      <c r="X5"/>
    </row>
    <row r="6" spans="1:24" x14ac:dyDescent="0.3">
      <c r="A6" s="70">
        <f t="shared" si="0"/>
        <v>5</v>
      </c>
      <c r="B6" s="70" t="s">
        <v>45</v>
      </c>
      <c r="C6" s="5" t="s">
        <v>8</v>
      </c>
      <c r="D6" s="70" t="s">
        <v>4</v>
      </c>
      <c r="E6" s="70">
        <v>160</v>
      </c>
      <c r="G6" s="191" t="s">
        <v>8</v>
      </c>
      <c r="H6">
        <v>143</v>
      </c>
      <c r="I6">
        <v>161</v>
      </c>
      <c r="J6">
        <v>146</v>
      </c>
      <c r="K6"/>
      <c r="L6"/>
      <c r="M6"/>
      <c r="N6"/>
      <c r="O6"/>
      <c r="P6"/>
      <c r="Q6"/>
      <c r="R6"/>
      <c r="S6"/>
      <c r="T6"/>
      <c r="U6"/>
      <c r="V6"/>
      <c r="W6"/>
      <c r="X6"/>
    </row>
    <row r="7" spans="1:24" x14ac:dyDescent="0.3">
      <c r="A7" s="70">
        <f t="shared" si="0"/>
        <v>6</v>
      </c>
      <c r="B7" s="70" t="s">
        <v>45</v>
      </c>
      <c r="C7" s="5" t="s">
        <v>8</v>
      </c>
      <c r="D7" s="70" t="s">
        <v>5</v>
      </c>
      <c r="E7" s="70">
        <v>165</v>
      </c>
      <c r="G7" s="191" t="s">
        <v>9</v>
      </c>
      <c r="H7">
        <v>143</v>
      </c>
      <c r="I7">
        <v>152</v>
      </c>
      <c r="J7">
        <v>144</v>
      </c>
      <c r="K7"/>
      <c r="L7"/>
      <c r="M7"/>
      <c r="N7"/>
      <c r="O7"/>
      <c r="P7"/>
      <c r="Q7"/>
      <c r="R7"/>
      <c r="S7"/>
      <c r="T7"/>
      <c r="U7"/>
      <c r="V7"/>
      <c r="W7"/>
      <c r="X7"/>
    </row>
    <row r="8" spans="1:24" x14ac:dyDescent="0.3">
      <c r="A8" s="70">
        <f t="shared" si="0"/>
        <v>7</v>
      </c>
      <c r="B8" s="70" t="s">
        <v>45</v>
      </c>
      <c r="C8" s="5" t="s">
        <v>9</v>
      </c>
      <c r="D8" s="70" t="s">
        <v>3</v>
      </c>
      <c r="E8" s="70">
        <v>143</v>
      </c>
      <c r="G8" s="191" t="s">
        <v>10</v>
      </c>
      <c r="H8">
        <v>137</v>
      </c>
      <c r="I8">
        <v>150</v>
      </c>
      <c r="J8">
        <v>138</v>
      </c>
      <c r="K8" t="str">
        <f>"Evaluation scores of the DTA Models - "&amp;H1</f>
        <v>Evaluation scores of the DTA Models - Strategic Planning</v>
      </c>
      <c r="L8"/>
    </row>
    <row r="9" spans="1:24" x14ac:dyDescent="0.3">
      <c r="A9" s="70">
        <f t="shared" si="0"/>
        <v>8</v>
      </c>
      <c r="B9" s="70" t="s">
        <v>45</v>
      </c>
      <c r="C9" s="5" t="s">
        <v>9</v>
      </c>
      <c r="D9" s="70" t="s">
        <v>4</v>
      </c>
      <c r="E9" s="70">
        <v>140</v>
      </c>
      <c r="G9"/>
      <c r="H9"/>
      <c r="I9"/>
      <c r="J9"/>
      <c r="K9"/>
      <c r="L9"/>
    </row>
    <row r="10" spans="1:24" x14ac:dyDescent="0.3">
      <c r="A10" s="70">
        <f t="shared" si="0"/>
        <v>9</v>
      </c>
      <c r="B10" s="70" t="s">
        <v>45</v>
      </c>
      <c r="C10" s="5" t="s">
        <v>9</v>
      </c>
      <c r="D10" s="70" t="s">
        <v>5</v>
      </c>
      <c r="E10" s="70">
        <v>138</v>
      </c>
      <c r="G10"/>
      <c r="H10"/>
      <c r="I10"/>
      <c r="J10"/>
      <c r="K10"/>
      <c r="L10"/>
    </row>
    <row r="11" spans="1:24" x14ac:dyDescent="0.3">
      <c r="A11" s="70">
        <f t="shared" si="0"/>
        <v>10</v>
      </c>
      <c r="B11" s="70" t="s">
        <v>45</v>
      </c>
      <c r="C11" s="5" t="s">
        <v>10</v>
      </c>
      <c r="D11" s="70" t="s">
        <v>3</v>
      </c>
      <c r="E11" s="70">
        <v>137</v>
      </c>
      <c r="G11"/>
      <c r="H11"/>
      <c r="I11"/>
      <c r="J11"/>
      <c r="K11"/>
      <c r="L11"/>
    </row>
    <row r="12" spans="1:24" x14ac:dyDescent="0.3">
      <c r="A12" s="70">
        <f t="shared" si="0"/>
        <v>11</v>
      </c>
      <c r="B12" s="70" t="s">
        <v>45</v>
      </c>
      <c r="C12" s="5" t="s">
        <v>10</v>
      </c>
      <c r="D12" s="70" t="s">
        <v>4</v>
      </c>
      <c r="E12" s="70">
        <v>150</v>
      </c>
      <c r="G12"/>
      <c r="H12"/>
      <c r="I12"/>
      <c r="J12"/>
      <c r="K12"/>
      <c r="L12"/>
    </row>
    <row r="13" spans="1:24" x14ac:dyDescent="0.3">
      <c r="A13" s="70">
        <f t="shared" si="0"/>
        <v>12</v>
      </c>
      <c r="B13" s="70" t="s">
        <v>45</v>
      </c>
      <c r="C13" s="5" t="s">
        <v>10</v>
      </c>
      <c r="D13" s="70" t="s">
        <v>5</v>
      </c>
      <c r="E13" s="70">
        <v>161</v>
      </c>
      <c r="G13"/>
      <c r="H13"/>
      <c r="I13"/>
      <c r="J13"/>
      <c r="K13"/>
      <c r="L13"/>
    </row>
    <row r="14" spans="1:24" x14ac:dyDescent="0.3">
      <c r="A14" s="70">
        <f t="shared" si="0"/>
        <v>13</v>
      </c>
      <c r="B14" s="70" t="s">
        <v>46</v>
      </c>
      <c r="C14" s="5" t="s">
        <v>7</v>
      </c>
      <c r="D14" s="70" t="s">
        <v>3</v>
      </c>
      <c r="E14" s="189">
        <v>146</v>
      </c>
      <c r="G14"/>
      <c r="H14"/>
      <c r="I14"/>
      <c r="J14"/>
      <c r="K14"/>
      <c r="L14"/>
    </row>
    <row r="15" spans="1:24" x14ac:dyDescent="0.3">
      <c r="A15" s="70">
        <f t="shared" si="0"/>
        <v>14</v>
      </c>
      <c r="B15" s="70" t="s">
        <v>46</v>
      </c>
      <c r="C15" s="5" t="s">
        <v>7</v>
      </c>
      <c r="D15" s="70" t="s">
        <v>4</v>
      </c>
      <c r="E15" s="70">
        <v>159</v>
      </c>
      <c r="G15"/>
      <c r="H15"/>
      <c r="I15"/>
      <c r="J15"/>
      <c r="K15"/>
      <c r="L15"/>
    </row>
    <row r="16" spans="1:24" x14ac:dyDescent="0.3">
      <c r="A16" s="70">
        <f t="shared" si="0"/>
        <v>15</v>
      </c>
      <c r="B16" s="70" t="s">
        <v>46</v>
      </c>
      <c r="C16" s="5" t="s">
        <v>7</v>
      </c>
      <c r="D16" s="70" t="s">
        <v>5</v>
      </c>
      <c r="E16" s="70">
        <v>163</v>
      </c>
      <c r="G16"/>
      <c r="H16"/>
      <c r="I16"/>
    </row>
    <row r="17" spans="1:9" x14ac:dyDescent="0.3">
      <c r="A17" s="70">
        <f t="shared" si="0"/>
        <v>16</v>
      </c>
      <c r="B17" s="70" t="s">
        <v>46</v>
      </c>
      <c r="C17" s="5" t="s">
        <v>8</v>
      </c>
      <c r="D17" s="70" t="s">
        <v>3</v>
      </c>
      <c r="E17" s="70">
        <v>161</v>
      </c>
      <c r="G17"/>
      <c r="H17"/>
      <c r="I17"/>
    </row>
    <row r="18" spans="1:9" x14ac:dyDescent="0.3">
      <c r="A18" s="70">
        <f t="shared" si="0"/>
        <v>17</v>
      </c>
      <c r="B18" s="70" t="s">
        <v>46</v>
      </c>
      <c r="C18" s="5" t="s">
        <v>8</v>
      </c>
      <c r="D18" s="70" t="s">
        <v>4</v>
      </c>
      <c r="E18" s="70">
        <v>179</v>
      </c>
      <c r="G18"/>
      <c r="H18"/>
      <c r="I18"/>
    </row>
    <row r="19" spans="1:9" x14ac:dyDescent="0.3">
      <c r="A19" s="70">
        <f t="shared" si="0"/>
        <v>18</v>
      </c>
      <c r="B19" s="70" t="s">
        <v>46</v>
      </c>
      <c r="C19" s="5" t="s">
        <v>8</v>
      </c>
      <c r="D19" s="70" t="s">
        <v>5</v>
      </c>
      <c r="E19" s="70">
        <v>183</v>
      </c>
      <c r="G19"/>
      <c r="H19"/>
    </row>
    <row r="20" spans="1:9" x14ac:dyDescent="0.3">
      <c r="A20" s="70">
        <f t="shared" si="0"/>
        <v>19</v>
      </c>
      <c r="B20" s="70" t="s">
        <v>46</v>
      </c>
      <c r="C20" s="5" t="s">
        <v>9</v>
      </c>
      <c r="D20" s="70" t="s">
        <v>3</v>
      </c>
      <c r="E20" s="70">
        <v>152</v>
      </c>
    </row>
    <row r="21" spans="1:9" x14ac:dyDescent="0.3">
      <c r="A21" s="70">
        <f t="shared" si="0"/>
        <v>20</v>
      </c>
      <c r="B21" s="70" t="s">
        <v>46</v>
      </c>
      <c r="C21" s="5" t="s">
        <v>9</v>
      </c>
      <c r="D21" s="70" t="s">
        <v>4</v>
      </c>
      <c r="E21" s="70">
        <v>155</v>
      </c>
    </row>
    <row r="22" spans="1:9" x14ac:dyDescent="0.3">
      <c r="A22" s="70">
        <f t="shared" si="0"/>
        <v>21</v>
      </c>
      <c r="B22" s="70" t="s">
        <v>46</v>
      </c>
      <c r="C22" s="5" t="s">
        <v>9</v>
      </c>
      <c r="D22" s="70" t="s">
        <v>5</v>
      </c>
      <c r="E22" s="70">
        <v>150</v>
      </c>
    </row>
    <row r="23" spans="1:9" x14ac:dyDescent="0.3">
      <c r="A23" s="70">
        <f t="shared" si="0"/>
        <v>22</v>
      </c>
      <c r="B23" s="70" t="s">
        <v>46</v>
      </c>
      <c r="C23" s="5" t="s">
        <v>10</v>
      </c>
      <c r="D23" s="70" t="s">
        <v>3</v>
      </c>
      <c r="E23" s="70">
        <v>150</v>
      </c>
    </row>
    <row r="24" spans="1:9" x14ac:dyDescent="0.3">
      <c r="A24" s="70">
        <f t="shared" si="0"/>
        <v>23</v>
      </c>
      <c r="B24" s="70" t="s">
        <v>46</v>
      </c>
      <c r="C24" s="5" t="s">
        <v>10</v>
      </c>
      <c r="D24" s="70" t="s">
        <v>4</v>
      </c>
      <c r="E24" s="70">
        <v>165</v>
      </c>
    </row>
    <row r="25" spans="1:9" x14ac:dyDescent="0.3">
      <c r="A25" s="70">
        <f t="shared" si="0"/>
        <v>24</v>
      </c>
      <c r="B25" s="70" t="s">
        <v>46</v>
      </c>
      <c r="C25" s="5" t="s">
        <v>10</v>
      </c>
      <c r="D25" s="70" t="s">
        <v>5</v>
      </c>
      <c r="E25" s="70">
        <v>177</v>
      </c>
    </row>
    <row r="26" spans="1:9" x14ac:dyDescent="0.3">
      <c r="A26" s="70">
        <f t="shared" si="0"/>
        <v>25</v>
      </c>
      <c r="B26" s="70" t="s">
        <v>47</v>
      </c>
      <c r="C26" s="5" t="s">
        <v>7</v>
      </c>
      <c r="D26" s="70" t="s">
        <v>3</v>
      </c>
      <c r="E26" s="189">
        <v>132</v>
      </c>
    </row>
    <row r="27" spans="1:9" x14ac:dyDescent="0.3">
      <c r="A27" s="70">
        <f t="shared" si="0"/>
        <v>26</v>
      </c>
      <c r="B27" s="70" t="s">
        <v>47</v>
      </c>
      <c r="C27" s="5" t="s">
        <v>7</v>
      </c>
      <c r="D27" s="70" t="s">
        <v>4</v>
      </c>
      <c r="E27" s="70">
        <v>142</v>
      </c>
    </row>
    <row r="28" spans="1:9" x14ac:dyDescent="0.3">
      <c r="A28" s="70">
        <f t="shared" si="0"/>
        <v>27</v>
      </c>
      <c r="B28" s="70" t="s">
        <v>47</v>
      </c>
      <c r="C28" s="5" t="s">
        <v>7</v>
      </c>
      <c r="D28" s="70" t="s">
        <v>5</v>
      </c>
      <c r="E28" s="70">
        <v>144</v>
      </c>
    </row>
    <row r="29" spans="1:9" x14ac:dyDescent="0.3">
      <c r="A29" s="70">
        <f t="shared" si="0"/>
        <v>28</v>
      </c>
      <c r="B29" s="70" t="s">
        <v>47</v>
      </c>
      <c r="C29" s="5" t="s">
        <v>8</v>
      </c>
      <c r="D29" s="70" t="s">
        <v>3</v>
      </c>
      <c r="E29" s="70">
        <v>146</v>
      </c>
    </row>
    <row r="30" spans="1:9" x14ac:dyDescent="0.3">
      <c r="A30" s="70">
        <f t="shared" si="0"/>
        <v>29</v>
      </c>
      <c r="B30" s="70" t="s">
        <v>47</v>
      </c>
      <c r="C30" s="5" t="s">
        <v>8</v>
      </c>
      <c r="D30" s="70" t="s">
        <v>4</v>
      </c>
      <c r="E30" s="70">
        <v>163</v>
      </c>
    </row>
    <row r="31" spans="1:9" x14ac:dyDescent="0.3">
      <c r="A31" s="70">
        <f t="shared" si="0"/>
        <v>30</v>
      </c>
      <c r="B31" s="70" t="s">
        <v>47</v>
      </c>
      <c r="C31" s="5" t="s">
        <v>8</v>
      </c>
      <c r="D31" s="70" t="s">
        <v>5</v>
      </c>
      <c r="E31" s="70">
        <v>167</v>
      </c>
    </row>
    <row r="32" spans="1:9" x14ac:dyDescent="0.3">
      <c r="A32" s="70">
        <f t="shared" si="0"/>
        <v>31</v>
      </c>
      <c r="B32" s="70" t="s">
        <v>47</v>
      </c>
      <c r="C32" s="5" t="s">
        <v>9</v>
      </c>
      <c r="D32" s="70" t="s">
        <v>3</v>
      </c>
      <c r="E32" s="70">
        <v>144</v>
      </c>
    </row>
    <row r="33" spans="1:5" x14ac:dyDescent="0.3">
      <c r="A33" s="70">
        <f t="shared" si="0"/>
        <v>32</v>
      </c>
      <c r="B33" s="70" t="s">
        <v>47</v>
      </c>
      <c r="C33" s="5" t="s">
        <v>9</v>
      </c>
      <c r="D33" s="70" t="s">
        <v>4</v>
      </c>
      <c r="E33" s="70">
        <v>138</v>
      </c>
    </row>
    <row r="34" spans="1:5" x14ac:dyDescent="0.3">
      <c r="A34" s="70">
        <f t="shared" si="0"/>
        <v>33</v>
      </c>
      <c r="B34" s="70" t="s">
        <v>47</v>
      </c>
      <c r="C34" s="5" t="s">
        <v>9</v>
      </c>
      <c r="D34" s="70" t="s">
        <v>5</v>
      </c>
      <c r="E34" s="70">
        <v>134</v>
      </c>
    </row>
    <row r="35" spans="1:5" x14ac:dyDescent="0.3">
      <c r="A35" s="70">
        <f t="shared" si="0"/>
        <v>34</v>
      </c>
      <c r="B35" s="70" t="s">
        <v>47</v>
      </c>
      <c r="C35" s="5" t="s">
        <v>10</v>
      </c>
      <c r="D35" s="70" t="s">
        <v>3</v>
      </c>
      <c r="E35" s="70">
        <v>138</v>
      </c>
    </row>
    <row r="36" spans="1:5" x14ac:dyDescent="0.3">
      <c r="A36" s="70">
        <f t="shared" si="0"/>
        <v>35</v>
      </c>
      <c r="B36" s="70" t="s">
        <v>47</v>
      </c>
      <c r="C36" s="5" t="s">
        <v>10</v>
      </c>
      <c r="D36" s="70" t="s">
        <v>4</v>
      </c>
      <c r="E36" s="70">
        <v>149</v>
      </c>
    </row>
    <row r="37" spans="1:5" x14ac:dyDescent="0.3">
      <c r="A37" s="70">
        <f t="shared" si="0"/>
        <v>36</v>
      </c>
      <c r="B37" s="70" t="s">
        <v>47</v>
      </c>
      <c r="C37" s="5" t="s">
        <v>10</v>
      </c>
      <c r="D37" s="70" t="s">
        <v>5</v>
      </c>
      <c r="E37" s="70">
        <v>161</v>
      </c>
    </row>
  </sheetData>
  <autoFilter ref="A1:E37" xr:uid="{47EE0DCA-4AAA-4C2A-BD02-A2A3C0BC3B24}"/>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4EF9C-3C3F-4C97-8B77-BF27C8F9CFA0}">
  <sheetPr>
    <tabColor theme="1"/>
  </sheetPr>
  <dimension ref="A1:AH63"/>
  <sheetViews>
    <sheetView zoomScale="85" zoomScaleNormal="85" workbookViewId="0">
      <pane xSplit="2" ySplit="3" topLeftCell="L4" activePane="bottomRight" state="frozen"/>
      <selection pane="topRight" activeCell="A2" sqref="A2"/>
      <selection pane="bottomLeft" activeCell="A2" sqref="A2"/>
      <selection pane="bottomRight" activeCell="X1" sqref="X1"/>
    </sheetView>
  </sheetViews>
  <sheetFormatPr defaultColWidth="8.88671875" defaultRowHeight="14.4" x14ac:dyDescent="0.3"/>
  <cols>
    <col min="1" max="1" width="12.6640625" style="2" customWidth="1"/>
    <col min="2" max="2" width="44.6640625" style="1" customWidth="1"/>
    <col min="3" max="3" width="12.33203125" style="2" customWidth="1"/>
    <col min="4" max="5" width="12.44140625" style="1" customWidth="1"/>
    <col min="6" max="10" width="13.44140625" style="1" customWidth="1"/>
    <col min="11" max="22" width="12" style="2" customWidth="1"/>
    <col min="23" max="25" width="16.88671875" style="2" customWidth="1"/>
    <col min="26" max="26" width="1.33203125" style="43" customWidth="1"/>
    <col min="27" max="28" width="7.109375" style="63" customWidth="1"/>
    <col min="29" max="29" width="9.5546875" style="63" customWidth="1"/>
    <col min="30" max="30" width="17.6640625" style="63" customWidth="1"/>
    <col min="31" max="31" width="26.88671875" style="63" bestFit="1" customWidth="1"/>
    <col min="32" max="32" width="27.5546875" style="63" customWidth="1"/>
    <col min="33" max="33" width="16.109375" style="63" customWidth="1"/>
    <col min="34" max="34" width="31" style="63" customWidth="1"/>
    <col min="35" max="16384" width="8.88671875" style="63"/>
  </cols>
  <sheetData>
    <row r="1" spans="1:34" x14ac:dyDescent="0.3">
      <c r="K1" s="44" t="s">
        <v>102</v>
      </c>
      <c r="L1" s="44"/>
      <c r="M1" s="44"/>
      <c r="N1" s="44"/>
      <c r="O1" s="199" t="s">
        <v>103</v>
      </c>
      <c r="P1" s="198"/>
      <c r="Q1" s="198"/>
      <c r="R1" s="198"/>
      <c r="S1" s="200" t="s">
        <v>104</v>
      </c>
      <c r="T1" s="200"/>
      <c r="U1" s="200"/>
      <c r="V1" s="200"/>
    </row>
    <row r="2" spans="1:34" ht="28.95" customHeight="1" x14ac:dyDescent="0.3">
      <c r="A2" s="86" t="s">
        <v>44</v>
      </c>
      <c r="B2" s="15"/>
      <c r="C2" s="38" t="s">
        <v>45</v>
      </c>
      <c r="D2" s="6" t="s">
        <v>46</v>
      </c>
      <c r="E2" s="6" t="s">
        <v>47</v>
      </c>
      <c r="F2" s="214" t="s">
        <v>48</v>
      </c>
      <c r="G2" s="215"/>
      <c r="H2" s="215"/>
      <c r="I2" s="215"/>
      <c r="J2" s="216"/>
      <c r="K2" s="217" t="s">
        <v>49</v>
      </c>
      <c r="L2" s="218"/>
      <c r="M2" s="218"/>
      <c r="N2" s="218"/>
      <c r="O2" s="217" t="s">
        <v>49</v>
      </c>
      <c r="P2" s="218"/>
      <c r="Q2" s="218"/>
      <c r="R2" s="218"/>
      <c r="S2" s="217" t="s">
        <v>49</v>
      </c>
      <c r="T2" s="218"/>
      <c r="U2" s="218"/>
      <c r="V2" s="218"/>
      <c r="W2" s="218" t="s">
        <v>50</v>
      </c>
      <c r="X2" s="218"/>
      <c r="Y2" s="218"/>
      <c r="AD2" s="60" t="s">
        <v>51</v>
      </c>
      <c r="AE2" s="61" t="s">
        <v>52</v>
      </c>
      <c r="AF2" s="61" t="s">
        <v>53</v>
      </c>
      <c r="AG2" s="61" t="s">
        <v>54</v>
      </c>
      <c r="AH2" s="62" t="s">
        <v>55</v>
      </c>
    </row>
    <row r="3" spans="1:34" ht="28.8" x14ac:dyDescent="0.3">
      <c r="A3" s="77" t="str">
        <f>EMMa!A2</f>
        <v>Policy Maker</v>
      </c>
      <c r="B3" s="77" t="str">
        <f>EMMa!B2</f>
        <v>Strategic Planning</v>
      </c>
      <c r="C3" s="77" t="s">
        <v>56</v>
      </c>
      <c r="D3" s="77" t="s">
        <v>57</v>
      </c>
      <c r="E3" s="77" t="s">
        <v>58</v>
      </c>
      <c r="F3" s="89" t="s">
        <v>59</v>
      </c>
      <c r="G3" s="89" t="s">
        <v>60</v>
      </c>
      <c r="H3" s="89" t="s">
        <v>56</v>
      </c>
      <c r="I3" s="89" t="s">
        <v>57</v>
      </c>
      <c r="J3" s="89" t="s">
        <v>58</v>
      </c>
      <c r="K3" s="90" t="s">
        <v>7</v>
      </c>
      <c r="L3" s="90" t="s">
        <v>8</v>
      </c>
      <c r="M3" s="90" t="s">
        <v>9</v>
      </c>
      <c r="N3" s="90" t="s">
        <v>10</v>
      </c>
      <c r="O3" s="90" t="s">
        <v>7</v>
      </c>
      <c r="P3" s="90" t="s">
        <v>8</v>
      </c>
      <c r="Q3" s="90" t="s">
        <v>9</v>
      </c>
      <c r="R3" s="90" t="s">
        <v>10</v>
      </c>
      <c r="S3" s="90" t="s">
        <v>7</v>
      </c>
      <c r="T3" s="90" t="s">
        <v>8</v>
      </c>
      <c r="U3" s="90" t="s">
        <v>9</v>
      </c>
      <c r="V3" s="90" t="s">
        <v>10</v>
      </c>
      <c r="W3" s="91" t="s">
        <v>56</v>
      </c>
      <c r="X3" s="91" t="s">
        <v>57</v>
      </c>
      <c r="Y3" s="91" t="s">
        <v>58</v>
      </c>
      <c r="AD3" s="64" t="s">
        <v>61</v>
      </c>
    </row>
    <row r="4" spans="1:34" ht="30.6" customHeight="1" x14ac:dyDescent="0.3">
      <c r="A4" s="88"/>
      <c r="B4" s="97" t="str">
        <f>+MOPs!B2</f>
        <v>Conceptual Validation</v>
      </c>
      <c r="C4" s="98"/>
      <c r="D4" s="99"/>
      <c r="E4" s="99"/>
      <c r="F4" s="100"/>
      <c r="G4" s="100"/>
      <c r="H4" s="100"/>
      <c r="I4" s="100"/>
      <c r="J4" s="100"/>
      <c r="K4" s="98"/>
      <c r="L4" s="98"/>
      <c r="M4" s="98"/>
      <c r="N4" s="98"/>
      <c r="O4" s="98"/>
      <c r="P4" s="98"/>
      <c r="Q4" s="98"/>
      <c r="R4" s="98"/>
      <c r="S4" s="98"/>
      <c r="T4" s="98"/>
      <c r="U4" s="98"/>
      <c r="V4" s="98"/>
      <c r="W4" s="98"/>
      <c r="X4" s="98"/>
      <c r="Y4" s="101"/>
    </row>
    <row r="5" spans="1:34" ht="34.950000000000003" customHeight="1" x14ac:dyDescent="0.3">
      <c r="A5" s="14"/>
      <c r="B5" s="92" t="str">
        <f>+MOPs!B3</f>
        <v>Flow Metering or Blocking back - strict capacity constraint</v>
      </c>
      <c r="C5" s="105">
        <f>EMMa!C4</f>
        <v>2</v>
      </c>
      <c r="D5" s="105">
        <f>EMMa!D4</f>
        <v>3</v>
      </c>
      <c r="E5" s="105">
        <f>EMMa!E4</f>
        <v>3</v>
      </c>
      <c r="F5" s="93" t="str">
        <f>EMMa!F4</f>
        <v>Higher the better</v>
      </c>
      <c r="G5" s="93">
        <f>EMMa!G4</f>
        <v>1</v>
      </c>
      <c r="H5" s="94">
        <f>EMMa!H4</f>
        <v>0.66666666666666663</v>
      </c>
      <c r="I5" s="94">
        <f>EMMa!I4</f>
        <v>1</v>
      </c>
      <c r="J5" s="94">
        <f>EMMa!J4</f>
        <v>1</v>
      </c>
      <c r="K5" s="95">
        <f>+SUMIFS(Weights1!R$4:R$69,Weights1!$C$4:$C$69,EMMa_vis!$B$3,Weights1!$D$4:$D$69,EMMa_vis!$AA5)+SUMIFS(Weights1!R$4:R$69,Weights1!$C$4:$C$69,EMMa_vis!$B$3,Weights1!$D$4:$D$69,EMMa_vis!$AB5)</f>
        <v>7</v>
      </c>
      <c r="L5" s="95">
        <f>+SUMIFS(Weights1!S$4:S$69,Weights1!$C$4:$C$69,EMMa_vis!$B$3,Weights1!$D$4:$D$69,EMMa_vis!$AA5)+SUMIFS(Weights1!S$4:S$69,Weights1!$C$4:$C$69,EMMa_vis!$B$3,Weights1!$D$4:$D$69,EMMa_vis!$AB5)</f>
        <v>7.5</v>
      </c>
      <c r="M5" s="95">
        <f>+SUMIFS(Weights1!T$4:T$69,Weights1!$C$4:$C$69,EMMa_vis!$B$3,Weights1!$D$4:$D$69,EMMa_vis!$AA5)+SUMIFS(Weights1!T$4:T$69,Weights1!$C$4:$C$69,EMMa_vis!$B$3,Weights1!$D$4:$D$69,EMMa_vis!$AB5)</f>
        <v>8</v>
      </c>
      <c r="N5" s="95">
        <f>+SUMIFS(Weights1!U$4:U$69,Weights1!$C$4:$C$69,EMMa_vis!$B$3,Weights1!$D$4:$D$69,EMMa_vis!$AA5)+SUMIFS(Weights1!U$4:U$69,Weights1!$C$4:$C$69,EMMa_vis!$B$3,Weights1!$D$4:$D$69,EMMa_vis!$AB5)</f>
        <v>8.75</v>
      </c>
      <c r="O5" s="95">
        <f ca="1">+SUMIFS(Weights1!V$4:V$69,Weights1!$C$4:$C$69,EMMa_vis!$B$3,Weights1!$D$4:$D$69,EMMa_vis!$AA5)+SUMIFS(Weights1!V$4:V$69,Weights1!$C$4:$C$69,EMMa_vis!$B$3,Weights1!$D$4:$D$69,EMMa_vis!$AB5)</f>
        <v>0</v>
      </c>
      <c r="P5" s="95">
        <f ca="1">+SUMIFS(Weights1!W$4:W$69,Weights1!$C$4:$C$69,EMMa_vis!$B$3,Weights1!$D$4:$D$69,EMMa_vis!$AA5)+SUMIFS(Weights1!W$4:W$69,Weights1!$C$4:$C$69,EMMa_vis!$B$3,Weights1!$D$4:$D$69,EMMa_vis!$AB5)</f>
        <v>0</v>
      </c>
      <c r="Q5" s="95">
        <f ca="1">+SUMIFS(Weights1!X$4:X$69,Weights1!$C$4:$C$69,EMMa_vis!$B$3,Weights1!$D$4:$D$69,EMMa_vis!$AA5)+SUMIFS(Weights1!X$4:X$69,Weights1!$C$4:$C$69,EMMa_vis!$B$3,Weights1!$D$4:$D$69,EMMa_vis!$AB5)</f>
        <v>0</v>
      </c>
      <c r="R5" s="95">
        <f ca="1">+SUMIFS(Weights1!Y$4:Y$69,Weights1!$C$4:$C$69,EMMa_vis!$B$3,Weights1!$D$4:$D$69,EMMa_vis!$AA5)+SUMIFS(Weights1!Y$4:Y$69,Weights1!$C$4:$C$69,EMMa_vis!$B$3,Weights1!$D$4:$D$69,EMMa_vis!$AB5)</f>
        <v>0</v>
      </c>
      <c r="S5" s="95">
        <f ca="1">+SUMIFS(Weights1!Z$4:Z$69,Weights1!$C$4:$C$69,EMMa_vis!$B$3,Weights1!$D$4:$D$69,EMMa_vis!$AA5)+SUMIFS(Weights1!Z$4:Z$69,Weights1!$C$4:$C$69,EMMa_vis!$B$3,Weights1!$D$4:$D$69,EMMa_vis!$AB5)</f>
        <v>0</v>
      </c>
      <c r="T5" s="95">
        <f ca="1">+SUMIFS(Weights1!AA$4:AA$69,Weights1!$C$4:$C$69,EMMa_vis!$B$3,Weights1!$D$4:$D$69,EMMa_vis!$AA5)+SUMIFS(Weights1!AA$4:AA$69,Weights1!$C$4:$C$69,EMMa_vis!$B$3,Weights1!$D$4:$D$69,EMMa_vis!$AB5)</f>
        <v>0</v>
      </c>
      <c r="U5" s="95">
        <f ca="1">+SUMIFS(Weights1!AB$4:AB$69,Weights1!$C$4:$C$69,EMMa_vis!$B$3,Weights1!$D$4:$D$69,EMMa_vis!$AA5)+SUMIFS(Weights1!AB$4:AB$69,Weights1!$C$4:$C$69,EMMa_vis!$B$3,Weights1!$D$4:$D$69,EMMa_vis!$AB5)</f>
        <v>0</v>
      </c>
      <c r="V5" s="95">
        <f ca="1">+SUMIFS(Weights1!AC$4:AC$69,Weights1!$C$4:$C$69,EMMa_vis!$B$3,Weights1!$D$4:$D$69,EMMa_vis!$AA5)+SUMIFS(Weights1!AC$4:AC$69,Weights1!$C$4:$C$69,EMMa_vis!$B$3,Weights1!$D$4:$D$69,EMMa_vis!$AB5)</f>
        <v>0</v>
      </c>
      <c r="W5" s="96">
        <f>+IF($A$3=$K$3,$K5*H5,IF($A$3=$L$3,$L5*H5,IF($A$3=$M$3,$M5*H5,IF($A$3=$N$3,$N5*H5))))</f>
        <v>4.6666666666666661</v>
      </c>
      <c r="X5" s="96">
        <f>+IF($A$3=$K$3,$K5*I5,IF($A$3=$L$3,$L5*I5,IF($A$3=$M$3,$M5*I5,IF($A$3=$N$3,$N5*I5))))</f>
        <v>7</v>
      </c>
      <c r="Y5" s="96">
        <f>+IF($A$3=$K$3,$K5*J5,IF($A$3=$L$3,$L5*J5,IF($A$3=$M$3,$M5*J5,IF($A$3=$N$3,$N5*J5))))</f>
        <v>7</v>
      </c>
      <c r="AA5" s="63" t="s">
        <v>63</v>
      </c>
      <c r="AB5" s="63" t="s">
        <v>64</v>
      </c>
    </row>
    <row r="6" spans="1:34" ht="28.8" x14ac:dyDescent="0.3">
      <c r="A6" s="14"/>
      <c r="B6" s="55" t="str">
        <f>+MOPs!B4</f>
        <v>Traffic Spillback - strict storage constraint</v>
      </c>
      <c r="C6" s="105">
        <f>EMMa!C5</f>
        <v>3</v>
      </c>
      <c r="D6" s="105">
        <f>EMMa!D5</f>
        <v>4</v>
      </c>
      <c r="E6" s="105">
        <f>EMMa!E5</f>
        <v>3</v>
      </c>
      <c r="F6" s="93" t="str">
        <f>EMMa!F5</f>
        <v>Higher the better</v>
      </c>
      <c r="G6" s="93">
        <f>EMMa!G5</f>
        <v>1</v>
      </c>
      <c r="H6" s="94">
        <f>EMMa!H5</f>
        <v>0.75</v>
      </c>
      <c r="I6" s="94">
        <f>EMMa!I5</f>
        <v>1</v>
      </c>
      <c r="J6" s="94">
        <f>EMMa!J5</f>
        <v>0.75</v>
      </c>
      <c r="K6" s="85">
        <f>+SUMIFS(Weights1!R$4:R$69,Weights1!$C$4:$C$69,EMMa_vis!$B$3,Weights1!$D$4:$D$69,EMMa_vis!$AA6)+SUMIFS(Weights1!R$4:R$69,Weights1!$C$4:$C$69,EMMa_vis!$B$3,Weights1!$D$4:$D$69,EMMa_vis!$AB6)</f>
        <v>7</v>
      </c>
      <c r="L6" s="85">
        <f>+SUMIFS(Weights1!S$4:S$69,Weights1!$C$4:$C$69,EMMa_vis!$B$3,Weights1!$D$4:$D$69,EMMa_vis!$AA6)+SUMIFS(Weights1!S$4:S$69,Weights1!$C$4:$C$69,EMMa_vis!$B$3,Weights1!$D$4:$D$69,EMMa_vis!$AB6)</f>
        <v>7.5</v>
      </c>
      <c r="M6" s="85">
        <f>+SUMIFS(Weights1!T$4:T$69,Weights1!$C$4:$C$69,EMMa_vis!$B$3,Weights1!$D$4:$D$69,EMMa_vis!$AA6)+SUMIFS(Weights1!T$4:T$69,Weights1!$C$4:$C$69,EMMa_vis!$B$3,Weights1!$D$4:$D$69,EMMa_vis!$AB6)</f>
        <v>6.666666666666667</v>
      </c>
      <c r="N6" s="85">
        <f>+SUMIFS(Weights1!U$4:U$69,Weights1!$C$4:$C$69,EMMa_vis!$B$3,Weights1!$D$4:$D$69,EMMa_vis!$AA6)+SUMIFS(Weights1!U$4:U$69,Weights1!$C$4:$C$69,EMMa_vis!$B$3,Weights1!$D$4:$D$69,EMMa_vis!$AB6)</f>
        <v>7</v>
      </c>
      <c r="O6" s="85">
        <f ca="1">+SUMIFS(Weights1!V$4:V$69,Weights1!$C$4:$C$69,EMMa_vis!$B$3,Weights1!$D$4:$D$69,EMMa_vis!$AA6)+SUMIFS(Weights1!V$4:V$69,Weights1!$C$4:$C$69,EMMa_vis!$B$3,Weights1!$D$4:$D$69,EMMa_vis!$AB6)</f>
        <v>0</v>
      </c>
      <c r="P6" s="85">
        <f ca="1">+SUMIFS(Weights1!W$4:W$69,Weights1!$C$4:$C$69,EMMa_vis!$B$3,Weights1!$D$4:$D$69,EMMa_vis!$AA6)+SUMIFS(Weights1!W$4:W$69,Weights1!$C$4:$C$69,EMMa_vis!$B$3,Weights1!$D$4:$D$69,EMMa_vis!$AB6)</f>
        <v>0</v>
      </c>
      <c r="Q6" s="85">
        <f ca="1">+SUMIFS(Weights1!X$4:X$69,Weights1!$C$4:$C$69,EMMa_vis!$B$3,Weights1!$D$4:$D$69,EMMa_vis!$AA6)+SUMIFS(Weights1!X$4:X$69,Weights1!$C$4:$C$69,EMMa_vis!$B$3,Weights1!$D$4:$D$69,EMMa_vis!$AB6)</f>
        <v>0</v>
      </c>
      <c r="R6" s="85">
        <f ca="1">+SUMIFS(Weights1!Y$4:Y$69,Weights1!$C$4:$C$69,EMMa_vis!$B$3,Weights1!$D$4:$D$69,EMMa_vis!$AA6)+SUMIFS(Weights1!Y$4:Y$69,Weights1!$C$4:$C$69,EMMa_vis!$B$3,Weights1!$D$4:$D$69,EMMa_vis!$AB6)</f>
        <v>0</v>
      </c>
      <c r="S6" s="85">
        <f ca="1">+SUMIFS(Weights1!Z$4:Z$69,Weights1!$C$4:$C$69,EMMa_vis!$B$3,Weights1!$D$4:$D$69,EMMa_vis!$AA6)+SUMIFS(Weights1!Z$4:Z$69,Weights1!$C$4:$C$69,EMMa_vis!$B$3,Weights1!$D$4:$D$69,EMMa_vis!$AB6)</f>
        <v>0</v>
      </c>
      <c r="T6" s="85">
        <f ca="1">+SUMIFS(Weights1!AA$4:AA$69,Weights1!$C$4:$C$69,EMMa_vis!$B$3,Weights1!$D$4:$D$69,EMMa_vis!$AA6)+SUMIFS(Weights1!AA$4:AA$69,Weights1!$C$4:$C$69,EMMa_vis!$B$3,Weights1!$D$4:$D$69,EMMa_vis!$AB6)</f>
        <v>0</v>
      </c>
      <c r="U6" s="85">
        <f ca="1">+SUMIFS(Weights1!AB$4:AB$69,Weights1!$C$4:$C$69,EMMa_vis!$B$3,Weights1!$D$4:$D$69,EMMa_vis!$AA6)+SUMIFS(Weights1!AB$4:AB$69,Weights1!$C$4:$C$69,EMMa_vis!$B$3,Weights1!$D$4:$D$69,EMMa_vis!$AB6)</f>
        <v>0</v>
      </c>
      <c r="V6" s="85">
        <f ca="1">+SUMIFS(Weights1!AC$4:AC$69,Weights1!$C$4:$C$69,EMMa_vis!$B$3,Weights1!$D$4:$D$69,EMMa_vis!$AA6)+SUMIFS(Weights1!AC$4:AC$69,Weights1!$C$4:$C$69,EMMa_vis!$B$3,Weights1!$D$4:$D$69,EMMa_vis!$AB6)</f>
        <v>0</v>
      </c>
      <c r="W6" s="87">
        <f t="shared" ref="W6:Y11" si="0">+IF($A$3=$K$3,$K6*H6,IF($A$3=$L$3,$L6*H6,IF($A$3=$M$3,$M6*H6,IF($A$3=$N$3,$N6*H6))))</f>
        <v>5.25</v>
      </c>
      <c r="X6" s="87">
        <f t="shared" si="0"/>
        <v>7</v>
      </c>
      <c r="Y6" s="87">
        <f t="shared" si="0"/>
        <v>5.25</v>
      </c>
      <c r="AA6" s="63" t="s">
        <v>63</v>
      </c>
      <c r="AB6" s="63" t="s">
        <v>65</v>
      </c>
    </row>
    <row r="7" spans="1:34" ht="28.8" x14ac:dyDescent="0.3">
      <c r="A7" s="14"/>
      <c r="B7" s="55" t="str">
        <f>+MOPs!B5</f>
        <v>Capacity drop</v>
      </c>
      <c r="C7" s="105">
        <f>EMMa!C6</f>
        <v>0</v>
      </c>
      <c r="D7" s="105">
        <f>EMMa!D6</f>
        <v>2</v>
      </c>
      <c r="E7" s="105">
        <f>EMMa!E6</f>
        <v>0</v>
      </c>
      <c r="F7" s="93" t="str">
        <f>EMMa!F6</f>
        <v>Higher the better</v>
      </c>
      <c r="G7" s="93">
        <f>EMMa!G6</f>
        <v>1</v>
      </c>
      <c r="H7" s="94">
        <f>EMMa!H6</f>
        <v>0</v>
      </c>
      <c r="I7" s="94">
        <f>EMMa!I6</f>
        <v>1</v>
      </c>
      <c r="J7" s="94">
        <f>EMMa!J6</f>
        <v>0</v>
      </c>
      <c r="K7" s="85">
        <f>+SUMIFS(Weights1!R$4:R$69,Weights1!$C$4:$C$69,EMMa_vis!$B$3,Weights1!$D$4:$D$69,EMMa_vis!$AA7)+SUMIFS(Weights1!R$4:R$69,Weights1!$C$4:$C$69,EMMa_vis!$B$3,Weights1!$D$4:$D$69,EMMa_vis!$AB7)</f>
        <v>4</v>
      </c>
      <c r="L7" s="85">
        <f>+SUMIFS(Weights1!S$4:S$69,Weights1!$C$4:$C$69,EMMa_vis!$B$3,Weights1!$D$4:$D$69,EMMa_vis!$AA7)+SUMIFS(Weights1!S$4:S$69,Weights1!$C$4:$C$69,EMMa_vis!$B$3,Weights1!$D$4:$D$69,EMMa_vis!$AB7)</f>
        <v>5.333333333333333</v>
      </c>
      <c r="M7" s="85">
        <f>+SUMIFS(Weights1!T$4:T$69,Weights1!$C$4:$C$69,EMMa_vis!$B$3,Weights1!$D$4:$D$69,EMMa_vis!$AA7)+SUMIFS(Weights1!T$4:T$69,Weights1!$C$4:$C$69,EMMa_vis!$B$3,Weights1!$D$4:$D$69,EMMa_vis!$AB7)</f>
        <v>4.666666666666667</v>
      </c>
      <c r="N7" s="85">
        <f>+SUMIFS(Weights1!U$4:U$69,Weights1!$C$4:$C$69,EMMa_vis!$B$3,Weights1!$D$4:$D$69,EMMa_vis!$AA7)+SUMIFS(Weights1!U$4:U$69,Weights1!$C$4:$C$69,EMMa_vis!$B$3,Weights1!$D$4:$D$69,EMMa_vis!$AB7)</f>
        <v>6.25</v>
      </c>
      <c r="O7" s="85">
        <f ca="1">+SUMIFS(Weights1!V$4:V$69,Weights1!$C$4:$C$69,EMMa_vis!$B$3,Weights1!$D$4:$D$69,EMMa_vis!$AA7)+SUMIFS(Weights1!V$4:V$69,Weights1!$C$4:$C$69,EMMa_vis!$B$3,Weights1!$D$4:$D$69,EMMa_vis!$AB7)</f>
        <v>0</v>
      </c>
      <c r="P7" s="85">
        <f ca="1">+SUMIFS(Weights1!W$4:W$69,Weights1!$C$4:$C$69,EMMa_vis!$B$3,Weights1!$D$4:$D$69,EMMa_vis!$AA7)+SUMIFS(Weights1!W$4:W$69,Weights1!$C$4:$C$69,EMMa_vis!$B$3,Weights1!$D$4:$D$69,EMMa_vis!$AB7)</f>
        <v>0</v>
      </c>
      <c r="Q7" s="85">
        <f ca="1">+SUMIFS(Weights1!X$4:X$69,Weights1!$C$4:$C$69,EMMa_vis!$B$3,Weights1!$D$4:$D$69,EMMa_vis!$AA7)+SUMIFS(Weights1!X$4:X$69,Weights1!$C$4:$C$69,EMMa_vis!$B$3,Weights1!$D$4:$D$69,EMMa_vis!$AB7)</f>
        <v>0</v>
      </c>
      <c r="R7" s="85">
        <f ca="1">+SUMIFS(Weights1!Y$4:Y$69,Weights1!$C$4:$C$69,EMMa_vis!$B$3,Weights1!$D$4:$D$69,EMMa_vis!$AA7)+SUMIFS(Weights1!Y$4:Y$69,Weights1!$C$4:$C$69,EMMa_vis!$B$3,Weights1!$D$4:$D$69,EMMa_vis!$AB7)</f>
        <v>0</v>
      </c>
      <c r="S7" s="85">
        <f ca="1">+SUMIFS(Weights1!Z$4:Z$69,Weights1!$C$4:$C$69,EMMa_vis!$B$3,Weights1!$D$4:$D$69,EMMa_vis!$AA7)+SUMIFS(Weights1!Z$4:Z$69,Weights1!$C$4:$C$69,EMMa_vis!$B$3,Weights1!$D$4:$D$69,EMMa_vis!$AB7)</f>
        <v>0</v>
      </c>
      <c r="T7" s="85">
        <f ca="1">+SUMIFS(Weights1!AA$4:AA$69,Weights1!$C$4:$C$69,EMMa_vis!$B$3,Weights1!$D$4:$D$69,EMMa_vis!$AA7)+SUMIFS(Weights1!AA$4:AA$69,Weights1!$C$4:$C$69,EMMa_vis!$B$3,Weights1!$D$4:$D$69,EMMa_vis!$AB7)</f>
        <v>0</v>
      </c>
      <c r="U7" s="85">
        <f ca="1">+SUMIFS(Weights1!AB$4:AB$69,Weights1!$C$4:$C$69,EMMa_vis!$B$3,Weights1!$D$4:$D$69,EMMa_vis!$AA7)+SUMIFS(Weights1!AB$4:AB$69,Weights1!$C$4:$C$69,EMMa_vis!$B$3,Weights1!$D$4:$D$69,EMMa_vis!$AB7)</f>
        <v>0</v>
      </c>
      <c r="V7" s="85">
        <f ca="1">+SUMIFS(Weights1!AC$4:AC$69,Weights1!$C$4:$C$69,EMMa_vis!$B$3,Weights1!$D$4:$D$69,EMMa_vis!$AA7)+SUMIFS(Weights1!AC$4:AC$69,Weights1!$C$4:$C$69,EMMa_vis!$B$3,Weights1!$D$4:$D$69,EMMa_vis!$AB7)</f>
        <v>0</v>
      </c>
      <c r="W7" s="87">
        <f t="shared" si="0"/>
        <v>0</v>
      </c>
      <c r="X7" s="87">
        <f t="shared" si="0"/>
        <v>4</v>
      </c>
      <c r="Y7" s="87">
        <f t="shared" si="0"/>
        <v>0</v>
      </c>
      <c r="AA7" s="63" t="s">
        <v>66</v>
      </c>
      <c r="AB7" s="63" t="s">
        <v>67</v>
      </c>
    </row>
    <row r="8" spans="1:34" ht="28.8" x14ac:dyDescent="0.3">
      <c r="A8" s="4"/>
      <c r="B8" s="55" t="str">
        <f>+MOPs!B6</f>
        <v>Smoothness of temporal speed variations</v>
      </c>
      <c r="C8" s="105">
        <f>EMMa!C7</f>
        <v>44.567325656538536</v>
      </c>
      <c r="D8" s="105">
        <f>EMMa!D7</f>
        <v>33.638820757092056</v>
      </c>
      <c r="E8" s="105">
        <f>EMMa!E7</f>
        <v>34.784960084434964</v>
      </c>
      <c r="F8" s="93" t="str">
        <f>EMMa!F7</f>
        <v>Lower the better</v>
      </c>
      <c r="G8" s="93">
        <f>EMMa!G7</f>
        <v>0</v>
      </c>
      <c r="H8" s="94">
        <f>EMMa!H7</f>
        <v>0</v>
      </c>
      <c r="I8" s="94">
        <f>EMMa!I7</f>
        <v>0.24521338757608724</v>
      </c>
      <c r="J8" s="94">
        <f>EMMa!J7</f>
        <v>0.21949635586151417</v>
      </c>
      <c r="K8" s="85">
        <f>+SUMIFS(Weights1!R$4:R$69,Weights1!$C$4:$C$69,EMMa_vis!$B$3,Weights1!$D$4:$D$69,EMMa_vis!$AA8)+SUMIFS(Weights1!R$4:R$69,Weights1!$C$4:$C$69,EMMa_vis!$B$3,Weights1!$D$4:$D$69,EMMa_vis!$AB8)</f>
        <v>3</v>
      </c>
      <c r="L8" s="85">
        <f>+SUMIFS(Weights1!S$4:S$69,Weights1!$C$4:$C$69,EMMa_vis!$B$3,Weights1!$D$4:$D$69,EMMa_vis!$AA8)+SUMIFS(Weights1!S$4:S$69,Weights1!$C$4:$C$69,EMMa_vis!$B$3,Weights1!$D$4:$D$69,EMMa_vis!$AB8)</f>
        <v>3.4444444444444446</v>
      </c>
      <c r="M8" s="85">
        <f>+SUMIFS(Weights1!T$4:T$69,Weights1!$C$4:$C$69,EMMa_vis!$B$3,Weights1!$D$4:$D$69,EMMa_vis!$AA8)+SUMIFS(Weights1!T$4:T$69,Weights1!$C$4:$C$69,EMMa_vis!$B$3,Weights1!$D$4:$D$69,EMMa_vis!$AB8)</f>
        <v>5</v>
      </c>
      <c r="N8" s="85">
        <f>+SUMIFS(Weights1!U$4:U$69,Weights1!$C$4:$C$69,EMMa_vis!$B$3,Weights1!$D$4:$D$69,EMMa_vis!$AA8)+SUMIFS(Weights1!U$4:U$69,Weights1!$C$4:$C$69,EMMa_vis!$B$3,Weights1!$D$4:$D$69,EMMa_vis!$AB8)</f>
        <v>4.5</v>
      </c>
      <c r="O8" s="85">
        <f ca="1">+SUMIFS(Weights1!V$4:V$69,Weights1!$C$4:$C$69,EMMa_vis!$B$3,Weights1!$D$4:$D$69,EMMa_vis!$AA8)+SUMIFS(Weights1!V$4:V$69,Weights1!$C$4:$C$69,EMMa_vis!$B$3,Weights1!$D$4:$D$69,EMMa_vis!$AB8)</f>
        <v>0</v>
      </c>
      <c r="P8" s="85">
        <f ca="1">+SUMIFS(Weights1!W$4:W$69,Weights1!$C$4:$C$69,EMMa_vis!$B$3,Weights1!$D$4:$D$69,EMMa_vis!$AA8)+SUMIFS(Weights1!W$4:W$69,Weights1!$C$4:$C$69,EMMa_vis!$B$3,Weights1!$D$4:$D$69,EMMa_vis!$AB8)</f>
        <v>0</v>
      </c>
      <c r="Q8" s="85">
        <f ca="1">+SUMIFS(Weights1!X$4:X$69,Weights1!$C$4:$C$69,EMMa_vis!$B$3,Weights1!$D$4:$D$69,EMMa_vis!$AA8)+SUMIFS(Weights1!X$4:X$69,Weights1!$C$4:$C$69,EMMa_vis!$B$3,Weights1!$D$4:$D$69,EMMa_vis!$AB8)</f>
        <v>0</v>
      </c>
      <c r="R8" s="85">
        <f ca="1">+SUMIFS(Weights1!Y$4:Y$69,Weights1!$C$4:$C$69,EMMa_vis!$B$3,Weights1!$D$4:$D$69,EMMa_vis!$AA8)+SUMIFS(Weights1!Y$4:Y$69,Weights1!$C$4:$C$69,EMMa_vis!$B$3,Weights1!$D$4:$D$69,EMMa_vis!$AB8)</f>
        <v>0</v>
      </c>
      <c r="S8" s="85">
        <f ca="1">+SUMIFS(Weights1!Z$4:Z$69,Weights1!$C$4:$C$69,EMMa_vis!$B$3,Weights1!$D$4:$D$69,EMMa_vis!$AA8)+SUMIFS(Weights1!Z$4:Z$69,Weights1!$C$4:$C$69,EMMa_vis!$B$3,Weights1!$D$4:$D$69,EMMa_vis!$AB8)</f>
        <v>0</v>
      </c>
      <c r="T8" s="85">
        <f ca="1">+SUMIFS(Weights1!AA$4:AA$69,Weights1!$C$4:$C$69,EMMa_vis!$B$3,Weights1!$D$4:$D$69,EMMa_vis!$AA8)+SUMIFS(Weights1!AA$4:AA$69,Weights1!$C$4:$C$69,EMMa_vis!$B$3,Weights1!$D$4:$D$69,EMMa_vis!$AB8)</f>
        <v>0</v>
      </c>
      <c r="U8" s="85">
        <f ca="1">+SUMIFS(Weights1!AB$4:AB$69,Weights1!$C$4:$C$69,EMMa_vis!$B$3,Weights1!$D$4:$D$69,EMMa_vis!$AA8)+SUMIFS(Weights1!AB$4:AB$69,Weights1!$C$4:$C$69,EMMa_vis!$B$3,Weights1!$D$4:$D$69,EMMa_vis!$AB8)</f>
        <v>0</v>
      </c>
      <c r="V8" s="85">
        <f ca="1">+SUMIFS(Weights1!AC$4:AC$69,Weights1!$C$4:$C$69,EMMa_vis!$B$3,Weights1!$D$4:$D$69,EMMa_vis!$AA8)+SUMIFS(Weights1!AC$4:AC$69,Weights1!$C$4:$C$69,EMMa_vis!$B$3,Weights1!$D$4:$D$69,EMMa_vis!$AB8)</f>
        <v>0</v>
      </c>
      <c r="W8" s="87">
        <f t="shared" si="0"/>
        <v>0</v>
      </c>
      <c r="X8" s="87">
        <f t="shared" si="0"/>
        <v>0.73564016272826172</v>
      </c>
      <c r="Y8" s="87">
        <f t="shared" si="0"/>
        <v>0.65848906758454251</v>
      </c>
      <c r="AA8" s="63" t="s">
        <v>69</v>
      </c>
      <c r="AB8" s="63" t="s">
        <v>70</v>
      </c>
    </row>
    <row r="9" spans="1:34" ht="34.200000000000003" customHeight="1" x14ac:dyDescent="0.3">
      <c r="A9" s="4"/>
      <c r="B9" s="55" t="str">
        <f>+MOPs!B7</f>
        <v>Smoothness of temporal flow variations</v>
      </c>
      <c r="C9" s="105">
        <f>EMMa!C8</f>
        <v>18.386254123197098</v>
      </c>
      <c r="D9" s="105">
        <f>EMMa!D8</f>
        <v>1087.7371903363016</v>
      </c>
      <c r="E9" s="105">
        <f>EMMa!E8</f>
        <v>1089.1996356886873</v>
      </c>
      <c r="F9" s="93" t="str">
        <f>EMMa!F8</f>
        <v>Lower the better</v>
      </c>
      <c r="G9" s="93">
        <f>EMMa!G8</f>
        <v>0</v>
      </c>
      <c r="H9" s="94">
        <f>EMMa!H8</f>
        <v>0.98311948193815568</v>
      </c>
      <c r="I9" s="94">
        <f>EMMa!I8</f>
        <v>1.3426788849970617E-3</v>
      </c>
      <c r="J9" s="94">
        <f>EMMa!J8</f>
        <v>0</v>
      </c>
      <c r="K9" s="85">
        <f>+SUMIFS(Weights1!R$4:R$69,Weights1!$C$4:$C$69,EMMa_vis!$B$3,Weights1!$D$4:$D$69,EMMa_vis!$AA9)+SUMIFS(Weights1!R$4:R$69,Weights1!$C$4:$C$69,EMMa_vis!$B$3,Weights1!$D$4:$D$69,EMMa_vis!$AB9)</f>
        <v>3</v>
      </c>
      <c r="L9" s="85">
        <f>+SUMIFS(Weights1!S$4:S$69,Weights1!$C$4:$C$69,EMMa_vis!$B$3,Weights1!$D$4:$D$69,EMMa_vis!$AA9)+SUMIFS(Weights1!S$4:S$69,Weights1!$C$4:$C$69,EMMa_vis!$B$3,Weights1!$D$4:$D$69,EMMa_vis!$AB9)</f>
        <v>3.4444444444444446</v>
      </c>
      <c r="M9" s="85">
        <f>+SUMIFS(Weights1!T$4:T$69,Weights1!$C$4:$C$69,EMMa_vis!$B$3,Weights1!$D$4:$D$69,EMMa_vis!$AA9)+SUMIFS(Weights1!T$4:T$69,Weights1!$C$4:$C$69,EMMa_vis!$B$3,Weights1!$D$4:$D$69,EMMa_vis!$AB9)</f>
        <v>5</v>
      </c>
      <c r="N9" s="85">
        <f>+SUMIFS(Weights1!U$4:U$69,Weights1!$C$4:$C$69,EMMa_vis!$B$3,Weights1!$D$4:$D$69,EMMa_vis!$AA9)+SUMIFS(Weights1!U$4:U$69,Weights1!$C$4:$C$69,EMMa_vis!$B$3,Weights1!$D$4:$D$69,EMMa_vis!$AB9)</f>
        <v>4.5</v>
      </c>
      <c r="O9" s="85">
        <f ca="1">+SUMIFS(Weights1!V$4:V$69,Weights1!$C$4:$C$69,EMMa_vis!$B$3,Weights1!$D$4:$D$69,EMMa_vis!$AA9)+SUMIFS(Weights1!V$4:V$69,Weights1!$C$4:$C$69,EMMa_vis!$B$3,Weights1!$D$4:$D$69,EMMa_vis!$AB9)</f>
        <v>0</v>
      </c>
      <c r="P9" s="85">
        <f ca="1">+SUMIFS(Weights1!W$4:W$69,Weights1!$C$4:$C$69,EMMa_vis!$B$3,Weights1!$D$4:$D$69,EMMa_vis!$AA9)+SUMIFS(Weights1!W$4:W$69,Weights1!$C$4:$C$69,EMMa_vis!$B$3,Weights1!$D$4:$D$69,EMMa_vis!$AB9)</f>
        <v>0</v>
      </c>
      <c r="Q9" s="85">
        <f ca="1">+SUMIFS(Weights1!X$4:X$69,Weights1!$C$4:$C$69,EMMa_vis!$B$3,Weights1!$D$4:$D$69,EMMa_vis!$AA9)+SUMIFS(Weights1!X$4:X$69,Weights1!$C$4:$C$69,EMMa_vis!$B$3,Weights1!$D$4:$D$69,EMMa_vis!$AB9)</f>
        <v>0</v>
      </c>
      <c r="R9" s="85">
        <f ca="1">+SUMIFS(Weights1!Y$4:Y$69,Weights1!$C$4:$C$69,EMMa_vis!$B$3,Weights1!$D$4:$D$69,EMMa_vis!$AA9)+SUMIFS(Weights1!Y$4:Y$69,Weights1!$C$4:$C$69,EMMa_vis!$B$3,Weights1!$D$4:$D$69,EMMa_vis!$AB9)</f>
        <v>0</v>
      </c>
      <c r="S9" s="85">
        <f ca="1">+SUMIFS(Weights1!Z$4:Z$69,Weights1!$C$4:$C$69,EMMa_vis!$B$3,Weights1!$D$4:$D$69,EMMa_vis!$AA9)+SUMIFS(Weights1!Z$4:Z$69,Weights1!$C$4:$C$69,EMMa_vis!$B$3,Weights1!$D$4:$D$69,EMMa_vis!$AB9)</f>
        <v>0</v>
      </c>
      <c r="T9" s="85">
        <f ca="1">+SUMIFS(Weights1!AA$4:AA$69,Weights1!$C$4:$C$69,EMMa_vis!$B$3,Weights1!$D$4:$D$69,EMMa_vis!$AA9)+SUMIFS(Weights1!AA$4:AA$69,Weights1!$C$4:$C$69,EMMa_vis!$B$3,Weights1!$D$4:$D$69,EMMa_vis!$AB9)</f>
        <v>0</v>
      </c>
      <c r="U9" s="85">
        <f ca="1">+SUMIFS(Weights1!AB$4:AB$69,Weights1!$C$4:$C$69,EMMa_vis!$B$3,Weights1!$D$4:$D$69,EMMa_vis!$AA9)+SUMIFS(Weights1!AB$4:AB$69,Weights1!$C$4:$C$69,EMMa_vis!$B$3,Weights1!$D$4:$D$69,EMMa_vis!$AB9)</f>
        <v>0</v>
      </c>
      <c r="V9" s="85">
        <f ca="1">+SUMIFS(Weights1!AC$4:AC$69,Weights1!$C$4:$C$69,EMMa_vis!$B$3,Weights1!$D$4:$D$69,EMMa_vis!$AA9)+SUMIFS(Weights1!AC$4:AC$69,Weights1!$C$4:$C$69,EMMa_vis!$B$3,Weights1!$D$4:$D$69,EMMa_vis!$AB9)</f>
        <v>0</v>
      </c>
      <c r="W9" s="87">
        <f t="shared" si="0"/>
        <v>2.9493584458144673</v>
      </c>
      <c r="X9" s="87">
        <f t="shared" si="0"/>
        <v>4.028036654991185E-3</v>
      </c>
      <c r="Y9" s="87">
        <f t="shared" si="0"/>
        <v>0</v>
      </c>
      <c r="AA9" s="63" t="s">
        <v>69</v>
      </c>
      <c r="AB9" s="63" t="s">
        <v>70</v>
      </c>
    </row>
    <row r="10" spans="1:34" ht="34.200000000000003" customHeight="1" x14ac:dyDescent="0.3">
      <c r="A10" s="4"/>
      <c r="B10" s="55" t="str">
        <f>+MOPs!B8</f>
        <v>Presence of variable route set</v>
      </c>
      <c r="C10" s="105">
        <f>EMMa!C9</f>
        <v>0</v>
      </c>
      <c r="D10" s="105">
        <f>EMMa!D9</f>
        <v>0</v>
      </c>
      <c r="E10" s="105">
        <f>EMMa!E9</f>
        <v>0</v>
      </c>
      <c r="F10" s="93" t="str">
        <f>EMMa!F9</f>
        <v>Higher the better</v>
      </c>
      <c r="G10" s="93">
        <f>EMMa!G9</f>
        <v>1</v>
      </c>
      <c r="H10" s="94">
        <f>EMMa!H9</f>
        <v>0</v>
      </c>
      <c r="I10" s="94">
        <f>EMMa!I9</f>
        <v>0</v>
      </c>
      <c r="J10" s="94">
        <f>EMMa!J9</f>
        <v>0</v>
      </c>
      <c r="K10" s="85">
        <f>+SUMIFS(Weights1!R$4:R$69,Weights1!$C$4:$C$69,EMMa_vis!$B$3,Weights1!$D$4:$D$69,EMMa_vis!$AA10)+SUMIFS(Weights1!R$4:R$69,Weights1!$C$4:$C$69,EMMa_vis!$B$3,Weights1!$D$4:$D$69,EMMa_vis!$AB10)</f>
        <v>10</v>
      </c>
      <c r="L10" s="85">
        <f>+SUMIFS(Weights1!S$4:S$69,Weights1!$C$4:$C$69,EMMa_vis!$B$3,Weights1!$D$4:$D$69,EMMa_vis!$AA10)+SUMIFS(Weights1!S$4:S$69,Weights1!$C$4:$C$69,EMMa_vis!$B$3,Weights1!$D$4:$D$69,EMMa_vis!$AB10)</f>
        <v>9.7222222222222214</v>
      </c>
      <c r="M10" s="85">
        <f>+SUMIFS(Weights1!T$4:T$69,Weights1!$C$4:$C$69,EMMa_vis!$B$3,Weights1!$D$4:$D$69,EMMa_vis!$AA10)+SUMIFS(Weights1!T$4:T$69,Weights1!$C$4:$C$69,EMMa_vis!$B$3,Weights1!$D$4:$D$69,EMMa_vis!$AB10)</f>
        <v>9</v>
      </c>
      <c r="N10" s="85">
        <f>+SUMIFS(Weights1!U$4:U$69,Weights1!$C$4:$C$69,EMMa_vis!$B$3,Weights1!$D$4:$D$69,EMMa_vis!$AA10)+SUMIFS(Weights1!U$4:U$69,Weights1!$C$4:$C$69,EMMa_vis!$B$3,Weights1!$D$4:$D$69,EMMa_vis!$AB10)</f>
        <v>6.75</v>
      </c>
      <c r="O10" s="85">
        <f ca="1">+SUMIFS(Weights1!V$4:V$69,Weights1!$C$4:$C$69,EMMa_vis!$B$3,Weights1!$D$4:$D$69,EMMa_vis!$AA10)+SUMIFS(Weights1!V$4:V$69,Weights1!$C$4:$C$69,EMMa_vis!$B$3,Weights1!$D$4:$D$69,EMMa_vis!$AB10)</f>
        <v>0</v>
      </c>
      <c r="P10" s="85">
        <f ca="1">+SUMIFS(Weights1!W$4:W$69,Weights1!$C$4:$C$69,EMMa_vis!$B$3,Weights1!$D$4:$D$69,EMMa_vis!$AA10)+SUMIFS(Weights1!W$4:W$69,Weights1!$C$4:$C$69,EMMa_vis!$B$3,Weights1!$D$4:$D$69,EMMa_vis!$AB10)</f>
        <v>0</v>
      </c>
      <c r="Q10" s="85">
        <f ca="1">+SUMIFS(Weights1!X$4:X$69,Weights1!$C$4:$C$69,EMMa_vis!$B$3,Weights1!$D$4:$D$69,EMMa_vis!$AA10)+SUMIFS(Weights1!X$4:X$69,Weights1!$C$4:$C$69,EMMa_vis!$B$3,Weights1!$D$4:$D$69,EMMa_vis!$AB10)</f>
        <v>0</v>
      </c>
      <c r="R10" s="85">
        <f ca="1">+SUMIFS(Weights1!Y$4:Y$69,Weights1!$C$4:$C$69,EMMa_vis!$B$3,Weights1!$D$4:$D$69,EMMa_vis!$AA10)+SUMIFS(Weights1!Y$4:Y$69,Weights1!$C$4:$C$69,EMMa_vis!$B$3,Weights1!$D$4:$D$69,EMMa_vis!$AB10)</f>
        <v>0</v>
      </c>
      <c r="S10" s="85">
        <f ca="1">+SUMIFS(Weights1!Z$4:Z$69,Weights1!$C$4:$C$69,EMMa_vis!$B$3,Weights1!$D$4:$D$69,EMMa_vis!$AA10)+SUMIFS(Weights1!Z$4:Z$69,Weights1!$C$4:$C$69,EMMa_vis!$B$3,Weights1!$D$4:$D$69,EMMa_vis!$AB10)</f>
        <v>0</v>
      </c>
      <c r="T10" s="85">
        <f ca="1">+SUMIFS(Weights1!AA$4:AA$69,Weights1!$C$4:$C$69,EMMa_vis!$B$3,Weights1!$D$4:$D$69,EMMa_vis!$AA10)+SUMIFS(Weights1!AA$4:AA$69,Weights1!$C$4:$C$69,EMMa_vis!$B$3,Weights1!$D$4:$D$69,EMMa_vis!$AB10)</f>
        <v>0</v>
      </c>
      <c r="U10" s="85">
        <f ca="1">+SUMIFS(Weights1!AB$4:AB$69,Weights1!$C$4:$C$69,EMMa_vis!$B$3,Weights1!$D$4:$D$69,EMMa_vis!$AA10)+SUMIFS(Weights1!AB$4:AB$69,Weights1!$C$4:$C$69,EMMa_vis!$B$3,Weights1!$D$4:$D$69,EMMa_vis!$AB10)</f>
        <v>0</v>
      </c>
      <c r="V10" s="85">
        <f ca="1">+SUMIFS(Weights1!AC$4:AC$69,Weights1!$C$4:$C$69,EMMa_vis!$B$3,Weights1!$D$4:$D$69,EMMa_vis!$AA10)+SUMIFS(Weights1!AC$4:AC$69,Weights1!$C$4:$C$69,EMMa_vis!$B$3,Weights1!$D$4:$D$69,EMMa_vis!$AB10)</f>
        <v>0</v>
      </c>
      <c r="W10" s="87">
        <f t="shared" si="0"/>
        <v>0</v>
      </c>
      <c r="X10" s="87">
        <f t="shared" si="0"/>
        <v>0</v>
      </c>
      <c r="Y10" s="87">
        <f t="shared" si="0"/>
        <v>0</v>
      </c>
      <c r="AA10" s="63" t="s">
        <v>71</v>
      </c>
      <c r="AB10" s="63" t="s">
        <v>72</v>
      </c>
    </row>
    <row r="11" spans="1:34" ht="28.8" x14ac:dyDescent="0.3">
      <c r="A11" s="4"/>
      <c r="B11" s="55" t="str">
        <f>+MOPs!B9</f>
        <v>Modelling of stop and go waves</v>
      </c>
      <c r="C11" s="105">
        <f>EMMa!C10</f>
        <v>0</v>
      </c>
      <c r="D11" s="105">
        <f>EMMa!D10</f>
        <v>0</v>
      </c>
      <c r="E11" s="105">
        <f>EMMa!E10</f>
        <v>0</v>
      </c>
      <c r="F11" s="93" t="str">
        <f>EMMa!F10</f>
        <v>Higher the better</v>
      </c>
      <c r="G11" s="93">
        <f>EMMa!G10</f>
        <v>1</v>
      </c>
      <c r="H11" s="94">
        <f>EMMa!H10</f>
        <v>0</v>
      </c>
      <c r="I11" s="94">
        <f>EMMa!I10</f>
        <v>0</v>
      </c>
      <c r="J11" s="94">
        <f>EMMa!J10</f>
        <v>0</v>
      </c>
      <c r="K11" s="85">
        <f>+SUMIFS(Weights1!R$4:R$69,Weights1!$C$4:$C$69,EMMa_vis!$B$3,Weights1!$D$4:$D$69,EMMa_vis!$AA11)+SUMIFS(Weights1!R$4:R$69,Weights1!$C$4:$C$69,EMMa_vis!$B$3,Weights1!$D$4:$D$69,EMMa_vis!$AB11)</f>
        <v>7</v>
      </c>
      <c r="L11" s="85">
        <f>+SUMIFS(Weights1!S$4:S$69,Weights1!$C$4:$C$69,EMMa_vis!$B$3,Weights1!$D$4:$D$69,EMMa_vis!$AA11)+SUMIFS(Weights1!S$4:S$69,Weights1!$C$4:$C$69,EMMa_vis!$B$3,Weights1!$D$4:$D$69,EMMa_vis!$AB11)</f>
        <v>7.5</v>
      </c>
      <c r="M11" s="85">
        <f>+SUMIFS(Weights1!T$4:T$69,Weights1!$C$4:$C$69,EMMa_vis!$B$3,Weights1!$D$4:$D$69,EMMa_vis!$AA11)+SUMIFS(Weights1!T$4:T$69,Weights1!$C$4:$C$69,EMMa_vis!$B$3,Weights1!$D$4:$D$69,EMMa_vis!$AB11)</f>
        <v>4.333333333333333</v>
      </c>
      <c r="N11" s="85">
        <f>+SUMIFS(Weights1!U$4:U$69,Weights1!$C$4:$C$69,EMMa_vis!$B$3,Weights1!$D$4:$D$69,EMMa_vis!$AA11)+SUMIFS(Weights1!U$4:U$69,Weights1!$C$4:$C$69,EMMa_vis!$B$3,Weights1!$D$4:$D$69,EMMa_vis!$AB11)</f>
        <v>5</v>
      </c>
      <c r="O11" s="85">
        <f ca="1">+SUMIFS(Weights1!V$4:V$69,Weights1!$C$4:$C$69,EMMa_vis!$B$3,Weights1!$D$4:$D$69,EMMa_vis!$AA11)+SUMIFS(Weights1!V$4:V$69,Weights1!$C$4:$C$69,EMMa_vis!$B$3,Weights1!$D$4:$D$69,EMMa_vis!$AB11)</f>
        <v>0</v>
      </c>
      <c r="P11" s="85">
        <f ca="1">+SUMIFS(Weights1!W$4:W$69,Weights1!$C$4:$C$69,EMMa_vis!$B$3,Weights1!$D$4:$D$69,EMMa_vis!$AA11)+SUMIFS(Weights1!W$4:W$69,Weights1!$C$4:$C$69,EMMa_vis!$B$3,Weights1!$D$4:$D$69,EMMa_vis!$AB11)</f>
        <v>0</v>
      </c>
      <c r="Q11" s="85">
        <f ca="1">+SUMIFS(Weights1!X$4:X$69,Weights1!$C$4:$C$69,EMMa_vis!$B$3,Weights1!$D$4:$D$69,EMMa_vis!$AA11)+SUMIFS(Weights1!X$4:X$69,Weights1!$C$4:$C$69,EMMa_vis!$B$3,Weights1!$D$4:$D$69,EMMa_vis!$AB11)</f>
        <v>0</v>
      </c>
      <c r="R11" s="85">
        <f ca="1">+SUMIFS(Weights1!Y$4:Y$69,Weights1!$C$4:$C$69,EMMa_vis!$B$3,Weights1!$D$4:$D$69,EMMa_vis!$AA11)+SUMIFS(Weights1!Y$4:Y$69,Weights1!$C$4:$C$69,EMMa_vis!$B$3,Weights1!$D$4:$D$69,EMMa_vis!$AB11)</f>
        <v>0</v>
      </c>
      <c r="S11" s="85">
        <f ca="1">+SUMIFS(Weights1!Z$4:Z$69,Weights1!$C$4:$C$69,EMMa_vis!$B$3,Weights1!$D$4:$D$69,EMMa_vis!$AA11)+SUMIFS(Weights1!Z$4:Z$69,Weights1!$C$4:$C$69,EMMa_vis!$B$3,Weights1!$D$4:$D$69,EMMa_vis!$AB11)</f>
        <v>0</v>
      </c>
      <c r="T11" s="85">
        <f ca="1">+SUMIFS(Weights1!AA$4:AA$69,Weights1!$C$4:$C$69,EMMa_vis!$B$3,Weights1!$D$4:$D$69,EMMa_vis!$AA11)+SUMIFS(Weights1!AA$4:AA$69,Weights1!$C$4:$C$69,EMMa_vis!$B$3,Weights1!$D$4:$D$69,EMMa_vis!$AB11)</f>
        <v>0</v>
      </c>
      <c r="U11" s="85">
        <f ca="1">+SUMIFS(Weights1!AB$4:AB$69,Weights1!$C$4:$C$69,EMMa_vis!$B$3,Weights1!$D$4:$D$69,EMMa_vis!$AA11)+SUMIFS(Weights1!AB$4:AB$69,Weights1!$C$4:$C$69,EMMa_vis!$B$3,Weights1!$D$4:$D$69,EMMa_vis!$AB11)</f>
        <v>0</v>
      </c>
      <c r="V11" s="85">
        <f ca="1">+SUMIFS(Weights1!AC$4:AC$69,Weights1!$C$4:$C$69,EMMa_vis!$B$3,Weights1!$D$4:$D$69,EMMa_vis!$AA11)+SUMIFS(Weights1!AC$4:AC$69,Weights1!$C$4:$C$69,EMMa_vis!$B$3,Weights1!$D$4:$D$69,EMMa_vis!$AB11)</f>
        <v>0</v>
      </c>
      <c r="W11" s="87">
        <f t="shared" si="0"/>
        <v>0</v>
      </c>
      <c r="X11" s="87">
        <f t="shared" si="0"/>
        <v>0</v>
      </c>
      <c r="Y11" s="87">
        <f t="shared" si="0"/>
        <v>0</v>
      </c>
      <c r="AA11" s="63" t="s">
        <v>63</v>
      </c>
      <c r="AB11" s="63" t="s">
        <v>73</v>
      </c>
    </row>
    <row r="12" spans="1:34" ht="30.6" customHeight="1" x14ac:dyDescent="0.3">
      <c r="A12" s="4"/>
      <c r="B12" s="97" t="str">
        <f>+MOPs!B10</f>
        <v>Model robustness</v>
      </c>
      <c r="C12" s="98"/>
      <c r="D12" s="99"/>
      <c r="E12" s="99"/>
      <c r="F12" s="100"/>
      <c r="G12" s="100"/>
      <c r="H12" s="100"/>
      <c r="I12" s="100"/>
      <c r="J12" s="100"/>
      <c r="K12" s="98"/>
      <c r="L12" s="98"/>
      <c r="M12" s="98"/>
      <c r="N12" s="98"/>
      <c r="O12" s="98"/>
      <c r="P12" s="98"/>
      <c r="Q12" s="98"/>
      <c r="R12" s="98"/>
      <c r="S12" s="98"/>
      <c r="T12" s="98"/>
      <c r="U12" s="98"/>
      <c r="V12" s="98"/>
      <c r="W12" s="98"/>
      <c r="X12" s="98"/>
      <c r="Y12" s="101"/>
    </row>
    <row r="13" spans="1:34" ht="28.8" x14ac:dyDescent="0.3">
      <c r="A13" s="4"/>
      <c r="B13" s="55" t="str">
        <f>+MOPs!B11</f>
        <v>Dynamic Relative duality gap</v>
      </c>
      <c r="C13" s="111">
        <f>EMMa!C12</f>
        <v>2.0000000000000001E-4</v>
      </c>
      <c r="D13" s="111">
        <f>EMMa!D12</f>
        <v>7.8558726986531879E-2</v>
      </c>
      <c r="E13" s="111">
        <f>EMMa!E12</f>
        <v>8.5276472333985112E-4</v>
      </c>
      <c r="F13" s="93" t="str">
        <f>EMMa!F12</f>
        <v>Lower the better</v>
      </c>
      <c r="G13" s="93">
        <f>EMMa!G12</f>
        <v>0</v>
      </c>
      <c r="H13" s="94">
        <f>EMMa!H12</f>
        <v>0.99745413389865278</v>
      </c>
      <c r="I13" s="94">
        <f>EMMa!I12</f>
        <v>0</v>
      </c>
      <c r="J13" s="94">
        <f>EMMa!J12</f>
        <v>0.98914487599212175</v>
      </c>
      <c r="K13" s="85">
        <f>+SUMIFS(Weights1!R$4:R$69,Weights1!$C$4:$C$69,EMMa_vis!$B$3,Weights1!$D$4:$D$69,EMMa_vis!$AA13)+SUMIFS(Weights1!R$4:R$69,Weights1!$C$4:$C$69,EMMa_vis!$B$3,Weights1!$D$4:$D$69,EMMa_vis!$AB13)</f>
        <v>10</v>
      </c>
      <c r="L13" s="85">
        <f>+SUMIFS(Weights1!S$4:S$69,Weights1!$C$4:$C$69,EMMa_vis!$B$3,Weights1!$D$4:$D$69,EMMa_vis!$AA13)+SUMIFS(Weights1!S$4:S$69,Weights1!$C$4:$C$69,EMMa_vis!$B$3,Weights1!$D$4:$D$69,EMMa_vis!$AB13)</f>
        <v>9.7222222222222214</v>
      </c>
      <c r="M13" s="85">
        <f>+SUMIFS(Weights1!T$4:T$69,Weights1!$C$4:$C$69,EMMa_vis!$B$3,Weights1!$D$4:$D$69,EMMa_vis!$AA13)+SUMIFS(Weights1!T$4:T$69,Weights1!$C$4:$C$69,EMMa_vis!$B$3,Weights1!$D$4:$D$69,EMMa_vis!$AB13)</f>
        <v>7.666666666666667</v>
      </c>
      <c r="N13" s="85">
        <f>+SUMIFS(Weights1!U$4:U$69,Weights1!$C$4:$C$69,EMMa_vis!$B$3,Weights1!$D$4:$D$69,EMMa_vis!$AA13)+SUMIFS(Weights1!U$4:U$69,Weights1!$C$4:$C$69,EMMa_vis!$B$3,Weights1!$D$4:$D$69,EMMa_vis!$AB13)</f>
        <v>8.5</v>
      </c>
      <c r="O13" s="85">
        <f ca="1">+SUMIFS(Weights1!V$4:V$69,Weights1!$C$4:$C$69,EMMa_vis!$B$3,Weights1!$D$4:$D$69,EMMa_vis!$AA13)+SUMIFS(Weights1!V$4:V$69,Weights1!$C$4:$C$69,EMMa_vis!$B$3,Weights1!$D$4:$D$69,EMMa_vis!$AB13)</f>
        <v>0</v>
      </c>
      <c r="P13" s="85">
        <f ca="1">+SUMIFS(Weights1!W$4:W$69,Weights1!$C$4:$C$69,EMMa_vis!$B$3,Weights1!$D$4:$D$69,EMMa_vis!$AA13)+SUMIFS(Weights1!W$4:W$69,Weights1!$C$4:$C$69,EMMa_vis!$B$3,Weights1!$D$4:$D$69,EMMa_vis!$AB13)</f>
        <v>0</v>
      </c>
      <c r="Q13" s="85">
        <f ca="1">+SUMIFS(Weights1!X$4:X$69,Weights1!$C$4:$C$69,EMMa_vis!$B$3,Weights1!$D$4:$D$69,EMMa_vis!$AA13)+SUMIFS(Weights1!X$4:X$69,Weights1!$C$4:$C$69,EMMa_vis!$B$3,Weights1!$D$4:$D$69,EMMa_vis!$AB13)</f>
        <v>0</v>
      </c>
      <c r="R13" s="85">
        <f ca="1">+SUMIFS(Weights1!Y$4:Y$69,Weights1!$C$4:$C$69,EMMa_vis!$B$3,Weights1!$D$4:$D$69,EMMa_vis!$AA13)+SUMIFS(Weights1!Y$4:Y$69,Weights1!$C$4:$C$69,EMMa_vis!$B$3,Weights1!$D$4:$D$69,EMMa_vis!$AB13)</f>
        <v>0</v>
      </c>
      <c r="S13" s="85">
        <f ca="1">+SUMIFS(Weights1!Z$4:Z$69,Weights1!$C$4:$C$69,EMMa_vis!$B$3,Weights1!$D$4:$D$69,EMMa_vis!$AA13)+SUMIFS(Weights1!Z$4:Z$69,Weights1!$C$4:$C$69,EMMa_vis!$B$3,Weights1!$D$4:$D$69,EMMa_vis!$AB13)</f>
        <v>0</v>
      </c>
      <c r="T13" s="85">
        <f ca="1">+SUMIFS(Weights1!AA$4:AA$69,Weights1!$C$4:$C$69,EMMa_vis!$B$3,Weights1!$D$4:$D$69,EMMa_vis!$AA13)+SUMIFS(Weights1!AA$4:AA$69,Weights1!$C$4:$C$69,EMMa_vis!$B$3,Weights1!$D$4:$D$69,EMMa_vis!$AB13)</f>
        <v>0</v>
      </c>
      <c r="U13" s="85">
        <f ca="1">+SUMIFS(Weights1!AB$4:AB$69,Weights1!$C$4:$C$69,EMMa_vis!$B$3,Weights1!$D$4:$D$69,EMMa_vis!$AA13)+SUMIFS(Weights1!AB$4:AB$69,Weights1!$C$4:$C$69,EMMa_vis!$B$3,Weights1!$D$4:$D$69,EMMa_vis!$AB13)</f>
        <v>0</v>
      </c>
      <c r="V13" s="85">
        <f ca="1">+SUMIFS(Weights1!AC$4:AC$69,Weights1!$C$4:$C$69,EMMa_vis!$B$3,Weights1!$D$4:$D$69,EMMa_vis!$AA13)+SUMIFS(Weights1!AC$4:AC$69,Weights1!$C$4:$C$69,EMMa_vis!$B$3,Weights1!$D$4:$D$69,EMMa_vis!$AB13)</f>
        <v>0</v>
      </c>
      <c r="W13" s="87">
        <f t="shared" ref="W13:Y13" si="1">+IF($A$3=$K$3,$K13*H13,IF($A$3=$L$3,$L13*H13,IF($A$3=$M$3,$M13*H13,IF($A$3=$N$3,$N13*H13))))</f>
        <v>9.9745413389865281</v>
      </c>
      <c r="X13" s="87">
        <f t="shared" si="1"/>
        <v>0</v>
      </c>
      <c r="Y13" s="87">
        <f t="shared" si="1"/>
        <v>9.891448759921218</v>
      </c>
      <c r="AA13" s="63" t="s">
        <v>71</v>
      </c>
      <c r="AB13" s="63" t="s">
        <v>74</v>
      </c>
    </row>
    <row r="14" spans="1:34" ht="30.6" customHeight="1" x14ac:dyDescent="0.3">
      <c r="A14" s="4"/>
      <c r="B14" s="97" t="str">
        <f>+MOPs!B12</f>
        <v>Applicability</v>
      </c>
      <c r="C14" s="98"/>
      <c r="D14" s="99"/>
      <c r="E14" s="99"/>
      <c r="F14" s="100"/>
      <c r="G14" s="100"/>
      <c r="H14" s="100"/>
      <c r="I14" s="100"/>
      <c r="J14" s="100"/>
      <c r="K14" s="98"/>
      <c r="L14" s="98"/>
      <c r="M14" s="98"/>
      <c r="N14" s="98"/>
      <c r="O14" s="98"/>
      <c r="P14" s="98"/>
      <c r="Q14" s="98"/>
      <c r="R14" s="98"/>
      <c r="S14" s="98"/>
      <c r="T14" s="98"/>
      <c r="U14" s="98"/>
      <c r="V14" s="98"/>
      <c r="W14" s="98"/>
      <c r="X14" s="98"/>
      <c r="Y14" s="101"/>
    </row>
    <row r="15" spans="1:34" ht="28.8" x14ac:dyDescent="0.3">
      <c r="A15" s="79" t="s">
        <v>75</v>
      </c>
      <c r="B15" s="55" t="str">
        <f>+MOPs!B13</f>
        <v>Difference in Network Supply based on Modes</v>
      </c>
      <c r="C15" s="105">
        <f>EMMa!C14</f>
        <v>1</v>
      </c>
      <c r="D15" s="105">
        <f>EMMa!D14</f>
        <v>1</v>
      </c>
      <c r="E15" s="105">
        <f>EMMa!E14</f>
        <v>1</v>
      </c>
      <c r="F15" s="93" t="str">
        <f>EMMa!F14</f>
        <v>Higher the better</v>
      </c>
      <c r="G15" s="93">
        <f>EMMa!G14</f>
        <v>1</v>
      </c>
      <c r="H15" s="94">
        <f>EMMa!H14</f>
        <v>1</v>
      </c>
      <c r="I15" s="94">
        <f>EMMa!I14</f>
        <v>1</v>
      </c>
      <c r="J15" s="94">
        <f>EMMa!J14</f>
        <v>1</v>
      </c>
      <c r="K15" s="85">
        <f>+SUMIFS(Weights1!R$4:R$69,Weights1!$C$4:$C$69,EMMa_vis!$B$3,Weights1!$D$4:$D$69,EMMa_vis!$AA15)+SUMIFS(Weights1!R$4:R$69,Weights1!$C$4:$C$69,EMMa_vis!$B$3,Weights1!$D$4:$D$69,EMMa_vis!$AB15)</f>
        <v>10</v>
      </c>
      <c r="L15" s="85">
        <f>+SUMIFS(Weights1!S$4:S$69,Weights1!$C$4:$C$69,EMMa_vis!$B$3,Weights1!$D$4:$D$69,EMMa_vis!$AA15)+SUMIFS(Weights1!S$4:S$69,Weights1!$C$4:$C$69,EMMa_vis!$B$3,Weights1!$D$4:$D$69,EMMa_vis!$AB15)</f>
        <v>6.7777777777777777</v>
      </c>
      <c r="M15" s="85">
        <f>+SUMIFS(Weights1!T$4:T$69,Weights1!$C$4:$C$69,EMMa_vis!$B$3,Weights1!$D$4:$D$69,EMMa_vis!$AA15)+SUMIFS(Weights1!T$4:T$69,Weights1!$C$4:$C$69,EMMa_vis!$B$3,Weights1!$D$4:$D$69,EMMa_vis!$AB15)</f>
        <v>8.6666666666666661</v>
      </c>
      <c r="N15" s="85">
        <f>+SUMIFS(Weights1!U$4:U$69,Weights1!$C$4:$C$69,EMMa_vis!$B$3,Weights1!$D$4:$D$69,EMMa_vis!$AA15)+SUMIFS(Weights1!U$4:U$69,Weights1!$C$4:$C$69,EMMa_vis!$B$3,Weights1!$D$4:$D$69,EMMa_vis!$AB15)</f>
        <v>8.5</v>
      </c>
      <c r="O15" s="85">
        <f ca="1">+SUMIFS(Weights1!V$4:V$69,Weights1!$C$4:$C$69,EMMa_vis!$B$3,Weights1!$D$4:$D$69,EMMa_vis!$AA15)+SUMIFS(Weights1!V$4:V$69,Weights1!$C$4:$C$69,EMMa_vis!$B$3,Weights1!$D$4:$D$69,EMMa_vis!$AB15)</f>
        <v>0</v>
      </c>
      <c r="P15" s="85">
        <f ca="1">+SUMIFS(Weights1!W$4:W$69,Weights1!$C$4:$C$69,EMMa_vis!$B$3,Weights1!$D$4:$D$69,EMMa_vis!$AA15)+SUMIFS(Weights1!W$4:W$69,Weights1!$C$4:$C$69,EMMa_vis!$B$3,Weights1!$D$4:$D$69,EMMa_vis!$AB15)</f>
        <v>0</v>
      </c>
      <c r="Q15" s="85">
        <f ca="1">+SUMIFS(Weights1!X$4:X$69,Weights1!$C$4:$C$69,EMMa_vis!$B$3,Weights1!$D$4:$D$69,EMMa_vis!$AA15)+SUMIFS(Weights1!X$4:X$69,Weights1!$C$4:$C$69,EMMa_vis!$B$3,Weights1!$D$4:$D$69,EMMa_vis!$AB15)</f>
        <v>0</v>
      </c>
      <c r="R15" s="85">
        <f ca="1">+SUMIFS(Weights1!Y$4:Y$69,Weights1!$C$4:$C$69,EMMa_vis!$B$3,Weights1!$D$4:$D$69,EMMa_vis!$AA15)+SUMIFS(Weights1!Y$4:Y$69,Weights1!$C$4:$C$69,EMMa_vis!$B$3,Weights1!$D$4:$D$69,EMMa_vis!$AB15)</f>
        <v>0</v>
      </c>
      <c r="S15" s="85">
        <f ca="1">+SUMIFS(Weights1!Z$4:Z$69,Weights1!$C$4:$C$69,EMMa_vis!$B$3,Weights1!$D$4:$D$69,EMMa_vis!$AA15)+SUMIFS(Weights1!Z$4:Z$69,Weights1!$C$4:$C$69,EMMa_vis!$B$3,Weights1!$D$4:$D$69,EMMa_vis!$AB15)</f>
        <v>0</v>
      </c>
      <c r="T15" s="85">
        <f ca="1">+SUMIFS(Weights1!AA$4:AA$69,Weights1!$C$4:$C$69,EMMa_vis!$B$3,Weights1!$D$4:$D$69,EMMa_vis!$AA15)+SUMIFS(Weights1!AA$4:AA$69,Weights1!$C$4:$C$69,EMMa_vis!$B$3,Weights1!$D$4:$D$69,EMMa_vis!$AB15)</f>
        <v>0</v>
      </c>
      <c r="U15" s="85">
        <f ca="1">+SUMIFS(Weights1!AB$4:AB$69,Weights1!$C$4:$C$69,EMMa_vis!$B$3,Weights1!$D$4:$D$69,EMMa_vis!$AA15)+SUMIFS(Weights1!AB$4:AB$69,Weights1!$C$4:$C$69,EMMa_vis!$B$3,Weights1!$D$4:$D$69,EMMa_vis!$AB15)</f>
        <v>0</v>
      </c>
      <c r="V15" s="85">
        <f ca="1">+SUMIFS(Weights1!AC$4:AC$69,Weights1!$C$4:$C$69,EMMa_vis!$B$3,Weights1!$D$4:$D$69,EMMa_vis!$AA15)+SUMIFS(Weights1!AC$4:AC$69,Weights1!$C$4:$C$69,EMMa_vis!$B$3,Weights1!$D$4:$D$69,EMMa_vis!$AB15)</f>
        <v>0</v>
      </c>
      <c r="W15" s="87">
        <f t="shared" ref="W15:Y16" si="2">+IF($A$3=$K$3,$K15*H15,IF($A$3=$L$3,$L15*H15,IF($A$3=$M$3,$M15*H15,IF($A$3=$N$3,$N15*H15))))</f>
        <v>10</v>
      </c>
      <c r="X15" s="87">
        <f t="shared" si="2"/>
        <v>10</v>
      </c>
      <c r="Y15" s="87">
        <f t="shared" si="2"/>
        <v>10</v>
      </c>
      <c r="AA15" s="63" t="s">
        <v>76</v>
      </c>
      <c r="AB15" s="63" t="s">
        <v>77</v>
      </c>
      <c r="AF15" s="69"/>
    </row>
    <row r="16" spans="1:34" ht="28.8" x14ac:dyDescent="0.3">
      <c r="A16" s="4"/>
      <c r="B16" s="56" t="str">
        <f>+MOPs!B14</f>
        <v>Difference in Input parameters based on different trip purposes</v>
      </c>
      <c r="C16" s="105">
        <f>EMMa!C15</f>
        <v>1</v>
      </c>
      <c r="D16" s="105">
        <f>EMMa!D15</f>
        <v>1</v>
      </c>
      <c r="E16" s="105">
        <f>EMMa!E15</f>
        <v>1</v>
      </c>
      <c r="F16" s="93" t="str">
        <f>EMMa!F15</f>
        <v>Higher the better</v>
      </c>
      <c r="G16" s="93">
        <f>EMMa!G15</f>
        <v>1</v>
      </c>
      <c r="H16" s="94">
        <f>EMMa!H15</f>
        <v>1</v>
      </c>
      <c r="I16" s="94">
        <f>EMMa!I15</f>
        <v>1</v>
      </c>
      <c r="J16" s="94">
        <f>EMMa!J15</f>
        <v>1</v>
      </c>
      <c r="K16" s="85">
        <f>+SUMIFS(Weights1!R$4:R$69,Weights1!$C$4:$C$69,EMMa_vis!$B$3,Weights1!$D$4:$D$69,EMMa_vis!$AA16)+SUMIFS(Weights1!R$4:R$69,Weights1!$C$4:$C$69,EMMa_vis!$B$3,Weights1!$D$4:$D$69,EMMa_vis!$AB16)</f>
        <v>10</v>
      </c>
      <c r="L16" s="85">
        <f>+SUMIFS(Weights1!S$4:S$69,Weights1!$C$4:$C$69,EMMa_vis!$B$3,Weights1!$D$4:$D$69,EMMa_vis!$AA16)+SUMIFS(Weights1!S$4:S$69,Weights1!$C$4:$C$69,EMMa_vis!$B$3,Weights1!$D$4:$D$69,EMMa_vis!$AB16)</f>
        <v>6.7777777777777777</v>
      </c>
      <c r="M16" s="85">
        <f>+SUMIFS(Weights1!T$4:T$69,Weights1!$C$4:$C$69,EMMa_vis!$B$3,Weights1!$D$4:$D$69,EMMa_vis!$AA16)+SUMIFS(Weights1!T$4:T$69,Weights1!$C$4:$C$69,EMMa_vis!$B$3,Weights1!$D$4:$D$69,EMMa_vis!$AB16)</f>
        <v>8.6666666666666661</v>
      </c>
      <c r="N16" s="85">
        <f>+SUMIFS(Weights1!U$4:U$69,Weights1!$C$4:$C$69,EMMa_vis!$B$3,Weights1!$D$4:$D$69,EMMa_vis!$AA16)+SUMIFS(Weights1!U$4:U$69,Weights1!$C$4:$C$69,EMMa_vis!$B$3,Weights1!$D$4:$D$69,EMMa_vis!$AB16)</f>
        <v>8.5</v>
      </c>
      <c r="O16" s="85">
        <f ca="1">+SUMIFS(Weights1!V$4:V$69,Weights1!$C$4:$C$69,EMMa_vis!$B$3,Weights1!$D$4:$D$69,EMMa_vis!$AA16)+SUMIFS(Weights1!V$4:V$69,Weights1!$C$4:$C$69,EMMa_vis!$B$3,Weights1!$D$4:$D$69,EMMa_vis!$AB16)</f>
        <v>0</v>
      </c>
      <c r="P16" s="85">
        <f ca="1">+SUMIFS(Weights1!W$4:W$69,Weights1!$C$4:$C$69,EMMa_vis!$B$3,Weights1!$D$4:$D$69,EMMa_vis!$AA16)+SUMIFS(Weights1!W$4:W$69,Weights1!$C$4:$C$69,EMMa_vis!$B$3,Weights1!$D$4:$D$69,EMMa_vis!$AB16)</f>
        <v>0</v>
      </c>
      <c r="Q16" s="85">
        <f ca="1">+SUMIFS(Weights1!X$4:X$69,Weights1!$C$4:$C$69,EMMa_vis!$B$3,Weights1!$D$4:$D$69,EMMa_vis!$AA16)+SUMIFS(Weights1!X$4:X$69,Weights1!$C$4:$C$69,EMMa_vis!$B$3,Weights1!$D$4:$D$69,EMMa_vis!$AB16)</f>
        <v>0</v>
      </c>
      <c r="R16" s="85">
        <f ca="1">+SUMIFS(Weights1!Y$4:Y$69,Weights1!$C$4:$C$69,EMMa_vis!$B$3,Weights1!$D$4:$D$69,EMMa_vis!$AA16)+SUMIFS(Weights1!Y$4:Y$69,Weights1!$C$4:$C$69,EMMa_vis!$B$3,Weights1!$D$4:$D$69,EMMa_vis!$AB16)</f>
        <v>0</v>
      </c>
      <c r="S16" s="85">
        <f ca="1">+SUMIFS(Weights1!Z$4:Z$69,Weights1!$C$4:$C$69,EMMa_vis!$B$3,Weights1!$D$4:$D$69,EMMa_vis!$AA16)+SUMIFS(Weights1!Z$4:Z$69,Weights1!$C$4:$C$69,EMMa_vis!$B$3,Weights1!$D$4:$D$69,EMMa_vis!$AB16)</f>
        <v>0</v>
      </c>
      <c r="T16" s="85">
        <f ca="1">+SUMIFS(Weights1!AA$4:AA$69,Weights1!$C$4:$C$69,EMMa_vis!$B$3,Weights1!$D$4:$D$69,EMMa_vis!$AA16)+SUMIFS(Weights1!AA$4:AA$69,Weights1!$C$4:$C$69,EMMa_vis!$B$3,Weights1!$D$4:$D$69,EMMa_vis!$AB16)</f>
        <v>0</v>
      </c>
      <c r="U16" s="85">
        <f ca="1">+SUMIFS(Weights1!AB$4:AB$69,Weights1!$C$4:$C$69,EMMa_vis!$B$3,Weights1!$D$4:$D$69,EMMa_vis!$AA16)+SUMIFS(Weights1!AB$4:AB$69,Weights1!$C$4:$C$69,EMMa_vis!$B$3,Weights1!$D$4:$D$69,EMMa_vis!$AB16)</f>
        <v>0</v>
      </c>
      <c r="V16" s="85">
        <f ca="1">+SUMIFS(Weights1!AC$4:AC$69,Weights1!$C$4:$C$69,EMMa_vis!$B$3,Weights1!$D$4:$D$69,EMMa_vis!$AA16)+SUMIFS(Weights1!AC$4:AC$69,Weights1!$C$4:$C$69,EMMa_vis!$B$3,Weights1!$D$4:$D$69,EMMa_vis!$AB16)</f>
        <v>0</v>
      </c>
      <c r="W16" s="87">
        <f t="shared" si="2"/>
        <v>10</v>
      </c>
      <c r="X16" s="87">
        <f t="shared" si="2"/>
        <v>10</v>
      </c>
      <c r="Y16" s="87">
        <f t="shared" si="2"/>
        <v>10</v>
      </c>
      <c r="AA16" s="63" t="s">
        <v>76</v>
      </c>
      <c r="AB16" s="63" t="s">
        <v>77</v>
      </c>
    </row>
    <row r="17" spans="1:31" ht="30.6" customHeight="1" x14ac:dyDescent="0.3">
      <c r="A17" s="4"/>
      <c r="B17" s="97" t="str">
        <f>+MOPs!B15</f>
        <v>Tractability</v>
      </c>
      <c r="C17" s="98"/>
      <c r="D17" s="99"/>
      <c r="E17" s="99"/>
      <c r="F17" s="100"/>
      <c r="G17" s="100"/>
      <c r="H17" s="100"/>
      <c r="I17" s="100"/>
      <c r="J17" s="100"/>
      <c r="K17" s="98"/>
      <c r="L17" s="98"/>
      <c r="M17" s="98"/>
      <c r="N17" s="98"/>
      <c r="O17" s="98"/>
      <c r="P17" s="98"/>
      <c r="Q17" s="98"/>
      <c r="R17" s="98"/>
      <c r="S17" s="98"/>
      <c r="T17" s="98"/>
      <c r="U17" s="98"/>
      <c r="V17" s="98"/>
      <c r="W17" s="98"/>
      <c r="X17" s="98"/>
      <c r="Y17" s="101"/>
    </row>
    <row r="18" spans="1:31" ht="28.8" x14ac:dyDescent="0.3">
      <c r="A18" s="4"/>
      <c r="B18" s="55" t="str">
        <f>+MOPs!B16</f>
        <v>Propagation - Link flows</v>
      </c>
      <c r="C18" s="105">
        <f>EMMa!C17</f>
        <v>3</v>
      </c>
      <c r="D18" s="105">
        <f>EMMa!D17</f>
        <v>3</v>
      </c>
      <c r="E18" s="105">
        <f>EMMa!E17</f>
        <v>4</v>
      </c>
      <c r="F18" s="93" t="str">
        <f>EMMa!F17</f>
        <v>Higher the better</v>
      </c>
      <c r="G18" s="93">
        <f>EMMa!G17</f>
        <v>1</v>
      </c>
      <c r="H18" s="94">
        <f>EMMa!H17</f>
        <v>0.75</v>
      </c>
      <c r="I18" s="94">
        <f>EMMa!I17</f>
        <v>0.75</v>
      </c>
      <c r="J18" s="94">
        <f>EMMa!J17</f>
        <v>1</v>
      </c>
      <c r="K18" s="85">
        <f>+SUMIFS(Weights1!R$4:R$69,Weights1!$C$4:$C$69,EMMa_vis!$B$3,Weights1!$D$4:$D$69,EMMa_vis!$AA18)+SUMIFS(Weights1!R$4:R$69,Weights1!$C$4:$C$69,EMMa_vis!$B$3,Weights1!$D$4:$D$69,EMMa_vis!$AB18)</f>
        <v>7</v>
      </c>
      <c r="L18" s="85">
        <f>+SUMIFS(Weights1!S$4:S$69,Weights1!$C$4:$C$69,EMMa_vis!$B$3,Weights1!$D$4:$D$69,EMMa_vis!$AA18)+SUMIFS(Weights1!S$4:S$69,Weights1!$C$4:$C$69,EMMa_vis!$B$3,Weights1!$D$4:$D$69,EMMa_vis!$AB18)</f>
        <v>7.5</v>
      </c>
      <c r="M18" s="85">
        <f>+SUMIFS(Weights1!T$4:T$69,Weights1!$C$4:$C$69,EMMa_vis!$B$3,Weights1!$D$4:$D$69,EMMa_vis!$AA18)+SUMIFS(Weights1!T$4:T$69,Weights1!$C$4:$C$69,EMMa_vis!$B$3,Weights1!$D$4:$D$69,EMMa_vis!$AB18)</f>
        <v>8</v>
      </c>
      <c r="N18" s="85">
        <f>+SUMIFS(Weights1!U$4:U$69,Weights1!$C$4:$C$69,EMMa_vis!$B$3,Weights1!$D$4:$D$69,EMMa_vis!$AA18)+SUMIFS(Weights1!U$4:U$69,Weights1!$C$4:$C$69,EMMa_vis!$B$3,Weights1!$D$4:$D$69,EMMa_vis!$AB18)</f>
        <v>8.75</v>
      </c>
      <c r="O18" s="85">
        <f ca="1">+SUMIFS(Weights1!V$4:V$69,Weights1!$C$4:$C$69,EMMa_vis!$B$3,Weights1!$D$4:$D$69,EMMa_vis!$AA18)+SUMIFS(Weights1!V$4:V$69,Weights1!$C$4:$C$69,EMMa_vis!$B$3,Weights1!$D$4:$D$69,EMMa_vis!$AB18)</f>
        <v>0</v>
      </c>
      <c r="P18" s="85">
        <f ca="1">+SUMIFS(Weights1!W$4:W$69,Weights1!$C$4:$C$69,EMMa_vis!$B$3,Weights1!$D$4:$D$69,EMMa_vis!$AA18)+SUMIFS(Weights1!W$4:W$69,Weights1!$C$4:$C$69,EMMa_vis!$B$3,Weights1!$D$4:$D$69,EMMa_vis!$AB18)</f>
        <v>0</v>
      </c>
      <c r="Q18" s="85">
        <f ca="1">+SUMIFS(Weights1!X$4:X$69,Weights1!$C$4:$C$69,EMMa_vis!$B$3,Weights1!$D$4:$D$69,EMMa_vis!$AA18)+SUMIFS(Weights1!X$4:X$69,Weights1!$C$4:$C$69,EMMa_vis!$B$3,Weights1!$D$4:$D$69,EMMa_vis!$AB18)</f>
        <v>0</v>
      </c>
      <c r="R18" s="85">
        <f ca="1">+SUMIFS(Weights1!Y$4:Y$69,Weights1!$C$4:$C$69,EMMa_vis!$B$3,Weights1!$D$4:$D$69,EMMa_vis!$AA18)+SUMIFS(Weights1!Y$4:Y$69,Weights1!$C$4:$C$69,EMMa_vis!$B$3,Weights1!$D$4:$D$69,EMMa_vis!$AB18)</f>
        <v>0</v>
      </c>
      <c r="S18" s="85">
        <f ca="1">+SUMIFS(Weights1!Z$4:Z$69,Weights1!$C$4:$C$69,EMMa_vis!$B$3,Weights1!$D$4:$D$69,EMMa_vis!$AA18)+SUMIFS(Weights1!Z$4:Z$69,Weights1!$C$4:$C$69,EMMa_vis!$B$3,Weights1!$D$4:$D$69,EMMa_vis!$AB18)</f>
        <v>0</v>
      </c>
      <c r="T18" s="85">
        <f ca="1">+SUMIFS(Weights1!AA$4:AA$69,Weights1!$C$4:$C$69,EMMa_vis!$B$3,Weights1!$D$4:$D$69,EMMa_vis!$AA18)+SUMIFS(Weights1!AA$4:AA$69,Weights1!$C$4:$C$69,EMMa_vis!$B$3,Weights1!$D$4:$D$69,EMMa_vis!$AB18)</f>
        <v>0</v>
      </c>
      <c r="U18" s="85">
        <f ca="1">+SUMIFS(Weights1!AB$4:AB$69,Weights1!$C$4:$C$69,EMMa_vis!$B$3,Weights1!$D$4:$D$69,EMMa_vis!$AA18)+SUMIFS(Weights1!AB$4:AB$69,Weights1!$C$4:$C$69,EMMa_vis!$B$3,Weights1!$D$4:$D$69,EMMa_vis!$AB18)</f>
        <v>0</v>
      </c>
      <c r="V18" s="85">
        <f ca="1">+SUMIFS(Weights1!AC$4:AC$69,Weights1!$C$4:$C$69,EMMa_vis!$B$3,Weights1!$D$4:$D$69,EMMa_vis!$AA18)+SUMIFS(Weights1!AC$4:AC$69,Weights1!$C$4:$C$69,EMMa_vis!$B$3,Weights1!$D$4:$D$69,EMMa_vis!$AB18)</f>
        <v>0</v>
      </c>
      <c r="W18" s="87">
        <f t="shared" ref="W18:Y25" si="3">+IF($A$3=$K$3,$K18*H18,IF($A$3=$L$3,$L18*H18,IF($A$3=$M$3,$M18*H18,IF($A$3=$N$3,$N18*H18))))</f>
        <v>5.25</v>
      </c>
      <c r="X18" s="87">
        <f t="shared" si="3"/>
        <v>5.25</v>
      </c>
      <c r="Y18" s="87">
        <f t="shared" si="3"/>
        <v>7</v>
      </c>
      <c r="AA18" s="63" t="s">
        <v>63</v>
      </c>
      <c r="AB18" s="63" t="s">
        <v>64</v>
      </c>
    </row>
    <row r="19" spans="1:31" ht="28.8" x14ac:dyDescent="0.3">
      <c r="A19" s="4"/>
      <c r="B19" s="55" t="str">
        <f>+MOPs!B17</f>
        <v>Propagation - Queuing</v>
      </c>
      <c r="C19" s="105">
        <f>EMMa!C18</f>
        <v>2.3333333333333335</v>
      </c>
      <c r="D19" s="105">
        <f>EMMa!D18</f>
        <v>3.4</v>
      </c>
      <c r="E19" s="105">
        <f>EMMa!E18</f>
        <v>3.3333333333333335</v>
      </c>
      <c r="F19" s="93" t="str">
        <f>EMMa!F18</f>
        <v>Higher the better</v>
      </c>
      <c r="G19" s="93">
        <f>EMMa!G18</f>
        <v>1</v>
      </c>
      <c r="H19" s="94">
        <f>EMMa!H18</f>
        <v>0.68627450980392168</v>
      </c>
      <c r="I19" s="94">
        <f>EMMa!I18</f>
        <v>1</v>
      </c>
      <c r="J19" s="94">
        <f>EMMa!J18</f>
        <v>0.98039215686274517</v>
      </c>
      <c r="K19" s="85">
        <f>+SUMIFS(Weights1!R$4:R$69,Weights1!$C$4:$C$69,EMMa_vis!$B$3,Weights1!$D$4:$D$69,EMMa_vis!$AA19)+SUMIFS(Weights1!R$4:R$69,Weights1!$C$4:$C$69,EMMa_vis!$B$3,Weights1!$D$4:$D$69,EMMa_vis!$AB19)</f>
        <v>7</v>
      </c>
      <c r="L19" s="85">
        <f>+SUMIFS(Weights1!S$4:S$69,Weights1!$C$4:$C$69,EMMa_vis!$B$3,Weights1!$D$4:$D$69,EMMa_vis!$AA19)+SUMIFS(Weights1!S$4:S$69,Weights1!$C$4:$C$69,EMMa_vis!$B$3,Weights1!$D$4:$D$69,EMMa_vis!$AB19)</f>
        <v>7.5</v>
      </c>
      <c r="M19" s="85">
        <f>+SUMIFS(Weights1!T$4:T$69,Weights1!$C$4:$C$69,EMMa_vis!$B$3,Weights1!$D$4:$D$69,EMMa_vis!$AA19)+SUMIFS(Weights1!T$4:T$69,Weights1!$C$4:$C$69,EMMa_vis!$B$3,Weights1!$D$4:$D$69,EMMa_vis!$AB19)</f>
        <v>6.666666666666667</v>
      </c>
      <c r="N19" s="85">
        <f>+SUMIFS(Weights1!U$4:U$69,Weights1!$C$4:$C$69,EMMa_vis!$B$3,Weights1!$D$4:$D$69,EMMa_vis!$AA19)+SUMIFS(Weights1!U$4:U$69,Weights1!$C$4:$C$69,EMMa_vis!$B$3,Weights1!$D$4:$D$69,EMMa_vis!$AB19)</f>
        <v>7</v>
      </c>
      <c r="O19" s="85">
        <f ca="1">+SUMIFS(Weights1!V$4:V$69,Weights1!$C$4:$C$69,EMMa_vis!$B$3,Weights1!$D$4:$D$69,EMMa_vis!$AA19)+SUMIFS(Weights1!V$4:V$69,Weights1!$C$4:$C$69,EMMa_vis!$B$3,Weights1!$D$4:$D$69,EMMa_vis!$AB19)</f>
        <v>0</v>
      </c>
      <c r="P19" s="85">
        <f ca="1">+SUMIFS(Weights1!W$4:W$69,Weights1!$C$4:$C$69,EMMa_vis!$B$3,Weights1!$D$4:$D$69,EMMa_vis!$AA19)+SUMIFS(Weights1!W$4:W$69,Weights1!$C$4:$C$69,EMMa_vis!$B$3,Weights1!$D$4:$D$69,EMMa_vis!$AB19)</f>
        <v>0</v>
      </c>
      <c r="Q19" s="85">
        <f ca="1">+SUMIFS(Weights1!X$4:X$69,Weights1!$C$4:$C$69,EMMa_vis!$B$3,Weights1!$D$4:$D$69,EMMa_vis!$AA19)+SUMIFS(Weights1!X$4:X$69,Weights1!$C$4:$C$69,EMMa_vis!$B$3,Weights1!$D$4:$D$69,EMMa_vis!$AB19)</f>
        <v>0</v>
      </c>
      <c r="R19" s="85">
        <f ca="1">+SUMIFS(Weights1!Y$4:Y$69,Weights1!$C$4:$C$69,EMMa_vis!$B$3,Weights1!$D$4:$D$69,EMMa_vis!$AA19)+SUMIFS(Weights1!Y$4:Y$69,Weights1!$C$4:$C$69,EMMa_vis!$B$3,Weights1!$D$4:$D$69,EMMa_vis!$AB19)</f>
        <v>0</v>
      </c>
      <c r="S19" s="85">
        <f ca="1">+SUMIFS(Weights1!Z$4:Z$69,Weights1!$C$4:$C$69,EMMa_vis!$B$3,Weights1!$D$4:$D$69,EMMa_vis!$AA19)+SUMIFS(Weights1!Z$4:Z$69,Weights1!$C$4:$C$69,EMMa_vis!$B$3,Weights1!$D$4:$D$69,EMMa_vis!$AB19)</f>
        <v>0</v>
      </c>
      <c r="T19" s="85">
        <f ca="1">+SUMIFS(Weights1!AA$4:AA$69,Weights1!$C$4:$C$69,EMMa_vis!$B$3,Weights1!$D$4:$D$69,EMMa_vis!$AA19)+SUMIFS(Weights1!AA$4:AA$69,Weights1!$C$4:$C$69,EMMa_vis!$B$3,Weights1!$D$4:$D$69,EMMa_vis!$AB19)</f>
        <v>0</v>
      </c>
      <c r="U19" s="85">
        <f ca="1">+SUMIFS(Weights1!AB$4:AB$69,Weights1!$C$4:$C$69,EMMa_vis!$B$3,Weights1!$D$4:$D$69,EMMa_vis!$AA19)+SUMIFS(Weights1!AB$4:AB$69,Weights1!$C$4:$C$69,EMMa_vis!$B$3,Weights1!$D$4:$D$69,EMMa_vis!$AB19)</f>
        <v>0</v>
      </c>
      <c r="V19" s="85">
        <f ca="1">+SUMIFS(Weights1!AC$4:AC$69,Weights1!$C$4:$C$69,EMMa_vis!$B$3,Weights1!$D$4:$D$69,EMMa_vis!$AA19)+SUMIFS(Weights1!AC$4:AC$69,Weights1!$C$4:$C$69,EMMa_vis!$B$3,Weights1!$D$4:$D$69,EMMa_vis!$AB19)</f>
        <v>0</v>
      </c>
      <c r="W19" s="87">
        <f t="shared" si="3"/>
        <v>4.8039215686274517</v>
      </c>
      <c r="X19" s="87">
        <f t="shared" si="3"/>
        <v>7</v>
      </c>
      <c r="Y19" s="87">
        <f t="shared" si="3"/>
        <v>6.8627450980392162</v>
      </c>
      <c r="AA19" s="63" t="s">
        <v>63</v>
      </c>
      <c r="AB19" s="63" t="s">
        <v>65</v>
      </c>
    </row>
    <row r="20" spans="1:31" ht="28.8" x14ac:dyDescent="0.3">
      <c r="A20" s="4"/>
      <c r="B20" s="55" t="str">
        <f>+MOPs!B18</f>
        <v>Propagation - Effect of link-level traffic controls</v>
      </c>
      <c r="C20" s="105">
        <f>EMMa!C19</f>
        <v>3.5</v>
      </c>
      <c r="D20" s="105">
        <f>EMMa!D19</f>
        <v>2.5</v>
      </c>
      <c r="E20" s="105">
        <f>EMMa!E19</f>
        <v>0</v>
      </c>
      <c r="F20" s="93" t="str">
        <f>EMMa!F19</f>
        <v>Higher the better</v>
      </c>
      <c r="G20" s="93">
        <f>EMMa!G19</f>
        <v>1</v>
      </c>
      <c r="H20" s="94">
        <f>EMMa!H19</f>
        <v>1</v>
      </c>
      <c r="I20" s="94">
        <f>EMMa!I19</f>
        <v>0.7142857142857143</v>
      </c>
      <c r="J20" s="94">
        <f>EMMa!J19</f>
        <v>0</v>
      </c>
      <c r="K20" s="85">
        <f>+SUMIFS(Weights1!R$4:R$69,Weights1!$C$4:$C$69,EMMa_vis!$B$3,Weights1!$D$4:$D$69,EMMa_vis!$AA20)+SUMIFS(Weights1!R$4:R$69,Weights1!$C$4:$C$69,EMMa_vis!$B$3,Weights1!$D$4:$D$69,EMMa_vis!$AB20)</f>
        <v>7</v>
      </c>
      <c r="L20" s="85">
        <f>+SUMIFS(Weights1!S$4:S$69,Weights1!$C$4:$C$69,EMMa_vis!$B$3,Weights1!$D$4:$D$69,EMMa_vis!$AA20)+SUMIFS(Weights1!S$4:S$69,Weights1!$C$4:$C$69,EMMa_vis!$B$3,Weights1!$D$4:$D$69,EMMa_vis!$AB20)</f>
        <v>7.5</v>
      </c>
      <c r="M20" s="85">
        <f>+SUMIFS(Weights1!T$4:T$69,Weights1!$C$4:$C$69,EMMa_vis!$B$3,Weights1!$D$4:$D$69,EMMa_vis!$AA20)+SUMIFS(Weights1!T$4:T$69,Weights1!$C$4:$C$69,EMMa_vis!$B$3,Weights1!$D$4:$D$69,EMMa_vis!$AB20)</f>
        <v>8</v>
      </c>
      <c r="N20" s="85">
        <f>+SUMIFS(Weights1!U$4:U$69,Weights1!$C$4:$C$69,EMMa_vis!$B$3,Weights1!$D$4:$D$69,EMMa_vis!$AA20)+SUMIFS(Weights1!U$4:U$69,Weights1!$C$4:$C$69,EMMa_vis!$B$3,Weights1!$D$4:$D$69,EMMa_vis!$AB20)</f>
        <v>8.75</v>
      </c>
      <c r="O20" s="85">
        <f ca="1">+SUMIFS(Weights1!V$4:V$69,Weights1!$C$4:$C$69,EMMa_vis!$B$3,Weights1!$D$4:$D$69,EMMa_vis!$AA20)+SUMIFS(Weights1!V$4:V$69,Weights1!$C$4:$C$69,EMMa_vis!$B$3,Weights1!$D$4:$D$69,EMMa_vis!$AB20)</f>
        <v>0</v>
      </c>
      <c r="P20" s="85">
        <f ca="1">+SUMIFS(Weights1!W$4:W$69,Weights1!$C$4:$C$69,EMMa_vis!$B$3,Weights1!$D$4:$D$69,EMMa_vis!$AA20)+SUMIFS(Weights1!W$4:W$69,Weights1!$C$4:$C$69,EMMa_vis!$B$3,Weights1!$D$4:$D$69,EMMa_vis!$AB20)</f>
        <v>0</v>
      </c>
      <c r="Q20" s="85">
        <f ca="1">+SUMIFS(Weights1!X$4:X$69,Weights1!$C$4:$C$69,EMMa_vis!$B$3,Weights1!$D$4:$D$69,EMMa_vis!$AA20)+SUMIFS(Weights1!X$4:X$69,Weights1!$C$4:$C$69,EMMa_vis!$B$3,Weights1!$D$4:$D$69,EMMa_vis!$AB20)</f>
        <v>0</v>
      </c>
      <c r="R20" s="85">
        <f ca="1">+SUMIFS(Weights1!Y$4:Y$69,Weights1!$C$4:$C$69,EMMa_vis!$B$3,Weights1!$D$4:$D$69,EMMa_vis!$AA20)+SUMIFS(Weights1!Y$4:Y$69,Weights1!$C$4:$C$69,EMMa_vis!$B$3,Weights1!$D$4:$D$69,EMMa_vis!$AB20)</f>
        <v>0</v>
      </c>
      <c r="S20" s="85">
        <f ca="1">+SUMIFS(Weights1!Z$4:Z$69,Weights1!$C$4:$C$69,EMMa_vis!$B$3,Weights1!$D$4:$D$69,EMMa_vis!$AA20)+SUMIFS(Weights1!Z$4:Z$69,Weights1!$C$4:$C$69,EMMa_vis!$B$3,Weights1!$D$4:$D$69,EMMa_vis!$AB20)</f>
        <v>0</v>
      </c>
      <c r="T20" s="85">
        <f ca="1">+SUMIFS(Weights1!AA$4:AA$69,Weights1!$C$4:$C$69,EMMa_vis!$B$3,Weights1!$D$4:$D$69,EMMa_vis!$AA20)+SUMIFS(Weights1!AA$4:AA$69,Weights1!$C$4:$C$69,EMMa_vis!$B$3,Weights1!$D$4:$D$69,EMMa_vis!$AB20)</f>
        <v>0</v>
      </c>
      <c r="U20" s="85">
        <f ca="1">+SUMIFS(Weights1!AB$4:AB$69,Weights1!$C$4:$C$69,EMMa_vis!$B$3,Weights1!$D$4:$D$69,EMMa_vis!$AA20)+SUMIFS(Weights1!AB$4:AB$69,Weights1!$C$4:$C$69,EMMa_vis!$B$3,Weights1!$D$4:$D$69,EMMa_vis!$AB20)</f>
        <v>0</v>
      </c>
      <c r="V20" s="85">
        <f ca="1">+SUMIFS(Weights1!AC$4:AC$69,Weights1!$C$4:$C$69,EMMa_vis!$B$3,Weights1!$D$4:$D$69,EMMa_vis!$AA20)+SUMIFS(Weights1!AC$4:AC$69,Weights1!$C$4:$C$69,EMMa_vis!$B$3,Weights1!$D$4:$D$69,EMMa_vis!$AB20)</f>
        <v>0</v>
      </c>
      <c r="W20" s="87">
        <f t="shared" si="3"/>
        <v>7</v>
      </c>
      <c r="X20" s="87">
        <f t="shared" si="3"/>
        <v>5</v>
      </c>
      <c r="Y20" s="87">
        <f t="shared" si="3"/>
        <v>0</v>
      </c>
      <c r="AA20" s="63" t="s">
        <v>63</v>
      </c>
      <c r="AB20" s="63" t="s">
        <v>64</v>
      </c>
    </row>
    <row r="21" spans="1:31" ht="28.8" x14ac:dyDescent="0.3">
      <c r="A21" s="4"/>
      <c r="B21" s="55" t="str">
        <f>+MOPs!B19</f>
        <v>Node model-merge behaviour</v>
      </c>
      <c r="C21" s="105">
        <f>EMMa!C20</f>
        <v>2.8333333333333335</v>
      </c>
      <c r="D21" s="105">
        <f>EMMa!D20</f>
        <v>2.8333333333333335</v>
      </c>
      <c r="E21" s="105">
        <f>EMMa!E20</f>
        <v>4</v>
      </c>
      <c r="F21" s="93" t="str">
        <f>EMMa!F20</f>
        <v>Higher the better</v>
      </c>
      <c r="G21" s="93">
        <f>EMMa!G20</f>
        <v>1</v>
      </c>
      <c r="H21" s="94">
        <f>EMMa!H20</f>
        <v>0.70833333333333337</v>
      </c>
      <c r="I21" s="94">
        <f>EMMa!I20</f>
        <v>0.70833333333333337</v>
      </c>
      <c r="J21" s="94">
        <f>EMMa!J20</f>
        <v>1</v>
      </c>
      <c r="K21" s="85">
        <f>+SUMIFS(Weights1!R$4:R$69,Weights1!$C$4:$C$69,EMMa_vis!$B$3,Weights1!$D$4:$D$69,EMMa_vis!$AA21)+SUMIFS(Weights1!R$4:R$69,Weights1!$C$4:$C$69,EMMa_vis!$B$3,Weights1!$D$4:$D$69,EMMa_vis!$AB21)</f>
        <v>7</v>
      </c>
      <c r="L21" s="85">
        <f>+SUMIFS(Weights1!S$4:S$69,Weights1!$C$4:$C$69,EMMa_vis!$B$3,Weights1!$D$4:$D$69,EMMa_vis!$AA21)+SUMIFS(Weights1!S$4:S$69,Weights1!$C$4:$C$69,EMMa_vis!$B$3,Weights1!$D$4:$D$69,EMMa_vis!$AB21)</f>
        <v>7.5</v>
      </c>
      <c r="M21" s="85">
        <f>+SUMIFS(Weights1!T$4:T$69,Weights1!$C$4:$C$69,EMMa_vis!$B$3,Weights1!$D$4:$D$69,EMMa_vis!$AA21)+SUMIFS(Weights1!T$4:T$69,Weights1!$C$4:$C$69,EMMa_vis!$B$3,Weights1!$D$4:$D$69,EMMa_vis!$AB21)</f>
        <v>9.6666666666666661</v>
      </c>
      <c r="N21" s="85">
        <f>+SUMIFS(Weights1!U$4:U$69,Weights1!$C$4:$C$69,EMMa_vis!$B$3,Weights1!$D$4:$D$69,EMMa_vis!$AA21)+SUMIFS(Weights1!U$4:U$69,Weights1!$C$4:$C$69,EMMa_vis!$B$3,Weights1!$D$4:$D$69,EMMa_vis!$AB21)</f>
        <v>8</v>
      </c>
      <c r="O21" s="85">
        <f ca="1">+SUMIFS(Weights1!V$4:V$69,Weights1!$C$4:$C$69,EMMa_vis!$B$3,Weights1!$D$4:$D$69,EMMa_vis!$AA21)+SUMIFS(Weights1!V$4:V$69,Weights1!$C$4:$C$69,EMMa_vis!$B$3,Weights1!$D$4:$D$69,EMMa_vis!$AB21)</f>
        <v>0</v>
      </c>
      <c r="P21" s="85">
        <f ca="1">+SUMIFS(Weights1!W$4:W$69,Weights1!$C$4:$C$69,EMMa_vis!$B$3,Weights1!$D$4:$D$69,EMMa_vis!$AA21)+SUMIFS(Weights1!W$4:W$69,Weights1!$C$4:$C$69,EMMa_vis!$B$3,Weights1!$D$4:$D$69,EMMa_vis!$AB21)</f>
        <v>0</v>
      </c>
      <c r="Q21" s="85">
        <f ca="1">+SUMIFS(Weights1!X$4:X$69,Weights1!$C$4:$C$69,EMMa_vis!$B$3,Weights1!$D$4:$D$69,EMMa_vis!$AA21)+SUMIFS(Weights1!X$4:X$69,Weights1!$C$4:$C$69,EMMa_vis!$B$3,Weights1!$D$4:$D$69,EMMa_vis!$AB21)</f>
        <v>0</v>
      </c>
      <c r="R21" s="85">
        <f ca="1">+SUMIFS(Weights1!Y$4:Y$69,Weights1!$C$4:$C$69,EMMa_vis!$B$3,Weights1!$D$4:$D$69,EMMa_vis!$AA21)+SUMIFS(Weights1!Y$4:Y$69,Weights1!$C$4:$C$69,EMMa_vis!$B$3,Weights1!$D$4:$D$69,EMMa_vis!$AB21)</f>
        <v>0</v>
      </c>
      <c r="S21" s="85">
        <f ca="1">+SUMIFS(Weights1!Z$4:Z$69,Weights1!$C$4:$C$69,EMMa_vis!$B$3,Weights1!$D$4:$D$69,EMMa_vis!$AA21)+SUMIFS(Weights1!Z$4:Z$69,Weights1!$C$4:$C$69,EMMa_vis!$B$3,Weights1!$D$4:$D$69,EMMa_vis!$AB21)</f>
        <v>0</v>
      </c>
      <c r="T21" s="85">
        <f ca="1">+SUMIFS(Weights1!AA$4:AA$69,Weights1!$C$4:$C$69,EMMa_vis!$B$3,Weights1!$D$4:$D$69,EMMa_vis!$AA21)+SUMIFS(Weights1!AA$4:AA$69,Weights1!$C$4:$C$69,EMMa_vis!$B$3,Weights1!$D$4:$D$69,EMMa_vis!$AB21)</f>
        <v>0</v>
      </c>
      <c r="U21" s="85">
        <f ca="1">+SUMIFS(Weights1!AB$4:AB$69,Weights1!$C$4:$C$69,EMMa_vis!$B$3,Weights1!$D$4:$D$69,EMMa_vis!$AA21)+SUMIFS(Weights1!AB$4:AB$69,Weights1!$C$4:$C$69,EMMa_vis!$B$3,Weights1!$D$4:$D$69,EMMa_vis!$AB21)</f>
        <v>0</v>
      </c>
      <c r="V21" s="85">
        <f ca="1">+SUMIFS(Weights1!AC$4:AC$69,Weights1!$C$4:$C$69,EMMa_vis!$B$3,Weights1!$D$4:$D$69,EMMa_vis!$AA21)+SUMIFS(Weights1!AC$4:AC$69,Weights1!$C$4:$C$69,EMMa_vis!$B$3,Weights1!$D$4:$D$69,EMMa_vis!$AB21)</f>
        <v>0</v>
      </c>
      <c r="W21" s="87">
        <f t="shared" si="3"/>
        <v>4.9583333333333339</v>
      </c>
      <c r="X21" s="87">
        <f t="shared" si="3"/>
        <v>4.9583333333333339</v>
      </c>
      <c r="Y21" s="87">
        <f t="shared" si="3"/>
        <v>7</v>
      </c>
      <c r="AA21" s="63" t="s">
        <v>63</v>
      </c>
      <c r="AB21" s="63" t="s">
        <v>78</v>
      </c>
    </row>
    <row r="22" spans="1:31" ht="28.8" x14ac:dyDescent="0.3">
      <c r="A22" s="4"/>
      <c r="B22" s="55" t="str">
        <f>+MOPs!B20</f>
        <v>Node model-diverge behaviour</v>
      </c>
      <c r="C22" s="105">
        <f>EMMa!C21</f>
        <v>2.5</v>
      </c>
      <c r="D22" s="105">
        <f>EMMa!D21</f>
        <v>4</v>
      </c>
      <c r="E22" s="105">
        <f>EMMa!E21</f>
        <v>4</v>
      </c>
      <c r="F22" s="93" t="str">
        <f>EMMa!F21</f>
        <v>Higher the better</v>
      </c>
      <c r="G22" s="93">
        <f>EMMa!G21</f>
        <v>1</v>
      </c>
      <c r="H22" s="94">
        <f>EMMa!H21</f>
        <v>0.625</v>
      </c>
      <c r="I22" s="94">
        <f>EMMa!I21</f>
        <v>1</v>
      </c>
      <c r="J22" s="94">
        <f>EMMa!J21</f>
        <v>1</v>
      </c>
      <c r="K22" s="85">
        <f>+SUMIFS(Weights1!R$4:R$69,Weights1!$C$4:$C$69,EMMa_vis!$B$3,Weights1!$D$4:$D$69,EMMa_vis!$AA22)+SUMIFS(Weights1!R$4:R$69,Weights1!$C$4:$C$69,EMMa_vis!$B$3,Weights1!$D$4:$D$69,EMMa_vis!$AB22)</f>
        <v>7</v>
      </c>
      <c r="L22" s="85">
        <f>+SUMIFS(Weights1!S$4:S$69,Weights1!$C$4:$C$69,EMMa_vis!$B$3,Weights1!$D$4:$D$69,EMMa_vis!$AA22)+SUMIFS(Weights1!S$4:S$69,Weights1!$C$4:$C$69,EMMa_vis!$B$3,Weights1!$D$4:$D$69,EMMa_vis!$AB22)</f>
        <v>7.5</v>
      </c>
      <c r="M22" s="85">
        <f>+SUMIFS(Weights1!T$4:T$69,Weights1!$C$4:$C$69,EMMa_vis!$B$3,Weights1!$D$4:$D$69,EMMa_vis!$AA22)+SUMIFS(Weights1!T$4:T$69,Weights1!$C$4:$C$69,EMMa_vis!$B$3,Weights1!$D$4:$D$69,EMMa_vis!$AB22)</f>
        <v>9.6666666666666661</v>
      </c>
      <c r="N22" s="85">
        <f>+SUMIFS(Weights1!U$4:U$69,Weights1!$C$4:$C$69,EMMa_vis!$B$3,Weights1!$D$4:$D$69,EMMa_vis!$AA22)+SUMIFS(Weights1!U$4:U$69,Weights1!$C$4:$C$69,EMMa_vis!$B$3,Weights1!$D$4:$D$69,EMMa_vis!$AB22)</f>
        <v>8</v>
      </c>
      <c r="O22" s="85">
        <f ca="1">+SUMIFS(Weights1!V$4:V$69,Weights1!$C$4:$C$69,EMMa_vis!$B$3,Weights1!$D$4:$D$69,EMMa_vis!$AA22)+SUMIFS(Weights1!V$4:V$69,Weights1!$C$4:$C$69,EMMa_vis!$B$3,Weights1!$D$4:$D$69,EMMa_vis!$AB22)</f>
        <v>0</v>
      </c>
      <c r="P22" s="85">
        <f ca="1">+SUMIFS(Weights1!W$4:W$69,Weights1!$C$4:$C$69,EMMa_vis!$B$3,Weights1!$D$4:$D$69,EMMa_vis!$AA22)+SUMIFS(Weights1!W$4:W$69,Weights1!$C$4:$C$69,EMMa_vis!$B$3,Weights1!$D$4:$D$69,EMMa_vis!$AB22)</f>
        <v>0</v>
      </c>
      <c r="Q22" s="85">
        <f ca="1">+SUMIFS(Weights1!X$4:X$69,Weights1!$C$4:$C$69,EMMa_vis!$B$3,Weights1!$D$4:$D$69,EMMa_vis!$AA22)+SUMIFS(Weights1!X$4:X$69,Weights1!$C$4:$C$69,EMMa_vis!$B$3,Weights1!$D$4:$D$69,EMMa_vis!$AB22)</f>
        <v>0</v>
      </c>
      <c r="R22" s="85">
        <f ca="1">+SUMIFS(Weights1!Y$4:Y$69,Weights1!$C$4:$C$69,EMMa_vis!$B$3,Weights1!$D$4:$D$69,EMMa_vis!$AA22)+SUMIFS(Weights1!Y$4:Y$69,Weights1!$C$4:$C$69,EMMa_vis!$B$3,Weights1!$D$4:$D$69,EMMa_vis!$AB22)</f>
        <v>0</v>
      </c>
      <c r="S22" s="85">
        <f ca="1">+SUMIFS(Weights1!Z$4:Z$69,Weights1!$C$4:$C$69,EMMa_vis!$B$3,Weights1!$D$4:$D$69,EMMa_vis!$AA22)+SUMIFS(Weights1!Z$4:Z$69,Weights1!$C$4:$C$69,EMMa_vis!$B$3,Weights1!$D$4:$D$69,EMMa_vis!$AB22)</f>
        <v>0</v>
      </c>
      <c r="T22" s="85">
        <f ca="1">+SUMIFS(Weights1!AA$4:AA$69,Weights1!$C$4:$C$69,EMMa_vis!$B$3,Weights1!$D$4:$D$69,EMMa_vis!$AA22)+SUMIFS(Weights1!AA$4:AA$69,Weights1!$C$4:$C$69,EMMa_vis!$B$3,Weights1!$D$4:$D$69,EMMa_vis!$AB22)</f>
        <v>0</v>
      </c>
      <c r="U22" s="85">
        <f ca="1">+SUMIFS(Weights1!AB$4:AB$69,Weights1!$C$4:$C$69,EMMa_vis!$B$3,Weights1!$D$4:$D$69,EMMa_vis!$AA22)+SUMIFS(Weights1!AB$4:AB$69,Weights1!$C$4:$C$69,EMMa_vis!$B$3,Weights1!$D$4:$D$69,EMMa_vis!$AB22)</f>
        <v>0</v>
      </c>
      <c r="V22" s="85">
        <f ca="1">+SUMIFS(Weights1!AC$4:AC$69,Weights1!$C$4:$C$69,EMMa_vis!$B$3,Weights1!$D$4:$D$69,EMMa_vis!$AA22)+SUMIFS(Weights1!AC$4:AC$69,Weights1!$C$4:$C$69,EMMa_vis!$B$3,Weights1!$D$4:$D$69,EMMa_vis!$AB22)</f>
        <v>0</v>
      </c>
      <c r="W22" s="87">
        <f t="shared" si="3"/>
        <v>4.375</v>
      </c>
      <c r="X22" s="87">
        <f t="shared" si="3"/>
        <v>7</v>
      </c>
      <c r="Y22" s="87">
        <f t="shared" si="3"/>
        <v>7</v>
      </c>
      <c r="AA22" s="63" t="s">
        <v>63</v>
      </c>
      <c r="AB22" s="63" t="s">
        <v>78</v>
      </c>
    </row>
    <row r="23" spans="1:31" ht="28.8" x14ac:dyDescent="0.3">
      <c r="A23" s="4"/>
      <c r="B23" s="55" t="str">
        <f>+MOPs!B21</f>
        <v>Signalized Intersection</v>
      </c>
      <c r="C23" s="105">
        <f>EMMa!C22</f>
        <v>1.8333333333333333</v>
      </c>
      <c r="D23" s="105">
        <f>EMMa!D22</f>
        <v>2.6666666666666665</v>
      </c>
      <c r="E23" s="105">
        <f>EMMa!E22</f>
        <v>2.1666666666666665</v>
      </c>
      <c r="F23" s="93" t="str">
        <f>EMMa!F22</f>
        <v>Higher the better</v>
      </c>
      <c r="G23" s="93">
        <f>EMMa!G22</f>
        <v>1</v>
      </c>
      <c r="H23" s="94">
        <f>EMMa!H22</f>
        <v>0.6875</v>
      </c>
      <c r="I23" s="94">
        <f>EMMa!I22</f>
        <v>1</v>
      </c>
      <c r="J23" s="94">
        <f>EMMa!J22</f>
        <v>0.8125</v>
      </c>
      <c r="K23" s="85">
        <f>+SUMIFS(Weights1!R$4:R$69,Weights1!$C$4:$C$69,EMMa_vis!$B$3,Weights1!$D$4:$D$69,EMMa_vis!$AA23)+SUMIFS(Weights1!R$4:R$69,Weights1!$C$4:$C$69,EMMa_vis!$B$3,Weights1!$D$4:$D$69,EMMa_vis!$AB23)</f>
        <v>7</v>
      </c>
      <c r="L23" s="85">
        <f>+SUMIFS(Weights1!S$4:S$69,Weights1!$C$4:$C$69,EMMa_vis!$B$3,Weights1!$D$4:$D$69,EMMa_vis!$AA23)+SUMIFS(Weights1!S$4:S$69,Weights1!$C$4:$C$69,EMMa_vis!$B$3,Weights1!$D$4:$D$69,EMMa_vis!$AB23)</f>
        <v>7.5</v>
      </c>
      <c r="M23" s="85">
        <f>+SUMIFS(Weights1!T$4:T$69,Weights1!$C$4:$C$69,EMMa_vis!$B$3,Weights1!$D$4:$D$69,EMMa_vis!$AA23)+SUMIFS(Weights1!T$4:T$69,Weights1!$C$4:$C$69,EMMa_vis!$B$3,Weights1!$D$4:$D$69,EMMa_vis!$AB23)</f>
        <v>7</v>
      </c>
      <c r="N23" s="85">
        <f>+SUMIFS(Weights1!U$4:U$69,Weights1!$C$4:$C$69,EMMa_vis!$B$3,Weights1!$D$4:$D$69,EMMa_vis!$AA23)+SUMIFS(Weights1!U$4:U$69,Weights1!$C$4:$C$69,EMMa_vis!$B$3,Weights1!$D$4:$D$69,EMMa_vis!$AB23)</f>
        <v>6.25</v>
      </c>
      <c r="O23" s="85">
        <f ca="1">+SUMIFS(Weights1!V$4:V$69,Weights1!$C$4:$C$69,EMMa_vis!$B$3,Weights1!$D$4:$D$69,EMMa_vis!$AA23)+SUMIFS(Weights1!V$4:V$69,Weights1!$C$4:$C$69,EMMa_vis!$B$3,Weights1!$D$4:$D$69,EMMa_vis!$AB23)</f>
        <v>0</v>
      </c>
      <c r="P23" s="85">
        <f ca="1">+SUMIFS(Weights1!W$4:W$69,Weights1!$C$4:$C$69,EMMa_vis!$B$3,Weights1!$D$4:$D$69,EMMa_vis!$AA23)+SUMIFS(Weights1!W$4:W$69,Weights1!$C$4:$C$69,EMMa_vis!$B$3,Weights1!$D$4:$D$69,EMMa_vis!$AB23)</f>
        <v>0</v>
      </c>
      <c r="Q23" s="85">
        <f ca="1">+SUMIFS(Weights1!X$4:X$69,Weights1!$C$4:$C$69,EMMa_vis!$B$3,Weights1!$D$4:$D$69,EMMa_vis!$AA23)+SUMIFS(Weights1!X$4:X$69,Weights1!$C$4:$C$69,EMMa_vis!$B$3,Weights1!$D$4:$D$69,EMMa_vis!$AB23)</f>
        <v>0</v>
      </c>
      <c r="R23" s="85">
        <f ca="1">+SUMIFS(Weights1!Y$4:Y$69,Weights1!$C$4:$C$69,EMMa_vis!$B$3,Weights1!$D$4:$D$69,EMMa_vis!$AA23)+SUMIFS(Weights1!Y$4:Y$69,Weights1!$C$4:$C$69,EMMa_vis!$B$3,Weights1!$D$4:$D$69,EMMa_vis!$AB23)</f>
        <v>0</v>
      </c>
      <c r="S23" s="85">
        <f ca="1">+SUMIFS(Weights1!Z$4:Z$69,Weights1!$C$4:$C$69,EMMa_vis!$B$3,Weights1!$D$4:$D$69,EMMa_vis!$AA23)+SUMIFS(Weights1!Z$4:Z$69,Weights1!$C$4:$C$69,EMMa_vis!$B$3,Weights1!$D$4:$D$69,EMMa_vis!$AB23)</f>
        <v>0</v>
      </c>
      <c r="T23" s="85">
        <f ca="1">+SUMIFS(Weights1!AA$4:AA$69,Weights1!$C$4:$C$69,EMMa_vis!$B$3,Weights1!$D$4:$D$69,EMMa_vis!$AA23)+SUMIFS(Weights1!AA$4:AA$69,Weights1!$C$4:$C$69,EMMa_vis!$B$3,Weights1!$D$4:$D$69,EMMa_vis!$AB23)</f>
        <v>0</v>
      </c>
      <c r="U23" s="85">
        <f ca="1">+SUMIFS(Weights1!AB$4:AB$69,Weights1!$C$4:$C$69,EMMa_vis!$B$3,Weights1!$D$4:$D$69,EMMa_vis!$AA23)+SUMIFS(Weights1!AB$4:AB$69,Weights1!$C$4:$C$69,EMMa_vis!$B$3,Weights1!$D$4:$D$69,EMMa_vis!$AB23)</f>
        <v>0</v>
      </c>
      <c r="V23" s="85">
        <f ca="1">+SUMIFS(Weights1!AC$4:AC$69,Weights1!$C$4:$C$69,EMMa_vis!$B$3,Weights1!$D$4:$D$69,EMMa_vis!$AA23)+SUMIFS(Weights1!AC$4:AC$69,Weights1!$C$4:$C$69,EMMa_vis!$B$3,Weights1!$D$4:$D$69,EMMa_vis!$AB23)</f>
        <v>0</v>
      </c>
      <c r="W23" s="87">
        <f t="shared" si="3"/>
        <v>4.8125</v>
      </c>
      <c r="X23" s="87">
        <f t="shared" si="3"/>
        <v>7</v>
      </c>
      <c r="Y23" s="87">
        <f t="shared" si="3"/>
        <v>5.6875</v>
      </c>
      <c r="AA23" s="63" t="s">
        <v>63</v>
      </c>
      <c r="AB23" s="63" t="s">
        <v>79</v>
      </c>
    </row>
    <row r="24" spans="1:31" ht="28.8" x14ac:dyDescent="0.3">
      <c r="A24" s="4"/>
      <c r="B24" s="55" t="str">
        <f>+MOPs!B22</f>
        <v>Route choice (general)</v>
      </c>
      <c r="C24" s="105">
        <f>EMMa!C23</f>
        <v>4</v>
      </c>
      <c r="D24" s="105">
        <f>EMMa!D23</f>
        <v>3</v>
      </c>
      <c r="E24" s="105">
        <f>EMMa!E23</f>
        <v>3</v>
      </c>
      <c r="F24" s="93" t="str">
        <f>EMMa!F23</f>
        <v>Higher the better</v>
      </c>
      <c r="G24" s="93">
        <f>EMMa!G23</f>
        <v>1</v>
      </c>
      <c r="H24" s="94">
        <f>EMMa!H23</f>
        <v>1</v>
      </c>
      <c r="I24" s="94">
        <f>EMMa!I23</f>
        <v>0.75</v>
      </c>
      <c r="J24" s="94">
        <f>EMMa!J23</f>
        <v>0.75</v>
      </c>
      <c r="K24" s="85">
        <f>+SUMIFS(Weights1!R$4:R$69,Weights1!$C$4:$C$69,EMMa_vis!$B$3,Weights1!$D$4:$D$69,EMMa_vis!$AA24)+SUMIFS(Weights1!R$4:R$69,Weights1!$C$4:$C$69,EMMa_vis!$B$3,Weights1!$D$4:$D$69,EMMa_vis!$AB24)</f>
        <v>10</v>
      </c>
      <c r="L24" s="85">
        <f>+SUMIFS(Weights1!S$4:S$69,Weights1!$C$4:$C$69,EMMa_vis!$B$3,Weights1!$D$4:$D$69,EMMa_vis!$AA24)+SUMIFS(Weights1!S$4:S$69,Weights1!$C$4:$C$69,EMMa_vis!$B$3,Weights1!$D$4:$D$69,EMMa_vis!$AB24)</f>
        <v>9.7222222222222214</v>
      </c>
      <c r="M24" s="85">
        <f>+SUMIFS(Weights1!T$4:T$69,Weights1!$C$4:$C$69,EMMa_vis!$B$3,Weights1!$D$4:$D$69,EMMa_vis!$AA24)+SUMIFS(Weights1!T$4:T$69,Weights1!$C$4:$C$69,EMMa_vis!$B$3,Weights1!$D$4:$D$69,EMMa_vis!$AB24)</f>
        <v>9.3333333333333339</v>
      </c>
      <c r="N24" s="85">
        <f>+SUMIFS(Weights1!U$4:U$69,Weights1!$C$4:$C$69,EMMa_vis!$B$3,Weights1!$D$4:$D$69,EMMa_vis!$AA24)+SUMIFS(Weights1!U$4:U$69,Weights1!$C$4:$C$69,EMMa_vis!$B$3,Weights1!$D$4:$D$69,EMMa_vis!$AB24)</f>
        <v>8.5</v>
      </c>
      <c r="O24" s="85">
        <f ca="1">+SUMIFS(Weights1!V$4:V$69,Weights1!$C$4:$C$69,EMMa_vis!$B$3,Weights1!$D$4:$D$69,EMMa_vis!$AA24)+SUMIFS(Weights1!V$4:V$69,Weights1!$C$4:$C$69,EMMa_vis!$B$3,Weights1!$D$4:$D$69,EMMa_vis!$AB24)</f>
        <v>0</v>
      </c>
      <c r="P24" s="85">
        <f ca="1">+SUMIFS(Weights1!W$4:W$69,Weights1!$C$4:$C$69,EMMa_vis!$B$3,Weights1!$D$4:$D$69,EMMa_vis!$AA24)+SUMIFS(Weights1!W$4:W$69,Weights1!$C$4:$C$69,EMMa_vis!$B$3,Weights1!$D$4:$D$69,EMMa_vis!$AB24)</f>
        <v>0</v>
      </c>
      <c r="Q24" s="85">
        <f ca="1">+SUMIFS(Weights1!X$4:X$69,Weights1!$C$4:$C$69,EMMa_vis!$B$3,Weights1!$D$4:$D$69,EMMa_vis!$AA24)+SUMIFS(Weights1!X$4:X$69,Weights1!$C$4:$C$69,EMMa_vis!$B$3,Weights1!$D$4:$D$69,EMMa_vis!$AB24)</f>
        <v>0</v>
      </c>
      <c r="R24" s="85">
        <f ca="1">+SUMIFS(Weights1!Y$4:Y$69,Weights1!$C$4:$C$69,EMMa_vis!$B$3,Weights1!$D$4:$D$69,EMMa_vis!$AA24)+SUMIFS(Weights1!Y$4:Y$69,Weights1!$C$4:$C$69,EMMa_vis!$B$3,Weights1!$D$4:$D$69,EMMa_vis!$AB24)</f>
        <v>0</v>
      </c>
      <c r="S24" s="85">
        <f ca="1">+SUMIFS(Weights1!Z$4:Z$69,Weights1!$C$4:$C$69,EMMa_vis!$B$3,Weights1!$D$4:$D$69,EMMa_vis!$AA24)+SUMIFS(Weights1!Z$4:Z$69,Weights1!$C$4:$C$69,EMMa_vis!$B$3,Weights1!$D$4:$D$69,EMMa_vis!$AB24)</f>
        <v>0</v>
      </c>
      <c r="T24" s="85">
        <f ca="1">+SUMIFS(Weights1!AA$4:AA$69,Weights1!$C$4:$C$69,EMMa_vis!$B$3,Weights1!$D$4:$D$69,EMMa_vis!$AA24)+SUMIFS(Weights1!AA$4:AA$69,Weights1!$C$4:$C$69,EMMa_vis!$B$3,Weights1!$D$4:$D$69,EMMa_vis!$AB24)</f>
        <v>0</v>
      </c>
      <c r="U24" s="85">
        <f ca="1">+SUMIFS(Weights1!AB$4:AB$69,Weights1!$C$4:$C$69,EMMa_vis!$B$3,Weights1!$D$4:$D$69,EMMa_vis!$AA24)+SUMIFS(Weights1!AB$4:AB$69,Weights1!$C$4:$C$69,EMMa_vis!$B$3,Weights1!$D$4:$D$69,EMMa_vis!$AB24)</f>
        <v>0</v>
      </c>
      <c r="V24" s="85">
        <f ca="1">+SUMIFS(Weights1!AC$4:AC$69,Weights1!$C$4:$C$69,EMMa_vis!$B$3,Weights1!$D$4:$D$69,EMMa_vis!$AA24)+SUMIFS(Weights1!AC$4:AC$69,Weights1!$C$4:$C$69,EMMa_vis!$B$3,Weights1!$D$4:$D$69,EMMa_vis!$AB24)</f>
        <v>0</v>
      </c>
      <c r="W24" s="87">
        <f t="shared" si="3"/>
        <v>10</v>
      </c>
      <c r="X24" s="87">
        <f t="shared" si="3"/>
        <v>7.5</v>
      </c>
      <c r="Y24" s="87">
        <f t="shared" si="3"/>
        <v>7.5</v>
      </c>
      <c r="AA24" s="63" t="s">
        <v>71</v>
      </c>
      <c r="AB24" s="63" t="s">
        <v>80</v>
      </c>
    </row>
    <row r="25" spans="1:31" ht="28.8" x14ac:dyDescent="0.3">
      <c r="A25" s="4"/>
      <c r="B25" s="55" t="str">
        <f>+MOPs!B23</f>
        <v>Route choice (route overlap)</v>
      </c>
      <c r="C25" s="105">
        <f>EMMa!C24</f>
        <v>4</v>
      </c>
      <c r="D25" s="105">
        <f>EMMa!D24</f>
        <v>4</v>
      </c>
      <c r="E25" s="105">
        <f>EMMa!E24</f>
        <v>4</v>
      </c>
      <c r="F25" s="93" t="str">
        <f>EMMa!F24</f>
        <v>Higher the better</v>
      </c>
      <c r="G25" s="93">
        <f>EMMa!G24</f>
        <v>1</v>
      </c>
      <c r="H25" s="94">
        <f>EMMa!H24</f>
        <v>1</v>
      </c>
      <c r="I25" s="94">
        <f>EMMa!I24</f>
        <v>1</v>
      </c>
      <c r="J25" s="94">
        <f>EMMa!J24</f>
        <v>1</v>
      </c>
      <c r="K25" s="85">
        <f>+SUMIFS(Weights1!R$4:R$69,Weights1!$C$4:$C$69,EMMa_vis!$B$3,Weights1!$D$4:$D$69,EMMa_vis!$AA25)+SUMIFS(Weights1!R$4:R$69,Weights1!$C$4:$C$69,EMMa_vis!$B$3,Weights1!$D$4:$D$69,EMMa_vis!$AB25)</f>
        <v>10</v>
      </c>
      <c r="L25" s="85">
        <f>+SUMIFS(Weights1!S$4:S$69,Weights1!$C$4:$C$69,EMMa_vis!$B$3,Weights1!$D$4:$D$69,EMMa_vis!$AA25)+SUMIFS(Weights1!S$4:S$69,Weights1!$C$4:$C$69,EMMa_vis!$B$3,Weights1!$D$4:$D$69,EMMa_vis!$AB25)</f>
        <v>9.7222222222222214</v>
      </c>
      <c r="M25" s="85">
        <f>+SUMIFS(Weights1!T$4:T$69,Weights1!$C$4:$C$69,EMMa_vis!$B$3,Weights1!$D$4:$D$69,EMMa_vis!$AA25)+SUMIFS(Weights1!T$4:T$69,Weights1!$C$4:$C$69,EMMa_vis!$B$3,Weights1!$D$4:$D$69,EMMa_vis!$AB25)</f>
        <v>8.3333333333333339</v>
      </c>
      <c r="N25" s="85">
        <f>+SUMIFS(Weights1!U$4:U$69,Weights1!$C$4:$C$69,EMMa_vis!$B$3,Weights1!$D$4:$D$69,EMMa_vis!$AA25)+SUMIFS(Weights1!U$4:U$69,Weights1!$C$4:$C$69,EMMa_vis!$B$3,Weights1!$D$4:$D$69,EMMa_vis!$AB25)</f>
        <v>7.25</v>
      </c>
      <c r="O25" s="85">
        <f ca="1">+SUMIFS(Weights1!V$4:V$69,Weights1!$C$4:$C$69,EMMa_vis!$B$3,Weights1!$D$4:$D$69,EMMa_vis!$AA25)+SUMIFS(Weights1!V$4:V$69,Weights1!$C$4:$C$69,EMMa_vis!$B$3,Weights1!$D$4:$D$69,EMMa_vis!$AB25)</f>
        <v>0</v>
      </c>
      <c r="P25" s="85">
        <f ca="1">+SUMIFS(Weights1!W$4:W$69,Weights1!$C$4:$C$69,EMMa_vis!$B$3,Weights1!$D$4:$D$69,EMMa_vis!$AA25)+SUMIFS(Weights1!W$4:W$69,Weights1!$C$4:$C$69,EMMa_vis!$B$3,Weights1!$D$4:$D$69,EMMa_vis!$AB25)</f>
        <v>0</v>
      </c>
      <c r="Q25" s="85">
        <f ca="1">+SUMIFS(Weights1!X$4:X$69,Weights1!$C$4:$C$69,EMMa_vis!$B$3,Weights1!$D$4:$D$69,EMMa_vis!$AA25)+SUMIFS(Weights1!X$4:X$69,Weights1!$C$4:$C$69,EMMa_vis!$B$3,Weights1!$D$4:$D$69,EMMa_vis!$AB25)</f>
        <v>0</v>
      </c>
      <c r="R25" s="85">
        <f ca="1">+SUMIFS(Weights1!Y$4:Y$69,Weights1!$C$4:$C$69,EMMa_vis!$B$3,Weights1!$D$4:$D$69,EMMa_vis!$AA25)+SUMIFS(Weights1!Y$4:Y$69,Weights1!$C$4:$C$69,EMMa_vis!$B$3,Weights1!$D$4:$D$69,EMMa_vis!$AB25)</f>
        <v>0</v>
      </c>
      <c r="S25" s="85">
        <f ca="1">+SUMIFS(Weights1!Z$4:Z$69,Weights1!$C$4:$C$69,EMMa_vis!$B$3,Weights1!$D$4:$D$69,EMMa_vis!$AA25)+SUMIFS(Weights1!Z$4:Z$69,Weights1!$C$4:$C$69,EMMa_vis!$B$3,Weights1!$D$4:$D$69,EMMa_vis!$AB25)</f>
        <v>0</v>
      </c>
      <c r="T25" s="85">
        <f ca="1">+SUMIFS(Weights1!AA$4:AA$69,Weights1!$C$4:$C$69,EMMa_vis!$B$3,Weights1!$D$4:$D$69,EMMa_vis!$AA25)+SUMIFS(Weights1!AA$4:AA$69,Weights1!$C$4:$C$69,EMMa_vis!$B$3,Weights1!$D$4:$D$69,EMMa_vis!$AB25)</f>
        <v>0</v>
      </c>
      <c r="U25" s="85">
        <f ca="1">+SUMIFS(Weights1!AB$4:AB$69,Weights1!$C$4:$C$69,EMMa_vis!$B$3,Weights1!$D$4:$D$69,EMMa_vis!$AA25)+SUMIFS(Weights1!AB$4:AB$69,Weights1!$C$4:$C$69,EMMa_vis!$B$3,Weights1!$D$4:$D$69,EMMa_vis!$AB25)</f>
        <v>0</v>
      </c>
      <c r="V25" s="85">
        <f ca="1">+SUMIFS(Weights1!AC$4:AC$69,Weights1!$C$4:$C$69,EMMa_vis!$B$3,Weights1!$D$4:$D$69,EMMa_vis!$AA25)+SUMIFS(Weights1!AC$4:AC$69,Weights1!$C$4:$C$69,EMMa_vis!$B$3,Weights1!$D$4:$D$69,EMMa_vis!$AB25)</f>
        <v>0</v>
      </c>
      <c r="W25" s="87">
        <f t="shared" si="3"/>
        <v>10</v>
      </c>
      <c r="X25" s="87">
        <f t="shared" si="3"/>
        <v>10</v>
      </c>
      <c r="Y25" s="87">
        <f t="shared" si="3"/>
        <v>10</v>
      </c>
      <c r="AA25" s="63" t="s">
        <v>71</v>
      </c>
      <c r="AB25" s="63" t="s">
        <v>81</v>
      </c>
    </row>
    <row r="26" spans="1:31" ht="30.6" customHeight="1" x14ac:dyDescent="0.3">
      <c r="A26" s="4"/>
      <c r="B26" s="97" t="str">
        <f>+MOPs!B24</f>
        <v>Integration of Network Hierarchies - Urban and Motorway roads</v>
      </c>
      <c r="C26" s="98"/>
      <c r="D26" s="99"/>
      <c r="E26" s="99"/>
      <c r="F26" s="100"/>
      <c r="G26" s="100"/>
      <c r="H26" s="100"/>
      <c r="I26" s="100"/>
      <c r="J26" s="100"/>
      <c r="K26" s="98"/>
      <c r="L26" s="98"/>
      <c r="M26" s="98"/>
      <c r="N26" s="98"/>
      <c r="O26" s="98"/>
      <c r="P26" s="98"/>
      <c r="Q26" s="98"/>
      <c r="R26" s="98"/>
      <c r="S26" s="98"/>
      <c r="T26" s="98"/>
      <c r="U26" s="98"/>
      <c r="V26" s="98"/>
      <c r="W26" s="98"/>
      <c r="X26" s="98"/>
      <c r="Y26" s="101"/>
    </row>
    <row r="27" spans="1:31" ht="28.8" x14ac:dyDescent="0.3">
      <c r="A27" s="4"/>
      <c r="B27" s="55" t="str">
        <f>+MOPs!B25</f>
        <v>Fluctuation of traffic states over a series of urban and non-urban links</v>
      </c>
      <c r="C27" s="105">
        <f>EMMa!C26</f>
        <v>0</v>
      </c>
      <c r="D27" s="105">
        <f>EMMa!D26</f>
        <v>4</v>
      </c>
      <c r="E27" s="105">
        <f>EMMa!E26</f>
        <v>0</v>
      </c>
      <c r="F27" s="93" t="str">
        <f>EMMa!F26</f>
        <v>Higher the better</v>
      </c>
      <c r="G27" s="93">
        <f>EMMa!G26</f>
        <v>1</v>
      </c>
      <c r="H27" s="94">
        <f>EMMa!H26</f>
        <v>0</v>
      </c>
      <c r="I27" s="94">
        <f>EMMa!I26</f>
        <v>1</v>
      </c>
      <c r="J27" s="94">
        <f>EMMa!J26</f>
        <v>0</v>
      </c>
      <c r="K27" s="85">
        <f>+SUMIFS(Weights1!R$4:R$69,Weights1!$C$4:$C$69,EMMa_vis!$B$3,Weights1!$D$4:$D$69,EMMa_vis!$AA27)+SUMIFS(Weights1!R$4:R$69,Weights1!$C$4:$C$69,EMMa_vis!$B$3,Weights1!$D$4:$D$69,EMMa_vis!$AB27)</f>
        <v>7</v>
      </c>
      <c r="L27" s="85">
        <f>+SUMIFS(Weights1!S$4:S$69,Weights1!$C$4:$C$69,EMMa_vis!$B$3,Weights1!$D$4:$D$69,EMMa_vis!$AA27)+SUMIFS(Weights1!S$4:S$69,Weights1!$C$4:$C$69,EMMa_vis!$B$3,Weights1!$D$4:$D$69,EMMa_vis!$AB27)</f>
        <v>7.5</v>
      </c>
      <c r="M27" s="85">
        <f>+SUMIFS(Weights1!T$4:T$69,Weights1!$C$4:$C$69,EMMa_vis!$B$3,Weights1!$D$4:$D$69,EMMa_vis!$AA27)+SUMIFS(Weights1!T$4:T$69,Weights1!$C$4:$C$69,EMMa_vis!$B$3,Weights1!$D$4:$D$69,EMMa_vis!$AB27)</f>
        <v>5</v>
      </c>
      <c r="N27" s="85">
        <f>+SUMIFS(Weights1!U$4:U$69,Weights1!$C$4:$C$69,EMMa_vis!$B$3,Weights1!$D$4:$D$69,EMMa_vis!$AA27)+SUMIFS(Weights1!U$4:U$69,Weights1!$C$4:$C$69,EMMa_vis!$B$3,Weights1!$D$4:$D$69,EMMa_vis!$AB27)</f>
        <v>6.75</v>
      </c>
      <c r="O27" s="85">
        <f ca="1">+SUMIFS(Weights1!V$4:V$69,Weights1!$C$4:$C$69,EMMa_vis!$B$3,Weights1!$D$4:$D$69,EMMa_vis!$AA27)+SUMIFS(Weights1!V$4:V$69,Weights1!$C$4:$C$69,EMMa_vis!$B$3,Weights1!$D$4:$D$69,EMMa_vis!$AB27)</f>
        <v>0</v>
      </c>
      <c r="P27" s="85">
        <f ca="1">+SUMIFS(Weights1!W$4:W$69,Weights1!$C$4:$C$69,EMMa_vis!$B$3,Weights1!$D$4:$D$69,EMMa_vis!$AA27)+SUMIFS(Weights1!W$4:W$69,Weights1!$C$4:$C$69,EMMa_vis!$B$3,Weights1!$D$4:$D$69,EMMa_vis!$AB27)</f>
        <v>0</v>
      </c>
      <c r="Q27" s="85">
        <f ca="1">+SUMIFS(Weights1!X$4:X$69,Weights1!$C$4:$C$69,EMMa_vis!$B$3,Weights1!$D$4:$D$69,EMMa_vis!$AA27)+SUMIFS(Weights1!X$4:X$69,Weights1!$C$4:$C$69,EMMa_vis!$B$3,Weights1!$D$4:$D$69,EMMa_vis!$AB27)</f>
        <v>0</v>
      </c>
      <c r="R27" s="85">
        <f ca="1">+SUMIFS(Weights1!Y$4:Y$69,Weights1!$C$4:$C$69,EMMa_vis!$B$3,Weights1!$D$4:$D$69,EMMa_vis!$AA27)+SUMIFS(Weights1!Y$4:Y$69,Weights1!$C$4:$C$69,EMMa_vis!$B$3,Weights1!$D$4:$D$69,EMMa_vis!$AB27)</f>
        <v>0</v>
      </c>
      <c r="S27" s="85">
        <f ca="1">+SUMIFS(Weights1!Z$4:Z$69,Weights1!$C$4:$C$69,EMMa_vis!$B$3,Weights1!$D$4:$D$69,EMMa_vis!$AA27)+SUMIFS(Weights1!Z$4:Z$69,Weights1!$C$4:$C$69,EMMa_vis!$B$3,Weights1!$D$4:$D$69,EMMa_vis!$AB27)</f>
        <v>0</v>
      </c>
      <c r="T27" s="85">
        <f ca="1">+SUMIFS(Weights1!AA$4:AA$69,Weights1!$C$4:$C$69,EMMa_vis!$B$3,Weights1!$D$4:$D$69,EMMa_vis!$AA27)+SUMIFS(Weights1!AA$4:AA$69,Weights1!$C$4:$C$69,EMMa_vis!$B$3,Weights1!$D$4:$D$69,EMMa_vis!$AB27)</f>
        <v>0</v>
      </c>
      <c r="U27" s="85">
        <f ca="1">+SUMIFS(Weights1!AB$4:AB$69,Weights1!$C$4:$C$69,EMMa_vis!$B$3,Weights1!$D$4:$D$69,EMMa_vis!$AA27)+SUMIFS(Weights1!AB$4:AB$69,Weights1!$C$4:$C$69,EMMa_vis!$B$3,Weights1!$D$4:$D$69,EMMa_vis!$AB27)</f>
        <v>0</v>
      </c>
      <c r="V27" s="85">
        <f ca="1">+SUMIFS(Weights1!AC$4:AC$69,Weights1!$C$4:$C$69,EMMa_vis!$B$3,Weights1!$D$4:$D$69,EMMa_vis!$AA27)+SUMIFS(Weights1!AC$4:AC$69,Weights1!$C$4:$C$69,EMMa_vis!$B$3,Weights1!$D$4:$D$69,EMMa_vis!$AB27)</f>
        <v>0</v>
      </c>
      <c r="W27" s="87">
        <f t="shared" ref="W27:Y27" si="4">+IF($A$3=$K$3,$K27*H27,IF($A$3=$L$3,$L27*H27,IF($A$3=$M$3,$M27*H27,IF($A$3=$N$3,$N27*H27))))</f>
        <v>0</v>
      </c>
      <c r="X27" s="87">
        <f t="shared" si="4"/>
        <v>7</v>
      </c>
      <c r="Y27" s="87">
        <f t="shared" si="4"/>
        <v>0</v>
      </c>
      <c r="AA27" s="63" t="s">
        <v>63</v>
      </c>
      <c r="AB27" s="63" t="s">
        <v>82</v>
      </c>
    </row>
    <row r="28" spans="1:31" ht="30.6" customHeight="1" x14ac:dyDescent="0.3">
      <c r="A28" s="4"/>
      <c r="B28" s="97" t="str">
        <f>+MOPs!B26</f>
        <v>Computational efficiency</v>
      </c>
      <c r="C28" s="98"/>
      <c r="D28" s="99"/>
      <c r="E28" s="99"/>
      <c r="F28" s="100"/>
      <c r="G28" s="100"/>
      <c r="H28" s="100"/>
      <c r="I28" s="100"/>
      <c r="J28" s="100"/>
      <c r="K28" s="98"/>
      <c r="L28" s="98"/>
      <c r="M28" s="98"/>
      <c r="N28" s="98"/>
      <c r="O28" s="98"/>
      <c r="P28" s="98"/>
      <c r="Q28" s="98"/>
      <c r="R28" s="98"/>
      <c r="S28" s="98"/>
      <c r="T28" s="98"/>
      <c r="U28" s="98"/>
      <c r="V28" s="98"/>
      <c r="W28" s="98"/>
      <c r="X28" s="98"/>
      <c r="Y28" s="101"/>
    </row>
    <row r="29" spans="1:31" ht="28.8" x14ac:dyDescent="0.3">
      <c r="A29" s="4"/>
      <c r="B29" s="55" t="str">
        <f>+MOPs!B27</f>
        <v>Run Time in Sec</v>
      </c>
      <c r="C29" s="105">
        <f>EMMa!C28</f>
        <v>7421.4</v>
      </c>
      <c r="D29" s="105">
        <f>EMMa!D28</f>
        <v>668989.08823500003</v>
      </c>
      <c r="E29" s="105">
        <f>EMMa!E28</f>
        <v>9488.2753489999996</v>
      </c>
      <c r="F29" s="93" t="str">
        <f>EMMa!F28</f>
        <v>Lower the better</v>
      </c>
      <c r="G29" s="93">
        <f>EMMa!G28</f>
        <v>0</v>
      </c>
      <c r="H29" s="94">
        <f>EMMa!H28</f>
        <v>0.98890654551693813</v>
      </c>
      <c r="I29" s="94">
        <f>EMMa!I28</f>
        <v>0</v>
      </c>
      <c r="J29" s="94">
        <f>EMMa!J28</f>
        <v>0.98581699535035316</v>
      </c>
      <c r="K29" s="85">
        <f>+SUMIFS(Weights1!R$4:R$69,Weights1!$C$4:$C$69,EMMa_vis!$B$3,Weights1!$D$4:$D$69,EMMa_vis!$AA29)+SUMIFS(Weights1!R$4:R$69,Weights1!$C$4:$C$69,EMMa_vis!$B$3,Weights1!$D$4:$D$69,EMMa_vis!$AB29)</f>
        <v>4</v>
      </c>
      <c r="L29" s="85">
        <f>+SUMIFS(Weights1!S$4:S$69,Weights1!$C$4:$C$69,EMMa_vis!$B$3,Weights1!$D$4:$D$69,EMMa_vis!$AA29)+SUMIFS(Weights1!S$4:S$69,Weights1!$C$4:$C$69,EMMa_vis!$B$3,Weights1!$D$4:$D$69,EMMa_vis!$AB29)</f>
        <v>6.1111111111111107</v>
      </c>
      <c r="M29" s="85">
        <f>+SUMIFS(Weights1!T$4:T$69,Weights1!$C$4:$C$69,EMMa_vis!$B$3,Weights1!$D$4:$D$69,EMMa_vis!$AA29)+SUMIFS(Weights1!T$4:T$69,Weights1!$C$4:$C$69,EMMa_vis!$B$3,Weights1!$D$4:$D$69,EMMa_vis!$AB29)</f>
        <v>7.666666666666667</v>
      </c>
      <c r="N29" s="85">
        <f>+SUMIFS(Weights1!U$4:U$69,Weights1!$C$4:$C$69,EMMa_vis!$B$3,Weights1!$D$4:$D$69,EMMa_vis!$AA29)+SUMIFS(Weights1!U$4:U$69,Weights1!$C$4:$C$69,EMMa_vis!$B$3,Weights1!$D$4:$D$69,EMMa_vis!$AB29)</f>
        <v>7.25</v>
      </c>
      <c r="O29" s="85">
        <f ca="1">+SUMIFS(Weights1!V$4:V$69,Weights1!$C$4:$C$69,EMMa_vis!$B$3,Weights1!$D$4:$D$69,EMMa_vis!$AA29)+SUMIFS(Weights1!V$4:V$69,Weights1!$C$4:$C$69,EMMa_vis!$B$3,Weights1!$D$4:$D$69,EMMa_vis!$AB29)</f>
        <v>0</v>
      </c>
      <c r="P29" s="85">
        <f ca="1">+SUMIFS(Weights1!W$4:W$69,Weights1!$C$4:$C$69,EMMa_vis!$B$3,Weights1!$D$4:$D$69,EMMa_vis!$AA29)+SUMIFS(Weights1!W$4:W$69,Weights1!$C$4:$C$69,EMMa_vis!$B$3,Weights1!$D$4:$D$69,EMMa_vis!$AB29)</f>
        <v>0</v>
      </c>
      <c r="Q29" s="85">
        <f ca="1">+SUMIFS(Weights1!X$4:X$69,Weights1!$C$4:$C$69,EMMa_vis!$B$3,Weights1!$D$4:$D$69,EMMa_vis!$AA29)+SUMIFS(Weights1!X$4:X$69,Weights1!$C$4:$C$69,EMMa_vis!$B$3,Weights1!$D$4:$D$69,EMMa_vis!$AB29)</f>
        <v>0</v>
      </c>
      <c r="R29" s="85">
        <f ca="1">+SUMIFS(Weights1!Y$4:Y$69,Weights1!$C$4:$C$69,EMMa_vis!$B$3,Weights1!$D$4:$D$69,EMMa_vis!$AA29)+SUMIFS(Weights1!Y$4:Y$69,Weights1!$C$4:$C$69,EMMa_vis!$B$3,Weights1!$D$4:$D$69,EMMa_vis!$AB29)</f>
        <v>0</v>
      </c>
      <c r="S29" s="85">
        <f ca="1">+SUMIFS(Weights1!Z$4:Z$69,Weights1!$C$4:$C$69,EMMa_vis!$B$3,Weights1!$D$4:$D$69,EMMa_vis!$AA29)+SUMIFS(Weights1!Z$4:Z$69,Weights1!$C$4:$C$69,EMMa_vis!$B$3,Weights1!$D$4:$D$69,EMMa_vis!$AB29)</f>
        <v>0</v>
      </c>
      <c r="T29" s="85">
        <f ca="1">+SUMIFS(Weights1!AA$4:AA$69,Weights1!$C$4:$C$69,EMMa_vis!$B$3,Weights1!$D$4:$D$69,EMMa_vis!$AA29)+SUMIFS(Weights1!AA$4:AA$69,Weights1!$C$4:$C$69,EMMa_vis!$B$3,Weights1!$D$4:$D$69,EMMa_vis!$AB29)</f>
        <v>0</v>
      </c>
      <c r="U29" s="85">
        <f ca="1">+SUMIFS(Weights1!AB$4:AB$69,Weights1!$C$4:$C$69,EMMa_vis!$B$3,Weights1!$D$4:$D$69,EMMa_vis!$AA29)+SUMIFS(Weights1!AB$4:AB$69,Weights1!$C$4:$C$69,EMMa_vis!$B$3,Weights1!$D$4:$D$69,EMMa_vis!$AB29)</f>
        <v>0</v>
      </c>
      <c r="V29" s="85">
        <f ca="1">+SUMIFS(Weights1!AC$4:AC$69,Weights1!$C$4:$C$69,EMMa_vis!$B$3,Weights1!$D$4:$D$69,EMMa_vis!$AA29)+SUMIFS(Weights1!AC$4:AC$69,Weights1!$C$4:$C$69,EMMa_vis!$B$3,Weights1!$D$4:$D$69,EMMa_vis!$AB29)</f>
        <v>0</v>
      </c>
      <c r="W29" s="87">
        <f t="shared" ref="W29:Y30" si="5">+IF($A$3=$K$3,$K29*H29,IF($A$3=$L$3,$L29*H29,IF($A$3=$M$3,$M29*H29,IF($A$3=$N$3,$N29*H29))))</f>
        <v>3.9556261820677525</v>
      </c>
      <c r="X29" s="87">
        <f t="shared" si="5"/>
        <v>0</v>
      </c>
      <c r="Y29" s="87">
        <f t="shared" si="5"/>
        <v>3.9432679814014127</v>
      </c>
      <c r="AA29" s="63" t="s">
        <v>83</v>
      </c>
      <c r="AB29" s="63" t="s">
        <v>84</v>
      </c>
    </row>
    <row r="30" spans="1:31" ht="28.8" x14ac:dyDescent="0.3">
      <c r="A30" s="4"/>
      <c r="B30" s="55" t="str">
        <f>+MOPs!B28</f>
        <v>Peak memory Usage in MB's</v>
      </c>
      <c r="C30" s="105">
        <f>EMMa!C29</f>
        <v>712.78</v>
      </c>
      <c r="D30" s="105">
        <f>EMMa!D29</f>
        <v>1768</v>
      </c>
      <c r="E30" s="105">
        <f>EMMa!E29</f>
        <v>3992</v>
      </c>
      <c r="F30" s="93" t="str">
        <f>EMMa!F29</f>
        <v>Lower the better</v>
      </c>
      <c r="G30" s="93">
        <f>EMMa!G29</f>
        <v>0</v>
      </c>
      <c r="H30" s="94">
        <f>EMMa!H29</f>
        <v>0.82144789579158317</v>
      </c>
      <c r="I30" s="94">
        <f>EMMa!I29</f>
        <v>0.55711422845691383</v>
      </c>
      <c r="J30" s="94">
        <f>EMMa!J29</f>
        <v>0</v>
      </c>
      <c r="K30" s="85">
        <f>+SUMIFS(Weights1!R$4:R$69,Weights1!$C$4:$C$69,EMMa_vis!$B$3,Weights1!$D$4:$D$69,EMMa_vis!$AA30)+SUMIFS(Weights1!R$4:R$69,Weights1!$C$4:$C$69,EMMa_vis!$B$3,Weights1!$D$4:$D$69,EMMa_vis!$AB30)</f>
        <v>4</v>
      </c>
      <c r="L30" s="85">
        <f>+SUMIFS(Weights1!S$4:S$69,Weights1!$C$4:$C$69,EMMa_vis!$B$3,Weights1!$D$4:$D$69,EMMa_vis!$AA30)+SUMIFS(Weights1!S$4:S$69,Weights1!$C$4:$C$69,EMMa_vis!$B$3,Weights1!$D$4:$D$69,EMMa_vis!$AB30)</f>
        <v>6.1111111111111107</v>
      </c>
      <c r="M30" s="85">
        <f>+SUMIFS(Weights1!T$4:T$69,Weights1!$C$4:$C$69,EMMa_vis!$B$3,Weights1!$D$4:$D$69,EMMa_vis!$AA30)+SUMIFS(Weights1!T$4:T$69,Weights1!$C$4:$C$69,EMMa_vis!$B$3,Weights1!$D$4:$D$69,EMMa_vis!$AB30)</f>
        <v>7.666666666666667</v>
      </c>
      <c r="N30" s="85">
        <f>+SUMIFS(Weights1!U$4:U$69,Weights1!$C$4:$C$69,EMMa_vis!$B$3,Weights1!$D$4:$D$69,EMMa_vis!$AA30)+SUMIFS(Weights1!U$4:U$69,Weights1!$C$4:$C$69,EMMa_vis!$B$3,Weights1!$D$4:$D$69,EMMa_vis!$AB30)</f>
        <v>7.25</v>
      </c>
      <c r="O30" s="85">
        <f ca="1">+SUMIFS(Weights1!V$4:V$69,Weights1!$C$4:$C$69,EMMa_vis!$B$3,Weights1!$D$4:$D$69,EMMa_vis!$AA30)+SUMIFS(Weights1!V$4:V$69,Weights1!$C$4:$C$69,EMMa_vis!$B$3,Weights1!$D$4:$D$69,EMMa_vis!$AB30)</f>
        <v>0</v>
      </c>
      <c r="P30" s="85">
        <f ca="1">+SUMIFS(Weights1!W$4:W$69,Weights1!$C$4:$C$69,EMMa_vis!$B$3,Weights1!$D$4:$D$69,EMMa_vis!$AA30)+SUMIFS(Weights1!W$4:W$69,Weights1!$C$4:$C$69,EMMa_vis!$B$3,Weights1!$D$4:$D$69,EMMa_vis!$AB30)</f>
        <v>0</v>
      </c>
      <c r="Q30" s="85">
        <f ca="1">+SUMIFS(Weights1!X$4:X$69,Weights1!$C$4:$C$69,EMMa_vis!$B$3,Weights1!$D$4:$D$69,EMMa_vis!$AA30)+SUMIFS(Weights1!X$4:X$69,Weights1!$C$4:$C$69,EMMa_vis!$B$3,Weights1!$D$4:$D$69,EMMa_vis!$AB30)</f>
        <v>0</v>
      </c>
      <c r="R30" s="85">
        <f ca="1">+SUMIFS(Weights1!Y$4:Y$69,Weights1!$C$4:$C$69,EMMa_vis!$B$3,Weights1!$D$4:$D$69,EMMa_vis!$AA30)+SUMIFS(Weights1!Y$4:Y$69,Weights1!$C$4:$C$69,EMMa_vis!$B$3,Weights1!$D$4:$D$69,EMMa_vis!$AB30)</f>
        <v>0</v>
      </c>
      <c r="S30" s="85">
        <f ca="1">+SUMIFS(Weights1!Z$4:Z$69,Weights1!$C$4:$C$69,EMMa_vis!$B$3,Weights1!$D$4:$D$69,EMMa_vis!$AA30)+SUMIFS(Weights1!Z$4:Z$69,Weights1!$C$4:$C$69,EMMa_vis!$B$3,Weights1!$D$4:$D$69,EMMa_vis!$AB30)</f>
        <v>0</v>
      </c>
      <c r="T30" s="85">
        <f ca="1">+SUMIFS(Weights1!AA$4:AA$69,Weights1!$C$4:$C$69,EMMa_vis!$B$3,Weights1!$D$4:$D$69,EMMa_vis!$AA30)+SUMIFS(Weights1!AA$4:AA$69,Weights1!$C$4:$C$69,EMMa_vis!$B$3,Weights1!$D$4:$D$69,EMMa_vis!$AB30)</f>
        <v>0</v>
      </c>
      <c r="U30" s="85">
        <f ca="1">+SUMIFS(Weights1!AB$4:AB$69,Weights1!$C$4:$C$69,EMMa_vis!$B$3,Weights1!$D$4:$D$69,EMMa_vis!$AA30)+SUMIFS(Weights1!AB$4:AB$69,Weights1!$C$4:$C$69,EMMa_vis!$B$3,Weights1!$D$4:$D$69,EMMa_vis!$AB30)</f>
        <v>0</v>
      </c>
      <c r="V30" s="85">
        <f ca="1">+SUMIFS(Weights1!AC$4:AC$69,Weights1!$C$4:$C$69,EMMa_vis!$B$3,Weights1!$D$4:$D$69,EMMa_vis!$AA30)+SUMIFS(Weights1!AC$4:AC$69,Weights1!$C$4:$C$69,EMMa_vis!$B$3,Weights1!$D$4:$D$69,EMMa_vis!$AB30)</f>
        <v>0</v>
      </c>
      <c r="W30" s="87">
        <f t="shared" si="5"/>
        <v>3.2857915831663327</v>
      </c>
      <c r="X30" s="87">
        <f t="shared" si="5"/>
        <v>2.2284569138276553</v>
      </c>
      <c r="Y30" s="87">
        <f t="shared" si="5"/>
        <v>0</v>
      </c>
      <c r="AA30" s="63" t="s">
        <v>83</v>
      </c>
      <c r="AB30" s="63" t="s">
        <v>84</v>
      </c>
    </row>
    <row r="31" spans="1:31" ht="30.6" customHeight="1" x14ac:dyDescent="0.3">
      <c r="A31" s="4"/>
      <c r="B31" s="97" t="str">
        <f>+MOPs!B29</f>
        <v>Usability</v>
      </c>
      <c r="C31" s="98"/>
      <c r="D31" s="99"/>
      <c r="E31" s="99"/>
      <c r="F31" s="100"/>
      <c r="G31" s="100"/>
      <c r="H31" s="100"/>
      <c r="I31" s="100"/>
      <c r="J31" s="100"/>
      <c r="K31" s="98"/>
      <c r="L31" s="98"/>
      <c r="M31" s="98"/>
      <c r="N31" s="98"/>
      <c r="O31" s="98"/>
      <c r="P31" s="98"/>
      <c r="Q31" s="98"/>
      <c r="R31" s="98"/>
      <c r="S31" s="98"/>
      <c r="T31" s="98"/>
      <c r="U31" s="98"/>
      <c r="V31" s="98"/>
      <c r="W31" s="98"/>
      <c r="X31" s="98"/>
      <c r="Y31" s="101"/>
    </row>
    <row r="32" spans="1:31" ht="28.8" x14ac:dyDescent="0.3">
      <c r="A32" s="4"/>
      <c r="B32" s="55" t="str">
        <f>+MOPs!B30</f>
        <v>Familiarity</v>
      </c>
      <c r="C32" s="105">
        <f>EMMa!C31</f>
        <v>3</v>
      </c>
      <c r="D32" s="105">
        <f>EMMa!D31</f>
        <v>7</v>
      </c>
      <c r="E32" s="105">
        <f>EMMa!E31</f>
        <v>6</v>
      </c>
      <c r="F32" s="93" t="str">
        <f>EMMa!F31</f>
        <v>Higher the better</v>
      </c>
      <c r="G32" s="93">
        <f>EMMa!G31</f>
        <v>1</v>
      </c>
      <c r="H32" s="94">
        <f>EMMa!H31</f>
        <v>0.42857142857142855</v>
      </c>
      <c r="I32" s="94">
        <f>EMMa!I31</f>
        <v>1</v>
      </c>
      <c r="J32" s="94">
        <f>EMMa!J31</f>
        <v>0.8571428571428571</v>
      </c>
      <c r="K32" s="85">
        <f>+SUMIFS(Weights1!R$4:R$69,Weights1!$C$4:$C$69,EMMa_vis!$B$3,Weights1!$D$4:$D$69,EMMa_vis!$AA32)+SUMIFS(Weights1!R$4:R$69,Weights1!$C$4:$C$69,EMMa_vis!$B$3,Weights1!$D$4:$D$69,EMMa_vis!$AB32)</f>
        <v>4</v>
      </c>
      <c r="L32" s="85">
        <f>+SUMIFS(Weights1!S$4:S$69,Weights1!$C$4:$C$69,EMMa_vis!$B$3,Weights1!$D$4:$D$69,EMMa_vis!$AA32)+SUMIFS(Weights1!S$4:S$69,Weights1!$C$4:$C$69,EMMa_vis!$B$3,Weights1!$D$4:$D$69,EMMa_vis!$AB32)</f>
        <v>6.5555555555555554</v>
      </c>
      <c r="M32" s="85">
        <f>+SUMIFS(Weights1!T$4:T$69,Weights1!$C$4:$C$69,EMMa_vis!$B$3,Weights1!$D$4:$D$69,EMMa_vis!$AA32)+SUMIFS(Weights1!T$4:T$69,Weights1!$C$4:$C$69,EMMa_vis!$B$3,Weights1!$D$4:$D$69,EMMa_vis!$AB32)</f>
        <v>5.333333333333333</v>
      </c>
      <c r="N32" s="85">
        <f>+SUMIFS(Weights1!U$4:U$69,Weights1!$C$4:$C$69,EMMa_vis!$B$3,Weights1!$D$4:$D$69,EMMa_vis!$AA32)+SUMIFS(Weights1!U$4:U$69,Weights1!$C$4:$C$69,EMMa_vis!$B$3,Weights1!$D$4:$D$69,EMMa_vis!$AB32)</f>
        <v>5.25</v>
      </c>
      <c r="O32" s="85">
        <f ca="1">+SUMIFS(Weights1!V$4:V$69,Weights1!$C$4:$C$69,EMMa_vis!$B$3,Weights1!$D$4:$D$69,EMMa_vis!$AA32)+SUMIFS(Weights1!V$4:V$69,Weights1!$C$4:$C$69,EMMa_vis!$B$3,Weights1!$D$4:$D$69,EMMa_vis!$AB32)</f>
        <v>0</v>
      </c>
      <c r="P32" s="85">
        <f ca="1">+SUMIFS(Weights1!W$4:W$69,Weights1!$C$4:$C$69,EMMa_vis!$B$3,Weights1!$D$4:$D$69,EMMa_vis!$AA32)+SUMIFS(Weights1!W$4:W$69,Weights1!$C$4:$C$69,EMMa_vis!$B$3,Weights1!$D$4:$D$69,EMMa_vis!$AB32)</f>
        <v>0</v>
      </c>
      <c r="Q32" s="85">
        <f ca="1">+SUMIFS(Weights1!X$4:X$69,Weights1!$C$4:$C$69,EMMa_vis!$B$3,Weights1!$D$4:$D$69,EMMa_vis!$AA32)+SUMIFS(Weights1!X$4:X$69,Weights1!$C$4:$C$69,EMMa_vis!$B$3,Weights1!$D$4:$D$69,EMMa_vis!$AB32)</f>
        <v>0</v>
      </c>
      <c r="R32" s="85">
        <f ca="1">+SUMIFS(Weights1!Y$4:Y$69,Weights1!$C$4:$C$69,EMMa_vis!$B$3,Weights1!$D$4:$D$69,EMMa_vis!$AA32)+SUMIFS(Weights1!Y$4:Y$69,Weights1!$C$4:$C$69,EMMa_vis!$B$3,Weights1!$D$4:$D$69,EMMa_vis!$AB32)</f>
        <v>0</v>
      </c>
      <c r="S32" s="85">
        <f ca="1">+SUMIFS(Weights1!Z$4:Z$69,Weights1!$C$4:$C$69,EMMa_vis!$B$3,Weights1!$D$4:$D$69,EMMa_vis!$AA32)+SUMIFS(Weights1!Z$4:Z$69,Weights1!$C$4:$C$69,EMMa_vis!$B$3,Weights1!$D$4:$D$69,EMMa_vis!$AB32)</f>
        <v>0</v>
      </c>
      <c r="T32" s="85">
        <f ca="1">+SUMIFS(Weights1!AA$4:AA$69,Weights1!$C$4:$C$69,EMMa_vis!$B$3,Weights1!$D$4:$D$69,EMMa_vis!$AA32)+SUMIFS(Weights1!AA$4:AA$69,Weights1!$C$4:$C$69,EMMa_vis!$B$3,Weights1!$D$4:$D$69,EMMa_vis!$AB32)</f>
        <v>0</v>
      </c>
      <c r="U32" s="85">
        <f ca="1">+SUMIFS(Weights1!AB$4:AB$69,Weights1!$C$4:$C$69,EMMa_vis!$B$3,Weights1!$D$4:$D$69,EMMa_vis!$AA32)+SUMIFS(Weights1!AB$4:AB$69,Weights1!$C$4:$C$69,EMMa_vis!$B$3,Weights1!$D$4:$D$69,EMMa_vis!$AB32)</f>
        <v>0</v>
      </c>
      <c r="V32" s="85">
        <f ca="1">+SUMIFS(Weights1!AC$4:AC$69,Weights1!$C$4:$C$69,EMMa_vis!$B$3,Weights1!$D$4:$D$69,EMMa_vis!$AA32)+SUMIFS(Weights1!AC$4:AC$69,Weights1!$C$4:$C$69,EMMa_vis!$B$3,Weights1!$D$4:$D$69,EMMa_vis!$AB32)</f>
        <v>0</v>
      </c>
      <c r="W32" s="87">
        <f t="shared" ref="W32:Y38" si="6">+IF($A$3=$K$3,$K32*H32,IF($A$3=$L$3,$L32*H32,IF($A$3=$M$3,$M32*H32,IF($A$3=$N$3,$N32*H32))))</f>
        <v>1.7142857142857142</v>
      </c>
      <c r="X32" s="87">
        <f t="shared" si="6"/>
        <v>4</v>
      </c>
      <c r="Y32" s="87">
        <f t="shared" si="6"/>
        <v>3.4285714285714284</v>
      </c>
      <c r="AA32" s="63" t="s">
        <v>85</v>
      </c>
      <c r="AB32" s="63" t="s">
        <v>86</v>
      </c>
      <c r="AE32" s="65"/>
    </row>
    <row r="33" spans="1:33" ht="28.8" x14ac:dyDescent="0.3">
      <c r="A33" s="4"/>
      <c r="B33" s="55" t="str">
        <f>+MOPs!B31</f>
        <v>Simplicity</v>
      </c>
      <c r="C33" s="105">
        <f>EMMa!C32</f>
        <v>8</v>
      </c>
      <c r="D33" s="105">
        <f>EMMa!D32</f>
        <v>6</v>
      </c>
      <c r="E33" s="105">
        <f>EMMa!E32</f>
        <v>5</v>
      </c>
      <c r="F33" s="93" t="str">
        <f>EMMa!F32</f>
        <v>Higher the better</v>
      </c>
      <c r="G33" s="93">
        <f>EMMa!G32</f>
        <v>1</v>
      </c>
      <c r="H33" s="94">
        <f>EMMa!H32</f>
        <v>1</v>
      </c>
      <c r="I33" s="94">
        <f>EMMa!I32</f>
        <v>0.75</v>
      </c>
      <c r="J33" s="94">
        <f>EMMa!J32</f>
        <v>0.625</v>
      </c>
      <c r="K33" s="85">
        <f>+SUMIFS(Weights1!R$4:R$69,Weights1!$C$4:$C$69,EMMa_vis!$B$3,Weights1!$D$4:$D$69,EMMa_vis!$AA33)+SUMIFS(Weights1!R$4:R$69,Weights1!$C$4:$C$69,EMMa_vis!$B$3,Weights1!$D$4:$D$69,EMMa_vis!$AB33)</f>
        <v>4</v>
      </c>
      <c r="L33" s="85">
        <f>+SUMIFS(Weights1!S$4:S$69,Weights1!$C$4:$C$69,EMMa_vis!$B$3,Weights1!$D$4:$D$69,EMMa_vis!$AA33)+SUMIFS(Weights1!S$4:S$69,Weights1!$C$4:$C$69,EMMa_vis!$B$3,Weights1!$D$4:$D$69,EMMa_vis!$AB33)</f>
        <v>6.5555555555555554</v>
      </c>
      <c r="M33" s="85">
        <f>+SUMIFS(Weights1!T$4:T$69,Weights1!$C$4:$C$69,EMMa_vis!$B$3,Weights1!$D$4:$D$69,EMMa_vis!$AA33)+SUMIFS(Weights1!T$4:T$69,Weights1!$C$4:$C$69,EMMa_vis!$B$3,Weights1!$D$4:$D$69,EMMa_vis!$AB33)</f>
        <v>5.333333333333333</v>
      </c>
      <c r="N33" s="85">
        <f>+SUMIFS(Weights1!U$4:U$69,Weights1!$C$4:$C$69,EMMa_vis!$B$3,Weights1!$D$4:$D$69,EMMa_vis!$AA33)+SUMIFS(Weights1!U$4:U$69,Weights1!$C$4:$C$69,EMMa_vis!$B$3,Weights1!$D$4:$D$69,EMMa_vis!$AB33)</f>
        <v>5.25</v>
      </c>
      <c r="O33" s="85">
        <f ca="1">+SUMIFS(Weights1!V$4:V$69,Weights1!$C$4:$C$69,EMMa_vis!$B$3,Weights1!$D$4:$D$69,EMMa_vis!$AA33)+SUMIFS(Weights1!V$4:V$69,Weights1!$C$4:$C$69,EMMa_vis!$B$3,Weights1!$D$4:$D$69,EMMa_vis!$AB33)</f>
        <v>0</v>
      </c>
      <c r="P33" s="85">
        <f ca="1">+SUMIFS(Weights1!W$4:W$69,Weights1!$C$4:$C$69,EMMa_vis!$B$3,Weights1!$D$4:$D$69,EMMa_vis!$AA33)+SUMIFS(Weights1!W$4:W$69,Weights1!$C$4:$C$69,EMMa_vis!$B$3,Weights1!$D$4:$D$69,EMMa_vis!$AB33)</f>
        <v>0</v>
      </c>
      <c r="Q33" s="85">
        <f ca="1">+SUMIFS(Weights1!X$4:X$69,Weights1!$C$4:$C$69,EMMa_vis!$B$3,Weights1!$D$4:$D$69,EMMa_vis!$AA33)+SUMIFS(Weights1!X$4:X$69,Weights1!$C$4:$C$69,EMMa_vis!$B$3,Weights1!$D$4:$D$69,EMMa_vis!$AB33)</f>
        <v>0</v>
      </c>
      <c r="R33" s="85">
        <f ca="1">+SUMIFS(Weights1!Y$4:Y$69,Weights1!$C$4:$C$69,EMMa_vis!$B$3,Weights1!$D$4:$D$69,EMMa_vis!$AA33)+SUMIFS(Weights1!Y$4:Y$69,Weights1!$C$4:$C$69,EMMa_vis!$B$3,Weights1!$D$4:$D$69,EMMa_vis!$AB33)</f>
        <v>0</v>
      </c>
      <c r="S33" s="85">
        <f ca="1">+SUMIFS(Weights1!Z$4:Z$69,Weights1!$C$4:$C$69,EMMa_vis!$B$3,Weights1!$D$4:$D$69,EMMa_vis!$AA33)+SUMIFS(Weights1!Z$4:Z$69,Weights1!$C$4:$C$69,EMMa_vis!$B$3,Weights1!$D$4:$D$69,EMMa_vis!$AB33)</f>
        <v>0</v>
      </c>
      <c r="T33" s="85">
        <f ca="1">+SUMIFS(Weights1!AA$4:AA$69,Weights1!$C$4:$C$69,EMMa_vis!$B$3,Weights1!$D$4:$D$69,EMMa_vis!$AA33)+SUMIFS(Weights1!AA$4:AA$69,Weights1!$C$4:$C$69,EMMa_vis!$B$3,Weights1!$D$4:$D$69,EMMa_vis!$AB33)</f>
        <v>0</v>
      </c>
      <c r="U33" s="85">
        <f ca="1">+SUMIFS(Weights1!AB$4:AB$69,Weights1!$C$4:$C$69,EMMa_vis!$B$3,Weights1!$D$4:$D$69,EMMa_vis!$AA33)+SUMIFS(Weights1!AB$4:AB$69,Weights1!$C$4:$C$69,EMMa_vis!$B$3,Weights1!$D$4:$D$69,EMMa_vis!$AB33)</f>
        <v>0</v>
      </c>
      <c r="V33" s="85">
        <f ca="1">+SUMIFS(Weights1!AC$4:AC$69,Weights1!$C$4:$C$69,EMMa_vis!$B$3,Weights1!$D$4:$D$69,EMMa_vis!$AA33)+SUMIFS(Weights1!AC$4:AC$69,Weights1!$C$4:$C$69,EMMa_vis!$B$3,Weights1!$D$4:$D$69,EMMa_vis!$AB33)</f>
        <v>0</v>
      </c>
      <c r="W33" s="87">
        <f t="shared" si="6"/>
        <v>4</v>
      </c>
      <c r="X33" s="87">
        <f t="shared" si="6"/>
        <v>3</v>
      </c>
      <c r="Y33" s="87">
        <f t="shared" si="6"/>
        <v>2.5</v>
      </c>
      <c r="AA33" s="63" t="s">
        <v>85</v>
      </c>
      <c r="AB33" s="63" t="s">
        <v>86</v>
      </c>
      <c r="AE33" s="65"/>
    </row>
    <row r="34" spans="1:33" ht="28.8" x14ac:dyDescent="0.3">
      <c r="A34" s="4"/>
      <c r="B34" s="55" t="str">
        <f>+MOPs!B32</f>
        <v>Navigability</v>
      </c>
      <c r="C34" s="105">
        <f>EMMa!C33</f>
        <v>4</v>
      </c>
      <c r="D34" s="105">
        <f>EMMa!D33</f>
        <v>7</v>
      </c>
      <c r="E34" s="105">
        <f>EMMa!E33</f>
        <v>7</v>
      </c>
      <c r="F34" s="93" t="str">
        <f>EMMa!F33</f>
        <v>Higher the better</v>
      </c>
      <c r="G34" s="93">
        <f>EMMa!G33</f>
        <v>1</v>
      </c>
      <c r="H34" s="94">
        <f>EMMa!H33</f>
        <v>0.5714285714285714</v>
      </c>
      <c r="I34" s="94">
        <f>EMMa!I33</f>
        <v>1</v>
      </c>
      <c r="J34" s="94">
        <f>EMMa!J33</f>
        <v>1</v>
      </c>
      <c r="K34" s="85">
        <f>+SUMIFS(Weights1!R$4:R$69,Weights1!$C$4:$C$69,EMMa_vis!$B$3,Weights1!$D$4:$D$69,EMMa_vis!$AA34)+SUMIFS(Weights1!R$4:R$69,Weights1!$C$4:$C$69,EMMa_vis!$B$3,Weights1!$D$4:$D$69,EMMa_vis!$AB34)</f>
        <v>4</v>
      </c>
      <c r="L34" s="85">
        <f>+SUMIFS(Weights1!S$4:S$69,Weights1!$C$4:$C$69,EMMa_vis!$B$3,Weights1!$D$4:$D$69,EMMa_vis!$AA34)+SUMIFS(Weights1!S$4:S$69,Weights1!$C$4:$C$69,EMMa_vis!$B$3,Weights1!$D$4:$D$69,EMMa_vis!$AB34)</f>
        <v>6.5555555555555554</v>
      </c>
      <c r="M34" s="85">
        <f>+SUMIFS(Weights1!T$4:T$69,Weights1!$C$4:$C$69,EMMa_vis!$B$3,Weights1!$D$4:$D$69,EMMa_vis!$AA34)+SUMIFS(Weights1!T$4:T$69,Weights1!$C$4:$C$69,EMMa_vis!$B$3,Weights1!$D$4:$D$69,EMMa_vis!$AB34)</f>
        <v>5.333333333333333</v>
      </c>
      <c r="N34" s="85">
        <f>+SUMIFS(Weights1!U$4:U$69,Weights1!$C$4:$C$69,EMMa_vis!$B$3,Weights1!$D$4:$D$69,EMMa_vis!$AA34)+SUMIFS(Weights1!U$4:U$69,Weights1!$C$4:$C$69,EMMa_vis!$B$3,Weights1!$D$4:$D$69,EMMa_vis!$AB34)</f>
        <v>5.25</v>
      </c>
      <c r="O34" s="85">
        <f ca="1">+SUMIFS(Weights1!V$4:V$69,Weights1!$C$4:$C$69,EMMa_vis!$B$3,Weights1!$D$4:$D$69,EMMa_vis!$AA34)+SUMIFS(Weights1!V$4:V$69,Weights1!$C$4:$C$69,EMMa_vis!$B$3,Weights1!$D$4:$D$69,EMMa_vis!$AB34)</f>
        <v>0</v>
      </c>
      <c r="P34" s="85">
        <f ca="1">+SUMIFS(Weights1!W$4:W$69,Weights1!$C$4:$C$69,EMMa_vis!$B$3,Weights1!$D$4:$D$69,EMMa_vis!$AA34)+SUMIFS(Weights1!W$4:W$69,Weights1!$C$4:$C$69,EMMa_vis!$B$3,Weights1!$D$4:$D$69,EMMa_vis!$AB34)</f>
        <v>0</v>
      </c>
      <c r="Q34" s="85">
        <f ca="1">+SUMIFS(Weights1!X$4:X$69,Weights1!$C$4:$C$69,EMMa_vis!$B$3,Weights1!$D$4:$D$69,EMMa_vis!$AA34)+SUMIFS(Weights1!X$4:X$69,Weights1!$C$4:$C$69,EMMa_vis!$B$3,Weights1!$D$4:$D$69,EMMa_vis!$AB34)</f>
        <v>0</v>
      </c>
      <c r="R34" s="85">
        <f ca="1">+SUMIFS(Weights1!Y$4:Y$69,Weights1!$C$4:$C$69,EMMa_vis!$B$3,Weights1!$D$4:$D$69,EMMa_vis!$AA34)+SUMIFS(Weights1!Y$4:Y$69,Weights1!$C$4:$C$69,EMMa_vis!$B$3,Weights1!$D$4:$D$69,EMMa_vis!$AB34)</f>
        <v>0</v>
      </c>
      <c r="S34" s="85">
        <f ca="1">+SUMIFS(Weights1!Z$4:Z$69,Weights1!$C$4:$C$69,EMMa_vis!$B$3,Weights1!$D$4:$D$69,EMMa_vis!$AA34)+SUMIFS(Weights1!Z$4:Z$69,Weights1!$C$4:$C$69,EMMa_vis!$B$3,Weights1!$D$4:$D$69,EMMa_vis!$AB34)</f>
        <v>0</v>
      </c>
      <c r="T34" s="85">
        <f ca="1">+SUMIFS(Weights1!AA$4:AA$69,Weights1!$C$4:$C$69,EMMa_vis!$B$3,Weights1!$D$4:$D$69,EMMa_vis!$AA34)+SUMIFS(Weights1!AA$4:AA$69,Weights1!$C$4:$C$69,EMMa_vis!$B$3,Weights1!$D$4:$D$69,EMMa_vis!$AB34)</f>
        <v>0</v>
      </c>
      <c r="U34" s="85">
        <f ca="1">+SUMIFS(Weights1!AB$4:AB$69,Weights1!$C$4:$C$69,EMMa_vis!$B$3,Weights1!$D$4:$D$69,EMMa_vis!$AA34)+SUMIFS(Weights1!AB$4:AB$69,Weights1!$C$4:$C$69,EMMa_vis!$B$3,Weights1!$D$4:$D$69,EMMa_vis!$AB34)</f>
        <v>0</v>
      </c>
      <c r="V34" s="85">
        <f ca="1">+SUMIFS(Weights1!AC$4:AC$69,Weights1!$C$4:$C$69,EMMa_vis!$B$3,Weights1!$D$4:$D$69,EMMa_vis!$AA34)+SUMIFS(Weights1!AC$4:AC$69,Weights1!$C$4:$C$69,EMMa_vis!$B$3,Weights1!$D$4:$D$69,EMMa_vis!$AB34)</f>
        <v>0</v>
      </c>
      <c r="W34" s="87">
        <f t="shared" si="6"/>
        <v>2.2857142857142856</v>
      </c>
      <c r="X34" s="87">
        <f t="shared" si="6"/>
        <v>4</v>
      </c>
      <c r="Y34" s="87">
        <f t="shared" si="6"/>
        <v>4</v>
      </c>
      <c r="AA34" s="63" t="s">
        <v>85</v>
      </c>
      <c r="AB34" s="63" t="s">
        <v>86</v>
      </c>
      <c r="AE34" s="65"/>
    </row>
    <row r="35" spans="1:33" ht="28.8" x14ac:dyDescent="0.3">
      <c r="A35" s="4"/>
      <c r="B35" s="55" t="str">
        <f>+MOPs!B33</f>
        <v>Controllability</v>
      </c>
      <c r="C35" s="105">
        <f>EMMa!C34</f>
        <v>8</v>
      </c>
      <c r="D35" s="105">
        <f>EMMa!D34</f>
        <v>7</v>
      </c>
      <c r="E35" s="105">
        <f>EMMa!E34</f>
        <v>6</v>
      </c>
      <c r="F35" s="93" t="str">
        <f>EMMa!F34</f>
        <v>Higher the better</v>
      </c>
      <c r="G35" s="93">
        <f>EMMa!G34</f>
        <v>1</v>
      </c>
      <c r="H35" s="94">
        <f>EMMa!H34</f>
        <v>1</v>
      </c>
      <c r="I35" s="94">
        <f>EMMa!I34</f>
        <v>0.875</v>
      </c>
      <c r="J35" s="94">
        <f>EMMa!J34</f>
        <v>0.75</v>
      </c>
      <c r="K35" s="85">
        <f>+SUMIFS(Weights1!R$4:R$69,Weights1!$C$4:$C$69,EMMa_vis!$B$3,Weights1!$D$4:$D$69,EMMa_vis!$AA35)+SUMIFS(Weights1!R$4:R$69,Weights1!$C$4:$C$69,EMMa_vis!$B$3,Weights1!$D$4:$D$69,EMMa_vis!$AB35)</f>
        <v>4</v>
      </c>
      <c r="L35" s="85">
        <f>+SUMIFS(Weights1!S$4:S$69,Weights1!$C$4:$C$69,EMMa_vis!$B$3,Weights1!$D$4:$D$69,EMMa_vis!$AA35)+SUMIFS(Weights1!S$4:S$69,Weights1!$C$4:$C$69,EMMa_vis!$B$3,Weights1!$D$4:$D$69,EMMa_vis!$AB35)</f>
        <v>6.5555555555555554</v>
      </c>
      <c r="M35" s="85">
        <f>+SUMIFS(Weights1!T$4:T$69,Weights1!$C$4:$C$69,EMMa_vis!$B$3,Weights1!$D$4:$D$69,EMMa_vis!$AA35)+SUMIFS(Weights1!T$4:T$69,Weights1!$C$4:$C$69,EMMa_vis!$B$3,Weights1!$D$4:$D$69,EMMa_vis!$AB35)</f>
        <v>5.333333333333333</v>
      </c>
      <c r="N35" s="85">
        <f>+SUMIFS(Weights1!U$4:U$69,Weights1!$C$4:$C$69,EMMa_vis!$B$3,Weights1!$D$4:$D$69,EMMa_vis!$AA35)+SUMIFS(Weights1!U$4:U$69,Weights1!$C$4:$C$69,EMMa_vis!$B$3,Weights1!$D$4:$D$69,EMMa_vis!$AB35)</f>
        <v>5.25</v>
      </c>
      <c r="O35" s="85">
        <f ca="1">+SUMIFS(Weights1!V$4:V$69,Weights1!$C$4:$C$69,EMMa_vis!$B$3,Weights1!$D$4:$D$69,EMMa_vis!$AA35)+SUMIFS(Weights1!V$4:V$69,Weights1!$C$4:$C$69,EMMa_vis!$B$3,Weights1!$D$4:$D$69,EMMa_vis!$AB35)</f>
        <v>0</v>
      </c>
      <c r="P35" s="85">
        <f ca="1">+SUMIFS(Weights1!W$4:W$69,Weights1!$C$4:$C$69,EMMa_vis!$B$3,Weights1!$D$4:$D$69,EMMa_vis!$AA35)+SUMIFS(Weights1!W$4:W$69,Weights1!$C$4:$C$69,EMMa_vis!$B$3,Weights1!$D$4:$D$69,EMMa_vis!$AB35)</f>
        <v>0</v>
      </c>
      <c r="Q35" s="85">
        <f ca="1">+SUMIFS(Weights1!X$4:X$69,Weights1!$C$4:$C$69,EMMa_vis!$B$3,Weights1!$D$4:$D$69,EMMa_vis!$AA35)+SUMIFS(Weights1!X$4:X$69,Weights1!$C$4:$C$69,EMMa_vis!$B$3,Weights1!$D$4:$D$69,EMMa_vis!$AB35)</f>
        <v>0</v>
      </c>
      <c r="R35" s="85">
        <f ca="1">+SUMIFS(Weights1!Y$4:Y$69,Weights1!$C$4:$C$69,EMMa_vis!$B$3,Weights1!$D$4:$D$69,EMMa_vis!$AA35)+SUMIFS(Weights1!Y$4:Y$69,Weights1!$C$4:$C$69,EMMa_vis!$B$3,Weights1!$D$4:$D$69,EMMa_vis!$AB35)</f>
        <v>0</v>
      </c>
      <c r="S35" s="85">
        <f ca="1">+SUMIFS(Weights1!Z$4:Z$69,Weights1!$C$4:$C$69,EMMa_vis!$B$3,Weights1!$D$4:$D$69,EMMa_vis!$AA35)+SUMIFS(Weights1!Z$4:Z$69,Weights1!$C$4:$C$69,EMMa_vis!$B$3,Weights1!$D$4:$D$69,EMMa_vis!$AB35)</f>
        <v>0</v>
      </c>
      <c r="T35" s="85">
        <f ca="1">+SUMIFS(Weights1!AA$4:AA$69,Weights1!$C$4:$C$69,EMMa_vis!$B$3,Weights1!$D$4:$D$69,EMMa_vis!$AA35)+SUMIFS(Weights1!AA$4:AA$69,Weights1!$C$4:$C$69,EMMa_vis!$B$3,Weights1!$D$4:$D$69,EMMa_vis!$AB35)</f>
        <v>0</v>
      </c>
      <c r="U35" s="85">
        <f ca="1">+SUMIFS(Weights1!AB$4:AB$69,Weights1!$C$4:$C$69,EMMa_vis!$B$3,Weights1!$D$4:$D$69,EMMa_vis!$AA35)+SUMIFS(Weights1!AB$4:AB$69,Weights1!$C$4:$C$69,EMMa_vis!$B$3,Weights1!$D$4:$D$69,EMMa_vis!$AB35)</f>
        <v>0</v>
      </c>
      <c r="V35" s="85">
        <f ca="1">+SUMIFS(Weights1!AC$4:AC$69,Weights1!$C$4:$C$69,EMMa_vis!$B$3,Weights1!$D$4:$D$69,EMMa_vis!$AA35)+SUMIFS(Weights1!AC$4:AC$69,Weights1!$C$4:$C$69,EMMa_vis!$B$3,Weights1!$D$4:$D$69,EMMa_vis!$AB35)</f>
        <v>0</v>
      </c>
      <c r="W35" s="87">
        <f t="shared" si="6"/>
        <v>4</v>
      </c>
      <c r="X35" s="87">
        <f t="shared" si="6"/>
        <v>3.5</v>
      </c>
      <c r="Y35" s="87">
        <f t="shared" si="6"/>
        <v>3</v>
      </c>
      <c r="AA35" s="63" t="s">
        <v>85</v>
      </c>
      <c r="AB35" s="63" t="s">
        <v>86</v>
      </c>
      <c r="AE35" s="65"/>
    </row>
    <row r="36" spans="1:33" ht="28.8" x14ac:dyDescent="0.3">
      <c r="A36" s="4"/>
      <c r="B36" s="55" t="str">
        <f>+MOPs!B34</f>
        <v>Readability</v>
      </c>
      <c r="C36" s="105">
        <f>EMMa!C35</f>
        <v>5</v>
      </c>
      <c r="D36" s="105">
        <f>EMMa!D35</f>
        <v>7</v>
      </c>
      <c r="E36" s="105">
        <f>EMMa!E35</f>
        <v>7</v>
      </c>
      <c r="F36" s="93" t="str">
        <f>EMMa!F35</f>
        <v>Higher the better</v>
      </c>
      <c r="G36" s="93">
        <f>EMMa!G35</f>
        <v>1</v>
      </c>
      <c r="H36" s="94">
        <f>EMMa!H35</f>
        <v>0.7142857142857143</v>
      </c>
      <c r="I36" s="94">
        <f>EMMa!I35</f>
        <v>1</v>
      </c>
      <c r="J36" s="94">
        <f>EMMa!J35</f>
        <v>1</v>
      </c>
      <c r="K36" s="85">
        <f>+SUMIFS(Weights1!R$4:R$69,Weights1!$C$4:$C$69,EMMa_vis!$B$3,Weights1!$D$4:$D$69,EMMa_vis!$AA36)+SUMIFS(Weights1!R$4:R$69,Weights1!$C$4:$C$69,EMMa_vis!$B$3,Weights1!$D$4:$D$69,EMMa_vis!$AB36)</f>
        <v>4</v>
      </c>
      <c r="L36" s="85">
        <f>+SUMIFS(Weights1!S$4:S$69,Weights1!$C$4:$C$69,EMMa_vis!$B$3,Weights1!$D$4:$D$69,EMMa_vis!$AA36)+SUMIFS(Weights1!S$4:S$69,Weights1!$C$4:$C$69,EMMa_vis!$B$3,Weights1!$D$4:$D$69,EMMa_vis!$AB36)</f>
        <v>6.5555555555555554</v>
      </c>
      <c r="M36" s="85">
        <f>+SUMIFS(Weights1!T$4:T$69,Weights1!$C$4:$C$69,EMMa_vis!$B$3,Weights1!$D$4:$D$69,EMMa_vis!$AA36)+SUMIFS(Weights1!T$4:T$69,Weights1!$C$4:$C$69,EMMa_vis!$B$3,Weights1!$D$4:$D$69,EMMa_vis!$AB36)</f>
        <v>5.333333333333333</v>
      </c>
      <c r="N36" s="85">
        <f>+SUMIFS(Weights1!U$4:U$69,Weights1!$C$4:$C$69,EMMa_vis!$B$3,Weights1!$D$4:$D$69,EMMa_vis!$AA36)+SUMIFS(Weights1!U$4:U$69,Weights1!$C$4:$C$69,EMMa_vis!$B$3,Weights1!$D$4:$D$69,EMMa_vis!$AB36)</f>
        <v>5.25</v>
      </c>
      <c r="O36" s="85">
        <f ca="1">+SUMIFS(Weights1!V$4:V$69,Weights1!$C$4:$C$69,EMMa_vis!$B$3,Weights1!$D$4:$D$69,EMMa_vis!$AA36)+SUMIFS(Weights1!V$4:V$69,Weights1!$C$4:$C$69,EMMa_vis!$B$3,Weights1!$D$4:$D$69,EMMa_vis!$AB36)</f>
        <v>0</v>
      </c>
      <c r="P36" s="85">
        <f ca="1">+SUMIFS(Weights1!W$4:W$69,Weights1!$C$4:$C$69,EMMa_vis!$B$3,Weights1!$D$4:$D$69,EMMa_vis!$AA36)+SUMIFS(Weights1!W$4:W$69,Weights1!$C$4:$C$69,EMMa_vis!$B$3,Weights1!$D$4:$D$69,EMMa_vis!$AB36)</f>
        <v>0</v>
      </c>
      <c r="Q36" s="85">
        <f ca="1">+SUMIFS(Weights1!X$4:X$69,Weights1!$C$4:$C$69,EMMa_vis!$B$3,Weights1!$D$4:$D$69,EMMa_vis!$AA36)+SUMIFS(Weights1!X$4:X$69,Weights1!$C$4:$C$69,EMMa_vis!$B$3,Weights1!$D$4:$D$69,EMMa_vis!$AB36)</f>
        <v>0</v>
      </c>
      <c r="R36" s="85">
        <f ca="1">+SUMIFS(Weights1!Y$4:Y$69,Weights1!$C$4:$C$69,EMMa_vis!$B$3,Weights1!$D$4:$D$69,EMMa_vis!$AA36)+SUMIFS(Weights1!Y$4:Y$69,Weights1!$C$4:$C$69,EMMa_vis!$B$3,Weights1!$D$4:$D$69,EMMa_vis!$AB36)</f>
        <v>0</v>
      </c>
      <c r="S36" s="85">
        <f ca="1">+SUMIFS(Weights1!Z$4:Z$69,Weights1!$C$4:$C$69,EMMa_vis!$B$3,Weights1!$D$4:$D$69,EMMa_vis!$AA36)+SUMIFS(Weights1!Z$4:Z$69,Weights1!$C$4:$C$69,EMMa_vis!$B$3,Weights1!$D$4:$D$69,EMMa_vis!$AB36)</f>
        <v>0</v>
      </c>
      <c r="T36" s="85">
        <f ca="1">+SUMIFS(Weights1!AA$4:AA$69,Weights1!$C$4:$C$69,EMMa_vis!$B$3,Weights1!$D$4:$D$69,EMMa_vis!$AA36)+SUMIFS(Weights1!AA$4:AA$69,Weights1!$C$4:$C$69,EMMa_vis!$B$3,Weights1!$D$4:$D$69,EMMa_vis!$AB36)</f>
        <v>0</v>
      </c>
      <c r="U36" s="85">
        <f ca="1">+SUMIFS(Weights1!AB$4:AB$69,Weights1!$C$4:$C$69,EMMa_vis!$B$3,Weights1!$D$4:$D$69,EMMa_vis!$AA36)+SUMIFS(Weights1!AB$4:AB$69,Weights1!$C$4:$C$69,EMMa_vis!$B$3,Weights1!$D$4:$D$69,EMMa_vis!$AB36)</f>
        <v>0</v>
      </c>
      <c r="V36" s="85">
        <f ca="1">+SUMIFS(Weights1!AC$4:AC$69,Weights1!$C$4:$C$69,EMMa_vis!$B$3,Weights1!$D$4:$D$69,EMMa_vis!$AA36)+SUMIFS(Weights1!AC$4:AC$69,Weights1!$C$4:$C$69,EMMa_vis!$B$3,Weights1!$D$4:$D$69,EMMa_vis!$AB36)</f>
        <v>0</v>
      </c>
      <c r="W36" s="87">
        <f t="shared" si="6"/>
        <v>2.8571428571428572</v>
      </c>
      <c r="X36" s="87">
        <f t="shared" si="6"/>
        <v>4</v>
      </c>
      <c r="Y36" s="87">
        <f t="shared" si="6"/>
        <v>4</v>
      </c>
      <c r="AA36" s="63" t="s">
        <v>85</v>
      </c>
      <c r="AB36" s="63" t="s">
        <v>86</v>
      </c>
      <c r="AE36" s="65"/>
    </row>
    <row r="37" spans="1:33" ht="28.8" x14ac:dyDescent="0.3">
      <c r="A37" s="4"/>
      <c r="B37" s="55" t="str">
        <f>+MOPs!B35</f>
        <v>User guidance</v>
      </c>
      <c r="C37" s="105">
        <f>EMMa!C36</f>
        <v>6</v>
      </c>
      <c r="D37" s="105">
        <f>EMMa!D36</f>
        <v>9</v>
      </c>
      <c r="E37" s="105">
        <f>EMMa!E36</f>
        <v>9</v>
      </c>
      <c r="F37" s="93" t="str">
        <f>EMMa!F36</f>
        <v>Higher the better</v>
      </c>
      <c r="G37" s="93">
        <f>EMMa!G36</f>
        <v>1</v>
      </c>
      <c r="H37" s="94">
        <f>EMMa!H36</f>
        <v>0.66666666666666663</v>
      </c>
      <c r="I37" s="94">
        <f>EMMa!I36</f>
        <v>1</v>
      </c>
      <c r="J37" s="94">
        <f>EMMa!J36</f>
        <v>1</v>
      </c>
      <c r="K37" s="85">
        <f>+SUMIFS(Weights1!R$4:R$69,Weights1!$C$4:$C$69,EMMa_vis!$B$3,Weights1!$D$4:$D$69,EMMa_vis!$AA37)+SUMIFS(Weights1!R$4:R$69,Weights1!$C$4:$C$69,EMMa_vis!$B$3,Weights1!$D$4:$D$69,EMMa_vis!$AB37)</f>
        <v>4</v>
      </c>
      <c r="L37" s="85">
        <f>+SUMIFS(Weights1!S$4:S$69,Weights1!$C$4:$C$69,EMMa_vis!$B$3,Weights1!$D$4:$D$69,EMMa_vis!$AA37)+SUMIFS(Weights1!S$4:S$69,Weights1!$C$4:$C$69,EMMa_vis!$B$3,Weights1!$D$4:$D$69,EMMa_vis!$AB37)</f>
        <v>6.5555555555555554</v>
      </c>
      <c r="M37" s="85">
        <f>+SUMIFS(Weights1!T$4:T$69,Weights1!$C$4:$C$69,EMMa_vis!$B$3,Weights1!$D$4:$D$69,EMMa_vis!$AA37)+SUMIFS(Weights1!T$4:T$69,Weights1!$C$4:$C$69,EMMa_vis!$B$3,Weights1!$D$4:$D$69,EMMa_vis!$AB37)</f>
        <v>5.333333333333333</v>
      </c>
      <c r="N37" s="85">
        <f>+SUMIFS(Weights1!U$4:U$69,Weights1!$C$4:$C$69,EMMa_vis!$B$3,Weights1!$D$4:$D$69,EMMa_vis!$AA37)+SUMIFS(Weights1!U$4:U$69,Weights1!$C$4:$C$69,EMMa_vis!$B$3,Weights1!$D$4:$D$69,EMMa_vis!$AB37)</f>
        <v>5.25</v>
      </c>
      <c r="O37" s="85">
        <f ca="1">+SUMIFS(Weights1!V$4:V$69,Weights1!$C$4:$C$69,EMMa_vis!$B$3,Weights1!$D$4:$D$69,EMMa_vis!$AA37)+SUMIFS(Weights1!V$4:V$69,Weights1!$C$4:$C$69,EMMa_vis!$B$3,Weights1!$D$4:$D$69,EMMa_vis!$AB37)</f>
        <v>0</v>
      </c>
      <c r="P37" s="85">
        <f ca="1">+SUMIFS(Weights1!W$4:W$69,Weights1!$C$4:$C$69,EMMa_vis!$B$3,Weights1!$D$4:$D$69,EMMa_vis!$AA37)+SUMIFS(Weights1!W$4:W$69,Weights1!$C$4:$C$69,EMMa_vis!$B$3,Weights1!$D$4:$D$69,EMMa_vis!$AB37)</f>
        <v>0</v>
      </c>
      <c r="Q37" s="85">
        <f ca="1">+SUMIFS(Weights1!X$4:X$69,Weights1!$C$4:$C$69,EMMa_vis!$B$3,Weights1!$D$4:$D$69,EMMa_vis!$AA37)+SUMIFS(Weights1!X$4:X$69,Weights1!$C$4:$C$69,EMMa_vis!$B$3,Weights1!$D$4:$D$69,EMMa_vis!$AB37)</f>
        <v>0</v>
      </c>
      <c r="R37" s="85">
        <f ca="1">+SUMIFS(Weights1!Y$4:Y$69,Weights1!$C$4:$C$69,EMMa_vis!$B$3,Weights1!$D$4:$D$69,EMMa_vis!$AA37)+SUMIFS(Weights1!Y$4:Y$69,Weights1!$C$4:$C$69,EMMa_vis!$B$3,Weights1!$D$4:$D$69,EMMa_vis!$AB37)</f>
        <v>0</v>
      </c>
      <c r="S37" s="85">
        <f ca="1">+SUMIFS(Weights1!Z$4:Z$69,Weights1!$C$4:$C$69,EMMa_vis!$B$3,Weights1!$D$4:$D$69,EMMa_vis!$AA37)+SUMIFS(Weights1!Z$4:Z$69,Weights1!$C$4:$C$69,EMMa_vis!$B$3,Weights1!$D$4:$D$69,EMMa_vis!$AB37)</f>
        <v>0</v>
      </c>
      <c r="T37" s="85">
        <f ca="1">+SUMIFS(Weights1!AA$4:AA$69,Weights1!$C$4:$C$69,EMMa_vis!$B$3,Weights1!$D$4:$D$69,EMMa_vis!$AA37)+SUMIFS(Weights1!AA$4:AA$69,Weights1!$C$4:$C$69,EMMa_vis!$B$3,Weights1!$D$4:$D$69,EMMa_vis!$AB37)</f>
        <v>0</v>
      </c>
      <c r="U37" s="85">
        <f ca="1">+SUMIFS(Weights1!AB$4:AB$69,Weights1!$C$4:$C$69,EMMa_vis!$B$3,Weights1!$D$4:$D$69,EMMa_vis!$AA37)+SUMIFS(Weights1!AB$4:AB$69,Weights1!$C$4:$C$69,EMMa_vis!$B$3,Weights1!$D$4:$D$69,EMMa_vis!$AB37)</f>
        <v>0</v>
      </c>
      <c r="V37" s="85">
        <f ca="1">+SUMIFS(Weights1!AC$4:AC$69,Weights1!$C$4:$C$69,EMMa_vis!$B$3,Weights1!$D$4:$D$69,EMMa_vis!$AA37)+SUMIFS(Weights1!AC$4:AC$69,Weights1!$C$4:$C$69,EMMa_vis!$B$3,Weights1!$D$4:$D$69,EMMa_vis!$AB37)</f>
        <v>0</v>
      </c>
      <c r="W37" s="87">
        <f t="shared" si="6"/>
        <v>2.6666666666666665</v>
      </c>
      <c r="X37" s="87">
        <f t="shared" si="6"/>
        <v>4</v>
      </c>
      <c r="Y37" s="87">
        <f t="shared" si="6"/>
        <v>4</v>
      </c>
      <c r="AA37" s="63" t="s">
        <v>85</v>
      </c>
      <c r="AB37" s="63" t="s">
        <v>86</v>
      </c>
      <c r="AE37" s="65"/>
    </row>
    <row r="38" spans="1:33" ht="28.8" x14ac:dyDescent="0.3">
      <c r="A38" s="26"/>
      <c r="B38" s="55" t="str">
        <f>+MOPs!B36</f>
        <v>Flexibility</v>
      </c>
      <c r="C38" s="105">
        <f>EMMa!C37</f>
        <v>4</v>
      </c>
      <c r="D38" s="105">
        <f>EMMa!D37</f>
        <v>6</v>
      </c>
      <c r="E38" s="105">
        <f>EMMa!E37</f>
        <v>5</v>
      </c>
      <c r="F38" s="93" t="str">
        <f>EMMa!F37</f>
        <v>Higher the better</v>
      </c>
      <c r="G38" s="93">
        <f>EMMa!G37</f>
        <v>1</v>
      </c>
      <c r="H38" s="94">
        <f>EMMa!H37</f>
        <v>0.66666666666666663</v>
      </c>
      <c r="I38" s="94">
        <f>EMMa!I37</f>
        <v>1</v>
      </c>
      <c r="J38" s="94">
        <f>EMMa!J37</f>
        <v>0.83333333333333337</v>
      </c>
      <c r="K38" s="85">
        <f>+SUMIFS(Weights1!R$4:R$69,Weights1!$C$4:$C$69,EMMa_vis!$B$3,Weights1!$D$4:$D$69,EMMa_vis!$AA38)+SUMIFS(Weights1!R$4:R$69,Weights1!$C$4:$C$69,EMMa_vis!$B$3,Weights1!$D$4:$D$69,EMMa_vis!$AB38)</f>
        <v>4</v>
      </c>
      <c r="L38" s="85">
        <f>+SUMIFS(Weights1!S$4:S$69,Weights1!$C$4:$C$69,EMMa_vis!$B$3,Weights1!$D$4:$D$69,EMMa_vis!$AA38)+SUMIFS(Weights1!S$4:S$69,Weights1!$C$4:$C$69,EMMa_vis!$B$3,Weights1!$D$4:$D$69,EMMa_vis!$AB38)</f>
        <v>6.5555555555555554</v>
      </c>
      <c r="M38" s="85">
        <f>+SUMIFS(Weights1!T$4:T$69,Weights1!$C$4:$C$69,EMMa_vis!$B$3,Weights1!$D$4:$D$69,EMMa_vis!$AA38)+SUMIFS(Weights1!T$4:T$69,Weights1!$C$4:$C$69,EMMa_vis!$B$3,Weights1!$D$4:$D$69,EMMa_vis!$AB38)</f>
        <v>5.333333333333333</v>
      </c>
      <c r="N38" s="85">
        <f>+SUMIFS(Weights1!U$4:U$69,Weights1!$C$4:$C$69,EMMa_vis!$B$3,Weights1!$D$4:$D$69,EMMa_vis!$AA38)+SUMIFS(Weights1!U$4:U$69,Weights1!$C$4:$C$69,EMMa_vis!$B$3,Weights1!$D$4:$D$69,EMMa_vis!$AB38)</f>
        <v>5.25</v>
      </c>
      <c r="O38" s="85">
        <f ca="1">+SUMIFS(Weights1!V$4:V$69,Weights1!$C$4:$C$69,EMMa_vis!$B$3,Weights1!$D$4:$D$69,EMMa_vis!$AA38)+SUMIFS(Weights1!V$4:V$69,Weights1!$C$4:$C$69,EMMa_vis!$B$3,Weights1!$D$4:$D$69,EMMa_vis!$AB38)</f>
        <v>0</v>
      </c>
      <c r="P38" s="85">
        <f ca="1">+SUMIFS(Weights1!W$4:W$69,Weights1!$C$4:$C$69,EMMa_vis!$B$3,Weights1!$D$4:$D$69,EMMa_vis!$AA38)+SUMIFS(Weights1!W$4:W$69,Weights1!$C$4:$C$69,EMMa_vis!$B$3,Weights1!$D$4:$D$69,EMMa_vis!$AB38)</f>
        <v>0</v>
      </c>
      <c r="Q38" s="85">
        <f ca="1">+SUMIFS(Weights1!X$4:X$69,Weights1!$C$4:$C$69,EMMa_vis!$B$3,Weights1!$D$4:$D$69,EMMa_vis!$AA38)+SUMIFS(Weights1!X$4:X$69,Weights1!$C$4:$C$69,EMMa_vis!$B$3,Weights1!$D$4:$D$69,EMMa_vis!$AB38)</f>
        <v>0</v>
      </c>
      <c r="R38" s="85">
        <f ca="1">+SUMIFS(Weights1!Y$4:Y$69,Weights1!$C$4:$C$69,EMMa_vis!$B$3,Weights1!$D$4:$D$69,EMMa_vis!$AA38)+SUMIFS(Weights1!Y$4:Y$69,Weights1!$C$4:$C$69,EMMa_vis!$B$3,Weights1!$D$4:$D$69,EMMa_vis!$AB38)</f>
        <v>0</v>
      </c>
      <c r="S38" s="85">
        <f ca="1">+SUMIFS(Weights1!Z$4:Z$69,Weights1!$C$4:$C$69,EMMa_vis!$B$3,Weights1!$D$4:$D$69,EMMa_vis!$AA38)+SUMIFS(Weights1!Z$4:Z$69,Weights1!$C$4:$C$69,EMMa_vis!$B$3,Weights1!$D$4:$D$69,EMMa_vis!$AB38)</f>
        <v>0</v>
      </c>
      <c r="T38" s="85">
        <f ca="1">+SUMIFS(Weights1!AA$4:AA$69,Weights1!$C$4:$C$69,EMMa_vis!$B$3,Weights1!$D$4:$D$69,EMMa_vis!$AA38)+SUMIFS(Weights1!AA$4:AA$69,Weights1!$C$4:$C$69,EMMa_vis!$B$3,Weights1!$D$4:$D$69,EMMa_vis!$AB38)</f>
        <v>0</v>
      </c>
      <c r="U38" s="85">
        <f ca="1">+SUMIFS(Weights1!AB$4:AB$69,Weights1!$C$4:$C$69,EMMa_vis!$B$3,Weights1!$D$4:$D$69,EMMa_vis!$AA38)+SUMIFS(Weights1!AB$4:AB$69,Weights1!$C$4:$C$69,EMMa_vis!$B$3,Weights1!$D$4:$D$69,EMMa_vis!$AB38)</f>
        <v>0</v>
      </c>
      <c r="V38" s="85">
        <f ca="1">+SUMIFS(Weights1!AC$4:AC$69,Weights1!$C$4:$C$69,EMMa_vis!$B$3,Weights1!$D$4:$D$69,EMMa_vis!$AA38)+SUMIFS(Weights1!AC$4:AC$69,Weights1!$C$4:$C$69,EMMa_vis!$B$3,Weights1!$D$4:$D$69,EMMa_vis!$AB38)</f>
        <v>0</v>
      </c>
      <c r="W38" s="87">
        <f t="shared" si="6"/>
        <v>2.6666666666666665</v>
      </c>
      <c r="X38" s="87">
        <f t="shared" si="6"/>
        <v>4</v>
      </c>
      <c r="Y38" s="87">
        <f t="shared" si="6"/>
        <v>3.3333333333333335</v>
      </c>
      <c r="AA38" s="63" t="s">
        <v>85</v>
      </c>
      <c r="AB38" s="63" t="s">
        <v>86</v>
      </c>
      <c r="AE38" s="65"/>
    </row>
    <row r="39" spans="1:33" x14ac:dyDescent="0.3">
      <c r="AE39" s="66"/>
    </row>
    <row r="40" spans="1:33" x14ac:dyDescent="0.3">
      <c r="N40" s="110" t="s">
        <v>87</v>
      </c>
      <c r="R40" s="110" t="s">
        <v>87</v>
      </c>
      <c r="V40" s="110" t="s">
        <v>87</v>
      </c>
      <c r="W40" s="104">
        <f>+SUM(W4:W38)</f>
        <v>121.47221530913872</v>
      </c>
      <c r="X40" s="104">
        <f>+SUM(X4:X38)</f>
        <v>128.17645844654425</v>
      </c>
      <c r="Y40" s="104">
        <f>+SUM(Y4:Y38)</f>
        <v>122.05535566885115</v>
      </c>
      <c r="AE40" s="66"/>
    </row>
    <row r="41" spans="1:33" ht="50.4" customHeight="1" x14ac:dyDescent="0.3">
      <c r="E41" s="210" t="s">
        <v>88</v>
      </c>
      <c r="F41" s="219" t="str">
        <f>+C2</f>
        <v>MARPLE</v>
      </c>
      <c r="G41" s="219"/>
      <c r="H41" s="211" t="str">
        <f>+D2</f>
        <v>StreamLine-MaDAM</v>
      </c>
      <c r="I41" s="211"/>
      <c r="J41" s="211" t="str">
        <f>+E2</f>
        <v>StreamLine-eGLTM</v>
      </c>
      <c r="K41" s="211"/>
      <c r="AE41" s="66"/>
      <c r="AF41" s="67"/>
      <c r="AG41" s="15"/>
    </row>
    <row r="42" spans="1:33" ht="69" customHeight="1" x14ac:dyDescent="0.3">
      <c r="E42" s="210"/>
      <c r="F42" s="212">
        <f>+_xlfn.RANK.AVG(W40,$W$40:$Y$40,0)</f>
        <v>3</v>
      </c>
      <c r="G42" s="213"/>
      <c r="H42" s="212">
        <f>+_xlfn.RANK.AVG(X40,$W$40:$Y$40,0)</f>
        <v>1</v>
      </c>
      <c r="I42" s="213"/>
      <c r="J42" s="212">
        <f>+_xlfn.RANK.AVG(Y40,$W$40:$Y$40,0)</f>
        <v>2</v>
      </c>
      <c r="K42" s="213"/>
      <c r="AE42" s="66"/>
    </row>
    <row r="43" spans="1:33" ht="25.8" x14ac:dyDescent="0.3">
      <c r="E43" s="109"/>
      <c r="AE43" s="66"/>
    </row>
    <row r="44" spans="1:33" x14ac:dyDescent="0.3">
      <c r="AE44" s="66"/>
    </row>
    <row r="45" spans="1:33" x14ac:dyDescent="0.3">
      <c r="AE45" s="66"/>
    </row>
    <row r="46" spans="1:33" x14ac:dyDescent="0.3">
      <c r="AE46" s="66"/>
    </row>
    <row r="47" spans="1:33" x14ac:dyDescent="0.3">
      <c r="AE47" s="66"/>
    </row>
    <row r="48" spans="1:33" x14ac:dyDescent="0.3">
      <c r="AE48" s="66"/>
    </row>
    <row r="49" spans="31:31" x14ac:dyDescent="0.3">
      <c r="AE49" s="66"/>
    </row>
    <row r="50" spans="31:31" x14ac:dyDescent="0.3">
      <c r="AE50" s="66"/>
    </row>
    <row r="51" spans="31:31" x14ac:dyDescent="0.3">
      <c r="AE51" s="66"/>
    </row>
    <row r="52" spans="31:31" x14ac:dyDescent="0.3">
      <c r="AE52" s="66"/>
    </row>
    <row r="53" spans="31:31" x14ac:dyDescent="0.3">
      <c r="AE53" s="66"/>
    </row>
    <row r="54" spans="31:31" x14ac:dyDescent="0.3">
      <c r="AE54" s="66"/>
    </row>
    <row r="55" spans="31:31" x14ac:dyDescent="0.3">
      <c r="AE55" s="66"/>
    </row>
    <row r="56" spans="31:31" x14ac:dyDescent="0.3">
      <c r="AE56" s="66"/>
    </row>
    <row r="57" spans="31:31" x14ac:dyDescent="0.3">
      <c r="AE57" s="66"/>
    </row>
    <row r="58" spans="31:31" x14ac:dyDescent="0.3">
      <c r="AE58" s="66"/>
    </row>
    <row r="59" spans="31:31" x14ac:dyDescent="0.3">
      <c r="AE59" s="66"/>
    </row>
    <row r="60" spans="31:31" x14ac:dyDescent="0.3">
      <c r="AE60" s="66"/>
    </row>
    <row r="61" spans="31:31" x14ac:dyDescent="0.3">
      <c r="AE61" s="66"/>
    </row>
    <row r="62" spans="31:31" x14ac:dyDescent="0.3">
      <c r="AE62" s="66"/>
    </row>
    <row r="63" spans="31:31" x14ac:dyDescent="0.3">
      <c r="AE63" s="66"/>
    </row>
  </sheetData>
  <mergeCells count="12">
    <mergeCell ref="E41:E42"/>
    <mergeCell ref="F41:G41"/>
    <mergeCell ref="H41:I41"/>
    <mergeCell ref="J41:K41"/>
    <mergeCell ref="F42:G42"/>
    <mergeCell ref="H42:I42"/>
    <mergeCell ref="J42:K42"/>
    <mergeCell ref="O2:R2"/>
    <mergeCell ref="S2:V2"/>
    <mergeCell ref="F2:J2"/>
    <mergeCell ref="K2:N2"/>
    <mergeCell ref="W2:Y2"/>
  </mergeCells>
  <conditionalFormatting sqref="B4:B11 B15:B16 B13 B18:B25 B27 B29:B30 B32:B38">
    <cfRule type="cellIs" dxfId="21" priority="16" operator="equal">
      <formula>0</formula>
    </cfRule>
  </conditionalFormatting>
  <conditionalFormatting sqref="B28">
    <cfRule type="cellIs" dxfId="20" priority="11" operator="equal">
      <formula>0</formula>
    </cfRule>
  </conditionalFormatting>
  <conditionalFormatting sqref="B12">
    <cfRule type="cellIs" dxfId="19" priority="15" operator="equal">
      <formula>0</formula>
    </cfRule>
  </conditionalFormatting>
  <conditionalFormatting sqref="B14">
    <cfRule type="cellIs" dxfId="18" priority="14" operator="equal">
      <formula>0</formula>
    </cfRule>
  </conditionalFormatting>
  <conditionalFormatting sqref="B17">
    <cfRule type="cellIs" dxfId="17" priority="13" operator="equal">
      <formula>0</formula>
    </cfRule>
  </conditionalFormatting>
  <conditionalFormatting sqref="B26">
    <cfRule type="cellIs" dxfId="16" priority="12" operator="equal">
      <formula>0</formula>
    </cfRule>
  </conditionalFormatting>
  <conditionalFormatting sqref="B31">
    <cfRule type="cellIs" dxfId="15" priority="10" operator="equal">
      <formula>0</formula>
    </cfRule>
  </conditionalFormatting>
  <conditionalFormatting sqref="F42:K42">
    <cfRule type="cellIs" dxfId="14" priority="7" operator="equal">
      <formula>3</formula>
    </cfRule>
    <cfRule type="cellIs" dxfId="13" priority="8" operator="equal">
      <formula>2</formula>
    </cfRule>
    <cfRule type="cellIs" dxfId="12" priority="9" operator="equal">
      <formula>1</formula>
    </cfRule>
  </conditionalFormatting>
  <conditionalFormatting sqref="O42">
    <cfRule type="cellIs" dxfId="11" priority="4" operator="equal">
      <formula>3</formula>
    </cfRule>
    <cfRule type="cellIs" dxfId="10" priority="5" operator="equal">
      <formula>2</formula>
    </cfRule>
    <cfRule type="cellIs" dxfId="9" priority="6" operator="equal">
      <formula>1</formula>
    </cfRule>
  </conditionalFormatting>
  <conditionalFormatting sqref="S42">
    <cfRule type="cellIs" dxfId="8" priority="1" operator="equal">
      <formula>3</formula>
    </cfRule>
    <cfRule type="cellIs" dxfId="7" priority="2" operator="equal">
      <formula>2</formula>
    </cfRule>
    <cfRule type="cellIs" dxfId="6" priority="3" operator="equal">
      <formula>1</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custom" errorStyle="warning" allowBlank="1" showInputMessage="1" showErrorMessage="1" error="Alterations to application horizon cannot be performed here. Please change it in the visualization tab!" promptTitle="Selecting the Application type" prompt="Please choose the application planning horizon in the visualization tab, to select the weightage perspective._x000a_" xr:uid="{9C0DED82-34D3-4700-8D25-D635837AA9B7}">
          <x14:formula1>
            <xm:f>Visualization_Average!B2</xm:f>
          </x14:formula1>
          <xm:sqref>B3</xm:sqref>
        </x14:dataValidation>
        <x14:dataValidation type="custom" errorStyle="warning" allowBlank="1" showInputMessage="1" showErrorMessage="1" error="Alterations to model user cannot be performed here. Please change it in the visualization tab!" promptTitle="Selecting the Model User" prompt="Please choose the model user in the visualization tab, to select the weightage perspective._x000a_" xr:uid="{DA8F3526-4FD7-4E4C-B0BB-9A07FA0E6CD3}">
          <x14:formula1>
            <xm:f>Visualization_Average!B2</xm:f>
          </x14:formula1>
          <xm:sqref>A3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02BFC-62AB-4260-8111-8EE6FD02D2CF}">
  <sheetPr>
    <tabColor rgb="FFFFC000"/>
  </sheetPr>
  <dimension ref="A1:AK40"/>
  <sheetViews>
    <sheetView topLeftCell="A28" zoomScale="77" zoomScaleNormal="70" workbookViewId="0">
      <selection activeCell="I6" sqref="I6"/>
    </sheetView>
  </sheetViews>
  <sheetFormatPr defaultColWidth="8.88671875" defaultRowHeight="14.4" x14ac:dyDescent="0.3"/>
  <cols>
    <col min="1" max="1" width="32.33203125" style="169" customWidth="1"/>
    <col min="2" max="2" width="16.33203125" style="169" customWidth="1"/>
    <col min="3" max="3" width="18.44140625" style="169" bestFit="1" customWidth="1"/>
    <col min="4" max="4" width="17.44140625" style="169" bestFit="1" customWidth="1"/>
    <col min="5" max="5" width="8.88671875" style="169" customWidth="1"/>
    <col min="6" max="11" width="8.88671875" style="169"/>
    <col min="12" max="12" width="35.88671875" style="169" customWidth="1"/>
    <col min="13" max="16" width="12.6640625" style="169" customWidth="1"/>
    <col min="17" max="21" width="8.88671875" style="169"/>
    <col min="22" max="22" width="55.6640625" style="169" bestFit="1" customWidth="1"/>
    <col min="23" max="26" width="12.88671875" style="169" customWidth="1"/>
    <col min="27" max="28" width="8.88671875" style="169"/>
    <col min="29" max="29" width="8.88671875" style="169" customWidth="1"/>
    <col min="30" max="31" width="8.88671875" style="169"/>
    <col min="32" max="32" width="55.6640625" style="169" bestFit="1" customWidth="1"/>
    <col min="33" max="36" width="12.88671875" style="169" customWidth="1"/>
    <col min="37" max="16384" width="8.88671875" style="169"/>
  </cols>
  <sheetData>
    <row r="1" spans="1:37" ht="21" x14ac:dyDescent="0.3">
      <c r="A1" s="193" t="s">
        <v>89</v>
      </c>
    </row>
    <row r="2" spans="1:37" x14ac:dyDescent="0.3">
      <c r="A2" s="184" t="s">
        <v>90</v>
      </c>
      <c r="B2" s="221" t="s">
        <v>7</v>
      </c>
      <c r="C2" s="221"/>
    </row>
    <row r="3" spans="1:37" x14ac:dyDescent="0.3">
      <c r="A3" s="184" t="s">
        <v>91</v>
      </c>
      <c r="B3" s="220" t="s">
        <v>3</v>
      </c>
      <c r="C3" s="220"/>
    </row>
    <row r="5" spans="1:37" ht="28.8" x14ac:dyDescent="0.3">
      <c r="A5" s="170" t="s">
        <v>92</v>
      </c>
      <c r="B5" s="171" t="str">
        <f>+EMMa!C1</f>
        <v>MARPLE</v>
      </c>
      <c r="C5" s="171" t="str">
        <f>+EMMa!D1</f>
        <v>StreamLine-MaDAM</v>
      </c>
      <c r="D5" s="171" t="str">
        <f>+EMMa!E1</f>
        <v>StreamLine-eGLTM</v>
      </c>
      <c r="L5" s="172" t="s">
        <v>93</v>
      </c>
      <c r="M5" s="173" t="s">
        <v>7</v>
      </c>
      <c r="N5" s="174" t="s">
        <v>8</v>
      </c>
      <c r="O5" s="174" t="s">
        <v>9</v>
      </c>
      <c r="P5" s="174" t="s">
        <v>10</v>
      </c>
      <c r="V5" s="186" t="str">
        <f>EMMa!B16</f>
        <v>Tractability</v>
      </c>
      <c r="W5" s="173" t="str">
        <f>B5</f>
        <v>MARPLE</v>
      </c>
      <c r="X5" s="174" t="str">
        <f>C5</f>
        <v>StreamLine-MaDAM</v>
      </c>
      <c r="Y5" s="174" t="str">
        <f>D5</f>
        <v>StreamLine-eGLTM</v>
      </c>
      <c r="Z5"/>
      <c r="AF5" s="186" t="str">
        <f>EMMa!B3</f>
        <v>Conceptual Validation</v>
      </c>
      <c r="AG5" s="174" t="str">
        <f>W5</f>
        <v>MARPLE</v>
      </c>
      <c r="AH5" s="174" t="str">
        <f>X5</f>
        <v>StreamLine-MaDAM</v>
      </c>
      <c r="AI5" s="174" t="str">
        <f>Y5</f>
        <v>StreamLine-eGLTM</v>
      </c>
      <c r="AJ5"/>
    </row>
    <row r="6" spans="1:37" x14ac:dyDescent="0.3">
      <c r="A6" s="175" t="str">
        <f>+EMMa!B3</f>
        <v>Conceptual Validation</v>
      </c>
      <c r="B6" s="192">
        <f>+AVERAGE(EMMa!O4:O10)</f>
        <v>1.8380035874973046</v>
      </c>
      <c r="C6" s="192">
        <f>+AVERAGE(EMMa!P4:P10)</f>
        <v>2.6770954570547505</v>
      </c>
      <c r="D6" s="192">
        <f>+AVERAGE(EMMa!Q4:Q10)</f>
        <v>1.8440698667977917</v>
      </c>
      <c r="E6" s="177"/>
      <c r="F6" s="177"/>
      <c r="G6" s="177"/>
      <c r="H6" s="177"/>
      <c r="I6" s="177"/>
      <c r="J6" s="177"/>
      <c r="K6" s="177"/>
      <c r="L6" s="176" t="str">
        <f>+A6</f>
        <v>Conceptual Validation</v>
      </c>
      <c r="M6" s="176">
        <f>+AVERAGE(EMMa!K4:K10)</f>
        <v>5.8571428571428568</v>
      </c>
      <c r="N6" s="176">
        <f>+AVERAGE(EMMa!L4:L10)</f>
        <v>6.3492063492063489</v>
      </c>
      <c r="O6" s="176">
        <f>+AVERAGE(EMMa!M4:M10)</f>
        <v>6.0952380952380958</v>
      </c>
      <c r="P6" s="176">
        <f>+AVERAGE(EMMa!N4:N10)</f>
        <v>6.1071428571428568</v>
      </c>
      <c r="V6" s="185" t="str">
        <f>EMMa!B17</f>
        <v>Propagation - Link flows</v>
      </c>
      <c r="W6" s="176">
        <f>EMMa!O17</f>
        <v>5.25</v>
      </c>
      <c r="X6" s="176">
        <f>EMMa!P17</f>
        <v>5.25</v>
      </c>
      <c r="Y6" s="176">
        <f>EMMa!Q17</f>
        <v>7</v>
      </c>
      <c r="Z6"/>
      <c r="AF6" s="188" t="str">
        <f>EMMa!B4</f>
        <v>Flow Metering or Blocking back - strict capacity constraint</v>
      </c>
      <c r="AG6" s="176">
        <f>EMMa!O4</f>
        <v>4.6666666666666661</v>
      </c>
      <c r="AH6" s="176">
        <f>EMMa!P4</f>
        <v>7</v>
      </c>
      <c r="AI6" s="176">
        <f>EMMa!Q4</f>
        <v>7</v>
      </c>
      <c r="AJ6"/>
    </row>
    <row r="7" spans="1:37" x14ac:dyDescent="0.3">
      <c r="A7" s="175" t="str">
        <f>+EMMa!B11</f>
        <v>Model robustness</v>
      </c>
      <c r="B7" s="192">
        <f>+EMMa!O12</f>
        <v>9.9745413389865281</v>
      </c>
      <c r="C7" s="192">
        <f>+EMMa!P12</f>
        <v>0</v>
      </c>
      <c r="D7" s="192">
        <f>+EMMa!Q12</f>
        <v>9.891448759921218</v>
      </c>
      <c r="E7" s="177"/>
      <c r="F7" s="177"/>
      <c r="G7" s="177"/>
      <c r="H7" s="177"/>
      <c r="I7" s="177"/>
      <c r="J7" s="177"/>
      <c r="K7" s="177"/>
      <c r="L7" s="176" t="str">
        <f t="shared" ref="L7:L12" si="0">+A7</f>
        <v>Model robustness</v>
      </c>
      <c r="M7" s="176">
        <f>+EMMa!K12</f>
        <v>10</v>
      </c>
      <c r="N7" s="176">
        <f>+EMMa!L12</f>
        <v>9.7222222222222214</v>
      </c>
      <c r="O7" s="176">
        <f>+EMMa!M12</f>
        <v>7.666666666666667</v>
      </c>
      <c r="P7" s="176">
        <f>+EMMa!N12</f>
        <v>8.5</v>
      </c>
      <c r="V7" s="185" t="str">
        <f>EMMa!B18</f>
        <v>Propagation - Queuing</v>
      </c>
      <c r="W7" s="176">
        <f>EMMa!O18</f>
        <v>4.8039215686274517</v>
      </c>
      <c r="X7" s="176">
        <f>EMMa!P18</f>
        <v>7</v>
      </c>
      <c r="Y7" s="176">
        <f>EMMa!Q18</f>
        <v>6.8627450980392162</v>
      </c>
      <c r="Z7"/>
      <c r="AF7" s="188" t="str">
        <f>EMMa!B5</f>
        <v>Traffic Spillback - strict storage constraint</v>
      </c>
      <c r="AG7" s="176">
        <f>EMMa!O5</f>
        <v>5.25</v>
      </c>
      <c r="AH7" s="176">
        <f>EMMa!P5</f>
        <v>7</v>
      </c>
      <c r="AI7" s="176">
        <f>EMMa!Q5</f>
        <v>5.25</v>
      </c>
      <c r="AJ7"/>
    </row>
    <row r="8" spans="1:37" x14ac:dyDescent="0.3">
      <c r="A8" s="175" t="str">
        <f>+EMMa!B13</f>
        <v>Applicability</v>
      </c>
      <c r="B8" s="192">
        <f>+AVERAGE(EMMa!O14:O15)</f>
        <v>10</v>
      </c>
      <c r="C8" s="192">
        <f>+AVERAGE(EMMa!P14:P15)</f>
        <v>10</v>
      </c>
      <c r="D8" s="192">
        <f>+AVERAGE(EMMa!Q14:Q15)</f>
        <v>10</v>
      </c>
      <c r="E8" s="177"/>
      <c r="F8" s="177"/>
      <c r="G8" s="177"/>
      <c r="H8" s="177"/>
      <c r="I8" s="177"/>
      <c r="J8" s="177"/>
      <c r="K8" s="177"/>
      <c r="L8" s="176" t="str">
        <f t="shared" si="0"/>
        <v>Applicability</v>
      </c>
      <c r="M8" s="176">
        <f>+AVERAGE(EMMa!K14:K15)</f>
        <v>10</v>
      </c>
      <c r="N8" s="176">
        <f>+AVERAGE(EMMa!L14:L15)</f>
        <v>6.7777777777777777</v>
      </c>
      <c r="O8" s="176">
        <f>+AVERAGE(EMMa!M14:M15)</f>
        <v>8.6666666666666661</v>
      </c>
      <c r="P8" s="176">
        <f>+AVERAGE(EMMa!N14:N15)</f>
        <v>8.5</v>
      </c>
      <c r="V8" s="185" t="str">
        <f>EMMa!B19</f>
        <v>Propagation - Effect of link-level traffic controls</v>
      </c>
      <c r="W8" s="176">
        <f>EMMa!O19</f>
        <v>7</v>
      </c>
      <c r="X8" s="176">
        <f>EMMa!P19</f>
        <v>5</v>
      </c>
      <c r="Y8" s="176">
        <f>EMMa!Q19</f>
        <v>0</v>
      </c>
      <c r="Z8"/>
      <c r="AF8" s="188" t="str">
        <f>EMMa!B6</f>
        <v>Capacity drop</v>
      </c>
      <c r="AG8" s="176">
        <f>EMMa!O6</f>
        <v>0</v>
      </c>
      <c r="AH8" s="176">
        <f>EMMa!P6</f>
        <v>4</v>
      </c>
      <c r="AI8" s="176">
        <f>EMMa!Q6</f>
        <v>0</v>
      </c>
      <c r="AJ8"/>
    </row>
    <row r="9" spans="1:37" x14ac:dyDescent="0.3">
      <c r="A9" s="175" t="str">
        <f>+EMMa!B16</f>
        <v>Tractability</v>
      </c>
      <c r="B9" s="192">
        <f>+AVERAGE(EMMa!O17:O24)</f>
        <v>6.3999693627450984</v>
      </c>
      <c r="C9" s="192">
        <f>+AVERAGE(EMMa!P17:P24)</f>
        <v>6.713541666666667</v>
      </c>
      <c r="D9" s="192">
        <f>+AVERAGE(EMMa!Q17:Q24)</f>
        <v>6.3812806372549016</v>
      </c>
      <c r="E9" s="177"/>
      <c r="F9" s="177"/>
      <c r="G9" s="177"/>
      <c r="H9" s="177"/>
      <c r="I9" s="177"/>
      <c r="J9" s="177"/>
      <c r="K9" s="177"/>
      <c r="L9" s="176" t="str">
        <f t="shared" si="0"/>
        <v>Tractability</v>
      </c>
      <c r="M9" s="176">
        <f>AVERAGE(EMMa!K17:K24)</f>
        <v>7.75</v>
      </c>
      <c r="N9" s="176">
        <f>AVERAGE(EMMa!L17:L24)</f>
        <v>8.0555555555555554</v>
      </c>
      <c r="O9" s="176">
        <f>AVERAGE(EMMa!M17:M24)</f>
        <v>8.3333333333333339</v>
      </c>
      <c r="P9" s="176">
        <f>AVERAGE(EMMa!N17:N24)</f>
        <v>7.8125</v>
      </c>
      <c r="V9" s="185" t="str">
        <f>EMMa!B20</f>
        <v>Node model-merge behaviour</v>
      </c>
      <c r="W9" s="176">
        <f>EMMa!O20</f>
        <v>4.9583333333333339</v>
      </c>
      <c r="X9" s="176">
        <f>EMMa!P20</f>
        <v>4.9583333333333339</v>
      </c>
      <c r="Y9" s="176">
        <f>EMMa!Q20</f>
        <v>7</v>
      </c>
      <c r="Z9"/>
      <c r="AF9" s="188" t="str">
        <f>EMMa!B7</f>
        <v>Smoothness of temporal speed variations</v>
      </c>
      <c r="AG9" s="176">
        <f>EMMa!O7</f>
        <v>0</v>
      </c>
      <c r="AH9" s="176">
        <f>EMMa!P7</f>
        <v>0.73564016272826172</v>
      </c>
      <c r="AI9" s="176">
        <f>EMMa!Q7</f>
        <v>0.65848906758454251</v>
      </c>
      <c r="AJ9"/>
    </row>
    <row r="10" spans="1:37" ht="27" customHeight="1" x14ac:dyDescent="0.3">
      <c r="A10" s="178" t="str">
        <f>+EMMa!B25</f>
        <v>Integration of Network Hierarchies - Urban and Motorway roads</v>
      </c>
      <c r="B10" s="192">
        <f>+EMMa!O26</f>
        <v>0</v>
      </c>
      <c r="C10" s="192">
        <f>+EMMa!P26</f>
        <v>7</v>
      </c>
      <c r="D10" s="192">
        <f>+EMMa!Q26</f>
        <v>0</v>
      </c>
      <c r="E10" s="177"/>
      <c r="F10" s="177"/>
      <c r="G10" s="177"/>
      <c r="H10" s="177"/>
      <c r="I10" s="177"/>
      <c r="J10" s="177"/>
      <c r="K10" s="177"/>
      <c r="L10" s="179" t="str">
        <f t="shared" si="0"/>
        <v>Integration of Network Hierarchies - Urban and Motorway roads</v>
      </c>
      <c r="M10" s="176">
        <f>+EMMa!K26</f>
        <v>7</v>
      </c>
      <c r="N10" s="176">
        <f>+EMMa!L26</f>
        <v>7.5</v>
      </c>
      <c r="O10" s="176">
        <f>+EMMa!M26</f>
        <v>5</v>
      </c>
      <c r="P10" s="176">
        <f>+EMMa!N26</f>
        <v>6.75</v>
      </c>
      <c r="V10" s="185" t="str">
        <f>EMMa!B21</f>
        <v>Node model-diverge behaviour</v>
      </c>
      <c r="W10" s="176">
        <f>EMMa!O21</f>
        <v>4.375</v>
      </c>
      <c r="X10" s="176">
        <f>EMMa!P21</f>
        <v>7</v>
      </c>
      <c r="Y10" s="176">
        <f>EMMa!Q21</f>
        <v>7</v>
      </c>
      <c r="Z10"/>
      <c r="AF10" s="188" t="str">
        <f>EMMa!B8</f>
        <v>Smoothness of temporal flow variations</v>
      </c>
      <c r="AG10" s="176">
        <f>EMMa!O8</f>
        <v>2.9493584458144673</v>
      </c>
      <c r="AH10" s="176">
        <f>EMMa!P8</f>
        <v>4.028036654991185E-3</v>
      </c>
      <c r="AI10" s="176">
        <f>EMMa!Q8</f>
        <v>0</v>
      </c>
      <c r="AJ10"/>
    </row>
    <row r="11" spans="1:37" x14ac:dyDescent="0.3">
      <c r="A11" s="175" t="str">
        <f>+EMMa!B27</f>
        <v>Computational efficiency</v>
      </c>
      <c r="B11" s="192">
        <f>+AVERAGE(EMMa!O28:O29)</f>
        <v>3.6207088826170426</v>
      </c>
      <c r="C11" s="192">
        <f>+AVERAGE(EMMa!P28:P29)</f>
        <v>1.1142284569138277</v>
      </c>
      <c r="D11" s="192">
        <f>+AVERAGE(EMMa!Q28:Q29)</f>
        <v>1.9716339907007063</v>
      </c>
      <c r="E11" s="177"/>
      <c r="F11" s="177"/>
      <c r="G11" s="177"/>
      <c r="H11" s="177"/>
      <c r="I11" s="177"/>
      <c r="J11" s="177"/>
      <c r="K11" s="177"/>
      <c r="L11" s="176" t="str">
        <f t="shared" si="0"/>
        <v>Computational efficiency</v>
      </c>
      <c r="M11" s="176">
        <f>AVERAGE(EMMa!K28:K29)</f>
        <v>4</v>
      </c>
      <c r="N11" s="176">
        <f>AVERAGE(EMMa!L28:L29)</f>
        <v>6.1111111111111107</v>
      </c>
      <c r="O11" s="176">
        <f>AVERAGE(EMMa!M28:M29)</f>
        <v>7.666666666666667</v>
      </c>
      <c r="P11" s="176">
        <f>AVERAGE(EMMa!N28:N29)</f>
        <v>7.25</v>
      </c>
      <c r="V11" s="185" t="str">
        <f>EMMa!B22</f>
        <v>Signalized Intersection</v>
      </c>
      <c r="W11" s="176">
        <f>EMMa!O22</f>
        <v>4.8125</v>
      </c>
      <c r="X11" s="176">
        <f>EMMa!P22</f>
        <v>7</v>
      </c>
      <c r="Y11" s="176">
        <f>EMMa!Q22</f>
        <v>5.6875</v>
      </c>
      <c r="Z11"/>
      <c r="AF11" s="188" t="str">
        <f>EMMa!B9</f>
        <v>Presence of variable route set</v>
      </c>
      <c r="AG11" s="176">
        <f>EMMa!O9</f>
        <v>0</v>
      </c>
      <c r="AH11" s="176">
        <f>EMMa!P9</f>
        <v>0</v>
      </c>
      <c r="AI11" s="176">
        <f>EMMa!Q9</f>
        <v>0</v>
      </c>
      <c r="AJ11"/>
    </row>
    <row r="12" spans="1:37" x14ac:dyDescent="0.3">
      <c r="A12" s="175" t="str">
        <f>+EMMa!B30</f>
        <v>Usability</v>
      </c>
      <c r="B12" s="192">
        <f>+AVERAGE(EMMa!O31:O37)</f>
        <v>2.8843537414965992</v>
      </c>
      <c r="C12" s="192">
        <f>+AVERAGE(EMMa!P31:P37)</f>
        <v>3.7857142857142856</v>
      </c>
      <c r="D12" s="192">
        <f>+AVERAGE(EMMa!Q31:Q37)</f>
        <v>3.4659863945578233</v>
      </c>
      <c r="E12" s="177"/>
      <c r="F12" s="177"/>
      <c r="G12" s="177"/>
      <c r="H12" s="177"/>
      <c r="I12" s="177"/>
      <c r="J12" s="177"/>
      <c r="K12" s="177"/>
      <c r="L12" s="176" t="str">
        <f t="shared" si="0"/>
        <v>Usability</v>
      </c>
      <c r="M12" s="176">
        <f>AVERAGE(EMMa!K31:K37)</f>
        <v>4</v>
      </c>
      <c r="N12" s="176">
        <f>AVERAGE(EMMa!L31:L37)</f>
        <v>6.5555555555555562</v>
      </c>
      <c r="O12" s="176">
        <f>AVERAGE(EMMa!M31:M37)</f>
        <v>5.333333333333333</v>
      </c>
      <c r="P12" s="176">
        <f>AVERAGE(EMMa!N31:N37)</f>
        <v>5.25</v>
      </c>
      <c r="V12" s="185" t="str">
        <f>EMMa!B23</f>
        <v>Route choice (general)</v>
      </c>
      <c r="W12" s="176">
        <f>EMMa!O23</f>
        <v>10</v>
      </c>
      <c r="X12" s="176">
        <f>EMMa!P23</f>
        <v>7.5</v>
      </c>
      <c r="Y12" s="176">
        <f>EMMa!Q23</f>
        <v>7.5</v>
      </c>
      <c r="Z12"/>
      <c r="AF12" s="188" t="str">
        <f>EMMa!B10</f>
        <v>Modelling of stop and go waves</v>
      </c>
      <c r="AG12" s="176">
        <f>EMMa!O10</f>
        <v>0</v>
      </c>
      <c r="AH12" s="176">
        <f>EMMa!P10</f>
        <v>0</v>
      </c>
      <c r="AI12" s="176">
        <f>EMMa!Q10</f>
        <v>0</v>
      </c>
      <c r="AJ12"/>
    </row>
    <row r="13" spans="1:37" x14ac:dyDescent="0.3">
      <c r="B13" s="177"/>
      <c r="C13" s="177"/>
      <c r="D13" s="177"/>
      <c r="E13" s="177"/>
      <c r="F13" s="177"/>
      <c r="G13" s="177"/>
      <c r="H13" s="177"/>
      <c r="I13" s="177"/>
      <c r="J13" s="177"/>
      <c r="K13" s="177"/>
      <c r="L13" s="181" t="str">
        <f>"Model User Weights - "&amp;$B$3</f>
        <v>Model User Weights - Strategic Planning</v>
      </c>
      <c r="V13" s="185" t="str">
        <f>EMMa!B24</f>
        <v>Route choice (route overlap)</v>
      </c>
      <c r="W13" s="176">
        <f>EMMa!O24</f>
        <v>10</v>
      </c>
      <c r="X13" s="176">
        <f>EMMa!P24</f>
        <v>10</v>
      </c>
      <c r="Y13" s="176">
        <f>EMMa!Q24</f>
        <v>10</v>
      </c>
      <c r="Z13"/>
      <c r="AF13"/>
      <c r="AG13"/>
      <c r="AH13"/>
      <c r="AI13"/>
      <c r="AJ13"/>
      <c r="AK13"/>
    </row>
    <row r="14" spans="1:37" x14ac:dyDescent="0.3">
      <c r="A14" s="171" t="s">
        <v>94</v>
      </c>
      <c r="B14" s="176">
        <f>+SUM(B6:B12)</f>
        <v>34.717576913342569</v>
      </c>
      <c r="C14" s="176">
        <f>+SUM(C6:C12)</f>
        <v>31.290579866349532</v>
      </c>
      <c r="D14" s="176">
        <f>+SUM(D6:D12)</f>
        <v>33.554419649232436</v>
      </c>
      <c r="E14" s="177"/>
      <c r="F14" s="177"/>
      <c r="G14" s="177"/>
      <c r="H14" s="177"/>
      <c r="I14" s="177"/>
      <c r="J14" s="177"/>
      <c r="K14" s="177"/>
      <c r="V14" s="181" t="str">
        <f>"MoPs in "&amp;$V$5&amp;" - "&amp;$B$3&amp;" , "&amp;$B$2</f>
        <v>MoPs in Tractability - Strategic Planning , Policy Maker</v>
      </c>
      <c r="AF14" s="181" t="str">
        <f>"MoPs in "&amp;$AF$5&amp;" - "&amp;$B$3&amp;" , "&amp;$B$2</f>
        <v>MoPs in Conceptual Validation - Strategic Planning , Policy Maker</v>
      </c>
    </row>
    <row r="15" spans="1:37" x14ac:dyDescent="0.3">
      <c r="A15" s="181" t="str">
        <f>"MoP Category-wise scores - "&amp;$B$3&amp;" , "&amp;$B$2</f>
        <v>MoP Category-wise scores - Strategic Planning , Policy Maker</v>
      </c>
      <c r="B15" s="180"/>
      <c r="C15" s="180"/>
      <c r="D15" s="180"/>
      <c r="E15" s="177"/>
      <c r="F15" s="177"/>
      <c r="G15" s="177"/>
      <c r="H15" s="177"/>
      <c r="I15" s="177"/>
      <c r="J15" s="177"/>
      <c r="K15" s="177"/>
    </row>
    <row r="16" spans="1:37" x14ac:dyDescent="0.3">
      <c r="C16" s="177"/>
      <c r="D16" s="177"/>
      <c r="E16" s="177"/>
      <c r="F16" s="177"/>
      <c r="G16" s="177"/>
      <c r="H16" s="177"/>
      <c r="I16" s="177"/>
      <c r="J16" s="177"/>
      <c r="K16" s="177"/>
    </row>
    <row r="17" spans="1:16" x14ac:dyDescent="0.3">
      <c r="B17" s="177"/>
      <c r="C17" s="177"/>
      <c r="D17" s="177"/>
      <c r="E17" s="177"/>
      <c r="F17" s="177"/>
      <c r="G17" s="177"/>
      <c r="H17" s="177"/>
      <c r="I17" s="177"/>
      <c r="J17" s="177"/>
      <c r="K17" s="177"/>
    </row>
    <row r="18" spans="1:16" x14ac:dyDescent="0.3">
      <c r="B18" s="177"/>
      <c r="C18" s="177"/>
      <c r="D18" s="177"/>
      <c r="E18" s="177"/>
      <c r="F18" s="177"/>
      <c r="G18" s="177"/>
      <c r="H18" s="177"/>
      <c r="I18" s="177"/>
      <c r="J18" s="177"/>
      <c r="K18" s="177"/>
    </row>
    <row r="19" spans="1:16" x14ac:dyDescent="0.3">
      <c r="B19" s="177"/>
      <c r="C19" s="177"/>
      <c r="D19" s="177"/>
      <c r="E19" s="177"/>
      <c r="F19" s="177"/>
      <c r="G19" s="177"/>
      <c r="H19" s="177"/>
      <c r="I19" s="177"/>
      <c r="J19" s="177"/>
      <c r="K19" s="177"/>
    </row>
    <row r="20" spans="1:16" x14ac:dyDescent="0.3">
      <c r="B20" s="177"/>
      <c r="C20" s="177"/>
      <c r="D20" s="177"/>
      <c r="E20" s="177"/>
      <c r="F20" s="177"/>
      <c r="G20" s="177"/>
      <c r="H20" s="177"/>
      <c r="I20" s="177"/>
      <c r="J20" s="177"/>
      <c r="K20" s="177"/>
    </row>
    <row r="21" spans="1:16" x14ac:dyDescent="0.3">
      <c r="B21" s="177"/>
      <c r="C21" s="177"/>
      <c r="D21" s="177"/>
      <c r="E21" s="177"/>
      <c r="F21" s="177"/>
      <c r="G21" s="177"/>
      <c r="H21" s="177"/>
      <c r="I21" s="177"/>
      <c r="J21" s="177"/>
      <c r="K21" s="177"/>
    </row>
    <row r="22" spans="1:16" x14ac:dyDescent="0.3">
      <c r="B22" s="177"/>
      <c r="C22" s="177"/>
      <c r="D22" s="177"/>
      <c r="E22" s="177"/>
      <c r="F22" s="177"/>
      <c r="G22" s="177"/>
      <c r="H22" s="177"/>
      <c r="I22" s="177"/>
      <c r="J22" s="177"/>
      <c r="K22" s="177"/>
      <c r="L22" s="177"/>
      <c r="M22" s="177"/>
      <c r="N22" s="177"/>
      <c r="O22" s="177"/>
      <c r="P22" s="177"/>
    </row>
    <row r="23" spans="1:16" x14ac:dyDescent="0.3">
      <c r="A23" s="178"/>
      <c r="B23" s="176"/>
      <c r="C23" s="176"/>
      <c r="D23" s="176"/>
      <c r="E23" s="177"/>
      <c r="F23" s="177"/>
      <c r="G23" s="177"/>
      <c r="H23" s="177"/>
      <c r="I23" s="177"/>
      <c r="J23" s="177"/>
      <c r="K23" s="177"/>
      <c r="L23" s="66"/>
      <c r="M23" s="66"/>
      <c r="N23" s="66"/>
      <c r="O23" s="66"/>
      <c r="P23" s="66"/>
    </row>
    <row r="24" spans="1:16" x14ac:dyDescent="0.3">
      <c r="B24" s="177"/>
      <c r="C24" s="177"/>
      <c r="D24" s="177"/>
      <c r="E24" s="177"/>
      <c r="F24" s="177"/>
      <c r="G24" s="177"/>
      <c r="H24" s="177"/>
      <c r="I24" s="177"/>
      <c r="J24" s="177"/>
      <c r="K24" s="177"/>
      <c r="L24" s="177"/>
      <c r="M24" s="177"/>
      <c r="N24" s="177"/>
      <c r="O24" s="177"/>
      <c r="P24" s="177"/>
    </row>
    <row r="25" spans="1:16" x14ac:dyDescent="0.3">
      <c r="B25" s="177"/>
      <c r="C25" s="177"/>
      <c r="D25" s="177"/>
      <c r="E25" s="177"/>
      <c r="F25" s="177"/>
      <c r="G25" s="177"/>
      <c r="H25" s="177"/>
      <c r="I25" s="177"/>
      <c r="J25" s="177"/>
      <c r="K25" s="177"/>
      <c r="L25" s="66"/>
      <c r="M25" s="66"/>
      <c r="N25" s="66"/>
      <c r="O25" s="66"/>
      <c r="P25" s="66"/>
    </row>
    <row r="26" spans="1:16" x14ac:dyDescent="0.3">
      <c r="B26" s="177"/>
      <c r="C26" s="177"/>
      <c r="D26" s="177"/>
      <c r="E26" s="177"/>
      <c r="F26" s="177"/>
      <c r="G26" s="177"/>
      <c r="H26" s="177"/>
      <c r="I26" s="177"/>
      <c r="J26" s="177"/>
      <c r="K26" s="177"/>
      <c r="L26" s="66"/>
      <c r="M26" s="66"/>
      <c r="N26" s="66"/>
      <c r="O26" s="66"/>
      <c r="P26" s="66"/>
    </row>
    <row r="27" spans="1:16" x14ac:dyDescent="0.3">
      <c r="B27" s="177"/>
      <c r="C27" s="177"/>
      <c r="D27" s="177"/>
      <c r="E27" s="177"/>
      <c r="F27" s="177"/>
      <c r="G27" s="177"/>
      <c r="H27" s="177"/>
      <c r="I27" s="177"/>
      <c r="J27" s="177"/>
      <c r="K27" s="177"/>
      <c r="L27" s="66"/>
      <c r="M27" s="66"/>
      <c r="N27" s="66"/>
      <c r="O27" s="66"/>
      <c r="P27" s="66"/>
    </row>
    <row r="28" spans="1:16" x14ac:dyDescent="0.3">
      <c r="L28" s="66"/>
      <c r="M28" s="66"/>
      <c r="N28" s="66"/>
      <c r="O28" s="66"/>
      <c r="P28" s="66"/>
    </row>
    <row r="29" spans="1:16" x14ac:dyDescent="0.3">
      <c r="L29" s="66"/>
      <c r="M29" s="66"/>
      <c r="N29" s="66"/>
      <c r="O29" s="66"/>
      <c r="P29" s="66"/>
    </row>
    <row r="30" spans="1:16" x14ac:dyDescent="0.3">
      <c r="L30" s="66"/>
      <c r="M30" s="66"/>
      <c r="N30" s="66"/>
      <c r="O30" s="66"/>
      <c r="P30" s="66"/>
    </row>
    <row r="31" spans="1:16" x14ac:dyDescent="0.3">
      <c r="L31" s="66"/>
      <c r="M31" s="66"/>
      <c r="N31" s="66"/>
      <c r="O31" s="66"/>
      <c r="P31" s="66"/>
    </row>
    <row r="32" spans="1:16" x14ac:dyDescent="0.3">
      <c r="L32" s="66"/>
      <c r="M32" s="66"/>
      <c r="N32" s="66"/>
      <c r="O32" s="66"/>
      <c r="P32" s="66"/>
    </row>
    <row r="37" spans="1:3" x14ac:dyDescent="0.3">
      <c r="C37" s="182"/>
    </row>
    <row r="38" spans="1:3" x14ac:dyDescent="0.3">
      <c r="C38" s="182"/>
    </row>
    <row r="39" spans="1:3" x14ac:dyDescent="0.3">
      <c r="C39" s="182"/>
    </row>
    <row r="40" spans="1:3" x14ac:dyDescent="0.3">
      <c r="A40" s="181" t="str">
        <f>"Final Scores - "&amp;$B$3&amp;" , "&amp;$B$2</f>
        <v>Final Scores - Strategic Planning , Policy Maker</v>
      </c>
    </row>
  </sheetData>
  <mergeCells count="2">
    <mergeCell ref="B2:C2"/>
    <mergeCell ref="B3:C3"/>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9C1B9B8-42FB-4F2B-A4A9-CC94597BBBF3}">
          <x14:formula1>
            <xm:f>Info!$B$10:$B$13</xm:f>
          </x14:formula1>
          <xm:sqref>B2</xm:sqref>
        </x14:dataValidation>
        <x14:dataValidation type="list" allowBlank="1" showInputMessage="1" showErrorMessage="1" xr:uid="{2630FD4B-FD79-4814-BE3D-C3049BADCE90}">
          <x14:formula1>
            <xm:f>Info!$B$3:$B$5</xm:f>
          </x14:formula1>
          <xm:sqref>B3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4C154-92F3-46E2-BA4F-6B519F1E63FC}">
  <sheetPr>
    <tabColor rgb="FFFFC000"/>
  </sheetPr>
  <dimension ref="A1:AE55"/>
  <sheetViews>
    <sheetView topLeftCell="E44" zoomScale="85" zoomScaleNormal="85" workbookViewId="0">
      <selection activeCell="M45" sqref="M45"/>
    </sheetView>
  </sheetViews>
  <sheetFormatPr defaultColWidth="8.88671875" defaultRowHeight="14.4" x14ac:dyDescent="0.3"/>
  <cols>
    <col min="1" max="1" width="8.88671875" style="11"/>
    <col min="2" max="2" width="18.109375" style="11" bestFit="1" customWidth="1"/>
    <col min="3" max="3" width="23.88671875" style="11" bestFit="1" customWidth="1"/>
    <col min="4" max="4" width="20.109375" style="11" bestFit="1" customWidth="1"/>
    <col min="5" max="5" width="18.109375" style="11" bestFit="1" customWidth="1"/>
    <col min="6" max="6" width="15.109375" style="11" bestFit="1" customWidth="1"/>
    <col min="7" max="7" width="22.33203125" style="11" bestFit="1" customWidth="1"/>
    <col min="8" max="8" width="16.44140625" style="11" bestFit="1" customWidth="1"/>
    <col min="9" max="9" width="19.33203125" style="11" bestFit="1" customWidth="1"/>
    <col min="10" max="10" width="18" style="11" bestFit="1" customWidth="1"/>
    <col min="11" max="11" width="18.44140625" style="11" bestFit="1" customWidth="1"/>
    <col min="12" max="12" width="10.6640625" style="11" bestFit="1" customWidth="1"/>
    <col min="13" max="13" width="16.33203125" style="11" bestFit="1" customWidth="1"/>
    <col min="14" max="14" width="15.33203125" style="11" bestFit="1" customWidth="1"/>
    <col min="15" max="15" width="17.6640625" style="11" bestFit="1" customWidth="1"/>
    <col min="16" max="16" width="18.109375" style="11" bestFit="1" customWidth="1"/>
    <col min="17" max="17" width="11.44140625" style="11" bestFit="1" customWidth="1"/>
    <col min="18" max="18" width="17" style="11" bestFit="1" customWidth="1"/>
    <col min="19" max="19" width="18.109375" style="11" bestFit="1" customWidth="1"/>
    <col min="20" max="20" width="15.109375" style="11" bestFit="1" customWidth="1"/>
    <col min="21" max="21" width="12" style="11" bestFit="1" customWidth="1"/>
    <col min="22" max="22" width="11.44140625" style="11" bestFit="1" customWidth="1"/>
    <col min="23" max="23" width="17" style="11" bestFit="1" customWidth="1"/>
    <col min="24" max="24" width="18.109375" style="11" bestFit="1" customWidth="1"/>
    <col min="25" max="25" width="15.109375" style="11" bestFit="1" customWidth="1"/>
    <col min="26" max="16384" width="8.88671875" style="11"/>
  </cols>
  <sheetData>
    <row r="1" spans="1:26" x14ac:dyDescent="0.3">
      <c r="A1" s="119" t="s">
        <v>95</v>
      </c>
      <c r="B1" s="119" t="s">
        <v>96</v>
      </c>
      <c r="C1" s="38" t="s">
        <v>97</v>
      </c>
      <c r="D1" s="38" t="s">
        <v>2</v>
      </c>
      <c r="E1" s="38" t="s">
        <v>98</v>
      </c>
      <c r="F1" s="2"/>
      <c r="G1"/>
      <c r="H1"/>
      <c r="I1"/>
      <c r="J1"/>
      <c r="K1"/>
      <c r="L1"/>
      <c r="M1"/>
      <c r="N1"/>
      <c r="O1"/>
      <c r="P1"/>
      <c r="Q1"/>
      <c r="R1"/>
      <c r="S1"/>
      <c r="T1"/>
      <c r="U1"/>
      <c r="V1"/>
      <c r="W1"/>
      <c r="X1"/>
    </row>
    <row r="2" spans="1:26" x14ac:dyDescent="0.3">
      <c r="A2" s="70">
        <v>1</v>
      </c>
      <c r="B2" s="70" t="s">
        <v>45</v>
      </c>
      <c r="C2" s="5" t="s">
        <v>8</v>
      </c>
      <c r="D2" s="70" t="s">
        <v>5</v>
      </c>
      <c r="E2" s="189">
        <v>37.250711591964709</v>
      </c>
      <c r="G2"/>
      <c r="H2"/>
      <c r="I2"/>
      <c r="J2"/>
      <c r="K2"/>
      <c r="L2"/>
      <c r="M2"/>
      <c r="N2"/>
      <c r="O2" s="202" t="s">
        <v>96</v>
      </c>
      <c r="P2" s="202" t="s">
        <v>2</v>
      </c>
      <c r="Q2" s="205" t="s">
        <v>7</v>
      </c>
      <c r="R2" s="202" t="s">
        <v>8</v>
      </c>
      <c r="S2" s="202" t="s">
        <v>9</v>
      </c>
      <c r="T2" s="202" t="s">
        <v>10</v>
      </c>
      <c r="U2"/>
      <c r="V2" s="202" t="s">
        <v>7</v>
      </c>
      <c r="W2" s="202" t="s">
        <v>8</v>
      </c>
      <c r="X2" s="202" t="s">
        <v>9</v>
      </c>
      <c r="Y2" s="202" t="s">
        <v>10</v>
      </c>
    </row>
    <row r="3" spans="1:26" x14ac:dyDescent="0.3">
      <c r="A3" s="70">
        <f t="shared" ref="A3:A37" si="0">A2+1</f>
        <v>2</v>
      </c>
      <c r="B3" s="70" t="s">
        <v>47</v>
      </c>
      <c r="C3" s="5" t="s">
        <v>8</v>
      </c>
      <c r="D3" s="70" t="s">
        <v>5</v>
      </c>
      <c r="E3" s="189">
        <v>34.294190137643632</v>
      </c>
      <c r="G3" s="190" t="s">
        <v>99</v>
      </c>
      <c r="H3" s="190" t="s">
        <v>100</v>
      </c>
      <c r="I3"/>
      <c r="J3"/>
      <c r="K3"/>
      <c r="L3"/>
      <c r="M3"/>
      <c r="N3"/>
      <c r="O3" s="70" t="s">
        <v>47</v>
      </c>
      <c r="P3" s="5" t="s">
        <v>3</v>
      </c>
      <c r="Q3" s="204">
        <f t="shared" ref="Q3:T5" si="1">SUMIFS($E$2:$E$37,$B$2:$B$37,$O3,$C$2:$C$37,Q$2,$D$2:$D$37,$P3)</f>
        <v>33.554419649232436</v>
      </c>
      <c r="R3" s="204">
        <f t="shared" si="1"/>
        <v>33.690127911660724</v>
      </c>
      <c r="S3" s="204">
        <f t="shared" si="1"/>
        <v>33.525581323384515</v>
      </c>
      <c r="T3" s="204">
        <f t="shared" si="1"/>
        <v>33.461013759386802</v>
      </c>
      <c r="U3"/>
      <c r="V3" s="209">
        <f>(Q3-Q3)/Q3</f>
        <v>0</v>
      </c>
      <c r="W3" s="209">
        <f>(R3-Q3)/Q3</f>
        <v>4.044422876239271E-3</v>
      </c>
      <c r="X3" s="209">
        <f>(S3-Q3)/Q3</f>
        <v>-8.5944940038863509E-4</v>
      </c>
      <c r="Y3" s="209">
        <f>(T3-Q3)/Q3</f>
        <v>-2.783713466722734E-3</v>
      </c>
      <c r="Z3" s="203"/>
    </row>
    <row r="4" spans="1:26" x14ac:dyDescent="0.3">
      <c r="A4" s="70">
        <f t="shared" si="0"/>
        <v>3</v>
      </c>
      <c r="B4" s="70" t="s">
        <v>46</v>
      </c>
      <c r="C4" s="5" t="s">
        <v>8</v>
      </c>
      <c r="D4" s="70" t="s">
        <v>5</v>
      </c>
      <c r="E4" s="189">
        <v>36.629688136245413</v>
      </c>
      <c r="G4" s="190" t="s">
        <v>101</v>
      </c>
      <c r="H4" t="s">
        <v>45</v>
      </c>
      <c r="I4" t="s">
        <v>46</v>
      </c>
      <c r="J4" t="s">
        <v>47</v>
      </c>
      <c r="K4"/>
      <c r="L4"/>
      <c r="M4"/>
      <c r="N4"/>
      <c r="O4" s="70" t="s">
        <v>47</v>
      </c>
      <c r="P4" s="5" t="s">
        <v>4</v>
      </c>
      <c r="Q4" s="204">
        <f t="shared" si="1"/>
        <v>33.492005434960895</v>
      </c>
      <c r="R4" s="204">
        <f t="shared" si="1"/>
        <v>35.554351396866778</v>
      </c>
      <c r="S4" s="204">
        <f t="shared" si="1"/>
        <v>29.965598570689131</v>
      </c>
      <c r="T4" s="204">
        <f t="shared" si="1"/>
        <v>34.197401524423427</v>
      </c>
      <c r="U4"/>
      <c r="V4" s="209">
        <f>(Q4-Q4)/Q4</f>
        <v>0</v>
      </c>
      <c r="W4" s="209">
        <f>(R4-Q4)/Q4</f>
        <v>6.1577261054457114E-2</v>
      </c>
      <c r="X4" s="209">
        <f>(S4-Q4)/Q4</f>
        <v>-0.10529100358352073</v>
      </c>
      <c r="Y4" s="209">
        <f>(T4-Q4)/Q4</f>
        <v>2.1061625910468732E-2</v>
      </c>
    </row>
    <row r="5" spans="1:26" x14ac:dyDescent="0.3">
      <c r="A5" s="70">
        <f t="shared" si="0"/>
        <v>4</v>
      </c>
      <c r="B5" s="70" t="s">
        <v>45</v>
      </c>
      <c r="C5" s="5" t="s">
        <v>10</v>
      </c>
      <c r="D5" s="70" t="s">
        <v>5</v>
      </c>
      <c r="E5" s="189">
        <v>35.944145340813179</v>
      </c>
      <c r="G5" s="191" t="s">
        <v>3</v>
      </c>
      <c r="H5" s="195"/>
      <c r="I5" s="195"/>
      <c r="J5" s="195"/>
      <c r="K5"/>
      <c r="L5"/>
      <c r="M5"/>
      <c r="N5"/>
      <c r="O5" s="70" t="s">
        <v>47</v>
      </c>
      <c r="P5" s="5" t="s">
        <v>5</v>
      </c>
      <c r="Q5" s="204">
        <f t="shared" si="1"/>
        <v>31.721584501278191</v>
      </c>
      <c r="R5" s="204">
        <f t="shared" si="1"/>
        <v>34.294190137643632</v>
      </c>
      <c r="S5" s="204">
        <f t="shared" si="1"/>
        <v>28.271615965497645</v>
      </c>
      <c r="T5" s="204">
        <f t="shared" si="1"/>
        <v>32.64655532707836</v>
      </c>
      <c r="U5"/>
      <c r="V5" s="209">
        <f>(Q5-Q5)/Q5</f>
        <v>0</v>
      </c>
      <c r="W5" s="209">
        <f>(R5-Q5)/Q5</f>
        <v>8.1099531338410316E-2</v>
      </c>
      <c r="X5" s="209">
        <f>(S5-Q5)/Q5</f>
        <v>-0.10875776194728017</v>
      </c>
      <c r="Y5" s="209">
        <f>(T5-Q5)/Q5</f>
        <v>2.9159036042569024E-2</v>
      </c>
    </row>
    <row r="6" spans="1:26" x14ac:dyDescent="0.3">
      <c r="A6" s="70">
        <f t="shared" si="0"/>
        <v>5</v>
      </c>
      <c r="B6" s="70" t="s">
        <v>47</v>
      </c>
      <c r="C6" s="5" t="s">
        <v>10</v>
      </c>
      <c r="D6" s="70" t="s">
        <v>5</v>
      </c>
      <c r="E6" s="189">
        <v>32.64655532707836</v>
      </c>
      <c r="G6" s="201" t="s">
        <v>7</v>
      </c>
      <c r="H6" s="195">
        <v>34.717576913342569</v>
      </c>
      <c r="I6" s="195">
        <v>31.290579866349532</v>
      </c>
      <c r="J6" s="195">
        <v>33.554419649232436</v>
      </c>
      <c r="K6"/>
      <c r="L6"/>
      <c r="M6"/>
      <c r="N6"/>
      <c r="O6"/>
      <c r="P6"/>
      <c r="Q6" s="203"/>
      <c r="R6" s="203"/>
      <c r="S6" s="203"/>
      <c r="T6" s="203"/>
      <c r="U6"/>
      <c r="V6"/>
      <c r="W6"/>
      <c r="X6"/>
    </row>
    <row r="7" spans="1:26" x14ac:dyDescent="0.3">
      <c r="A7" s="70">
        <f t="shared" si="0"/>
        <v>6</v>
      </c>
      <c r="B7" s="70" t="s">
        <v>46</v>
      </c>
      <c r="C7" s="5" t="s">
        <v>10</v>
      </c>
      <c r="D7" s="70" t="s">
        <v>5</v>
      </c>
      <c r="E7" s="189">
        <v>35.508624944430203</v>
      </c>
      <c r="G7" s="201" t="s">
        <v>8</v>
      </c>
      <c r="H7" s="195">
        <v>35.34473089999549</v>
      </c>
      <c r="I7" s="195">
        <v>32.186585945051583</v>
      </c>
      <c r="J7" s="195">
        <v>33.690127911660724</v>
      </c>
      <c r="K7"/>
      <c r="L7"/>
      <c r="M7"/>
      <c r="N7"/>
      <c r="O7" s="202" t="s">
        <v>96</v>
      </c>
      <c r="P7" s="202" t="s">
        <v>2</v>
      </c>
      <c r="Q7" s="205" t="s">
        <v>7</v>
      </c>
      <c r="R7" s="204" t="s">
        <v>8</v>
      </c>
      <c r="S7" s="204" t="s">
        <v>9</v>
      </c>
      <c r="T7" s="204" t="s">
        <v>10</v>
      </c>
      <c r="U7"/>
      <c r="V7" s="202" t="s">
        <v>7</v>
      </c>
      <c r="W7" s="202" t="s">
        <v>8</v>
      </c>
      <c r="X7" s="202" t="s">
        <v>9</v>
      </c>
      <c r="Y7" s="202" t="s">
        <v>10</v>
      </c>
    </row>
    <row r="8" spans="1:26" x14ac:dyDescent="0.3">
      <c r="A8" s="70">
        <f t="shared" si="0"/>
        <v>7</v>
      </c>
      <c r="B8" s="70" t="s">
        <v>45</v>
      </c>
      <c r="C8" s="5" t="s">
        <v>7</v>
      </c>
      <c r="D8" s="70" t="s">
        <v>5</v>
      </c>
      <c r="E8" s="189">
        <v>34.343672254870633</v>
      </c>
      <c r="G8" s="201" t="s">
        <v>9</v>
      </c>
      <c r="H8" s="195">
        <v>36.020633087090388</v>
      </c>
      <c r="I8" s="195">
        <v>30.941428320049102</v>
      </c>
      <c r="J8" s="195">
        <v>33.525581323384515</v>
      </c>
      <c r="L8"/>
      <c r="O8" s="70" t="s">
        <v>46</v>
      </c>
      <c r="P8" s="5" t="s">
        <v>3</v>
      </c>
      <c r="Q8" s="204">
        <f t="shared" ref="Q8:T10" si="2">SUMIFS($E$2:$E$37,$B$2:$B$37,$O8,$C$2:$C$37,Q$7,$D$2:$D$37,$P8)</f>
        <v>31.290579866349532</v>
      </c>
      <c r="R8" s="204">
        <f t="shared" si="2"/>
        <v>32.186585945051583</v>
      </c>
      <c r="S8" s="204">
        <f t="shared" si="2"/>
        <v>30.941428320049102</v>
      </c>
      <c r="T8" s="204">
        <f t="shared" si="2"/>
        <v>32.208917382786055</v>
      </c>
      <c r="U8"/>
      <c r="V8" s="209">
        <f>(Q8-Q8)/Q8</f>
        <v>0</v>
      </c>
      <c r="W8" s="209">
        <f>(R8-Q8)/Q8</f>
        <v>2.8635010361876753E-2</v>
      </c>
      <c r="X8" s="209">
        <f>(S8-Q8)/Q8</f>
        <v>-1.1158359729725361E-2</v>
      </c>
      <c r="Y8" s="209">
        <f>(T8-Q8)/Q8</f>
        <v>2.9348689617098474E-2</v>
      </c>
    </row>
    <row r="9" spans="1:26" x14ac:dyDescent="0.3">
      <c r="A9" s="70">
        <f t="shared" si="0"/>
        <v>8</v>
      </c>
      <c r="B9" s="70" t="s">
        <v>47</v>
      </c>
      <c r="C9" s="5" t="s">
        <v>7</v>
      </c>
      <c r="D9" s="70" t="s">
        <v>5</v>
      </c>
      <c r="E9" s="189">
        <v>31.721584501278191</v>
      </c>
      <c r="G9" s="201" t="s">
        <v>10</v>
      </c>
      <c r="H9" s="195">
        <v>35.895693392587276</v>
      </c>
      <c r="I9" s="195">
        <v>32.208917382786055</v>
      </c>
      <c r="J9" s="195">
        <v>33.461013759386802</v>
      </c>
      <c r="K9"/>
      <c r="L9"/>
      <c r="O9" s="70" t="s">
        <v>46</v>
      </c>
      <c r="P9" s="5" t="s">
        <v>4</v>
      </c>
      <c r="Q9" s="204">
        <f t="shared" si="2"/>
        <v>33.287284585311262</v>
      </c>
      <c r="R9" s="204">
        <f t="shared" si="2"/>
        <v>36.064009951228591</v>
      </c>
      <c r="S9" s="204">
        <f t="shared" si="2"/>
        <v>32.298310412072446</v>
      </c>
      <c r="T9" s="204">
        <f t="shared" si="2"/>
        <v>34.085619237445911</v>
      </c>
      <c r="V9" s="209">
        <f>(Q9-Q9)/Q9</f>
        <v>0</v>
      </c>
      <c r="W9" s="209">
        <f>(R9-Q9)/Q9</f>
        <v>8.3416998427760597E-2</v>
      </c>
      <c r="X9" s="209">
        <f>(S9-Q9)/Q9</f>
        <v>-2.9710268817638021E-2</v>
      </c>
      <c r="Y9" s="209">
        <f>(T9-Q9)/Q9</f>
        <v>2.3983171414556644E-2</v>
      </c>
    </row>
    <row r="10" spans="1:26" x14ac:dyDescent="0.3">
      <c r="A10" s="70">
        <f t="shared" si="0"/>
        <v>9</v>
      </c>
      <c r="B10" s="70" t="s">
        <v>46</v>
      </c>
      <c r="C10" s="5" t="s">
        <v>7</v>
      </c>
      <c r="D10" s="70" t="s">
        <v>5</v>
      </c>
      <c r="E10" s="189">
        <v>32.581626537474172</v>
      </c>
      <c r="G10" s="191" t="s">
        <v>4</v>
      </c>
      <c r="H10" s="195"/>
      <c r="I10" s="195"/>
      <c r="J10" s="195"/>
      <c r="K10"/>
      <c r="L10"/>
      <c r="O10" s="70" t="s">
        <v>46</v>
      </c>
      <c r="P10" s="5" t="s">
        <v>5</v>
      </c>
      <c r="Q10" s="204">
        <f t="shared" si="2"/>
        <v>32.581626537474172</v>
      </c>
      <c r="R10" s="204">
        <f t="shared" si="2"/>
        <v>36.629688136245413</v>
      </c>
      <c r="S10" s="204">
        <f t="shared" si="2"/>
        <v>31.989382126166316</v>
      </c>
      <c r="T10" s="204">
        <f t="shared" si="2"/>
        <v>35.508624944430203</v>
      </c>
      <c r="V10" s="209">
        <f>(Q10-Q10)/Q10</f>
        <v>0</v>
      </c>
      <c r="W10" s="209">
        <f>(R10-Q10)/Q10</f>
        <v>0.1242436928099741</v>
      </c>
      <c r="X10" s="209">
        <f>(S10-Q10)/Q10</f>
        <v>-1.8177251237800507E-2</v>
      </c>
      <c r="Y10" s="209">
        <f>(T10-Q10)/Q10</f>
        <v>8.9835858979891825E-2</v>
      </c>
    </row>
    <row r="11" spans="1:26" x14ac:dyDescent="0.3">
      <c r="A11" s="70">
        <f t="shared" si="0"/>
        <v>10</v>
      </c>
      <c r="B11" s="70" t="s">
        <v>45</v>
      </c>
      <c r="C11" s="5" t="s">
        <v>9</v>
      </c>
      <c r="D11" s="70" t="s">
        <v>5</v>
      </c>
      <c r="E11" s="189">
        <v>32.04420822618922</v>
      </c>
      <c r="G11" s="201" t="s">
        <v>7</v>
      </c>
      <c r="H11" s="195">
        <v>35.094381609870183</v>
      </c>
      <c r="I11" s="195">
        <v>33.287284585311262</v>
      </c>
      <c r="J11" s="195">
        <v>33.492005434960895</v>
      </c>
      <c r="K11"/>
      <c r="L11"/>
      <c r="O11"/>
      <c r="P11"/>
      <c r="Q11" s="203"/>
      <c r="R11" s="203"/>
      <c r="S11" s="203"/>
      <c r="T11" s="203"/>
    </row>
    <row r="12" spans="1:26" x14ac:dyDescent="0.3">
      <c r="A12" s="70">
        <f t="shared" si="0"/>
        <v>11</v>
      </c>
      <c r="B12" s="70" t="s">
        <v>47</v>
      </c>
      <c r="C12" s="5" t="s">
        <v>9</v>
      </c>
      <c r="D12" s="70" t="s">
        <v>5</v>
      </c>
      <c r="E12" s="189">
        <v>28.271615965497645</v>
      </c>
      <c r="G12" s="201" t="s">
        <v>8</v>
      </c>
      <c r="H12" s="195">
        <v>37.787191673113362</v>
      </c>
      <c r="I12" s="195">
        <v>36.064009951228591</v>
      </c>
      <c r="J12" s="195">
        <v>35.554351396866778</v>
      </c>
      <c r="K12"/>
      <c r="L12"/>
      <c r="O12" s="202" t="s">
        <v>96</v>
      </c>
      <c r="P12" s="202" t="s">
        <v>2</v>
      </c>
      <c r="Q12" s="205" t="s">
        <v>7</v>
      </c>
      <c r="R12" s="204" t="s">
        <v>8</v>
      </c>
      <c r="S12" s="204" t="s">
        <v>9</v>
      </c>
      <c r="T12" s="204" t="s">
        <v>10</v>
      </c>
      <c r="V12" s="202" t="s">
        <v>7</v>
      </c>
      <c r="W12" s="202" t="s">
        <v>8</v>
      </c>
      <c r="X12" s="202" t="s">
        <v>9</v>
      </c>
      <c r="Y12" s="202" t="s">
        <v>10</v>
      </c>
    </row>
    <row r="13" spans="1:26" x14ac:dyDescent="0.3">
      <c r="A13" s="70">
        <f t="shared" si="0"/>
        <v>12</v>
      </c>
      <c r="B13" s="70" t="s">
        <v>46</v>
      </c>
      <c r="C13" s="5" t="s">
        <v>9</v>
      </c>
      <c r="D13" s="70" t="s">
        <v>5</v>
      </c>
      <c r="E13" s="189">
        <v>31.989382126166316</v>
      </c>
      <c r="G13" s="201" t="s">
        <v>9</v>
      </c>
      <c r="H13" s="195">
        <v>32.511329086374687</v>
      </c>
      <c r="I13" s="195">
        <v>32.298310412072446</v>
      </c>
      <c r="J13" s="195">
        <v>29.965598570689131</v>
      </c>
      <c r="K13"/>
      <c r="L13"/>
      <c r="O13" s="70" t="s">
        <v>45</v>
      </c>
      <c r="P13" s="5" t="s">
        <v>3</v>
      </c>
      <c r="Q13" s="204">
        <f t="shared" ref="Q13:T15" si="3">SUMIFS($E$2:$E$37,$B$2:$B$37,$O13,$C$2:$C$37,Q$12,$D$2:$D$37,$P13)</f>
        <v>34.717576913342569</v>
      </c>
      <c r="R13" s="204">
        <f t="shared" si="3"/>
        <v>35.34473089999549</v>
      </c>
      <c r="S13" s="204">
        <f t="shared" si="3"/>
        <v>36.020633087090388</v>
      </c>
      <c r="T13" s="204">
        <f t="shared" si="3"/>
        <v>35.895693392587276</v>
      </c>
      <c r="V13" s="209">
        <f>(Q13-Q13)/Q13</f>
        <v>0</v>
      </c>
      <c r="W13" s="209">
        <f>(R13-Q13)/Q13</f>
        <v>1.8064451566373423E-2</v>
      </c>
      <c r="X13" s="209">
        <f>(S13-Q13)/Q13</f>
        <v>3.7533039157667487E-2</v>
      </c>
      <c r="Y13" s="209">
        <f>(T13-Q13)/Q13</f>
        <v>3.393429449829883E-2</v>
      </c>
    </row>
    <row r="14" spans="1:26" x14ac:dyDescent="0.3">
      <c r="A14" s="70">
        <f t="shared" si="0"/>
        <v>13</v>
      </c>
      <c r="B14" s="70" t="s">
        <v>45</v>
      </c>
      <c r="C14" s="5" t="s">
        <v>8</v>
      </c>
      <c r="D14" s="70" t="s">
        <v>3</v>
      </c>
      <c r="E14" s="189">
        <v>35.34473089999549</v>
      </c>
      <c r="G14" s="201" t="s">
        <v>10</v>
      </c>
      <c r="H14" s="195">
        <v>36.929435775725452</v>
      </c>
      <c r="I14" s="195">
        <v>34.085619237445911</v>
      </c>
      <c r="J14" s="195">
        <v>34.197401524423427</v>
      </c>
      <c r="K14"/>
      <c r="L14"/>
      <c r="O14" s="70" t="s">
        <v>45</v>
      </c>
      <c r="P14" s="5" t="s">
        <v>4</v>
      </c>
      <c r="Q14" s="204">
        <f t="shared" si="3"/>
        <v>35.094381609870183</v>
      </c>
      <c r="R14" s="204">
        <f t="shared" si="3"/>
        <v>37.787191673113362</v>
      </c>
      <c r="S14" s="204">
        <f t="shared" si="3"/>
        <v>32.511329086374687</v>
      </c>
      <c r="T14" s="204">
        <f t="shared" si="3"/>
        <v>36.929435775725452</v>
      </c>
      <c r="V14" s="209">
        <f>(Q14-Q14)/Q14</f>
        <v>0</v>
      </c>
      <c r="W14" s="209">
        <f>(R14-Q14)/Q14</f>
        <v>7.6730517527792405E-2</v>
      </c>
      <c r="X14" s="209">
        <f>(S14-Q14)/Q14</f>
        <v>-7.3603021481051564E-2</v>
      </c>
      <c r="Y14" s="209">
        <f>(T14-Q14)/Q14</f>
        <v>5.2289115285027998E-2</v>
      </c>
    </row>
    <row r="15" spans="1:26" x14ac:dyDescent="0.3">
      <c r="A15" s="70">
        <f t="shared" si="0"/>
        <v>14</v>
      </c>
      <c r="B15" s="70" t="s">
        <v>47</v>
      </c>
      <c r="C15" s="5" t="s">
        <v>8</v>
      </c>
      <c r="D15" s="70" t="s">
        <v>3</v>
      </c>
      <c r="E15" s="189">
        <v>33.690127911660724</v>
      </c>
      <c r="G15" s="191" t="s">
        <v>5</v>
      </c>
      <c r="H15" s="195"/>
      <c r="I15" s="195"/>
      <c r="J15" s="195"/>
      <c r="K15"/>
      <c r="L15"/>
      <c r="O15" s="70" t="s">
        <v>45</v>
      </c>
      <c r="P15" s="5" t="s">
        <v>5</v>
      </c>
      <c r="Q15" s="204">
        <f t="shared" si="3"/>
        <v>34.343672254870633</v>
      </c>
      <c r="R15" s="204">
        <f t="shared" si="3"/>
        <v>37.250711591964709</v>
      </c>
      <c r="S15" s="204">
        <f t="shared" si="3"/>
        <v>32.04420822618922</v>
      </c>
      <c r="T15" s="204">
        <f t="shared" si="3"/>
        <v>35.944145340813179</v>
      </c>
      <c r="V15" s="209">
        <f>(Q15-Q15)/Q15</f>
        <v>0</v>
      </c>
      <c r="W15" s="209">
        <f>(R15-Q15)/Q15</f>
        <v>8.4645559028178732E-2</v>
      </c>
      <c r="X15" s="209">
        <f>(S15-Q15)/Q15</f>
        <v>-6.6954518189454901E-2</v>
      </c>
      <c r="Y15" s="209">
        <f>(T15-Q15)/Q15</f>
        <v>4.6601687614100926E-2</v>
      </c>
    </row>
    <row r="16" spans="1:26" x14ac:dyDescent="0.3">
      <c r="A16" s="70">
        <f t="shared" si="0"/>
        <v>15</v>
      </c>
      <c r="B16" s="70" t="s">
        <v>46</v>
      </c>
      <c r="C16" s="5" t="s">
        <v>8</v>
      </c>
      <c r="D16" s="70" t="s">
        <v>3</v>
      </c>
      <c r="E16" s="189">
        <v>32.186585945051583</v>
      </c>
      <c r="G16" s="201" t="s">
        <v>7</v>
      </c>
      <c r="H16" s="195">
        <v>34.343672254870633</v>
      </c>
      <c r="I16" s="195">
        <v>32.581626537474172</v>
      </c>
      <c r="J16" s="195">
        <v>31.721584501278191</v>
      </c>
      <c r="O16"/>
      <c r="P16"/>
      <c r="Q16"/>
    </row>
    <row r="17" spans="1:31" x14ac:dyDescent="0.3">
      <c r="A17" s="70">
        <f t="shared" si="0"/>
        <v>16</v>
      </c>
      <c r="B17" s="70" t="s">
        <v>45</v>
      </c>
      <c r="C17" s="5" t="s">
        <v>10</v>
      </c>
      <c r="D17" s="70" t="s">
        <v>3</v>
      </c>
      <c r="E17" s="189">
        <v>35.895693392587276</v>
      </c>
      <c r="G17" s="201" t="s">
        <v>8</v>
      </c>
      <c r="H17" s="195">
        <v>37.250711591964709</v>
      </c>
      <c r="I17" s="195">
        <v>36.629688136245413</v>
      </c>
      <c r="J17" s="195">
        <v>34.294190137643632</v>
      </c>
      <c r="O17" s="181" t="str">
        <f>"Sensitivity - "&amp;O3&amp;" , "&amp;"Base Case - Policy Maker"</f>
        <v>Sensitivity - StreamLine-eGLTM , Base Case - Policy Maker</v>
      </c>
      <c r="P17"/>
      <c r="Q17"/>
      <c r="V17" s="181" t="str">
        <f>"Sensitivity - "&amp;O8&amp;" , "&amp;"Base Case - Policy Maker"</f>
        <v>Sensitivity - StreamLine-MaDAM , Base Case - Policy Maker</v>
      </c>
      <c r="AE17" s="181" t="str">
        <f>"Sensitivity - "&amp;O13&amp;" , "&amp;"Base Case - Policy Maker"</f>
        <v>Sensitivity - MARPLE , Base Case - Policy Maker</v>
      </c>
    </row>
    <row r="18" spans="1:31" x14ac:dyDescent="0.3">
      <c r="A18" s="70">
        <f t="shared" si="0"/>
        <v>17</v>
      </c>
      <c r="B18" s="70" t="s">
        <v>47</v>
      </c>
      <c r="C18" s="5" t="s">
        <v>10</v>
      </c>
      <c r="D18" s="70" t="s">
        <v>3</v>
      </c>
      <c r="E18" s="189">
        <v>33.461013759386802</v>
      </c>
      <c r="G18" s="201" t="s">
        <v>9</v>
      </c>
      <c r="H18" s="195">
        <v>32.04420822618922</v>
      </c>
      <c r="I18" s="195">
        <v>31.989382126166316</v>
      </c>
      <c r="J18" s="195">
        <v>28.271615965497645</v>
      </c>
      <c r="O18"/>
      <c r="P18"/>
      <c r="Q18"/>
    </row>
    <row r="19" spans="1:31" x14ac:dyDescent="0.3">
      <c r="A19" s="70">
        <f t="shared" si="0"/>
        <v>18</v>
      </c>
      <c r="B19" s="70" t="s">
        <v>46</v>
      </c>
      <c r="C19" s="5" t="s">
        <v>10</v>
      </c>
      <c r="D19" s="70" t="s">
        <v>3</v>
      </c>
      <c r="E19" s="189">
        <v>32.208917382786055</v>
      </c>
      <c r="G19" s="201" t="s">
        <v>10</v>
      </c>
      <c r="H19" s="195">
        <v>35.944145340813179</v>
      </c>
      <c r="I19" s="195">
        <v>35.508624944430203</v>
      </c>
      <c r="J19" s="195">
        <v>32.64655532707836</v>
      </c>
      <c r="O19"/>
      <c r="P19"/>
      <c r="Q19"/>
    </row>
    <row r="20" spans="1:31" x14ac:dyDescent="0.3">
      <c r="A20" s="70">
        <f t="shared" si="0"/>
        <v>19</v>
      </c>
      <c r="B20" s="70" t="s">
        <v>45</v>
      </c>
      <c r="C20" s="5" t="s">
        <v>7</v>
      </c>
      <c r="D20" s="70" t="s">
        <v>3</v>
      </c>
      <c r="E20" s="189">
        <v>34.717576913342569</v>
      </c>
      <c r="G20"/>
      <c r="H20"/>
      <c r="I20"/>
      <c r="J20"/>
    </row>
    <row r="21" spans="1:31" x14ac:dyDescent="0.3">
      <c r="A21" s="70">
        <f t="shared" si="0"/>
        <v>20</v>
      </c>
      <c r="B21" s="70" t="s">
        <v>47</v>
      </c>
      <c r="C21" s="5" t="s">
        <v>7</v>
      </c>
      <c r="D21" s="70" t="s">
        <v>3</v>
      </c>
      <c r="E21" s="189">
        <v>33.554419649232436</v>
      </c>
    </row>
    <row r="22" spans="1:31" x14ac:dyDescent="0.3">
      <c r="A22" s="70">
        <f t="shared" si="0"/>
        <v>21</v>
      </c>
      <c r="B22" s="70" t="s">
        <v>46</v>
      </c>
      <c r="C22" s="5" t="s">
        <v>7</v>
      </c>
      <c r="D22" s="70" t="s">
        <v>3</v>
      </c>
      <c r="E22" s="189">
        <v>31.290579866349532</v>
      </c>
    </row>
    <row r="23" spans="1:31" x14ac:dyDescent="0.3">
      <c r="A23" s="70">
        <f t="shared" si="0"/>
        <v>22</v>
      </c>
      <c r="B23" s="70" t="s">
        <v>45</v>
      </c>
      <c r="C23" s="5" t="s">
        <v>9</v>
      </c>
      <c r="D23" s="70" t="s">
        <v>3</v>
      </c>
      <c r="E23" s="189">
        <v>36.020633087090388</v>
      </c>
      <c r="G23" s="207" t="str">
        <f>"Evaluation scores of the DTA Models - "&amp;H1</f>
        <v xml:space="preserve">Evaluation scores of the DTA Models - </v>
      </c>
    </row>
    <row r="24" spans="1:31" x14ac:dyDescent="0.3">
      <c r="A24" s="70">
        <f t="shared" si="0"/>
        <v>23</v>
      </c>
      <c r="B24" s="70" t="s">
        <v>47</v>
      </c>
      <c r="C24" s="5" t="s">
        <v>9</v>
      </c>
      <c r="D24" s="70" t="s">
        <v>3</v>
      </c>
      <c r="E24" s="189">
        <v>33.525581323384515</v>
      </c>
    </row>
    <row r="25" spans="1:31" x14ac:dyDescent="0.3">
      <c r="A25" s="70">
        <f t="shared" si="0"/>
        <v>24</v>
      </c>
      <c r="B25" s="70" t="s">
        <v>46</v>
      </c>
      <c r="C25" s="5" t="s">
        <v>9</v>
      </c>
      <c r="D25" s="70" t="s">
        <v>3</v>
      </c>
      <c r="E25" s="189">
        <v>30.941428320049102</v>
      </c>
    </row>
    <row r="26" spans="1:31" x14ac:dyDescent="0.3">
      <c r="A26" s="70">
        <f t="shared" si="0"/>
        <v>25</v>
      </c>
      <c r="B26" s="70" t="s">
        <v>45</v>
      </c>
      <c r="C26" s="5" t="s">
        <v>8</v>
      </c>
      <c r="D26" s="70" t="s">
        <v>4</v>
      </c>
      <c r="E26" s="189">
        <v>37.787191673113362</v>
      </c>
    </row>
    <row r="27" spans="1:31" x14ac:dyDescent="0.3">
      <c r="A27" s="70">
        <f t="shared" si="0"/>
        <v>26</v>
      </c>
      <c r="B27" s="70" t="s">
        <v>47</v>
      </c>
      <c r="C27" s="5" t="s">
        <v>8</v>
      </c>
      <c r="D27" s="70" t="s">
        <v>4</v>
      </c>
      <c r="E27" s="189">
        <v>35.554351396866778</v>
      </c>
    </row>
    <row r="28" spans="1:31" x14ac:dyDescent="0.3">
      <c r="A28" s="70">
        <f t="shared" si="0"/>
        <v>27</v>
      </c>
      <c r="B28" s="70" t="s">
        <v>46</v>
      </c>
      <c r="C28" s="5" t="s">
        <v>8</v>
      </c>
      <c r="D28" s="70" t="s">
        <v>4</v>
      </c>
      <c r="E28" s="189">
        <v>36.064009951228591</v>
      </c>
    </row>
    <row r="29" spans="1:31" x14ac:dyDescent="0.3">
      <c r="A29" s="70">
        <f t="shared" si="0"/>
        <v>28</v>
      </c>
      <c r="B29" s="70" t="s">
        <v>45</v>
      </c>
      <c r="C29" s="5" t="s">
        <v>10</v>
      </c>
      <c r="D29" s="70" t="s">
        <v>4</v>
      </c>
      <c r="E29" s="189">
        <v>36.929435775725452</v>
      </c>
    </row>
    <row r="30" spans="1:31" x14ac:dyDescent="0.3">
      <c r="A30" s="70">
        <f t="shared" si="0"/>
        <v>29</v>
      </c>
      <c r="B30" s="70" t="s">
        <v>47</v>
      </c>
      <c r="C30" s="5" t="s">
        <v>10</v>
      </c>
      <c r="D30" s="70" t="s">
        <v>4</v>
      </c>
      <c r="E30" s="189">
        <v>34.197401524423427</v>
      </c>
    </row>
    <row r="31" spans="1:31" x14ac:dyDescent="0.3">
      <c r="A31" s="70">
        <f t="shared" si="0"/>
        <v>30</v>
      </c>
      <c r="B31" s="70" t="s">
        <v>46</v>
      </c>
      <c r="C31" s="5" t="s">
        <v>10</v>
      </c>
      <c r="D31" s="70" t="s">
        <v>4</v>
      </c>
      <c r="E31" s="189">
        <v>34.085619237445911</v>
      </c>
    </row>
    <row r="32" spans="1:31" x14ac:dyDescent="0.3">
      <c r="A32" s="70">
        <f t="shared" si="0"/>
        <v>31</v>
      </c>
      <c r="B32" s="70" t="s">
        <v>45</v>
      </c>
      <c r="C32" s="5" t="s">
        <v>7</v>
      </c>
      <c r="D32" s="70" t="s">
        <v>4</v>
      </c>
      <c r="E32" s="189">
        <v>35.094381609870183</v>
      </c>
    </row>
    <row r="33" spans="1:26" x14ac:dyDescent="0.3">
      <c r="A33" s="70">
        <f t="shared" si="0"/>
        <v>32</v>
      </c>
      <c r="B33" s="70" t="s">
        <v>47</v>
      </c>
      <c r="C33" s="5" t="s">
        <v>7</v>
      </c>
      <c r="D33" s="70" t="s">
        <v>4</v>
      </c>
      <c r="E33" s="189">
        <v>33.492005434960895</v>
      </c>
    </row>
    <row r="34" spans="1:26" x14ac:dyDescent="0.3">
      <c r="A34" s="70">
        <f t="shared" si="0"/>
        <v>33</v>
      </c>
      <c r="B34" s="70" t="s">
        <v>46</v>
      </c>
      <c r="C34" s="5" t="s">
        <v>7</v>
      </c>
      <c r="D34" s="70" t="s">
        <v>4</v>
      </c>
      <c r="E34" s="189">
        <v>33.287284585311262</v>
      </c>
    </row>
    <row r="35" spans="1:26" x14ac:dyDescent="0.3">
      <c r="A35" s="70">
        <f t="shared" si="0"/>
        <v>34</v>
      </c>
      <c r="B35" s="70" t="s">
        <v>45</v>
      </c>
      <c r="C35" s="5" t="s">
        <v>9</v>
      </c>
      <c r="D35" s="70" t="s">
        <v>4</v>
      </c>
      <c r="E35" s="189">
        <v>32.511329086374687</v>
      </c>
    </row>
    <row r="36" spans="1:26" x14ac:dyDescent="0.3">
      <c r="A36" s="70">
        <f t="shared" si="0"/>
        <v>35</v>
      </c>
      <c r="B36" s="70" t="s">
        <v>47</v>
      </c>
      <c r="C36" s="5" t="s">
        <v>9</v>
      </c>
      <c r="D36" s="70" t="s">
        <v>4</v>
      </c>
      <c r="E36" s="189">
        <v>29.965598570689131</v>
      </c>
    </row>
    <row r="37" spans="1:26" x14ac:dyDescent="0.3">
      <c r="A37" s="70">
        <f t="shared" si="0"/>
        <v>36</v>
      </c>
      <c r="B37" s="70" t="s">
        <v>46</v>
      </c>
      <c r="C37" s="5" t="s">
        <v>9</v>
      </c>
      <c r="D37" s="70" t="s">
        <v>4</v>
      </c>
      <c r="E37" s="189">
        <v>32.298310412072446</v>
      </c>
    </row>
    <row r="38" spans="1:26" x14ac:dyDescent="0.3">
      <c r="O38" s="202" t="s">
        <v>96</v>
      </c>
      <c r="P38" s="202" t="s">
        <v>2</v>
      </c>
      <c r="Q38" s="204" t="s">
        <v>7</v>
      </c>
      <c r="R38" s="202" t="s">
        <v>8</v>
      </c>
      <c r="S38" s="202" t="s">
        <v>9</v>
      </c>
      <c r="T38" s="202" t="s">
        <v>10</v>
      </c>
      <c r="U38"/>
      <c r="V38" s="202" t="s">
        <v>7</v>
      </c>
      <c r="W38" s="202" t="s">
        <v>8</v>
      </c>
      <c r="X38" s="202" t="s">
        <v>9</v>
      </c>
      <c r="Y38" s="202" t="s">
        <v>10</v>
      </c>
    </row>
    <row r="39" spans="1:26" x14ac:dyDescent="0.3">
      <c r="O39" s="70" t="s">
        <v>47</v>
      </c>
      <c r="P39" s="208" t="s">
        <v>3</v>
      </c>
      <c r="Q39" s="204">
        <f t="shared" ref="Q39:T41" si="4">SUMIFS($E$2:$E$37,$B$2:$B$37,$O39,$C$2:$C$37,Q$2,$D$2:$D$37,$P39)</f>
        <v>33.554419649232436</v>
      </c>
      <c r="R39" s="204">
        <f t="shared" si="4"/>
        <v>33.690127911660724</v>
      </c>
      <c r="S39" s="204">
        <f t="shared" si="4"/>
        <v>33.525581323384515</v>
      </c>
      <c r="T39" s="204">
        <f t="shared" si="4"/>
        <v>33.461013759386802</v>
      </c>
      <c r="U39"/>
      <c r="V39" s="209">
        <f>(Q39-Q39)/Q39</f>
        <v>0</v>
      </c>
      <c r="W39" s="209">
        <f>(R39-R39)/R39</f>
        <v>0</v>
      </c>
      <c r="X39" s="209">
        <f>(S39-S39)/S39</f>
        <v>0</v>
      </c>
      <c r="Y39" s="209">
        <f>(T39-T39)/T39</f>
        <v>0</v>
      </c>
      <c r="Z39" s="203"/>
    </row>
    <row r="40" spans="1:26" x14ac:dyDescent="0.3">
      <c r="O40" s="70" t="s">
        <v>47</v>
      </c>
      <c r="P40" s="5" t="s">
        <v>4</v>
      </c>
      <c r="Q40" s="204">
        <f t="shared" si="4"/>
        <v>33.492005434960895</v>
      </c>
      <c r="R40" s="204">
        <f t="shared" si="4"/>
        <v>35.554351396866778</v>
      </c>
      <c r="S40" s="204">
        <f t="shared" si="4"/>
        <v>29.965598570689131</v>
      </c>
      <c r="T40" s="204">
        <f t="shared" si="4"/>
        <v>34.197401524423427</v>
      </c>
      <c r="U40"/>
      <c r="V40" s="209">
        <f>(Q40-Q39)/Q39</f>
        <v>-1.8600892199597053E-3</v>
      </c>
      <c r="W40" s="209">
        <f>(R40-R39)/R39</f>
        <v>5.5334413988995711E-2</v>
      </c>
      <c r="X40" s="209">
        <f>(S40-S39)/S39</f>
        <v>-0.10618705514323924</v>
      </c>
      <c r="Y40" s="209">
        <f>(T40-T39)/T39</f>
        <v>2.2007335770872941E-2</v>
      </c>
    </row>
    <row r="41" spans="1:26" x14ac:dyDescent="0.3">
      <c r="O41" s="70" t="s">
        <v>47</v>
      </c>
      <c r="P41" s="5" t="s">
        <v>5</v>
      </c>
      <c r="Q41" s="204">
        <f t="shared" si="4"/>
        <v>31.721584501278191</v>
      </c>
      <c r="R41" s="204">
        <f t="shared" si="4"/>
        <v>34.294190137643632</v>
      </c>
      <c r="S41" s="204">
        <f t="shared" si="4"/>
        <v>28.271615965497645</v>
      </c>
      <c r="T41" s="204">
        <f t="shared" si="4"/>
        <v>32.64655532707836</v>
      </c>
      <c r="U41"/>
      <c r="V41" s="209">
        <f>(Q41-Q39)/Q39</f>
        <v>-5.462276406846369E-2</v>
      </c>
      <c r="W41" s="209">
        <f>(R41-R39)/R39</f>
        <v>1.7929947537356532E-2</v>
      </c>
      <c r="X41" s="209">
        <f>(S41-S39)/S39</f>
        <v>-0.15671511575616326</v>
      </c>
      <c r="Y41" s="209">
        <f>(T41-T39)/T39</f>
        <v>-2.4340518735179145E-2</v>
      </c>
    </row>
    <row r="42" spans="1:26" x14ac:dyDescent="0.3">
      <c r="O42"/>
      <c r="P42"/>
      <c r="Q42" s="203"/>
      <c r="R42" s="203"/>
      <c r="S42" s="203"/>
      <c r="T42" s="203"/>
      <c r="U42"/>
      <c r="V42"/>
      <c r="W42"/>
      <c r="X42"/>
    </row>
    <row r="43" spans="1:26" x14ac:dyDescent="0.3">
      <c r="O43" s="202" t="s">
        <v>96</v>
      </c>
      <c r="P43" s="202" t="s">
        <v>2</v>
      </c>
      <c r="Q43" s="204" t="s">
        <v>7</v>
      </c>
      <c r="R43" s="204" t="s">
        <v>8</v>
      </c>
      <c r="S43" s="204" t="s">
        <v>9</v>
      </c>
      <c r="T43" s="204" t="s">
        <v>10</v>
      </c>
      <c r="U43"/>
      <c r="V43" s="202" t="s">
        <v>7</v>
      </c>
      <c r="W43" s="202" t="s">
        <v>8</v>
      </c>
      <c r="X43" s="202" t="s">
        <v>9</v>
      </c>
      <c r="Y43" s="202" t="s">
        <v>10</v>
      </c>
    </row>
    <row r="44" spans="1:26" x14ac:dyDescent="0.3">
      <c r="O44" s="70" t="s">
        <v>46</v>
      </c>
      <c r="P44" s="208" t="s">
        <v>3</v>
      </c>
      <c r="Q44" s="204">
        <f t="shared" ref="Q44:T46" si="5">SUMIFS($E$2:$E$37,$B$2:$B$37,$O44,$C$2:$C$37,Q$7,$D$2:$D$37,$P44)</f>
        <v>31.290579866349532</v>
      </c>
      <c r="R44" s="204">
        <f t="shared" si="5"/>
        <v>32.186585945051583</v>
      </c>
      <c r="S44" s="204">
        <f t="shared" si="5"/>
        <v>30.941428320049102</v>
      </c>
      <c r="T44" s="204">
        <f t="shared" si="5"/>
        <v>32.208917382786055</v>
      </c>
      <c r="U44"/>
      <c r="V44" s="209">
        <f>(Q44-Q44)/Q44</f>
        <v>0</v>
      </c>
      <c r="W44" s="209">
        <f>(R44-R44)/R44</f>
        <v>0</v>
      </c>
      <c r="X44" s="209">
        <f>(S44-S44)/S44</f>
        <v>0</v>
      </c>
      <c r="Y44" s="209">
        <f>(T44-T44)/T44</f>
        <v>0</v>
      </c>
    </row>
    <row r="45" spans="1:26" x14ac:dyDescent="0.3">
      <c r="O45" s="70" t="s">
        <v>46</v>
      </c>
      <c r="P45" s="5" t="s">
        <v>4</v>
      </c>
      <c r="Q45" s="204">
        <f t="shared" si="5"/>
        <v>33.287284585311262</v>
      </c>
      <c r="R45" s="204">
        <f t="shared" si="5"/>
        <v>36.064009951228591</v>
      </c>
      <c r="S45" s="204">
        <f t="shared" si="5"/>
        <v>32.298310412072446</v>
      </c>
      <c r="T45" s="204">
        <f t="shared" si="5"/>
        <v>34.085619237445911</v>
      </c>
      <c r="V45" s="209">
        <f>(Q45-Q44)/Q44</f>
        <v>6.3811687974150447E-2</v>
      </c>
      <c r="W45" s="209">
        <f>(R45-R44)/R44</f>
        <v>0.12046707944721083</v>
      </c>
      <c r="X45" s="209">
        <f>(S45-S44)/S44</f>
        <v>4.3853246785770586E-2</v>
      </c>
      <c r="Y45" s="209">
        <f>(T45-T44)/T44</f>
        <v>5.8266530115130576E-2</v>
      </c>
    </row>
    <row r="46" spans="1:26" x14ac:dyDescent="0.3">
      <c r="O46" s="70" t="s">
        <v>46</v>
      </c>
      <c r="P46" s="5" t="s">
        <v>5</v>
      </c>
      <c r="Q46" s="204">
        <f t="shared" si="5"/>
        <v>32.581626537474172</v>
      </c>
      <c r="R46" s="204">
        <f t="shared" si="5"/>
        <v>36.629688136245413</v>
      </c>
      <c r="S46" s="204">
        <f t="shared" si="5"/>
        <v>31.989382126166316</v>
      </c>
      <c r="T46" s="204">
        <f t="shared" si="5"/>
        <v>35.508624944430203</v>
      </c>
      <c r="V46" s="209">
        <f>(Q46-Q44)/Q44</f>
        <v>4.1259915176997265E-2</v>
      </c>
      <c r="W46" s="209">
        <f>(R46-R44)/R44</f>
        <v>0.13804204642204124</v>
      </c>
      <c r="X46" s="209">
        <f>(S46-S44)/S44</f>
        <v>3.3868953794811453E-2</v>
      </c>
      <c r="Y46" s="209">
        <f>(T46-T44)/T44</f>
        <v>0.10244701870692696</v>
      </c>
    </row>
    <row r="47" spans="1:26" x14ac:dyDescent="0.3">
      <c r="O47"/>
      <c r="P47"/>
      <c r="Q47" s="203"/>
      <c r="R47" s="203"/>
      <c r="S47" s="203"/>
      <c r="T47" s="203"/>
    </row>
    <row r="48" spans="1:26" x14ac:dyDescent="0.3">
      <c r="O48" s="202" t="s">
        <v>96</v>
      </c>
      <c r="P48" s="202" t="s">
        <v>2</v>
      </c>
      <c r="Q48" s="204" t="s">
        <v>7</v>
      </c>
      <c r="R48" s="204" t="s">
        <v>8</v>
      </c>
      <c r="S48" s="204" t="s">
        <v>9</v>
      </c>
      <c r="T48" s="204" t="s">
        <v>10</v>
      </c>
      <c r="V48" s="202" t="s">
        <v>7</v>
      </c>
      <c r="W48" s="202" t="s">
        <v>8</v>
      </c>
      <c r="X48" s="202" t="s">
        <v>9</v>
      </c>
      <c r="Y48" s="202" t="s">
        <v>10</v>
      </c>
    </row>
    <row r="49" spans="15:31" x14ac:dyDescent="0.3">
      <c r="O49" s="70" t="s">
        <v>45</v>
      </c>
      <c r="P49" s="208" t="s">
        <v>3</v>
      </c>
      <c r="Q49" s="204">
        <f t="shared" ref="Q49:T51" si="6">SUMIFS($E$2:$E$37,$B$2:$B$37,$O49,$C$2:$C$37,Q$12,$D$2:$D$37,$P49)</f>
        <v>34.717576913342569</v>
      </c>
      <c r="R49" s="204">
        <f t="shared" si="6"/>
        <v>35.34473089999549</v>
      </c>
      <c r="S49" s="204">
        <f t="shared" si="6"/>
        <v>36.020633087090388</v>
      </c>
      <c r="T49" s="204">
        <f t="shared" si="6"/>
        <v>35.895693392587276</v>
      </c>
      <c r="V49" s="209">
        <f>(Q49-Q49)/Q49</f>
        <v>0</v>
      </c>
      <c r="W49" s="209">
        <f>(R49-R49)/R49</f>
        <v>0</v>
      </c>
      <c r="X49" s="209">
        <f>(S49-S49)/S49</f>
        <v>0</v>
      </c>
      <c r="Y49" s="209">
        <f>(T49-T49)/T49</f>
        <v>0</v>
      </c>
    </row>
    <row r="50" spans="15:31" x14ac:dyDescent="0.3">
      <c r="O50" s="70" t="s">
        <v>45</v>
      </c>
      <c r="P50" s="5" t="s">
        <v>4</v>
      </c>
      <c r="Q50" s="204">
        <f t="shared" si="6"/>
        <v>35.094381609870183</v>
      </c>
      <c r="R50" s="204">
        <f t="shared" si="6"/>
        <v>37.787191673113362</v>
      </c>
      <c r="S50" s="204">
        <f t="shared" si="6"/>
        <v>32.511329086374687</v>
      </c>
      <c r="T50" s="204">
        <f t="shared" si="6"/>
        <v>36.929435775725452</v>
      </c>
      <c r="V50" s="209">
        <f>(Q50-Q49)/Q49</f>
        <v>1.085342728463292E-2</v>
      </c>
      <c r="W50" s="209">
        <f>(R50-R49)/R49</f>
        <v>6.9103957249768852E-2</v>
      </c>
      <c r="X50" s="209">
        <f>(S50-S49)/S49</f>
        <v>-9.7424828492906693E-2</v>
      </c>
      <c r="Y50" s="209">
        <f>(T50-T49)/T49</f>
        <v>2.8798507158846274E-2</v>
      </c>
    </row>
    <row r="51" spans="15:31" x14ac:dyDescent="0.3">
      <c r="O51" s="70" t="s">
        <v>45</v>
      </c>
      <c r="P51" s="5" t="s">
        <v>5</v>
      </c>
      <c r="Q51" s="204">
        <f t="shared" si="6"/>
        <v>34.343672254870633</v>
      </c>
      <c r="R51" s="204">
        <f t="shared" si="6"/>
        <v>37.250711591964709</v>
      </c>
      <c r="S51" s="204">
        <f t="shared" si="6"/>
        <v>32.04420822618922</v>
      </c>
      <c r="T51" s="204">
        <f t="shared" si="6"/>
        <v>35.944145340813179</v>
      </c>
      <c r="V51" s="209">
        <f>(Q51-Q49)/Q49</f>
        <v>-1.0769895013273178E-2</v>
      </c>
      <c r="W51" s="209">
        <f>(R51-R49)/R49</f>
        <v>5.3925454896290144E-2</v>
      </c>
      <c r="X51" s="209">
        <f>(S51-S49)/S49</f>
        <v>-0.11039297536184335</v>
      </c>
      <c r="Y51" s="209">
        <f>(T51-T49)/T49</f>
        <v>1.3497983642770037E-3</v>
      </c>
    </row>
    <row r="52" spans="15:31" x14ac:dyDescent="0.3">
      <c r="O52"/>
      <c r="P52"/>
      <c r="Q52"/>
    </row>
    <row r="53" spans="15:31" x14ac:dyDescent="0.3">
      <c r="O53" s="181" t="str">
        <f>"Sensitivity - "&amp;O39&amp;" , "&amp;"Base Case - Strategic Planning"</f>
        <v>Sensitivity - StreamLine-eGLTM , Base Case - Strategic Planning</v>
      </c>
      <c r="P53"/>
      <c r="Q53"/>
      <c r="V53" s="181" t="str">
        <f>"Sensitivity - "&amp;O44&amp;" , "&amp;"Base Case - Strategic Planning"</f>
        <v>Sensitivity - StreamLine-MaDAM , Base Case - Strategic Planning</v>
      </c>
      <c r="AE53" s="181" t="str">
        <f>"Sensitivity - "&amp;O49&amp;" , "&amp;"Base Case - Strategic Planning"</f>
        <v>Sensitivity - MARPLE , Base Case - Strategic Planning</v>
      </c>
    </row>
    <row r="54" spans="15:31" x14ac:dyDescent="0.3">
      <c r="O54"/>
      <c r="P54"/>
      <c r="Q54"/>
    </row>
    <row r="55" spans="15:31" x14ac:dyDescent="0.3">
      <c r="O55"/>
      <c r="P55"/>
      <c r="Q55"/>
    </row>
  </sheetData>
  <autoFilter ref="A1:E1" xr:uid="{843611CF-67F0-4562-987E-263822ED889F}"/>
  <pageMargins left="0.7" right="0.7" top="0.75" bottom="0.75" header="0.3" footer="0.3"/>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611CF-67F0-4562-987E-263822ED889F}">
  <sheetPr>
    <tabColor rgb="FFFFC000"/>
  </sheetPr>
  <dimension ref="A1:AE55"/>
  <sheetViews>
    <sheetView zoomScale="85" zoomScaleNormal="85" workbookViewId="0">
      <selection activeCell="K2" sqref="A1:K2"/>
    </sheetView>
  </sheetViews>
  <sheetFormatPr defaultColWidth="8.88671875" defaultRowHeight="14.4" x14ac:dyDescent="0.3"/>
  <cols>
    <col min="1" max="1" width="8.88671875" style="11"/>
    <col min="2" max="2" width="18.109375" style="11" bestFit="1" customWidth="1"/>
    <col min="3" max="3" width="23.88671875" style="11" bestFit="1" customWidth="1"/>
    <col min="4" max="4" width="20.109375" style="11" bestFit="1" customWidth="1"/>
    <col min="5" max="5" width="18.109375" style="11" bestFit="1" customWidth="1"/>
    <col min="6" max="6" width="15.109375" style="11" bestFit="1" customWidth="1"/>
    <col min="7" max="7" width="22.33203125" style="11" bestFit="1" customWidth="1"/>
    <col min="8" max="8" width="16.44140625" style="11" bestFit="1" customWidth="1"/>
    <col min="9" max="9" width="19.33203125" style="11" bestFit="1" customWidth="1"/>
    <col min="10" max="10" width="18" style="11" bestFit="1" customWidth="1"/>
    <col min="11" max="11" width="18.44140625" style="11" bestFit="1" customWidth="1"/>
    <col min="12" max="12" width="10.6640625" style="11" bestFit="1" customWidth="1"/>
    <col min="13" max="13" width="16.33203125" style="11" bestFit="1" customWidth="1"/>
    <col min="14" max="14" width="15.33203125" style="11" bestFit="1" customWidth="1"/>
    <col min="15" max="15" width="17.6640625" style="11" bestFit="1" customWidth="1"/>
    <col min="16" max="16" width="18.109375" style="11" bestFit="1" customWidth="1"/>
    <col min="17" max="17" width="11.44140625" style="11" bestFit="1" customWidth="1"/>
    <col min="18" max="18" width="17" style="11" bestFit="1" customWidth="1"/>
    <col min="19" max="19" width="18.109375" style="11" bestFit="1" customWidth="1"/>
    <col min="20" max="20" width="15.109375" style="11" bestFit="1" customWidth="1"/>
    <col min="21" max="21" width="12" style="11" bestFit="1" customWidth="1"/>
    <col min="22" max="22" width="11.44140625" style="11" bestFit="1" customWidth="1"/>
    <col min="23" max="23" width="17" style="11" bestFit="1" customWidth="1"/>
    <col min="24" max="24" width="18.109375" style="11" bestFit="1" customWidth="1"/>
    <col min="25" max="25" width="15.109375" style="11" bestFit="1" customWidth="1"/>
    <col min="26" max="16384" width="8.88671875" style="11"/>
  </cols>
  <sheetData>
    <row r="1" spans="1:26" x14ac:dyDescent="0.3">
      <c r="A1" s="119" t="s">
        <v>95</v>
      </c>
      <c r="B1" s="119" t="s">
        <v>96</v>
      </c>
      <c r="C1" s="38" t="s">
        <v>97</v>
      </c>
      <c r="D1" s="38" t="s">
        <v>2</v>
      </c>
      <c r="E1" s="38" t="s">
        <v>98</v>
      </c>
      <c r="F1" s="2"/>
      <c r="G1" s="190" t="s">
        <v>2</v>
      </c>
      <c r="H1" t="s">
        <v>105</v>
      </c>
      <c r="I1"/>
      <c r="J1"/>
      <c r="K1"/>
      <c r="L1"/>
      <c r="M1"/>
      <c r="N1"/>
      <c r="O1"/>
      <c r="P1"/>
      <c r="Q1"/>
      <c r="R1"/>
      <c r="S1"/>
      <c r="T1"/>
      <c r="U1"/>
      <c r="V1"/>
      <c r="W1"/>
      <c r="X1"/>
    </row>
    <row r="2" spans="1:26" x14ac:dyDescent="0.3">
      <c r="A2" s="70">
        <v>1</v>
      </c>
      <c r="B2" s="70" t="s">
        <v>45</v>
      </c>
      <c r="C2" s="5" t="s">
        <v>8</v>
      </c>
      <c r="D2" s="70" t="s">
        <v>5</v>
      </c>
      <c r="E2" s="189">
        <v>37.250711591964709</v>
      </c>
      <c r="G2"/>
      <c r="H2"/>
      <c r="I2"/>
      <c r="J2"/>
      <c r="K2"/>
      <c r="L2"/>
      <c r="M2"/>
      <c r="N2"/>
      <c r="O2" s="202" t="s">
        <v>96</v>
      </c>
      <c r="P2" s="202" t="s">
        <v>2</v>
      </c>
      <c r="Q2" s="205" t="s">
        <v>7</v>
      </c>
      <c r="R2" s="202" t="s">
        <v>8</v>
      </c>
      <c r="S2" s="202" t="s">
        <v>9</v>
      </c>
      <c r="T2" s="202" t="s">
        <v>10</v>
      </c>
      <c r="U2"/>
      <c r="V2" s="202" t="s">
        <v>7</v>
      </c>
      <c r="W2" s="202" t="s">
        <v>8</v>
      </c>
      <c r="X2" s="202" t="s">
        <v>9</v>
      </c>
      <c r="Y2" s="202" t="s">
        <v>10</v>
      </c>
    </row>
    <row r="3" spans="1:26" x14ac:dyDescent="0.3">
      <c r="A3" s="70">
        <f t="shared" ref="A3:A37" si="0">A2+1</f>
        <v>2</v>
      </c>
      <c r="B3" s="70" t="s">
        <v>47</v>
      </c>
      <c r="C3" s="5" t="s">
        <v>8</v>
      </c>
      <c r="D3" s="70" t="s">
        <v>5</v>
      </c>
      <c r="E3" s="189">
        <v>34.294190137643632</v>
      </c>
      <c r="G3" s="190" t="s">
        <v>99</v>
      </c>
      <c r="H3" s="190" t="s">
        <v>100</v>
      </c>
      <c r="I3"/>
      <c r="J3"/>
      <c r="K3"/>
      <c r="L3"/>
      <c r="M3"/>
      <c r="N3"/>
      <c r="O3" s="70" t="s">
        <v>47</v>
      </c>
      <c r="P3" s="5" t="s">
        <v>3</v>
      </c>
      <c r="Q3" s="204">
        <f>SUMIFS($E$2:$E$37,$B$2:$B$37,$O3,$C$2:$C$37,Q$2,$D$2:$D$37,$P3)</f>
        <v>33.554419649232436</v>
      </c>
      <c r="R3" s="204">
        <f t="shared" ref="R3:T5" si="1">SUMIFS($E$2:$E$37,$B$2:$B$37,$O3,$C$2:$C$37,R$2,$D$2:$D$37,$P3)</f>
        <v>33.690127911660724</v>
      </c>
      <c r="S3" s="204">
        <f t="shared" si="1"/>
        <v>33.525581323384515</v>
      </c>
      <c r="T3" s="204">
        <f t="shared" si="1"/>
        <v>33.461013759386802</v>
      </c>
      <c r="U3"/>
      <c r="V3" s="206">
        <f>(Q3-Q3)/Q3</f>
        <v>0</v>
      </c>
      <c r="W3" s="206">
        <f>(R3-Q3)/Q3</f>
        <v>4.044422876239271E-3</v>
      </c>
      <c r="X3" s="206">
        <f>(S3-Q3)/Q3</f>
        <v>-8.5944940038863509E-4</v>
      </c>
      <c r="Y3" s="206">
        <f>(T3-Q3)/Q3</f>
        <v>-2.783713466722734E-3</v>
      </c>
      <c r="Z3" s="203"/>
    </row>
    <row r="4" spans="1:26" x14ac:dyDescent="0.3">
      <c r="A4" s="70">
        <f t="shared" si="0"/>
        <v>3</v>
      </c>
      <c r="B4" s="70" t="s">
        <v>46</v>
      </c>
      <c r="C4" s="5" t="s">
        <v>8</v>
      </c>
      <c r="D4" s="70" t="s">
        <v>5</v>
      </c>
      <c r="E4" s="189">
        <v>36.629688136245413</v>
      </c>
      <c r="G4" s="190" t="s">
        <v>101</v>
      </c>
      <c r="H4" t="s">
        <v>45</v>
      </c>
      <c r="I4" t="s">
        <v>46</v>
      </c>
      <c r="J4" t="s">
        <v>47</v>
      </c>
      <c r="K4"/>
      <c r="L4"/>
      <c r="M4"/>
      <c r="N4"/>
      <c r="O4" s="70" t="s">
        <v>47</v>
      </c>
      <c r="P4" s="5" t="s">
        <v>4</v>
      </c>
      <c r="Q4" s="204">
        <f t="shared" ref="Q4:Q5" si="2">SUMIFS($E$2:$E$37,$B$2:$B$37,$O4,$C$2:$C$37,Q$2,$D$2:$D$37,$P4)</f>
        <v>33.492005434960895</v>
      </c>
      <c r="R4" s="204">
        <f t="shared" si="1"/>
        <v>35.554351396866778</v>
      </c>
      <c r="S4" s="204">
        <f t="shared" si="1"/>
        <v>29.965598570689131</v>
      </c>
      <c r="T4" s="204">
        <f t="shared" si="1"/>
        <v>34.197401524423427</v>
      </c>
      <c r="U4"/>
      <c r="V4" s="206">
        <f>(Q4-Q4)/Q4</f>
        <v>0</v>
      </c>
      <c r="W4" s="206">
        <f>(R4-Q4)/Q4</f>
        <v>6.1577261054457114E-2</v>
      </c>
      <c r="X4" s="206">
        <f>(S4-Q4)/Q4</f>
        <v>-0.10529100358352073</v>
      </c>
      <c r="Y4" s="206">
        <f>(T4-Q4)/Q4</f>
        <v>2.1061625910468732E-2</v>
      </c>
    </row>
    <row r="5" spans="1:26" x14ac:dyDescent="0.3">
      <c r="A5" s="70">
        <f t="shared" si="0"/>
        <v>4</v>
      </c>
      <c r="B5" s="70" t="s">
        <v>45</v>
      </c>
      <c r="C5" s="5" t="s">
        <v>10</v>
      </c>
      <c r="D5" s="70" t="s">
        <v>5</v>
      </c>
      <c r="E5" s="189">
        <v>35.944145340813179</v>
      </c>
      <c r="G5" s="191" t="s">
        <v>7</v>
      </c>
      <c r="H5" s="195">
        <v>34.718543592694466</v>
      </c>
      <c r="I5" s="195">
        <v>32.38649699637832</v>
      </c>
      <c r="J5" s="195">
        <v>32.922669861823842</v>
      </c>
      <c r="K5"/>
      <c r="L5"/>
      <c r="M5"/>
      <c r="N5"/>
      <c r="O5" s="70" t="s">
        <v>47</v>
      </c>
      <c r="P5" s="5" t="s">
        <v>5</v>
      </c>
      <c r="Q5" s="204">
        <f t="shared" si="2"/>
        <v>31.721584501278191</v>
      </c>
      <c r="R5" s="204">
        <f t="shared" si="1"/>
        <v>34.294190137643632</v>
      </c>
      <c r="S5" s="204">
        <f t="shared" si="1"/>
        <v>28.271615965497645</v>
      </c>
      <c r="T5" s="204">
        <f t="shared" si="1"/>
        <v>32.64655532707836</v>
      </c>
      <c r="U5"/>
      <c r="V5" s="206">
        <f>(Q5-Q5)/Q5</f>
        <v>0</v>
      </c>
      <c r="W5" s="206">
        <f>(R5-Q5)/Q5</f>
        <v>8.1099531338410316E-2</v>
      </c>
      <c r="X5" s="206">
        <f>(S5-Q5)/Q5</f>
        <v>-0.10875776194728017</v>
      </c>
      <c r="Y5" s="206">
        <f>(T5-Q5)/Q5</f>
        <v>2.9159036042569024E-2</v>
      </c>
    </row>
    <row r="6" spans="1:26" x14ac:dyDescent="0.3">
      <c r="A6" s="70">
        <f t="shared" si="0"/>
        <v>5</v>
      </c>
      <c r="B6" s="70" t="s">
        <v>47</v>
      </c>
      <c r="C6" s="5" t="s">
        <v>10</v>
      </c>
      <c r="D6" s="70" t="s">
        <v>5</v>
      </c>
      <c r="E6" s="189">
        <v>32.64655532707836</v>
      </c>
      <c r="G6" s="191" t="s">
        <v>8</v>
      </c>
      <c r="H6" s="195">
        <v>36.794211388357859</v>
      </c>
      <c r="I6" s="195">
        <v>34.960094677508529</v>
      </c>
      <c r="J6" s="195">
        <v>34.51288981539038</v>
      </c>
      <c r="K6"/>
      <c r="L6"/>
      <c r="M6"/>
      <c r="N6"/>
      <c r="O6"/>
      <c r="P6"/>
      <c r="Q6" s="203"/>
      <c r="R6" s="203"/>
      <c r="S6" s="203"/>
      <c r="T6" s="203"/>
      <c r="U6"/>
      <c r="V6"/>
      <c r="W6"/>
      <c r="X6"/>
    </row>
    <row r="7" spans="1:26" x14ac:dyDescent="0.3">
      <c r="A7" s="70">
        <f t="shared" si="0"/>
        <v>6</v>
      </c>
      <c r="B7" s="70" t="s">
        <v>46</v>
      </c>
      <c r="C7" s="5" t="s">
        <v>10</v>
      </c>
      <c r="D7" s="70" t="s">
        <v>5</v>
      </c>
      <c r="E7" s="189">
        <v>35.508624944430203</v>
      </c>
      <c r="G7" s="191" t="s">
        <v>9</v>
      </c>
      <c r="H7" s="195">
        <v>33.525390133218096</v>
      </c>
      <c r="I7" s="195">
        <v>31.743040286095958</v>
      </c>
      <c r="J7" s="195">
        <v>30.587598619857101</v>
      </c>
      <c r="K7"/>
      <c r="L7"/>
      <c r="M7"/>
      <c r="N7"/>
      <c r="O7" s="202" t="s">
        <v>96</v>
      </c>
      <c r="P7" s="202" t="s">
        <v>2</v>
      </c>
      <c r="Q7" s="205" t="s">
        <v>7</v>
      </c>
      <c r="R7" s="204" t="s">
        <v>8</v>
      </c>
      <c r="S7" s="204" t="s">
        <v>9</v>
      </c>
      <c r="T7" s="204" t="s">
        <v>10</v>
      </c>
      <c r="U7"/>
      <c r="V7" s="202" t="s">
        <v>7</v>
      </c>
      <c r="W7" s="202" t="s">
        <v>8</v>
      </c>
      <c r="X7" s="202" t="s">
        <v>9</v>
      </c>
      <c r="Y7" s="202" t="s">
        <v>10</v>
      </c>
    </row>
    <row r="8" spans="1:26" x14ac:dyDescent="0.3">
      <c r="A8" s="70">
        <f t="shared" si="0"/>
        <v>7</v>
      </c>
      <c r="B8" s="70" t="s">
        <v>45</v>
      </c>
      <c r="C8" s="5" t="s">
        <v>7</v>
      </c>
      <c r="D8" s="70" t="s">
        <v>5</v>
      </c>
      <c r="E8" s="189">
        <v>34.343672254870633</v>
      </c>
      <c r="G8" s="191" t="s">
        <v>10</v>
      </c>
      <c r="H8" s="195">
        <v>36.256424836375302</v>
      </c>
      <c r="I8" s="195">
        <v>33.934387188220718</v>
      </c>
      <c r="J8" s="195">
        <v>33.434990203629532</v>
      </c>
      <c r="L8"/>
      <c r="O8" s="70" t="s">
        <v>46</v>
      </c>
      <c r="P8" s="5" t="s">
        <v>3</v>
      </c>
      <c r="Q8" s="204">
        <f t="shared" ref="Q8:T10" si="3">SUMIFS($E$2:$E$37,$B$2:$B$37,$O8,$C$2:$C$37,Q$7,$D$2:$D$37,$P8)</f>
        <v>31.290579866349532</v>
      </c>
      <c r="R8" s="204">
        <f t="shared" si="3"/>
        <v>32.186585945051583</v>
      </c>
      <c r="S8" s="204">
        <f t="shared" si="3"/>
        <v>30.941428320049102</v>
      </c>
      <c r="T8" s="204">
        <f t="shared" si="3"/>
        <v>32.208917382786055</v>
      </c>
      <c r="U8"/>
      <c r="V8" s="206">
        <f>(Q8-Q8)/Q8</f>
        <v>0</v>
      </c>
      <c r="W8" s="206">
        <f>(R8-Q8)/Q8</f>
        <v>2.8635010361876753E-2</v>
      </c>
      <c r="X8" s="206">
        <f>(S8-Q8)/Q8</f>
        <v>-1.1158359729725361E-2</v>
      </c>
      <c r="Y8" s="206">
        <f>(T8-Q8)/Q8</f>
        <v>2.9348689617098474E-2</v>
      </c>
    </row>
    <row r="9" spans="1:26" x14ac:dyDescent="0.3">
      <c r="A9" s="70">
        <f t="shared" si="0"/>
        <v>8</v>
      </c>
      <c r="B9" s="70" t="s">
        <v>47</v>
      </c>
      <c r="C9" s="5" t="s">
        <v>7</v>
      </c>
      <c r="D9" s="70" t="s">
        <v>5</v>
      </c>
      <c r="E9" s="189">
        <v>31.721584501278191</v>
      </c>
      <c r="G9" s="207" t="str">
        <f>"Evaluation scores of the DTA Models - "&amp;H1</f>
        <v>Evaluation scores of the DTA Models - (All)</v>
      </c>
      <c r="H9"/>
      <c r="I9"/>
      <c r="J9"/>
      <c r="K9"/>
      <c r="L9"/>
      <c r="O9" s="70" t="s">
        <v>46</v>
      </c>
      <c r="P9" s="5" t="s">
        <v>4</v>
      </c>
      <c r="Q9" s="204">
        <f t="shared" si="3"/>
        <v>33.287284585311262</v>
      </c>
      <c r="R9" s="204">
        <f t="shared" si="3"/>
        <v>36.064009951228591</v>
      </c>
      <c r="S9" s="204">
        <f t="shared" si="3"/>
        <v>32.298310412072446</v>
      </c>
      <c r="T9" s="204">
        <f t="shared" si="3"/>
        <v>34.085619237445911</v>
      </c>
      <c r="V9" s="206">
        <f>(Q9-Q9)/Q9</f>
        <v>0</v>
      </c>
      <c r="W9" s="206">
        <f>(R9-Q9)/Q9</f>
        <v>8.3416998427760597E-2</v>
      </c>
      <c r="X9" s="206">
        <f>(S9-Q9)/Q9</f>
        <v>-2.9710268817638021E-2</v>
      </c>
      <c r="Y9" s="206">
        <f>(T9-Q9)/Q9</f>
        <v>2.3983171414556644E-2</v>
      </c>
    </row>
    <row r="10" spans="1:26" x14ac:dyDescent="0.3">
      <c r="A10" s="70">
        <f t="shared" si="0"/>
        <v>9</v>
      </c>
      <c r="B10" s="70" t="s">
        <v>46</v>
      </c>
      <c r="C10" s="5" t="s">
        <v>7</v>
      </c>
      <c r="D10" s="70" t="s">
        <v>5</v>
      </c>
      <c r="E10" s="189">
        <v>32.581626537474172</v>
      </c>
      <c r="G10"/>
      <c r="H10"/>
      <c r="I10"/>
      <c r="J10"/>
      <c r="K10"/>
      <c r="L10"/>
      <c r="O10" s="70" t="s">
        <v>46</v>
      </c>
      <c r="P10" s="5" t="s">
        <v>5</v>
      </c>
      <c r="Q10" s="204">
        <f t="shared" si="3"/>
        <v>32.581626537474172</v>
      </c>
      <c r="R10" s="204">
        <f t="shared" si="3"/>
        <v>36.629688136245413</v>
      </c>
      <c r="S10" s="204">
        <f t="shared" si="3"/>
        <v>31.989382126166316</v>
      </c>
      <c r="T10" s="204">
        <f t="shared" si="3"/>
        <v>35.508624944430203</v>
      </c>
      <c r="V10" s="206">
        <f>(Q10-Q10)/Q10</f>
        <v>0</v>
      </c>
      <c r="W10" s="206">
        <f>(R10-Q10)/Q10</f>
        <v>0.1242436928099741</v>
      </c>
      <c r="X10" s="206">
        <f>(S10-Q10)/Q10</f>
        <v>-1.8177251237800507E-2</v>
      </c>
      <c r="Y10" s="206">
        <f>(T10-Q10)/Q10</f>
        <v>8.9835858979891825E-2</v>
      </c>
    </row>
    <row r="11" spans="1:26" x14ac:dyDescent="0.3">
      <c r="A11" s="70">
        <f t="shared" si="0"/>
        <v>10</v>
      </c>
      <c r="B11" s="70" t="s">
        <v>45</v>
      </c>
      <c r="C11" s="5" t="s">
        <v>9</v>
      </c>
      <c r="D11" s="70" t="s">
        <v>5</v>
      </c>
      <c r="E11" s="189">
        <v>32.04420822618922</v>
      </c>
      <c r="G11"/>
      <c r="H11"/>
      <c r="I11"/>
      <c r="J11"/>
      <c r="K11"/>
      <c r="L11"/>
      <c r="O11"/>
      <c r="P11"/>
      <c r="Q11" s="203"/>
      <c r="R11" s="203"/>
      <c r="S11" s="203"/>
      <c r="T11" s="203"/>
    </row>
    <row r="12" spans="1:26" x14ac:dyDescent="0.3">
      <c r="A12" s="70">
        <f t="shared" si="0"/>
        <v>11</v>
      </c>
      <c r="B12" s="70" t="s">
        <v>47</v>
      </c>
      <c r="C12" s="5" t="s">
        <v>9</v>
      </c>
      <c r="D12" s="70" t="s">
        <v>5</v>
      </c>
      <c r="E12" s="189">
        <v>28.271615965497645</v>
      </c>
      <c r="G12"/>
      <c r="H12"/>
      <c r="I12"/>
      <c r="J12"/>
      <c r="K12"/>
      <c r="L12"/>
      <c r="O12" s="202" t="s">
        <v>96</v>
      </c>
      <c r="P12" s="202" t="s">
        <v>2</v>
      </c>
      <c r="Q12" s="205" t="s">
        <v>7</v>
      </c>
      <c r="R12" s="204" t="s">
        <v>8</v>
      </c>
      <c r="S12" s="204" t="s">
        <v>9</v>
      </c>
      <c r="T12" s="204" t="s">
        <v>10</v>
      </c>
      <c r="V12" s="202" t="s">
        <v>7</v>
      </c>
      <c r="W12" s="202" t="s">
        <v>8</v>
      </c>
      <c r="X12" s="202" t="s">
        <v>9</v>
      </c>
      <c r="Y12" s="202" t="s">
        <v>10</v>
      </c>
    </row>
    <row r="13" spans="1:26" x14ac:dyDescent="0.3">
      <c r="A13" s="70">
        <f t="shared" si="0"/>
        <v>12</v>
      </c>
      <c r="B13" s="70" t="s">
        <v>46</v>
      </c>
      <c r="C13" s="5" t="s">
        <v>9</v>
      </c>
      <c r="D13" s="70" t="s">
        <v>5</v>
      </c>
      <c r="E13" s="189">
        <v>31.989382126166316</v>
      </c>
      <c r="G13"/>
      <c r="H13"/>
      <c r="I13"/>
      <c r="J13"/>
      <c r="K13"/>
      <c r="L13"/>
      <c r="O13" s="70" t="s">
        <v>45</v>
      </c>
      <c r="P13" s="5" t="s">
        <v>3</v>
      </c>
      <c r="Q13" s="204">
        <f t="shared" ref="Q13:T15" si="4">SUMIFS($E$2:$E$37,$B$2:$B$37,$O13,$C$2:$C$37,Q$12,$D$2:$D$37,$P13)</f>
        <v>34.717576913342569</v>
      </c>
      <c r="R13" s="204">
        <f t="shared" si="4"/>
        <v>35.34473089999549</v>
      </c>
      <c r="S13" s="204">
        <f t="shared" si="4"/>
        <v>36.020633087090388</v>
      </c>
      <c r="T13" s="204">
        <f t="shared" si="4"/>
        <v>35.895693392587276</v>
      </c>
      <c r="V13" s="206">
        <f>(Q13-Q13)/Q13</f>
        <v>0</v>
      </c>
      <c r="W13" s="206">
        <f>(R13-Q13)/Q13</f>
        <v>1.8064451566373423E-2</v>
      </c>
      <c r="X13" s="206">
        <f>(S13-Q13)/Q13</f>
        <v>3.7533039157667487E-2</v>
      </c>
      <c r="Y13" s="206">
        <f>(T13-Q13)/Q13</f>
        <v>3.393429449829883E-2</v>
      </c>
    </row>
    <row r="14" spans="1:26" x14ac:dyDescent="0.3">
      <c r="A14" s="70">
        <f t="shared" si="0"/>
        <v>13</v>
      </c>
      <c r="B14" s="70" t="s">
        <v>45</v>
      </c>
      <c r="C14" s="5" t="s">
        <v>8</v>
      </c>
      <c r="D14" s="70" t="s">
        <v>3</v>
      </c>
      <c r="E14" s="189">
        <v>35.34473089999549</v>
      </c>
      <c r="G14"/>
      <c r="H14"/>
      <c r="I14"/>
      <c r="J14"/>
      <c r="K14"/>
      <c r="L14"/>
      <c r="O14" s="70" t="s">
        <v>45</v>
      </c>
      <c r="P14" s="5" t="s">
        <v>4</v>
      </c>
      <c r="Q14" s="204">
        <f t="shared" si="4"/>
        <v>35.094381609870183</v>
      </c>
      <c r="R14" s="204">
        <f t="shared" si="4"/>
        <v>37.787191673113362</v>
      </c>
      <c r="S14" s="204">
        <f t="shared" si="4"/>
        <v>32.511329086374687</v>
      </c>
      <c r="T14" s="204">
        <f t="shared" si="4"/>
        <v>36.929435775725452</v>
      </c>
      <c r="V14" s="206">
        <f>(Q14-Q14)/Q14</f>
        <v>0</v>
      </c>
      <c r="W14" s="206">
        <f>(R14-Q14)/Q14</f>
        <v>7.6730517527792405E-2</v>
      </c>
      <c r="X14" s="206">
        <f>(S14-Q14)/Q14</f>
        <v>-7.3603021481051564E-2</v>
      </c>
      <c r="Y14" s="206">
        <f>(T14-Q14)/Q14</f>
        <v>5.2289115285027998E-2</v>
      </c>
    </row>
    <row r="15" spans="1:26" x14ac:dyDescent="0.3">
      <c r="A15" s="70">
        <f t="shared" si="0"/>
        <v>14</v>
      </c>
      <c r="B15" s="70" t="s">
        <v>47</v>
      </c>
      <c r="C15" s="5" t="s">
        <v>8</v>
      </c>
      <c r="D15" s="70" t="s">
        <v>3</v>
      </c>
      <c r="E15" s="189">
        <v>33.690127911660724</v>
      </c>
      <c r="G15"/>
      <c r="H15"/>
      <c r="I15"/>
      <c r="J15"/>
      <c r="K15"/>
      <c r="L15"/>
      <c r="O15" s="70" t="s">
        <v>45</v>
      </c>
      <c r="P15" s="5" t="s">
        <v>5</v>
      </c>
      <c r="Q15" s="204">
        <f t="shared" si="4"/>
        <v>34.343672254870633</v>
      </c>
      <c r="R15" s="204">
        <f t="shared" si="4"/>
        <v>37.250711591964709</v>
      </c>
      <c r="S15" s="204">
        <f t="shared" si="4"/>
        <v>32.04420822618922</v>
      </c>
      <c r="T15" s="204">
        <f t="shared" si="4"/>
        <v>35.944145340813179</v>
      </c>
      <c r="V15" s="206">
        <f>(Q15-Q15)/Q15</f>
        <v>0</v>
      </c>
      <c r="W15" s="206">
        <f>(R15-Q15)/Q15</f>
        <v>8.4645559028178732E-2</v>
      </c>
      <c r="X15" s="206">
        <f>(S15-Q15)/Q15</f>
        <v>-6.6954518189454901E-2</v>
      </c>
      <c r="Y15" s="206">
        <f>(T15-Q15)/Q15</f>
        <v>4.6601687614100926E-2</v>
      </c>
    </row>
    <row r="16" spans="1:26" x14ac:dyDescent="0.3">
      <c r="A16" s="70">
        <f t="shared" si="0"/>
        <v>15</v>
      </c>
      <c r="B16" s="70" t="s">
        <v>46</v>
      </c>
      <c r="C16" s="5" t="s">
        <v>8</v>
      </c>
      <c r="D16" s="70" t="s">
        <v>3</v>
      </c>
      <c r="E16" s="189">
        <v>32.186585945051583</v>
      </c>
      <c r="G16"/>
      <c r="H16"/>
      <c r="I16"/>
      <c r="O16"/>
      <c r="P16"/>
      <c r="Q16"/>
    </row>
    <row r="17" spans="1:31" x14ac:dyDescent="0.3">
      <c r="A17" s="70">
        <f t="shared" si="0"/>
        <v>16</v>
      </c>
      <c r="B17" s="70" t="s">
        <v>45</v>
      </c>
      <c r="C17" s="5" t="s">
        <v>10</v>
      </c>
      <c r="D17" s="70" t="s">
        <v>3</v>
      </c>
      <c r="E17" s="189">
        <v>35.895693392587276</v>
      </c>
      <c r="G17"/>
      <c r="H17"/>
      <c r="I17"/>
      <c r="O17" s="181" t="str">
        <f>"Sensitivity - "&amp;O3&amp;" , "&amp;"Base Case - Policy Maker"</f>
        <v>Sensitivity - StreamLine-eGLTM , Base Case - Policy Maker</v>
      </c>
      <c r="P17"/>
      <c r="Q17"/>
      <c r="V17" s="181" t="str">
        <f>"Sensitivity - "&amp;O8&amp;" , "&amp;"Base Case - Policy Maker"</f>
        <v>Sensitivity - StreamLine-MaDAM , Base Case - Policy Maker</v>
      </c>
      <c r="AE17" s="181" t="str">
        <f>"Sensitivity - "&amp;O13&amp;" , "&amp;"Base Case - Policy Maker"</f>
        <v>Sensitivity - MARPLE , Base Case - Policy Maker</v>
      </c>
    </row>
    <row r="18" spans="1:31" x14ac:dyDescent="0.3">
      <c r="A18" s="70">
        <f t="shared" si="0"/>
        <v>17</v>
      </c>
      <c r="B18" s="70" t="s">
        <v>47</v>
      </c>
      <c r="C18" s="5" t="s">
        <v>10</v>
      </c>
      <c r="D18" s="70" t="s">
        <v>3</v>
      </c>
      <c r="E18" s="189">
        <v>33.461013759386802</v>
      </c>
      <c r="G18"/>
      <c r="H18"/>
      <c r="I18"/>
      <c r="O18"/>
      <c r="P18"/>
      <c r="Q18"/>
    </row>
    <row r="19" spans="1:31" x14ac:dyDescent="0.3">
      <c r="A19" s="70">
        <f t="shared" si="0"/>
        <v>18</v>
      </c>
      <c r="B19" s="70" t="s">
        <v>46</v>
      </c>
      <c r="C19" s="5" t="s">
        <v>10</v>
      </c>
      <c r="D19" s="70" t="s">
        <v>3</v>
      </c>
      <c r="E19" s="189">
        <v>32.208917382786055</v>
      </c>
      <c r="G19"/>
      <c r="H19"/>
      <c r="O19"/>
      <c r="P19"/>
      <c r="Q19"/>
    </row>
    <row r="20" spans="1:31" x14ac:dyDescent="0.3">
      <c r="A20" s="70">
        <f t="shared" si="0"/>
        <v>19</v>
      </c>
      <c r="B20" s="70" t="s">
        <v>45</v>
      </c>
      <c r="C20" s="5" t="s">
        <v>7</v>
      </c>
      <c r="D20" s="70" t="s">
        <v>3</v>
      </c>
      <c r="E20" s="189">
        <v>34.717576913342569</v>
      </c>
    </row>
    <row r="21" spans="1:31" x14ac:dyDescent="0.3">
      <c r="A21" s="70">
        <f t="shared" si="0"/>
        <v>20</v>
      </c>
      <c r="B21" s="70" t="s">
        <v>47</v>
      </c>
      <c r="C21" s="5" t="s">
        <v>7</v>
      </c>
      <c r="D21" s="70" t="s">
        <v>3</v>
      </c>
      <c r="E21" s="189">
        <v>33.554419649232436</v>
      </c>
    </row>
    <row r="22" spans="1:31" x14ac:dyDescent="0.3">
      <c r="A22" s="70">
        <f t="shared" si="0"/>
        <v>21</v>
      </c>
      <c r="B22" s="70" t="s">
        <v>46</v>
      </c>
      <c r="C22" s="5" t="s">
        <v>7</v>
      </c>
      <c r="D22" s="70" t="s">
        <v>3</v>
      </c>
      <c r="E22" s="189">
        <v>31.290579866349532</v>
      </c>
    </row>
    <row r="23" spans="1:31" x14ac:dyDescent="0.3">
      <c r="A23" s="70">
        <f t="shared" si="0"/>
        <v>22</v>
      </c>
      <c r="B23" s="70" t="s">
        <v>45</v>
      </c>
      <c r="C23" s="5" t="s">
        <v>9</v>
      </c>
      <c r="D23" s="70" t="s">
        <v>3</v>
      </c>
      <c r="E23" s="189">
        <v>36.020633087090388</v>
      </c>
    </row>
    <row r="24" spans="1:31" x14ac:dyDescent="0.3">
      <c r="A24" s="70">
        <f t="shared" si="0"/>
        <v>23</v>
      </c>
      <c r="B24" s="70" t="s">
        <v>47</v>
      </c>
      <c r="C24" s="5" t="s">
        <v>9</v>
      </c>
      <c r="D24" s="70" t="s">
        <v>3</v>
      </c>
      <c r="E24" s="189">
        <v>33.525581323384515</v>
      </c>
    </row>
    <row r="25" spans="1:31" x14ac:dyDescent="0.3">
      <c r="A25" s="70">
        <f t="shared" si="0"/>
        <v>24</v>
      </c>
      <c r="B25" s="70" t="s">
        <v>46</v>
      </c>
      <c r="C25" s="5" t="s">
        <v>9</v>
      </c>
      <c r="D25" s="70" t="s">
        <v>3</v>
      </c>
      <c r="E25" s="189">
        <v>30.941428320049102</v>
      </c>
    </row>
    <row r="26" spans="1:31" x14ac:dyDescent="0.3">
      <c r="A26" s="70">
        <f t="shared" si="0"/>
        <v>25</v>
      </c>
      <c r="B26" s="70" t="s">
        <v>45</v>
      </c>
      <c r="C26" s="5" t="s">
        <v>8</v>
      </c>
      <c r="D26" s="70" t="s">
        <v>4</v>
      </c>
      <c r="E26" s="189">
        <v>37.787191673113362</v>
      </c>
    </row>
    <row r="27" spans="1:31" x14ac:dyDescent="0.3">
      <c r="A27" s="70">
        <f t="shared" si="0"/>
        <v>26</v>
      </c>
      <c r="B27" s="70" t="s">
        <v>47</v>
      </c>
      <c r="C27" s="5" t="s">
        <v>8</v>
      </c>
      <c r="D27" s="70" t="s">
        <v>4</v>
      </c>
      <c r="E27" s="189">
        <v>35.554351396866778</v>
      </c>
    </row>
    <row r="28" spans="1:31" x14ac:dyDescent="0.3">
      <c r="A28" s="70">
        <f t="shared" si="0"/>
        <v>27</v>
      </c>
      <c r="B28" s="70" t="s">
        <v>46</v>
      </c>
      <c r="C28" s="5" t="s">
        <v>8</v>
      </c>
      <c r="D28" s="70" t="s">
        <v>4</v>
      </c>
      <c r="E28" s="189">
        <v>36.064009951228591</v>
      </c>
    </row>
    <row r="29" spans="1:31" x14ac:dyDescent="0.3">
      <c r="A29" s="70">
        <f t="shared" si="0"/>
        <v>28</v>
      </c>
      <c r="B29" s="70" t="s">
        <v>45</v>
      </c>
      <c r="C29" s="5" t="s">
        <v>10</v>
      </c>
      <c r="D29" s="70" t="s">
        <v>4</v>
      </c>
      <c r="E29" s="189">
        <v>36.929435775725452</v>
      </c>
    </row>
    <row r="30" spans="1:31" x14ac:dyDescent="0.3">
      <c r="A30" s="70">
        <f t="shared" si="0"/>
        <v>29</v>
      </c>
      <c r="B30" s="70" t="s">
        <v>47</v>
      </c>
      <c r="C30" s="5" t="s">
        <v>10</v>
      </c>
      <c r="D30" s="70" t="s">
        <v>4</v>
      </c>
      <c r="E30" s="189">
        <v>34.197401524423427</v>
      </c>
    </row>
    <row r="31" spans="1:31" x14ac:dyDescent="0.3">
      <c r="A31" s="70">
        <f t="shared" si="0"/>
        <v>30</v>
      </c>
      <c r="B31" s="70" t="s">
        <v>46</v>
      </c>
      <c r="C31" s="5" t="s">
        <v>10</v>
      </c>
      <c r="D31" s="70" t="s">
        <v>4</v>
      </c>
      <c r="E31" s="189">
        <v>34.085619237445911</v>
      </c>
    </row>
    <row r="32" spans="1:31" x14ac:dyDescent="0.3">
      <c r="A32" s="70">
        <f t="shared" si="0"/>
        <v>31</v>
      </c>
      <c r="B32" s="70" t="s">
        <v>45</v>
      </c>
      <c r="C32" s="5" t="s">
        <v>7</v>
      </c>
      <c r="D32" s="70" t="s">
        <v>4</v>
      </c>
      <c r="E32" s="189">
        <v>35.094381609870183</v>
      </c>
    </row>
    <row r="33" spans="1:26" x14ac:dyDescent="0.3">
      <c r="A33" s="70">
        <f t="shared" si="0"/>
        <v>32</v>
      </c>
      <c r="B33" s="70" t="s">
        <v>47</v>
      </c>
      <c r="C33" s="5" t="s">
        <v>7</v>
      </c>
      <c r="D33" s="70" t="s">
        <v>4</v>
      </c>
      <c r="E33" s="189">
        <v>33.492005434960895</v>
      </c>
    </row>
    <row r="34" spans="1:26" x14ac:dyDescent="0.3">
      <c r="A34" s="70">
        <f t="shared" si="0"/>
        <v>33</v>
      </c>
      <c r="B34" s="70" t="s">
        <v>46</v>
      </c>
      <c r="C34" s="5" t="s">
        <v>7</v>
      </c>
      <c r="D34" s="70" t="s">
        <v>4</v>
      </c>
      <c r="E34" s="189">
        <v>33.287284585311262</v>
      </c>
    </row>
    <row r="35" spans="1:26" x14ac:dyDescent="0.3">
      <c r="A35" s="70">
        <f t="shared" si="0"/>
        <v>34</v>
      </c>
      <c r="B35" s="70" t="s">
        <v>45</v>
      </c>
      <c r="C35" s="5" t="s">
        <v>9</v>
      </c>
      <c r="D35" s="70" t="s">
        <v>4</v>
      </c>
      <c r="E35" s="189">
        <v>32.511329086374687</v>
      </c>
    </row>
    <row r="36" spans="1:26" x14ac:dyDescent="0.3">
      <c r="A36" s="70">
        <f t="shared" si="0"/>
        <v>35</v>
      </c>
      <c r="B36" s="70" t="s">
        <v>47</v>
      </c>
      <c r="C36" s="5" t="s">
        <v>9</v>
      </c>
      <c r="D36" s="70" t="s">
        <v>4</v>
      </c>
      <c r="E36" s="189">
        <v>29.965598570689131</v>
      </c>
    </row>
    <row r="37" spans="1:26" x14ac:dyDescent="0.3">
      <c r="A37" s="70">
        <f t="shared" si="0"/>
        <v>36</v>
      </c>
      <c r="B37" s="70" t="s">
        <v>46</v>
      </c>
      <c r="C37" s="5" t="s">
        <v>9</v>
      </c>
      <c r="D37" s="70" t="s">
        <v>4</v>
      </c>
      <c r="E37" s="189">
        <v>32.298310412072446</v>
      </c>
    </row>
    <row r="38" spans="1:26" x14ac:dyDescent="0.3">
      <c r="O38" s="202" t="s">
        <v>96</v>
      </c>
      <c r="P38" s="202" t="s">
        <v>2</v>
      </c>
      <c r="Q38" s="204" t="s">
        <v>7</v>
      </c>
      <c r="R38" s="202" t="s">
        <v>8</v>
      </c>
      <c r="S38" s="202" t="s">
        <v>9</v>
      </c>
      <c r="T38" s="202" t="s">
        <v>10</v>
      </c>
      <c r="U38"/>
      <c r="V38" s="202" t="s">
        <v>7</v>
      </c>
      <c r="W38" s="202" t="s">
        <v>8</v>
      </c>
      <c r="X38" s="202" t="s">
        <v>9</v>
      </c>
      <c r="Y38" s="202" t="s">
        <v>10</v>
      </c>
    </row>
    <row r="39" spans="1:26" x14ac:dyDescent="0.3">
      <c r="O39" s="70" t="s">
        <v>47</v>
      </c>
      <c r="P39" s="208" t="s">
        <v>3</v>
      </c>
      <c r="Q39" s="204">
        <f>SUMIFS($E$2:$E$37,$B$2:$B$37,$O39,$C$2:$C$37,Q$2,$D$2:$D$37,$P39)</f>
        <v>33.554419649232436</v>
      </c>
      <c r="R39" s="204">
        <f t="shared" ref="R39:T41" si="5">SUMIFS($E$2:$E$37,$B$2:$B$37,$O39,$C$2:$C$37,R$2,$D$2:$D$37,$P39)</f>
        <v>33.690127911660724</v>
      </c>
      <c r="S39" s="204">
        <f t="shared" si="5"/>
        <v>33.525581323384515</v>
      </c>
      <c r="T39" s="204">
        <f t="shared" si="5"/>
        <v>33.461013759386802</v>
      </c>
      <c r="U39"/>
      <c r="V39" s="206">
        <f>(Q39-Q39)/Q39</f>
        <v>0</v>
      </c>
      <c r="W39" s="206">
        <f>(R39-R39)/R39</f>
        <v>0</v>
      </c>
      <c r="X39" s="206">
        <f>(S39-S39)/S39</f>
        <v>0</v>
      </c>
      <c r="Y39" s="206">
        <f>(T39-T39)/T39</f>
        <v>0</v>
      </c>
      <c r="Z39" s="203"/>
    </row>
    <row r="40" spans="1:26" x14ac:dyDescent="0.3">
      <c r="O40" s="70" t="s">
        <v>47</v>
      </c>
      <c r="P40" s="5" t="s">
        <v>4</v>
      </c>
      <c r="Q40" s="204">
        <f t="shared" ref="Q40:Q41" si="6">SUMIFS($E$2:$E$37,$B$2:$B$37,$O40,$C$2:$C$37,Q$2,$D$2:$D$37,$P40)</f>
        <v>33.492005434960895</v>
      </c>
      <c r="R40" s="204">
        <f t="shared" si="5"/>
        <v>35.554351396866778</v>
      </c>
      <c r="S40" s="204">
        <f t="shared" si="5"/>
        <v>29.965598570689131</v>
      </c>
      <c r="T40" s="204">
        <f t="shared" si="5"/>
        <v>34.197401524423427</v>
      </c>
      <c r="U40"/>
      <c r="V40" s="206">
        <f>(Q40-Q39)/Q39</f>
        <v>-1.8600892199597053E-3</v>
      </c>
      <c r="W40" s="206">
        <f>(R40-R39)/R39</f>
        <v>5.5334413988995711E-2</v>
      </c>
      <c r="X40" s="206">
        <f>(S40-S39)/S39</f>
        <v>-0.10618705514323924</v>
      </c>
      <c r="Y40" s="206">
        <f>(T40-T39)/T39</f>
        <v>2.2007335770872941E-2</v>
      </c>
    </row>
    <row r="41" spans="1:26" x14ac:dyDescent="0.3">
      <c r="O41" s="70" t="s">
        <v>47</v>
      </c>
      <c r="P41" s="5" t="s">
        <v>5</v>
      </c>
      <c r="Q41" s="204">
        <f t="shared" si="6"/>
        <v>31.721584501278191</v>
      </c>
      <c r="R41" s="204">
        <f t="shared" si="5"/>
        <v>34.294190137643632</v>
      </c>
      <c r="S41" s="204">
        <f t="shared" si="5"/>
        <v>28.271615965497645</v>
      </c>
      <c r="T41" s="204">
        <f t="shared" si="5"/>
        <v>32.64655532707836</v>
      </c>
      <c r="U41"/>
      <c r="V41" s="206">
        <f>(Q41-Q39)/Q39</f>
        <v>-5.462276406846369E-2</v>
      </c>
      <c r="W41" s="206">
        <f>(R41-R39)/R39</f>
        <v>1.7929947537356532E-2</v>
      </c>
      <c r="X41" s="206">
        <f>(S41-S39)/S39</f>
        <v>-0.15671511575616326</v>
      </c>
      <c r="Y41" s="206">
        <f>(T41-T39)/T39</f>
        <v>-2.4340518735179145E-2</v>
      </c>
    </row>
    <row r="42" spans="1:26" x14ac:dyDescent="0.3">
      <c r="O42"/>
      <c r="P42"/>
      <c r="Q42" s="203"/>
      <c r="R42" s="203"/>
      <c r="S42" s="203"/>
      <c r="T42" s="203"/>
      <c r="U42"/>
      <c r="V42"/>
      <c r="W42"/>
      <c r="X42"/>
    </row>
    <row r="43" spans="1:26" x14ac:dyDescent="0.3">
      <c r="O43" s="202" t="s">
        <v>96</v>
      </c>
      <c r="P43" s="202" t="s">
        <v>2</v>
      </c>
      <c r="Q43" s="204" t="s">
        <v>7</v>
      </c>
      <c r="R43" s="204" t="s">
        <v>8</v>
      </c>
      <c r="S43" s="204" t="s">
        <v>9</v>
      </c>
      <c r="T43" s="204" t="s">
        <v>10</v>
      </c>
      <c r="U43"/>
      <c r="V43" s="202" t="s">
        <v>7</v>
      </c>
      <c r="W43" s="202" t="s">
        <v>8</v>
      </c>
      <c r="X43" s="202" t="s">
        <v>9</v>
      </c>
      <c r="Y43" s="202" t="s">
        <v>10</v>
      </c>
    </row>
    <row r="44" spans="1:26" x14ac:dyDescent="0.3">
      <c r="O44" s="70" t="s">
        <v>46</v>
      </c>
      <c r="P44" s="208" t="s">
        <v>3</v>
      </c>
      <c r="Q44" s="204">
        <f t="shared" ref="Q44:T46" si="7">SUMIFS($E$2:$E$37,$B$2:$B$37,$O44,$C$2:$C$37,Q$7,$D$2:$D$37,$P44)</f>
        <v>31.290579866349532</v>
      </c>
      <c r="R44" s="204">
        <f t="shared" si="7"/>
        <v>32.186585945051583</v>
      </c>
      <c r="S44" s="204">
        <f t="shared" si="7"/>
        <v>30.941428320049102</v>
      </c>
      <c r="T44" s="204">
        <f t="shared" si="7"/>
        <v>32.208917382786055</v>
      </c>
      <c r="U44"/>
      <c r="V44" s="206">
        <f>(Q44-Q44)/Q44</f>
        <v>0</v>
      </c>
      <c r="W44" s="206">
        <f>(R44-R44)/R44</f>
        <v>0</v>
      </c>
      <c r="X44" s="206">
        <f>(S44-S44)/S44</f>
        <v>0</v>
      </c>
      <c r="Y44" s="206">
        <f>(T44-T44)/T44</f>
        <v>0</v>
      </c>
    </row>
    <row r="45" spans="1:26" x14ac:dyDescent="0.3">
      <c r="O45" s="70" t="s">
        <v>46</v>
      </c>
      <c r="P45" s="5" t="s">
        <v>4</v>
      </c>
      <c r="Q45" s="204">
        <f t="shared" si="7"/>
        <v>33.287284585311262</v>
      </c>
      <c r="R45" s="204">
        <f t="shared" si="7"/>
        <v>36.064009951228591</v>
      </c>
      <c r="S45" s="204">
        <f t="shared" si="7"/>
        <v>32.298310412072446</v>
      </c>
      <c r="T45" s="204">
        <f t="shared" si="7"/>
        <v>34.085619237445911</v>
      </c>
      <c r="V45" s="206">
        <f>(Q45-Q44)/Q44</f>
        <v>6.3811687974150447E-2</v>
      </c>
      <c r="W45" s="206">
        <f>(R45-R44)/R44</f>
        <v>0.12046707944721083</v>
      </c>
      <c r="X45" s="206">
        <f>(S45-S44)/S44</f>
        <v>4.3853246785770586E-2</v>
      </c>
      <c r="Y45" s="206">
        <f>(T45-T44)/T44</f>
        <v>5.8266530115130576E-2</v>
      </c>
    </row>
    <row r="46" spans="1:26" x14ac:dyDescent="0.3">
      <c r="O46" s="70" t="s">
        <v>46</v>
      </c>
      <c r="P46" s="5" t="s">
        <v>5</v>
      </c>
      <c r="Q46" s="204">
        <f t="shared" si="7"/>
        <v>32.581626537474172</v>
      </c>
      <c r="R46" s="204">
        <f t="shared" si="7"/>
        <v>36.629688136245413</v>
      </c>
      <c r="S46" s="204">
        <f t="shared" si="7"/>
        <v>31.989382126166316</v>
      </c>
      <c r="T46" s="204">
        <f t="shared" si="7"/>
        <v>35.508624944430203</v>
      </c>
      <c r="V46" s="206">
        <f>(Q46-Q44)/Q44</f>
        <v>4.1259915176997265E-2</v>
      </c>
      <c r="W46" s="206">
        <f>(R46-R44)/R44</f>
        <v>0.13804204642204124</v>
      </c>
      <c r="X46" s="206">
        <f>(S46-S44)/S44</f>
        <v>3.3868953794811453E-2</v>
      </c>
      <c r="Y46" s="206">
        <f>(T46-T44)/T44</f>
        <v>0.10244701870692696</v>
      </c>
    </row>
    <row r="47" spans="1:26" x14ac:dyDescent="0.3">
      <c r="O47"/>
      <c r="P47"/>
      <c r="Q47" s="203"/>
      <c r="R47" s="203"/>
      <c r="S47" s="203"/>
      <c r="T47" s="203"/>
    </row>
    <row r="48" spans="1:26" x14ac:dyDescent="0.3">
      <c r="O48" s="202" t="s">
        <v>96</v>
      </c>
      <c r="P48" s="202" t="s">
        <v>2</v>
      </c>
      <c r="Q48" s="204" t="s">
        <v>7</v>
      </c>
      <c r="R48" s="204" t="s">
        <v>8</v>
      </c>
      <c r="S48" s="204" t="s">
        <v>9</v>
      </c>
      <c r="T48" s="204" t="s">
        <v>10</v>
      </c>
      <c r="V48" s="202" t="s">
        <v>7</v>
      </c>
      <c r="W48" s="202" t="s">
        <v>8</v>
      </c>
      <c r="X48" s="202" t="s">
        <v>9</v>
      </c>
      <c r="Y48" s="202" t="s">
        <v>10</v>
      </c>
    </row>
    <row r="49" spans="15:31" x14ac:dyDescent="0.3">
      <c r="O49" s="70" t="s">
        <v>45</v>
      </c>
      <c r="P49" s="208" t="s">
        <v>3</v>
      </c>
      <c r="Q49" s="204">
        <f t="shared" ref="Q49:T51" si="8">SUMIFS($E$2:$E$37,$B$2:$B$37,$O49,$C$2:$C$37,Q$12,$D$2:$D$37,$P49)</f>
        <v>34.717576913342569</v>
      </c>
      <c r="R49" s="204">
        <f t="shared" si="8"/>
        <v>35.34473089999549</v>
      </c>
      <c r="S49" s="204">
        <f t="shared" si="8"/>
        <v>36.020633087090388</v>
      </c>
      <c r="T49" s="204">
        <f t="shared" si="8"/>
        <v>35.895693392587276</v>
      </c>
      <c r="V49" s="206">
        <f>(Q49-Q49)/Q49</f>
        <v>0</v>
      </c>
      <c r="W49" s="206">
        <f>(R49-R49)/R49</f>
        <v>0</v>
      </c>
      <c r="X49" s="206">
        <f>(S49-S49)/S49</f>
        <v>0</v>
      </c>
      <c r="Y49" s="206">
        <f>(T49-T49)/T49</f>
        <v>0</v>
      </c>
    </row>
    <row r="50" spans="15:31" x14ac:dyDescent="0.3">
      <c r="O50" s="70" t="s">
        <v>45</v>
      </c>
      <c r="P50" s="5" t="s">
        <v>4</v>
      </c>
      <c r="Q50" s="204">
        <f t="shared" si="8"/>
        <v>35.094381609870183</v>
      </c>
      <c r="R50" s="204">
        <f t="shared" si="8"/>
        <v>37.787191673113362</v>
      </c>
      <c r="S50" s="204">
        <f t="shared" si="8"/>
        <v>32.511329086374687</v>
      </c>
      <c r="T50" s="204">
        <f t="shared" si="8"/>
        <v>36.929435775725452</v>
      </c>
      <c r="V50" s="206">
        <f>(Q50-Q49)/Q49</f>
        <v>1.085342728463292E-2</v>
      </c>
      <c r="W50" s="206">
        <f>(R50-R49)/R49</f>
        <v>6.9103957249768852E-2</v>
      </c>
      <c r="X50" s="206">
        <f>(S50-S49)/S49</f>
        <v>-9.7424828492906693E-2</v>
      </c>
      <c r="Y50" s="206">
        <f>(T50-T49)/T49</f>
        <v>2.8798507158846274E-2</v>
      </c>
    </row>
    <row r="51" spans="15:31" x14ac:dyDescent="0.3">
      <c r="O51" s="70" t="s">
        <v>45</v>
      </c>
      <c r="P51" s="5" t="s">
        <v>5</v>
      </c>
      <c r="Q51" s="204">
        <f t="shared" si="8"/>
        <v>34.343672254870633</v>
      </c>
      <c r="R51" s="204">
        <f t="shared" si="8"/>
        <v>37.250711591964709</v>
      </c>
      <c r="S51" s="204">
        <f t="shared" si="8"/>
        <v>32.04420822618922</v>
      </c>
      <c r="T51" s="204">
        <f t="shared" si="8"/>
        <v>35.944145340813179</v>
      </c>
      <c r="V51" s="206">
        <f>(Q51-Q49)/Q49</f>
        <v>-1.0769895013273178E-2</v>
      </c>
      <c r="W51" s="206">
        <f>(R51-R49)/R49</f>
        <v>5.3925454896290144E-2</v>
      </c>
      <c r="X51" s="206">
        <f>(S51-S49)/S49</f>
        <v>-0.11039297536184335</v>
      </c>
      <c r="Y51" s="206">
        <f>(T51-T49)/T49</f>
        <v>1.3497983642770037E-3</v>
      </c>
    </row>
    <row r="52" spans="15:31" x14ac:dyDescent="0.3">
      <c r="O52"/>
      <c r="P52"/>
      <c r="Q52"/>
    </row>
    <row r="53" spans="15:31" x14ac:dyDescent="0.3">
      <c r="O53" s="181" t="str">
        <f>"Sensitivity - "&amp;O39&amp;" , "&amp;"Base Case - Strategic Planning"</f>
        <v>Sensitivity - StreamLine-eGLTM , Base Case - Strategic Planning</v>
      </c>
      <c r="P53"/>
      <c r="Q53"/>
      <c r="V53" s="181" t="str">
        <f>"Sensitivity - "&amp;O44&amp;" , "&amp;"Base Case - Strategic Planning"</f>
        <v>Sensitivity - StreamLine-MaDAM , Base Case - Strategic Planning</v>
      </c>
      <c r="AE53" s="181" t="str">
        <f>"Sensitivity - "&amp;O49&amp;" , "&amp;"Base Case - Strategic Planning"</f>
        <v>Sensitivity - MARPLE , Base Case - Strategic Planning</v>
      </c>
    </row>
    <row r="54" spans="15:31" x14ac:dyDescent="0.3">
      <c r="O54"/>
      <c r="P54"/>
      <c r="Q54"/>
    </row>
    <row r="55" spans="15:31" x14ac:dyDescent="0.3">
      <c r="O55"/>
      <c r="P55"/>
      <c r="Q55"/>
    </row>
  </sheetData>
  <autoFilter ref="A1:E1" xr:uid="{843611CF-67F0-4562-987E-263822ED889F}"/>
  <pageMargins left="0.7" right="0.7" top="0.75" bottom="0.75" header="0.3" footer="0.3"/>
  <pageSetup paperSize="9" orientation="portrait" r:id="rId2"/>
  <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D1592-36F0-4276-ABB8-398BD9B6C213}">
  <sheetPr>
    <tabColor rgb="FF0070C0"/>
  </sheetPr>
  <dimension ref="A1:L36"/>
  <sheetViews>
    <sheetView topLeftCell="A15" zoomScale="115" zoomScaleNormal="115" workbookViewId="0">
      <selection activeCell="B18" sqref="B18"/>
    </sheetView>
  </sheetViews>
  <sheetFormatPr defaultRowHeight="14.4" x14ac:dyDescent="0.3"/>
  <cols>
    <col min="1" max="1" width="8.88671875" style="11"/>
    <col min="2" max="2" width="34" style="11" bestFit="1" customWidth="1"/>
    <col min="3" max="3" width="34" style="24" customWidth="1"/>
    <col min="4" max="4" width="85.33203125" style="2" customWidth="1"/>
    <col min="5" max="5" width="40.44140625" style="2" customWidth="1"/>
    <col min="6" max="6" width="33.33203125" customWidth="1"/>
    <col min="8" max="8" width="8.88671875" style="11"/>
    <col min="9" max="9" width="68.33203125" style="7" customWidth="1"/>
  </cols>
  <sheetData>
    <row r="1" spans="1:12" s="19" customFormat="1" ht="28.8" x14ac:dyDescent="0.3">
      <c r="A1" s="25" t="s">
        <v>95</v>
      </c>
      <c r="B1" s="25" t="s">
        <v>106</v>
      </c>
      <c r="C1" s="25" t="s">
        <v>107</v>
      </c>
      <c r="D1" s="25" t="s">
        <v>108</v>
      </c>
      <c r="E1" s="25" t="s">
        <v>109</v>
      </c>
      <c r="H1" s="20"/>
      <c r="I1" s="21"/>
    </row>
    <row r="2" spans="1:12" ht="86.4" x14ac:dyDescent="0.3">
      <c r="A2" s="8"/>
      <c r="B2" s="6" t="s">
        <v>110</v>
      </c>
      <c r="C2" s="13"/>
      <c r="D2" s="13" t="s">
        <v>111</v>
      </c>
      <c r="E2" s="8" t="s">
        <v>112</v>
      </c>
      <c r="I2" s="12" t="s">
        <v>113</v>
      </c>
    </row>
    <row r="3" spans="1:12" ht="57.6" x14ac:dyDescent="0.3">
      <c r="A3" s="8">
        <v>1</v>
      </c>
      <c r="B3" s="17" t="s">
        <v>114</v>
      </c>
      <c r="C3" s="17" t="s">
        <v>13</v>
      </c>
      <c r="D3" s="17" t="s">
        <v>115</v>
      </c>
      <c r="E3" s="49"/>
    </row>
    <row r="4" spans="1:12" ht="72" x14ac:dyDescent="0.3">
      <c r="A4" s="8">
        <f>A3+1</f>
        <v>2</v>
      </c>
      <c r="B4" s="17" t="s">
        <v>116</v>
      </c>
      <c r="C4" s="17" t="s">
        <v>13</v>
      </c>
      <c r="D4" s="17" t="s">
        <v>117</v>
      </c>
      <c r="E4" s="8"/>
      <c r="H4" s="2">
        <v>1</v>
      </c>
      <c r="I4" s="9" t="s">
        <v>118</v>
      </c>
    </row>
    <row r="5" spans="1:12" ht="43.2" x14ac:dyDescent="0.3">
      <c r="A5" s="8">
        <f t="shared" ref="A5:A9" si="0">A4+1</f>
        <v>3</v>
      </c>
      <c r="B5" s="17" t="s">
        <v>119</v>
      </c>
      <c r="C5" s="17" t="s">
        <v>13</v>
      </c>
      <c r="D5" s="17" t="s">
        <v>120</v>
      </c>
      <c r="E5" s="8" t="s">
        <v>121</v>
      </c>
      <c r="H5" s="2">
        <f>+H4+1</f>
        <v>2</v>
      </c>
      <c r="I5" s="9" t="s">
        <v>122</v>
      </c>
    </row>
    <row r="6" spans="1:12" ht="86.4" x14ac:dyDescent="0.3">
      <c r="A6" s="8">
        <f t="shared" si="0"/>
        <v>4</v>
      </c>
      <c r="B6" s="17" t="s">
        <v>123</v>
      </c>
      <c r="C6" s="17" t="s">
        <v>14</v>
      </c>
      <c r="D6" s="17" t="s">
        <v>124</v>
      </c>
      <c r="E6" s="8" t="s">
        <v>125</v>
      </c>
      <c r="H6" s="2">
        <f t="shared" ref="H6:H11" si="1">+H5+1</f>
        <v>3</v>
      </c>
      <c r="I6" s="9" t="s">
        <v>126</v>
      </c>
    </row>
    <row r="7" spans="1:12" ht="86.4" x14ac:dyDescent="0.3">
      <c r="A7" s="8">
        <f t="shared" si="0"/>
        <v>5</v>
      </c>
      <c r="B7" s="17" t="s">
        <v>127</v>
      </c>
      <c r="C7" s="17" t="s">
        <v>14</v>
      </c>
      <c r="D7" s="17" t="s">
        <v>128</v>
      </c>
      <c r="E7" s="8" t="s">
        <v>125</v>
      </c>
      <c r="H7" s="2">
        <f t="shared" si="1"/>
        <v>4</v>
      </c>
      <c r="I7" s="9" t="s">
        <v>129</v>
      </c>
    </row>
    <row r="8" spans="1:12" ht="28.8" x14ac:dyDescent="0.3">
      <c r="A8" s="8">
        <f t="shared" si="0"/>
        <v>6</v>
      </c>
      <c r="B8" s="17" t="s">
        <v>130</v>
      </c>
      <c r="C8" s="17" t="s">
        <v>15</v>
      </c>
      <c r="D8" s="17" t="s">
        <v>131</v>
      </c>
      <c r="E8" s="8"/>
      <c r="H8" s="2">
        <f>+H7+1</f>
        <v>5</v>
      </c>
      <c r="I8" s="9" t="s">
        <v>132</v>
      </c>
    </row>
    <row r="9" spans="1:12" ht="43.2" x14ac:dyDescent="0.3">
      <c r="A9" s="8">
        <f t="shared" si="0"/>
        <v>7</v>
      </c>
      <c r="B9" s="17" t="s">
        <v>133</v>
      </c>
      <c r="C9" s="17" t="s">
        <v>15</v>
      </c>
      <c r="D9" s="17" t="s">
        <v>134</v>
      </c>
      <c r="E9" s="8" t="s">
        <v>135</v>
      </c>
    </row>
    <row r="10" spans="1:12" ht="28.8" x14ac:dyDescent="0.3">
      <c r="A10" s="8"/>
      <c r="B10" s="6" t="s">
        <v>136</v>
      </c>
      <c r="C10" s="13"/>
      <c r="D10" s="13" t="s">
        <v>137</v>
      </c>
      <c r="E10" s="8" t="s">
        <v>138</v>
      </c>
      <c r="H10" s="2">
        <f>+H8+1</f>
        <v>6</v>
      </c>
      <c r="I10" s="9" t="s">
        <v>139</v>
      </c>
    </row>
    <row r="11" spans="1:12" ht="86.4" customHeight="1" x14ac:dyDescent="0.3">
      <c r="A11" s="8">
        <f>+A9+1</f>
        <v>8</v>
      </c>
      <c r="B11" s="17" t="s">
        <v>140</v>
      </c>
      <c r="C11" s="17" t="s">
        <v>14</v>
      </c>
      <c r="D11" s="17" t="s">
        <v>141</v>
      </c>
      <c r="E11" s="8" t="s">
        <v>142</v>
      </c>
      <c r="F11" s="222" t="s">
        <v>143</v>
      </c>
      <c r="H11" s="2">
        <f t="shared" si="1"/>
        <v>7</v>
      </c>
      <c r="I11" s="9" t="s">
        <v>144</v>
      </c>
    </row>
    <row r="12" spans="1:12" x14ac:dyDescent="0.3">
      <c r="A12" s="8"/>
      <c r="B12" s="6" t="s">
        <v>145</v>
      </c>
      <c r="C12" s="13"/>
      <c r="D12" s="13" t="s">
        <v>146</v>
      </c>
      <c r="E12" s="8"/>
      <c r="F12" s="222"/>
      <c r="G12" s="2"/>
      <c r="H12" s="2"/>
      <c r="I12"/>
      <c r="K12" s="11"/>
      <c r="L12" s="7"/>
    </row>
    <row r="13" spans="1:12" ht="28.8" x14ac:dyDescent="0.3">
      <c r="A13" s="8">
        <f>+A11+1</f>
        <v>9</v>
      </c>
      <c r="B13" s="17" t="s">
        <v>147</v>
      </c>
      <c r="C13" s="17" t="s">
        <v>15</v>
      </c>
      <c r="D13" s="17" t="s">
        <v>148</v>
      </c>
      <c r="E13" s="8"/>
      <c r="F13" s="53"/>
    </row>
    <row r="14" spans="1:12" ht="28.8" x14ac:dyDescent="0.3">
      <c r="A14" s="8">
        <f>A13+1</f>
        <v>10</v>
      </c>
      <c r="B14" s="17" t="s">
        <v>149</v>
      </c>
      <c r="C14" s="17" t="s">
        <v>15</v>
      </c>
      <c r="D14" s="17" t="s">
        <v>150</v>
      </c>
      <c r="E14" s="8"/>
      <c r="F14" s="53"/>
      <c r="H14" s="2"/>
      <c r="I14" s="16" t="s">
        <v>151</v>
      </c>
    </row>
    <row r="15" spans="1:12" ht="57.6" x14ac:dyDescent="0.3">
      <c r="A15" s="8"/>
      <c r="B15" s="6" t="s">
        <v>152</v>
      </c>
      <c r="C15" s="13"/>
      <c r="D15" s="13" t="s">
        <v>153</v>
      </c>
      <c r="E15" s="8" t="s">
        <v>154</v>
      </c>
    </row>
    <row r="16" spans="1:12" ht="28.8" x14ac:dyDescent="0.3">
      <c r="A16" s="8">
        <f>+A14+1</f>
        <v>11</v>
      </c>
      <c r="B16" s="17" t="s">
        <v>155</v>
      </c>
      <c r="C16" s="17" t="s">
        <v>13</v>
      </c>
      <c r="D16" s="17" t="s">
        <v>156</v>
      </c>
      <c r="E16" s="8"/>
      <c r="H16" s="11">
        <v>1</v>
      </c>
      <c r="I16" s="7" t="s">
        <v>157</v>
      </c>
    </row>
    <row r="17" spans="1:9" ht="43.2" x14ac:dyDescent="0.3">
      <c r="A17" s="8">
        <f>+A16+1</f>
        <v>12</v>
      </c>
      <c r="B17" s="17" t="s">
        <v>158</v>
      </c>
      <c r="C17" s="17" t="s">
        <v>13</v>
      </c>
      <c r="D17" s="17" t="s">
        <v>159</v>
      </c>
      <c r="E17" s="8"/>
      <c r="H17" s="11">
        <v>2</v>
      </c>
      <c r="I17" s="7" t="s">
        <v>160</v>
      </c>
    </row>
    <row r="18" spans="1:9" ht="43.2" x14ac:dyDescent="0.3">
      <c r="A18" s="8">
        <f t="shared" ref="A18:A23" si="2">+A17+1</f>
        <v>13</v>
      </c>
      <c r="B18" s="17" t="s">
        <v>161</v>
      </c>
      <c r="C18" s="17" t="s">
        <v>13</v>
      </c>
      <c r="D18" s="17" t="s">
        <v>162</v>
      </c>
      <c r="E18" s="8"/>
      <c r="H18" s="2">
        <v>3</v>
      </c>
      <c r="I18" s="9" t="s">
        <v>163</v>
      </c>
    </row>
    <row r="19" spans="1:9" ht="28.8" x14ac:dyDescent="0.3">
      <c r="A19" s="8">
        <f t="shared" si="2"/>
        <v>14</v>
      </c>
      <c r="B19" s="17" t="s">
        <v>164</v>
      </c>
      <c r="C19" s="17" t="s">
        <v>13</v>
      </c>
      <c r="D19" s="17" t="s">
        <v>165</v>
      </c>
      <c r="E19" s="8"/>
    </row>
    <row r="20" spans="1:9" ht="28.8" x14ac:dyDescent="0.3">
      <c r="A20" s="8">
        <f t="shared" si="2"/>
        <v>15</v>
      </c>
      <c r="B20" s="17" t="s">
        <v>166</v>
      </c>
      <c r="C20" s="17" t="s">
        <v>13</v>
      </c>
      <c r="D20" s="17" t="s">
        <v>167</v>
      </c>
      <c r="E20" s="8"/>
    </row>
    <row r="21" spans="1:9" ht="28.8" x14ac:dyDescent="0.3">
      <c r="A21" s="8">
        <f t="shared" si="2"/>
        <v>16</v>
      </c>
      <c r="B21" s="17" t="s">
        <v>168</v>
      </c>
      <c r="C21" s="17" t="s">
        <v>13</v>
      </c>
      <c r="D21" s="17" t="s">
        <v>169</v>
      </c>
      <c r="E21" s="8"/>
    </row>
    <row r="22" spans="1:9" ht="28.8" x14ac:dyDescent="0.3">
      <c r="A22" s="8">
        <f t="shared" si="2"/>
        <v>17</v>
      </c>
      <c r="B22" s="17" t="s">
        <v>170</v>
      </c>
      <c r="C22" s="17" t="s">
        <v>13</v>
      </c>
      <c r="D22" s="17" t="s">
        <v>171</v>
      </c>
      <c r="E22" s="8"/>
    </row>
    <row r="23" spans="1:9" ht="43.2" x14ac:dyDescent="0.3">
      <c r="A23" s="8">
        <f t="shared" si="2"/>
        <v>18</v>
      </c>
      <c r="B23" s="17" t="s">
        <v>172</v>
      </c>
      <c r="C23" s="17" t="s">
        <v>13</v>
      </c>
      <c r="D23" s="17" t="s">
        <v>173</v>
      </c>
      <c r="E23" s="8"/>
    </row>
    <row r="24" spans="1:9" ht="28.8" x14ac:dyDescent="0.3">
      <c r="A24" s="8"/>
      <c r="B24" s="6" t="s">
        <v>174</v>
      </c>
      <c r="C24" s="23"/>
      <c r="D24" s="8"/>
      <c r="E24" s="8"/>
    </row>
    <row r="25" spans="1:9" ht="72" x14ac:dyDescent="0.3">
      <c r="A25" s="8">
        <f>A23+1</f>
        <v>19</v>
      </c>
      <c r="B25" s="17" t="s">
        <v>175</v>
      </c>
      <c r="C25" s="17" t="s">
        <v>13</v>
      </c>
      <c r="D25" s="17" t="s">
        <v>176</v>
      </c>
      <c r="E25" s="8" t="s">
        <v>177</v>
      </c>
    </row>
    <row r="26" spans="1:9" ht="28.8" x14ac:dyDescent="0.3">
      <c r="A26" s="8"/>
      <c r="B26" s="6" t="s">
        <v>178</v>
      </c>
      <c r="C26" s="13"/>
      <c r="D26" s="13" t="s">
        <v>179</v>
      </c>
      <c r="E26" s="8"/>
    </row>
    <row r="27" spans="1:9" x14ac:dyDescent="0.3">
      <c r="A27" s="8">
        <f>+A25+1</f>
        <v>20</v>
      </c>
      <c r="B27" s="17" t="s">
        <v>180</v>
      </c>
      <c r="C27" s="17" t="s">
        <v>14</v>
      </c>
      <c r="D27" s="49" t="s">
        <v>181</v>
      </c>
      <c r="E27" s="8"/>
    </row>
    <row r="28" spans="1:9" x14ac:dyDescent="0.3">
      <c r="A28" s="8">
        <f>A27+1</f>
        <v>21</v>
      </c>
      <c r="B28" s="17" t="s">
        <v>182</v>
      </c>
      <c r="C28" s="17" t="s">
        <v>14</v>
      </c>
      <c r="D28" s="49" t="s">
        <v>183</v>
      </c>
      <c r="E28" s="8"/>
    </row>
    <row r="29" spans="1:9" ht="72" x14ac:dyDescent="0.3">
      <c r="A29" s="8"/>
      <c r="B29" s="38" t="s">
        <v>184</v>
      </c>
      <c r="C29" s="54"/>
      <c r="D29" s="13" t="s">
        <v>185</v>
      </c>
      <c r="E29" s="8" t="s">
        <v>186</v>
      </c>
    </row>
    <row r="30" spans="1:9" ht="28.8" x14ac:dyDescent="0.3">
      <c r="A30" s="5">
        <f>+A28+1</f>
        <v>22</v>
      </c>
      <c r="B30" s="17" t="s">
        <v>31</v>
      </c>
      <c r="C30" s="17" t="s">
        <v>13</v>
      </c>
      <c r="D30" s="17" t="s">
        <v>187</v>
      </c>
      <c r="E30" s="5"/>
    </row>
    <row r="31" spans="1:9" ht="28.8" x14ac:dyDescent="0.3">
      <c r="A31" s="5">
        <f t="shared" ref="A31:A36" si="3">+A30+1</f>
        <v>23</v>
      </c>
      <c r="B31" s="17" t="s">
        <v>33</v>
      </c>
      <c r="C31" s="17" t="s">
        <v>13</v>
      </c>
      <c r="D31" s="17" t="s">
        <v>188</v>
      </c>
      <c r="E31" s="5"/>
    </row>
    <row r="32" spans="1:9" x14ac:dyDescent="0.3">
      <c r="A32" s="5">
        <f t="shared" si="3"/>
        <v>24</v>
      </c>
      <c r="B32" s="17" t="s">
        <v>35</v>
      </c>
      <c r="C32" s="17" t="s">
        <v>13</v>
      </c>
      <c r="D32" s="17" t="s">
        <v>189</v>
      </c>
      <c r="E32" s="5"/>
    </row>
    <row r="33" spans="1:5" x14ac:dyDescent="0.3">
      <c r="A33" s="5">
        <f t="shared" si="3"/>
        <v>25</v>
      </c>
      <c r="B33" s="17" t="s">
        <v>37</v>
      </c>
      <c r="C33" s="17" t="s">
        <v>13</v>
      </c>
      <c r="D33" s="17" t="s">
        <v>190</v>
      </c>
      <c r="E33" s="5"/>
    </row>
    <row r="34" spans="1:5" x14ac:dyDescent="0.3">
      <c r="A34" s="5">
        <f t="shared" si="3"/>
        <v>26</v>
      </c>
      <c r="B34" s="17" t="s">
        <v>39</v>
      </c>
      <c r="C34" s="17" t="s">
        <v>13</v>
      </c>
      <c r="D34" s="17" t="s">
        <v>191</v>
      </c>
      <c r="E34" s="5"/>
    </row>
    <row r="35" spans="1:5" ht="28.8" x14ac:dyDescent="0.3">
      <c r="A35" s="5">
        <f t="shared" si="3"/>
        <v>27</v>
      </c>
      <c r="B35" s="17" t="s">
        <v>41</v>
      </c>
      <c r="C35" s="17" t="s">
        <v>13</v>
      </c>
      <c r="D35" s="17" t="s">
        <v>192</v>
      </c>
      <c r="E35" s="5"/>
    </row>
    <row r="36" spans="1:5" ht="28.8" x14ac:dyDescent="0.3">
      <c r="A36" s="5">
        <f t="shared" si="3"/>
        <v>28</v>
      </c>
      <c r="B36" s="17" t="s">
        <v>43</v>
      </c>
      <c r="C36" s="17" t="s">
        <v>13</v>
      </c>
      <c r="D36" s="17" t="s">
        <v>193</v>
      </c>
      <c r="E36" s="5"/>
    </row>
  </sheetData>
  <autoFilter ref="A1:E25" xr:uid="{59DC002E-58EC-4952-9126-1A55747499AA}"/>
  <mergeCells count="1">
    <mergeCell ref="F11:F12"/>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5704E47FA404F4A87A520E6F7659D88" ma:contentTypeVersion="13" ma:contentTypeDescription="Een nieuw document maken." ma:contentTypeScope="" ma:versionID="c28eae86674e758b2572b2d9c124172c">
  <xsd:schema xmlns:xsd="http://www.w3.org/2001/XMLSchema" xmlns:xs="http://www.w3.org/2001/XMLSchema" xmlns:p="http://schemas.microsoft.com/office/2006/metadata/properties" xmlns:ns3="9d69297e-afc3-4e8b-9801-7af681c7214e" xmlns:ns4="78da6b1b-92ec-4bb6-aff1-ca667b17bdcf" targetNamespace="http://schemas.microsoft.com/office/2006/metadata/properties" ma:root="true" ma:fieldsID="b264d33b7245bf86413fbbac2546e5c5" ns3:_="" ns4:_="">
    <xsd:import namespace="9d69297e-afc3-4e8b-9801-7af681c7214e"/>
    <xsd:import namespace="78da6b1b-92ec-4bb6-aff1-ca667b17bdcf"/>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LengthInSeconds"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69297e-afc3-4e8b-9801-7af681c721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8da6b1b-92ec-4bb6-aff1-ca667b17bdcf"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element name="SharingHintHash" ma:index="12" nillable="true" ma:displayName="Hint-hash dele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7EB4644-0B5C-42FB-9B6B-D43271A2A569}">
  <ds:schemaRefs>
    <ds:schemaRef ds:uri="http://schemas.microsoft.com/sharepoint/v3/contenttype/forms"/>
  </ds:schemaRefs>
</ds:datastoreItem>
</file>

<file path=customXml/itemProps2.xml><?xml version="1.0" encoding="utf-8"?>
<ds:datastoreItem xmlns:ds="http://schemas.openxmlformats.org/officeDocument/2006/customXml" ds:itemID="{6552AF97-3043-4716-9BC9-20D2DB50AE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69297e-afc3-4e8b-9801-7af681c7214e"/>
    <ds:schemaRef ds:uri="78da6b1b-92ec-4bb6-aff1-ca667b17bd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1A20D9-F436-428F-8425-AC0DDAD5382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Info</vt:lpstr>
      <vt:lpstr>EMMa</vt:lpstr>
      <vt:lpstr>Visualization</vt:lpstr>
      <vt:lpstr>Score_summary</vt:lpstr>
      <vt:lpstr>EMMa_vis</vt:lpstr>
      <vt:lpstr>Visualization_Average</vt:lpstr>
      <vt:lpstr>Score_summary_Average (2)</vt:lpstr>
      <vt:lpstr>Score_summary_Average</vt:lpstr>
      <vt:lpstr>MOPs</vt:lpstr>
      <vt:lpstr>Standardization</vt:lpstr>
      <vt:lpstr>Weights1</vt:lpstr>
      <vt:lpstr>KPIs with comments</vt:lpstr>
      <vt:lpstr>Therotical model testing</vt:lpstr>
      <vt:lpstr>Sheet1</vt:lpstr>
      <vt:lpstr>Next Steps_1st review</vt:lpstr>
      <vt:lpstr>Agenda for the meeting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Aswin Menon N</dc:creator>
  <cp:keywords/>
  <dc:description/>
  <cp:lastModifiedBy>Aswin Menon N</cp:lastModifiedBy>
  <cp:revision/>
  <dcterms:created xsi:type="dcterms:W3CDTF">2021-03-14T16:05:12Z</dcterms:created>
  <dcterms:modified xsi:type="dcterms:W3CDTF">2021-12-10T18:59:12Z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0x01010015704E47FA404F4A87A520E6F7659D88</vt:lpwstr>
  </property>
</Properties>
</file>