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8" windowWidth="14808" windowHeight="7536" activeTab="1"/>
  </bookViews>
  <sheets>
    <sheet name="Risk_Estimation" sheetId="9" r:id="rId1"/>
    <sheet name="Output_Data" sheetId="10" r:id="rId2"/>
  </sheets>
  <calcPr calcId="145621"/>
</workbook>
</file>

<file path=xl/calcChain.xml><?xml version="1.0" encoding="utf-8"?>
<calcChain xmlns="http://schemas.openxmlformats.org/spreadsheetml/2006/main">
  <c r="E10" i="10" l="1"/>
  <c r="E11" i="10"/>
  <c r="E12" i="10"/>
  <c r="E9" i="10"/>
  <c r="D10" i="10"/>
  <c r="D11" i="10"/>
  <c r="D12" i="10"/>
  <c r="D9" i="10"/>
  <c r="C10" i="10"/>
  <c r="C11" i="10"/>
  <c r="C12" i="10"/>
  <c r="C9" i="10"/>
  <c r="E4" i="10"/>
  <c r="E5" i="10"/>
  <c r="E6" i="10"/>
  <c r="E3" i="10"/>
  <c r="D4" i="10"/>
  <c r="D5" i="10"/>
  <c r="D6" i="10"/>
  <c r="D3" i="10"/>
  <c r="C6" i="10"/>
  <c r="C4" i="10"/>
  <c r="C5" i="10"/>
  <c r="C3" i="10"/>
  <c r="R16" i="9"/>
  <c r="Q16" i="9"/>
  <c r="R15" i="9"/>
  <c r="Q15" i="9"/>
  <c r="R14" i="9"/>
  <c r="Q14" i="9"/>
  <c r="R13" i="9"/>
  <c r="Q13" i="9"/>
  <c r="R24" i="9"/>
  <c r="Q24" i="9"/>
  <c r="R23" i="9"/>
  <c r="Q23" i="9"/>
  <c r="R22" i="9"/>
  <c r="Q22" i="9"/>
  <c r="R21" i="9"/>
  <c r="Q21" i="9"/>
  <c r="R20" i="9"/>
  <c r="Q20" i="9"/>
  <c r="R12" i="9"/>
  <c r="Q12" i="9"/>
  <c r="R6" i="9"/>
  <c r="R7" i="9"/>
  <c r="R8" i="9"/>
  <c r="R5" i="9"/>
  <c r="Q6" i="9"/>
  <c r="Q7" i="9"/>
  <c r="Q8" i="9"/>
  <c r="Q5" i="9"/>
  <c r="R9" i="9" l="1"/>
  <c r="Q9" i="9" s="1"/>
  <c r="C26" i="10" s="1"/>
  <c r="R25" i="9"/>
  <c r="R17" i="9"/>
  <c r="Q17" i="9" s="1"/>
  <c r="D26" i="10" s="1"/>
  <c r="Q25" i="9"/>
  <c r="E26" i="10" s="1"/>
  <c r="P30" i="9"/>
  <c r="N31" i="9"/>
  <c r="O31" i="9" s="1"/>
  <c r="D15" i="10" s="1"/>
  <c r="N32" i="9"/>
  <c r="O32" i="9" s="1"/>
  <c r="D16" i="10" s="1"/>
  <c r="N33" i="9"/>
  <c r="O33" i="9" s="1"/>
  <c r="D17" i="10" s="1"/>
  <c r="N34" i="9"/>
  <c r="O34" i="9" s="1"/>
  <c r="D18" i="10" s="1"/>
  <c r="N35" i="9"/>
  <c r="O35" i="9" s="1"/>
  <c r="N30" i="9"/>
  <c r="O30" i="9" s="1"/>
  <c r="C72" i="9"/>
  <c r="C73" i="9" s="1"/>
  <c r="G74" i="9"/>
  <c r="E73" i="9"/>
  <c r="D73" i="9"/>
  <c r="G30" i="9"/>
  <c r="K31" i="9" s="1"/>
  <c r="P31" i="9" s="1"/>
  <c r="E31" i="9"/>
  <c r="E32" i="9" s="1"/>
  <c r="M5" i="9"/>
  <c r="I21" i="9"/>
  <c r="L21" i="9" s="1"/>
  <c r="N21" i="9" s="1"/>
  <c r="H9" i="10" s="1"/>
  <c r="L20" i="9"/>
  <c r="N20" i="9" s="1"/>
  <c r="K20" i="9"/>
  <c r="M20" i="9" s="1"/>
  <c r="I13" i="9"/>
  <c r="I14" i="9" s="1"/>
  <c r="L12" i="9"/>
  <c r="N12" i="9" s="1"/>
  <c r="K12" i="9"/>
  <c r="M12" i="9" s="1"/>
  <c r="L9" i="9"/>
  <c r="N9" i="9" s="1"/>
  <c r="K9" i="9"/>
  <c r="M9" i="9" s="1"/>
  <c r="L8" i="9"/>
  <c r="N8" i="9" s="1"/>
  <c r="F12" i="10" s="1"/>
  <c r="K8" i="9"/>
  <c r="M8" i="9" s="1"/>
  <c r="L7" i="9"/>
  <c r="N7" i="9" s="1"/>
  <c r="F11" i="10" s="1"/>
  <c r="K7" i="9"/>
  <c r="M7" i="9" s="1"/>
  <c r="L6" i="9"/>
  <c r="N6" i="9" s="1"/>
  <c r="F10" i="10" s="1"/>
  <c r="K6" i="9"/>
  <c r="M6" i="9" s="1"/>
  <c r="L5" i="9"/>
  <c r="N5" i="9" s="1"/>
  <c r="F9" i="10" s="1"/>
  <c r="K5" i="9"/>
  <c r="L4" i="9"/>
  <c r="N4" i="9" s="1"/>
  <c r="K4" i="9"/>
  <c r="M4" i="9" s="1"/>
  <c r="L13" i="9" l="1"/>
  <c r="N13" i="9" s="1"/>
  <c r="G9" i="10" s="1"/>
  <c r="K21" i="9"/>
  <c r="M21" i="9" s="1"/>
  <c r="T21" i="9" s="1"/>
  <c r="Q30" i="9"/>
  <c r="C15" i="10"/>
  <c r="R31" i="9"/>
  <c r="F4" i="10"/>
  <c r="T6" i="9"/>
  <c r="C22" i="10" s="1"/>
  <c r="T8" i="9"/>
  <c r="C24" i="10" s="1"/>
  <c r="F6" i="10"/>
  <c r="T7" i="9"/>
  <c r="F5" i="10"/>
  <c r="H3" i="10"/>
  <c r="Q31" i="9"/>
  <c r="T31" i="9" s="1"/>
  <c r="F3" i="10"/>
  <c r="T5" i="9"/>
  <c r="C21" i="10" s="1"/>
  <c r="I22" i="9"/>
  <c r="E33" i="9"/>
  <c r="F32" i="9"/>
  <c r="G32" i="9" s="1"/>
  <c r="K33" i="9" s="1"/>
  <c r="P33" i="9" s="1"/>
  <c r="F31" i="9"/>
  <c r="G31" i="9" s="1"/>
  <c r="K32" i="9" s="1"/>
  <c r="P32" i="9" s="1"/>
  <c r="L14" i="9"/>
  <c r="N14" i="9" s="1"/>
  <c r="G10" i="10" s="1"/>
  <c r="K14" i="9"/>
  <c r="M14" i="9" s="1"/>
  <c r="I15" i="9"/>
  <c r="K13" i="9"/>
  <c r="M13" i="9" s="1"/>
  <c r="K22" i="9"/>
  <c r="M22" i="9" s="1"/>
  <c r="Q33" i="9" l="1"/>
  <c r="T33" i="9" s="1"/>
  <c r="F23" i="10" s="1"/>
  <c r="R33" i="9"/>
  <c r="C17" i="10"/>
  <c r="G4" i="10"/>
  <c r="T14" i="9"/>
  <c r="D22" i="10" s="1"/>
  <c r="T9" i="9"/>
  <c r="C23" i="10"/>
  <c r="G3" i="10"/>
  <c r="T13" i="9"/>
  <c r="I23" i="9"/>
  <c r="L22" i="9"/>
  <c r="N22" i="9" s="1"/>
  <c r="H10" i="10" s="1"/>
  <c r="E21" i="10"/>
  <c r="H4" i="10"/>
  <c r="Q32" i="9"/>
  <c r="T32" i="9" s="1"/>
  <c r="F22" i="10" s="1"/>
  <c r="C16" i="10"/>
  <c r="R32" i="9"/>
  <c r="E34" i="9"/>
  <c r="F33" i="9"/>
  <c r="G33" i="9" s="1"/>
  <c r="K34" i="9" s="1"/>
  <c r="P34" i="9" s="1"/>
  <c r="R37" i="9" s="1"/>
  <c r="K15" i="9"/>
  <c r="M15" i="9" s="1"/>
  <c r="I16" i="9"/>
  <c r="L15" i="9"/>
  <c r="N15" i="9" s="1"/>
  <c r="G11" i="10" s="1"/>
  <c r="T22" i="9" l="1"/>
  <c r="E22" i="10" s="1"/>
  <c r="Q34" i="9"/>
  <c r="T34" i="9" s="1"/>
  <c r="R34" i="9"/>
  <c r="R35" i="9" s="1"/>
  <c r="T36" i="9" s="1"/>
  <c r="F26" i="10" s="1"/>
  <c r="C18" i="10"/>
  <c r="I24" i="9"/>
  <c r="L23" i="9"/>
  <c r="N23" i="9" s="1"/>
  <c r="H11" i="10" s="1"/>
  <c r="K23" i="9"/>
  <c r="M23" i="9" s="1"/>
  <c r="T15" i="9"/>
  <c r="D23" i="10" s="1"/>
  <c r="G5" i="10"/>
  <c r="D21" i="10"/>
  <c r="E35" i="9"/>
  <c r="F35" i="9" s="1"/>
  <c r="F34" i="9"/>
  <c r="G34" i="9" s="1"/>
  <c r="K35" i="9" s="1"/>
  <c r="P35" i="9" s="1"/>
  <c r="L16" i="9"/>
  <c r="N16" i="9" s="1"/>
  <c r="G12" i="10" s="1"/>
  <c r="I17" i="9"/>
  <c r="K16" i="9"/>
  <c r="M16" i="9" s="1"/>
  <c r="F24" i="10" l="1"/>
  <c r="T35" i="9"/>
  <c r="G6" i="10"/>
  <c r="T16" i="9"/>
  <c r="D24" i="10" s="1"/>
  <c r="L24" i="9"/>
  <c r="N24" i="9" s="1"/>
  <c r="H12" i="10" s="1"/>
  <c r="I25" i="9"/>
  <c r="K24" i="9"/>
  <c r="M24" i="9" s="1"/>
  <c r="T17" i="9"/>
  <c r="T23" i="9"/>
  <c r="H5" i="10"/>
  <c r="K17" i="9"/>
  <c r="M17" i="9" s="1"/>
  <c r="L17" i="9"/>
  <c r="N17" i="9" s="1"/>
  <c r="T24" i="9" l="1"/>
  <c r="E24" i="10" s="1"/>
  <c r="H6" i="10"/>
  <c r="L25" i="9"/>
  <c r="N25" i="9" s="1"/>
  <c r="K25" i="9"/>
  <c r="M25" i="9" s="1"/>
  <c r="E23" i="10"/>
  <c r="T25" i="9" l="1"/>
</calcChain>
</file>

<file path=xl/sharedStrings.xml><?xml version="1.0" encoding="utf-8"?>
<sst xmlns="http://schemas.openxmlformats.org/spreadsheetml/2006/main" count="128" uniqueCount="68">
  <si>
    <t>vx</t>
  </si>
  <si>
    <t>vy</t>
  </si>
  <si>
    <t>follower</t>
  </si>
  <si>
    <t>lane changer</t>
  </si>
  <si>
    <t>subject</t>
  </si>
  <si>
    <t>time</t>
  </si>
  <si>
    <t>op_v_fol</t>
  </si>
  <si>
    <t>op_v_lc</t>
  </si>
  <si>
    <t>T1</t>
  </si>
  <si>
    <t>T2</t>
  </si>
  <si>
    <t>T3</t>
  </si>
  <si>
    <t>sev_fol</t>
  </si>
  <si>
    <t>sev_lc</t>
  </si>
  <si>
    <t>SX</t>
  </si>
  <si>
    <t>SY</t>
  </si>
  <si>
    <t>SPAC X</t>
  </si>
  <si>
    <t>SPAC Y</t>
  </si>
  <si>
    <t>shortdist</t>
  </si>
  <si>
    <t>voppose</t>
  </si>
  <si>
    <t>risk</t>
  </si>
  <si>
    <t>prob_fol</t>
  </si>
  <si>
    <t>prob_lc</t>
  </si>
  <si>
    <t>TOTAL PROB</t>
  </si>
  <si>
    <t>PDRF RISK</t>
  </si>
  <si>
    <t>TTC*</t>
  </si>
  <si>
    <t>PDRF</t>
  </si>
  <si>
    <t>TIME</t>
  </si>
  <si>
    <t>LANE</t>
  </si>
  <si>
    <t>t1</t>
  </si>
  <si>
    <t>t2</t>
  </si>
  <si>
    <t>t3</t>
  </si>
  <si>
    <t>t4</t>
  </si>
  <si>
    <t>TTC_GEN</t>
  </si>
  <si>
    <t>NOTE:</t>
  </si>
  <si>
    <t>CrashProbability_T1</t>
  </si>
  <si>
    <t>CrashProbability_T2</t>
  </si>
  <si>
    <t>CrashProbability_T3</t>
  </si>
  <si>
    <t>CrashSeverity_T1</t>
  </si>
  <si>
    <t>CrashSeverity_T2</t>
  </si>
  <si>
    <t>CrashSeverity_T3</t>
  </si>
  <si>
    <t>CrashProbability_T4</t>
  </si>
  <si>
    <t>P_TIME</t>
  </si>
  <si>
    <t xml:space="preserve">Prediction Time </t>
  </si>
  <si>
    <t>Descrption</t>
  </si>
  <si>
    <t>Notation</t>
  </si>
  <si>
    <t>Velocity of the vehicle in X direction /longitudinal direction</t>
  </si>
  <si>
    <t>Velocity of the vehicle in Y direction /lateral direction</t>
  </si>
  <si>
    <t>follower (n1)</t>
  </si>
  <si>
    <t>lane changer (n2)</t>
  </si>
  <si>
    <t>subject(s)</t>
  </si>
  <si>
    <t>Vehicle that is trailing/behind the subject vehicle (n1 in the manuscript)</t>
  </si>
  <si>
    <t>Vehicle for which the PDRF risk is estimated  (s in the manuscript)</t>
  </si>
  <si>
    <t>Vehicle that cuts-in the subject vehicle (n2 in the manuscript)</t>
  </si>
  <si>
    <t>Total PDRF risk Rn for the subject vehicle</t>
  </si>
  <si>
    <t>The net probability of crash with all the vehicle in the scene</t>
  </si>
  <si>
    <t>Crash probability due to n2</t>
  </si>
  <si>
    <t>Crash probability due to n1</t>
  </si>
  <si>
    <t>Severity of expected crash with n2</t>
  </si>
  <si>
    <t>Severity of expected crash with n1</t>
  </si>
  <si>
    <t>sev_boundary</t>
  </si>
  <si>
    <t>prob_boundary</t>
  </si>
  <si>
    <t>Severity of expected crash with right lane marking</t>
  </si>
  <si>
    <t xml:space="preserve">Artificial crash probabllity  with right lane marking </t>
  </si>
  <si>
    <t>n1</t>
  </si>
  <si>
    <t>n2</t>
  </si>
  <si>
    <t>Generalized Time-To-Collision</t>
  </si>
  <si>
    <t>Trajectory plan 1 in the manuscript</t>
  </si>
  <si>
    <t>This worksheet calculates the risk by multiplying crash-risk (from matlab script) and severity estimated here. The values in this sheet corresponds to figure 12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</si>
</sst>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0" xfId="0" applyBorder="1"/>
    <xf numFmtId="0" fontId="0" fillId="3" borderId="5" xfId="0" applyFill="1" applyBorder="1"/>
    <xf numFmtId="0" fontId="0" fillId="3" borderId="6" xfId="0" applyFill="1" applyBorder="1"/>
    <xf numFmtId="0" fontId="0" fillId="3" borderId="2" xfId="0" applyFill="1" applyBorder="1"/>
    <xf numFmtId="0" fontId="0" fillId="3" borderId="0" xfId="0" applyFill="1"/>
    <xf numFmtId="0" fontId="0" fillId="3" borderId="7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4" xfId="0" applyFill="1" applyBorder="1"/>
    <xf numFmtId="0" fontId="0" fillId="0" borderId="13" xfId="0" applyBorder="1"/>
    <xf numFmtId="0" fontId="0" fillId="0" borderId="14" xfId="0" applyBorder="1"/>
    <xf numFmtId="0" fontId="0" fillId="0" borderId="6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0" xfId="0" applyFill="1"/>
    <xf numFmtId="0" fontId="0" fillId="0" borderId="15" xfId="0" applyBorder="1"/>
    <xf numFmtId="0" fontId="0" fillId="0" borderId="7" xfId="0" applyFill="1" applyBorder="1"/>
    <xf numFmtId="0" fontId="0" fillId="0" borderId="9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Severity </a:t>
            </a:r>
            <a:endParaRPr lang="en-GB"/>
          </a:p>
        </c:rich>
      </c:tx>
      <c:layout>
        <c:manualLayout>
          <c:xMode val="edge"/>
          <c:yMode val="edge"/>
          <c:x val="0.30912108674083294"/>
          <c:y val="1.81161768359202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21496274091742"/>
          <c:y val="0.16500977501269132"/>
          <c:w val="0.54313934183423918"/>
          <c:h val="0.6535911687509649"/>
        </c:manualLayout>
      </c:layout>
      <c:scatterChart>
        <c:scatterStyle val="lineMarker"/>
        <c:varyColors val="0"/>
        <c:ser>
          <c:idx val="0"/>
          <c:order val="0"/>
          <c:tx>
            <c:v>Trjectory 1: constant velocity</c:v>
          </c:tx>
          <c:spPr>
            <a:ln w="12700">
              <a:solidFill>
                <a:schemeClr val="tx1"/>
              </a:solidFill>
            </a:ln>
          </c:spPr>
          <c:marker>
            <c:symbol val="plus"/>
            <c:size val="7"/>
            <c:spPr>
              <a:ln w="25400">
                <a:solidFill>
                  <a:schemeClr val="tx1"/>
                </a:solidFill>
              </a:ln>
            </c:spPr>
          </c:marker>
          <c:xVal>
            <c:numRef>
              <c:f>#REF!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5"/>
                <c:pt idx="0">
                  <c:v>2102542.1927520484</c:v>
                </c:pt>
                <c:pt idx="1">
                  <c:v>2102542.1927520484</c:v>
                </c:pt>
                <c:pt idx="2">
                  <c:v>2217512.1395999109</c:v>
                </c:pt>
                <c:pt idx="3">
                  <c:v>2230809.9646250526</c:v>
                </c:pt>
                <c:pt idx="4">
                  <c:v>2140511.9205801832</c:v>
                </c:pt>
              </c:numCache>
            </c:numRef>
          </c:yVal>
          <c:smooth val="0"/>
        </c:ser>
        <c:ser>
          <c:idx val="1"/>
          <c:order val="1"/>
          <c:tx>
            <c:v>Trajectory 2: -2m/s^2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xVal>
            <c:numRef>
              <c:f>#REF!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5"/>
                <c:pt idx="0">
                  <c:v>2102542.1927520484</c:v>
                </c:pt>
                <c:pt idx="1">
                  <c:v>2236585.9627465359</c:v>
                </c:pt>
                <c:pt idx="2">
                  <c:v>2538183.6886044834</c:v>
                </c:pt>
                <c:pt idx="3">
                  <c:v>2814407.4893739526</c:v>
                </c:pt>
                <c:pt idx="4">
                  <c:v>3099654.5022380035</c:v>
                </c:pt>
              </c:numCache>
            </c:numRef>
          </c:yVal>
          <c:smooth val="0"/>
        </c:ser>
        <c:ser>
          <c:idx val="2"/>
          <c:order val="2"/>
          <c:tx>
            <c:v>Trajectory 3: -0.7m/s^2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#REF!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5"/>
                <c:pt idx="0">
                  <c:v>2102542.1927520484</c:v>
                </c:pt>
                <c:pt idx="1">
                  <c:v>2125867.5090848361</c:v>
                </c:pt>
                <c:pt idx="2">
                  <c:v>2289310.8493148005</c:v>
                </c:pt>
                <c:pt idx="3">
                  <c:v>2371285.5742693022</c:v>
                </c:pt>
                <c:pt idx="4">
                  <c:v>2400415.2040314721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6288"/>
        <c:axId val="86427520"/>
      </c:scatterChart>
      <c:valAx>
        <c:axId val="8639628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Prediction</a:t>
                </a:r>
                <a:r>
                  <a:rPr lang="en-GB" baseline="0"/>
                  <a:t> time (s)</a:t>
                </a:r>
                <a:endParaRPr lang="en-GB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86427520"/>
        <c:crosses val="autoZero"/>
        <c:crossBetween val="midCat"/>
        <c:majorUnit val="1"/>
      </c:valAx>
      <c:valAx>
        <c:axId val="86427520"/>
        <c:scaling>
          <c:orientation val="minMax"/>
          <c:max val="3200000"/>
          <c:min val="2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Online</a:t>
                </a:r>
                <a:r>
                  <a:rPr lang="en-GB" baseline="0"/>
                  <a:t> PDRF- Collision probability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6396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976658024454256"/>
          <c:y val="0.10598561159584782"/>
          <c:w val="0.23649036320124411"/>
          <c:h val="0.8411258006329456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121920</xdr:colOff>
      <xdr:row>71</xdr:row>
      <xdr:rowOff>121920</xdr:rowOff>
    </xdr:from>
    <xdr:to>
      <xdr:col>24</xdr:col>
      <xdr:colOff>243840</xdr:colOff>
      <xdr:row>90</xdr:row>
      <xdr:rowOff>30480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topLeftCell="B1" zoomScale="77" zoomScaleNormal="77" workbookViewId="0">
      <selection activeCell="R1" sqref="R1"/>
    </sheetView>
  </sheetViews>
  <sheetFormatPr defaultRowHeight="14.4" x14ac:dyDescent="0.3"/>
  <cols>
    <col min="3" max="3" width="12.6640625" bestFit="1" customWidth="1"/>
    <col min="15" max="15" width="12" bestFit="1" customWidth="1"/>
    <col min="17" max="18" width="12" bestFit="1" customWidth="1"/>
    <col min="19" max="19" width="0" hidden="1" customWidth="1"/>
    <col min="22" max="22" width="13.5546875" bestFit="1" customWidth="1"/>
    <col min="23" max="23" width="68.21875" bestFit="1" customWidth="1"/>
  </cols>
  <sheetData>
    <row r="1" spans="1:23" x14ac:dyDescent="0.3">
      <c r="A1" s="1" t="s">
        <v>33</v>
      </c>
      <c r="B1" s="1" t="s">
        <v>67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3" ht="15" thickBot="1" x14ac:dyDescent="0.35">
      <c r="E2" t="s">
        <v>47</v>
      </c>
      <c r="G2" t="s">
        <v>48</v>
      </c>
      <c r="I2" t="s">
        <v>49</v>
      </c>
    </row>
    <row r="3" spans="1:23" ht="15" thickBot="1" x14ac:dyDescent="0.35">
      <c r="D3" s="2" t="s">
        <v>41</v>
      </c>
      <c r="E3" s="5" t="s">
        <v>0</v>
      </c>
      <c r="F3" s="6" t="s">
        <v>1</v>
      </c>
      <c r="G3" s="5" t="s">
        <v>0</v>
      </c>
      <c r="H3" s="6" t="s">
        <v>1</v>
      </c>
      <c r="I3" s="5" t="s">
        <v>0</v>
      </c>
      <c r="J3" s="6" t="s">
        <v>1</v>
      </c>
      <c r="K3" s="5" t="s">
        <v>6</v>
      </c>
      <c r="L3" s="6" t="s">
        <v>7</v>
      </c>
      <c r="M3" s="15" t="s">
        <v>11</v>
      </c>
      <c r="N3" s="16" t="s">
        <v>12</v>
      </c>
      <c r="O3" s="17" t="s">
        <v>20</v>
      </c>
      <c r="P3" s="17" t="s">
        <v>21</v>
      </c>
      <c r="Q3" s="17" t="s">
        <v>24</v>
      </c>
      <c r="R3" s="17" t="s">
        <v>22</v>
      </c>
      <c r="S3" s="18"/>
      <c r="T3" s="17" t="s">
        <v>23</v>
      </c>
      <c r="V3" s="11" t="s">
        <v>44</v>
      </c>
      <c r="W3" s="13" t="s">
        <v>43</v>
      </c>
    </row>
    <row r="4" spans="1:23" x14ac:dyDescent="0.3">
      <c r="D4" s="3">
        <v>0</v>
      </c>
      <c r="E4" s="7">
        <v>20</v>
      </c>
      <c r="F4" s="8">
        <v>0</v>
      </c>
      <c r="G4" s="7">
        <v>20</v>
      </c>
      <c r="H4" s="8">
        <v>0</v>
      </c>
      <c r="I4" s="7">
        <v>20</v>
      </c>
      <c r="J4" s="8">
        <v>1</v>
      </c>
      <c r="K4" s="7">
        <f>+((E4-I4)^2+(F4-J4)^2)^0.5</f>
        <v>1</v>
      </c>
      <c r="L4" s="8">
        <f>+((G4-I4)^2+(H4-J4)^2)^0.5</f>
        <v>1</v>
      </c>
      <c r="M4" s="19">
        <f>0.5*0.25*1000*(K4^2)</f>
        <v>125</v>
      </c>
      <c r="N4" s="20">
        <f>0.5*0.25*1000*(L4^2)</f>
        <v>125</v>
      </c>
      <c r="O4" s="21"/>
      <c r="P4" s="21"/>
      <c r="Q4" s="21"/>
      <c r="R4" s="21"/>
      <c r="S4" s="18"/>
      <c r="T4" s="21"/>
      <c r="V4" s="5" t="s">
        <v>41</v>
      </c>
      <c r="W4" s="6" t="s">
        <v>42</v>
      </c>
    </row>
    <row r="5" spans="1:23" x14ac:dyDescent="0.3">
      <c r="D5" s="3">
        <v>1</v>
      </c>
      <c r="E5" s="7">
        <v>20</v>
      </c>
      <c r="F5" s="8">
        <v>0</v>
      </c>
      <c r="G5" s="7">
        <v>20</v>
      </c>
      <c r="H5" s="8">
        <v>0</v>
      </c>
      <c r="I5" s="7">
        <v>20</v>
      </c>
      <c r="J5" s="8">
        <v>1</v>
      </c>
      <c r="K5" s="7">
        <f t="shared" ref="K5:K9" si="0">+((E5-I5)^2+(F5-J5)^2)^0.5</f>
        <v>1</v>
      </c>
      <c r="L5" s="8">
        <f t="shared" ref="L5:L9" si="1">+((G5-I5)^2+(H5-J5)^2)^0.5</f>
        <v>1</v>
      </c>
      <c r="M5" s="19">
        <f t="shared" ref="M5:M9" si="2">0.5*0.25*1000*(K5^2)</f>
        <v>125</v>
      </c>
      <c r="N5" s="20">
        <f t="shared" ref="N5:N9" si="3">0.5*0.25*1000*(L5^2)</f>
        <v>125</v>
      </c>
      <c r="O5" s="21">
        <v>0</v>
      </c>
      <c r="P5" s="21">
        <v>0</v>
      </c>
      <c r="Q5" s="21">
        <f>+D5*(O5+P5)</f>
        <v>0</v>
      </c>
      <c r="R5" s="21">
        <f>+O5+P5</f>
        <v>0</v>
      </c>
      <c r="S5" s="18"/>
      <c r="T5" s="21">
        <f>+(M5*O5)+(N5*P5)</f>
        <v>0</v>
      </c>
      <c r="V5" s="7" t="s">
        <v>0</v>
      </c>
      <c r="W5" s="8" t="s">
        <v>45</v>
      </c>
    </row>
    <row r="6" spans="1:23" x14ac:dyDescent="0.3">
      <c r="C6" t="s">
        <v>8</v>
      </c>
      <c r="D6" s="3">
        <v>2</v>
      </c>
      <c r="E6" s="7">
        <v>20.417521329738509</v>
      </c>
      <c r="F6" s="8">
        <v>0</v>
      </c>
      <c r="G6" s="7">
        <v>20</v>
      </c>
      <c r="H6" s="8">
        <v>-2</v>
      </c>
      <c r="I6" s="7">
        <v>20</v>
      </c>
      <c r="J6" s="8">
        <v>1</v>
      </c>
      <c r="K6" s="7">
        <f t="shared" si="0"/>
        <v>1.0836623370711991</v>
      </c>
      <c r="L6" s="8">
        <f t="shared" si="1"/>
        <v>3</v>
      </c>
      <c r="M6" s="19">
        <f t="shared" si="2"/>
        <v>146.79050759832663</v>
      </c>
      <c r="N6" s="20">
        <f t="shared" si="3"/>
        <v>1125</v>
      </c>
      <c r="O6" s="21">
        <v>0</v>
      </c>
      <c r="P6" s="21">
        <v>0</v>
      </c>
      <c r="Q6" s="21">
        <f t="shared" ref="Q6:Q8" si="4">+D6*(O6+P6)</f>
        <v>0</v>
      </c>
      <c r="R6" s="21">
        <f t="shared" ref="R6:R8" si="5">+O6+P6</f>
        <v>0</v>
      </c>
      <c r="S6" s="18"/>
      <c r="T6" s="21">
        <f t="shared" ref="T6:T8" si="6">+(M6*O6)+(N6*P6)</f>
        <v>0</v>
      </c>
      <c r="V6" s="7" t="s">
        <v>1</v>
      </c>
      <c r="W6" s="8" t="s">
        <v>46</v>
      </c>
    </row>
    <row r="7" spans="1:23" x14ac:dyDescent="0.3">
      <c r="D7" s="3">
        <v>3</v>
      </c>
      <c r="E7" s="7">
        <v>20.882952507907056</v>
      </c>
      <c r="F7" s="8">
        <v>0</v>
      </c>
      <c r="G7" s="7">
        <v>20</v>
      </c>
      <c r="H7" s="8">
        <v>-2</v>
      </c>
      <c r="I7" s="7">
        <v>20</v>
      </c>
      <c r="J7" s="8">
        <v>1</v>
      </c>
      <c r="K7" s="7">
        <f t="shared" si="0"/>
        <v>1.3340184148726584</v>
      </c>
      <c r="L7" s="8">
        <f t="shared" si="1"/>
        <v>3</v>
      </c>
      <c r="M7" s="19">
        <f t="shared" si="2"/>
        <v>222.45064140242002</v>
      </c>
      <c r="N7" s="20">
        <f t="shared" si="3"/>
        <v>1125</v>
      </c>
      <c r="O7" s="21">
        <v>1.9999999999999999E-6</v>
      </c>
      <c r="P7" s="21">
        <v>1.01E-2</v>
      </c>
      <c r="Q7" s="21">
        <f t="shared" si="4"/>
        <v>3.0306E-2</v>
      </c>
      <c r="R7" s="21">
        <f t="shared" si="5"/>
        <v>1.0102E-2</v>
      </c>
      <c r="S7" s="18"/>
      <c r="T7" s="21">
        <f t="shared" si="6"/>
        <v>11.362944901282804</v>
      </c>
      <c r="V7" s="7" t="s">
        <v>2</v>
      </c>
      <c r="W7" s="8" t="s">
        <v>50</v>
      </c>
    </row>
    <row r="8" spans="1:23" x14ac:dyDescent="0.3">
      <c r="D8" s="3">
        <v>4</v>
      </c>
      <c r="E8" s="7">
        <v>21.386649900769413</v>
      </c>
      <c r="F8" s="8">
        <v>0</v>
      </c>
      <c r="G8" s="7">
        <v>20</v>
      </c>
      <c r="H8" s="8">
        <v>0</v>
      </c>
      <c r="I8" s="7">
        <v>20</v>
      </c>
      <c r="J8" s="8">
        <v>1</v>
      </c>
      <c r="K8" s="7">
        <f t="shared" si="0"/>
        <v>1.7096192404461945</v>
      </c>
      <c r="L8" s="8">
        <f t="shared" si="1"/>
        <v>1</v>
      </c>
      <c r="M8" s="19">
        <f t="shared" si="2"/>
        <v>365.34974341297789</v>
      </c>
      <c r="N8" s="20">
        <f t="shared" si="3"/>
        <v>125</v>
      </c>
      <c r="O8" s="21">
        <v>0</v>
      </c>
      <c r="P8" s="21">
        <v>0.1236</v>
      </c>
      <c r="Q8" s="21">
        <f t="shared" si="4"/>
        <v>0.49440000000000001</v>
      </c>
      <c r="R8" s="21">
        <f t="shared" si="5"/>
        <v>0.1236</v>
      </c>
      <c r="S8" s="18"/>
      <c r="T8" s="21">
        <f t="shared" si="6"/>
        <v>15.450000000000001</v>
      </c>
      <c r="V8" s="7" t="s">
        <v>4</v>
      </c>
      <c r="W8" s="8" t="s">
        <v>51</v>
      </c>
    </row>
    <row r="9" spans="1:23" ht="15" thickBot="1" x14ac:dyDescent="0.35">
      <c r="D9" s="4">
        <v>5</v>
      </c>
      <c r="E9" s="9">
        <v>21.918514830899088</v>
      </c>
      <c r="F9" s="10">
        <v>0</v>
      </c>
      <c r="G9" s="9">
        <v>20</v>
      </c>
      <c r="H9" s="10">
        <v>0</v>
      </c>
      <c r="I9" s="9">
        <v>20</v>
      </c>
      <c r="J9" s="10">
        <v>1</v>
      </c>
      <c r="K9" s="9">
        <f t="shared" si="0"/>
        <v>2.1634923518191038</v>
      </c>
      <c r="L9" s="10">
        <f t="shared" si="1"/>
        <v>1</v>
      </c>
      <c r="M9" s="22">
        <f t="shared" si="2"/>
        <v>585.08739454746956</v>
      </c>
      <c r="N9" s="23">
        <f t="shared" si="3"/>
        <v>125</v>
      </c>
      <c r="O9" s="24"/>
      <c r="P9" s="24"/>
      <c r="Q9" s="24">
        <f>+SUM(Q5:Q8)/R9</f>
        <v>3.9244439125817121</v>
      </c>
      <c r="R9" s="24">
        <f>+SUM(R5:R8)</f>
        <v>0.13370199999999999</v>
      </c>
      <c r="S9" s="18"/>
      <c r="T9" s="24">
        <f>+SUM(T5:T8)</f>
        <v>26.812944901282805</v>
      </c>
      <c r="V9" s="7" t="s">
        <v>3</v>
      </c>
      <c r="W9" s="8" t="s">
        <v>52</v>
      </c>
    </row>
    <row r="10" spans="1:23" ht="15" thickBot="1" x14ac:dyDescent="0.35">
      <c r="M10" s="18"/>
      <c r="N10" s="18"/>
      <c r="O10" s="18"/>
      <c r="P10" s="18"/>
      <c r="Q10" s="18"/>
      <c r="R10" s="18"/>
      <c r="S10" s="18"/>
      <c r="T10" s="18"/>
      <c r="V10" s="7" t="s">
        <v>11</v>
      </c>
      <c r="W10" s="8" t="s">
        <v>58</v>
      </c>
    </row>
    <row r="11" spans="1:23" x14ac:dyDescent="0.3">
      <c r="D11" s="2" t="s">
        <v>41</v>
      </c>
      <c r="E11" s="5" t="s">
        <v>0</v>
      </c>
      <c r="F11" s="6" t="s">
        <v>1</v>
      </c>
      <c r="G11" s="5" t="s">
        <v>0</v>
      </c>
      <c r="H11" s="6" t="s">
        <v>1</v>
      </c>
      <c r="I11" s="5" t="s">
        <v>0</v>
      </c>
      <c r="J11" s="6" t="s">
        <v>1</v>
      </c>
      <c r="K11" s="5" t="s">
        <v>6</v>
      </c>
      <c r="L11" s="6" t="s">
        <v>7</v>
      </c>
      <c r="M11" s="15" t="s">
        <v>11</v>
      </c>
      <c r="N11" s="16" t="s">
        <v>12</v>
      </c>
      <c r="O11" s="17" t="s">
        <v>20</v>
      </c>
      <c r="P11" s="17" t="s">
        <v>21</v>
      </c>
      <c r="Q11" s="17" t="s">
        <v>24</v>
      </c>
      <c r="R11" s="17" t="s">
        <v>22</v>
      </c>
      <c r="S11" s="18"/>
      <c r="T11" s="17" t="s">
        <v>23</v>
      </c>
      <c r="V11" s="7" t="s">
        <v>12</v>
      </c>
      <c r="W11" s="8" t="s">
        <v>57</v>
      </c>
    </row>
    <row r="12" spans="1:23" x14ac:dyDescent="0.3">
      <c r="D12" s="3">
        <v>0</v>
      </c>
      <c r="E12" s="7">
        <v>20</v>
      </c>
      <c r="F12" s="8">
        <v>0</v>
      </c>
      <c r="G12" s="7">
        <v>20</v>
      </c>
      <c r="H12" s="8">
        <v>0</v>
      </c>
      <c r="I12" s="7">
        <v>20</v>
      </c>
      <c r="J12" s="8">
        <v>1</v>
      </c>
      <c r="K12" s="7">
        <f>+((E12-I12)^2+(F12-J12)^2)^0.5</f>
        <v>1</v>
      </c>
      <c r="L12" s="8">
        <f>+((G12-I12)^2+(H12-J12)^2)^0.5</f>
        <v>1</v>
      </c>
      <c r="M12" s="19">
        <f>0.5*0.25*1000*(K12^2)</f>
        <v>125</v>
      </c>
      <c r="N12" s="20">
        <f t="shared" ref="N12:N17" si="7">0.5*0.25*1000*(L12^2)</f>
        <v>125</v>
      </c>
      <c r="O12" s="21">
        <v>0</v>
      </c>
      <c r="P12" s="21">
        <v>0</v>
      </c>
      <c r="Q12" s="21">
        <f>+D12*(O12+P12)</f>
        <v>0</v>
      </c>
      <c r="R12" s="21">
        <f>+O12+P12</f>
        <v>0</v>
      </c>
      <c r="S12" s="18"/>
      <c r="T12" s="21"/>
      <c r="V12" s="7" t="s">
        <v>20</v>
      </c>
      <c r="W12" s="8" t="s">
        <v>56</v>
      </c>
    </row>
    <row r="13" spans="1:23" x14ac:dyDescent="0.3">
      <c r="D13" s="3">
        <v>1</v>
      </c>
      <c r="E13" s="7">
        <v>20</v>
      </c>
      <c r="F13" s="8">
        <v>0</v>
      </c>
      <c r="G13" s="7">
        <v>20</v>
      </c>
      <c r="H13" s="8">
        <v>0</v>
      </c>
      <c r="I13" s="7">
        <f>+I12-2</f>
        <v>18</v>
      </c>
      <c r="J13" s="8">
        <v>1</v>
      </c>
      <c r="K13" s="7">
        <f t="shared" ref="K13:K17" si="8">+((E13-I13)^2+(F13-J13)^2)^0.5</f>
        <v>2.2360679774997898</v>
      </c>
      <c r="L13" s="8">
        <f t="shared" ref="L13:L17" si="9">+((G13-I13)^2+(H13-J13)^2)^0.5</f>
        <v>2.2360679774997898</v>
      </c>
      <c r="M13" s="19">
        <f t="shared" ref="M13:M17" si="10">0.5*0.25*1000*(K13^2)</f>
        <v>625.00000000000011</v>
      </c>
      <c r="N13" s="20">
        <f t="shared" si="7"/>
        <v>625.00000000000011</v>
      </c>
      <c r="O13" s="21">
        <v>0</v>
      </c>
      <c r="P13" s="21">
        <v>0</v>
      </c>
      <c r="Q13" s="21">
        <f>+D13*(O13+P13)</f>
        <v>0</v>
      </c>
      <c r="R13" s="21">
        <f>+O13+P13</f>
        <v>0</v>
      </c>
      <c r="S13" s="18"/>
      <c r="T13" s="21">
        <f>+(M13*O13)+(N13*P13)</f>
        <v>0</v>
      </c>
      <c r="V13" s="7" t="s">
        <v>21</v>
      </c>
      <c r="W13" s="8" t="s">
        <v>55</v>
      </c>
    </row>
    <row r="14" spans="1:23" x14ac:dyDescent="0.3">
      <c r="C14" t="s">
        <v>9</v>
      </c>
      <c r="D14" s="3">
        <v>2</v>
      </c>
      <c r="E14" s="7">
        <v>20.417521329738509</v>
      </c>
      <c r="F14" s="8">
        <v>0</v>
      </c>
      <c r="G14" s="7">
        <v>20</v>
      </c>
      <c r="H14" s="8">
        <v>-2</v>
      </c>
      <c r="I14" s="7">
        <f t="shared" ref="I14:I17" si="11">+I13-2</f>
        <v>16</v>
      </c>
      <c r="J14" s="8">
        <v>1</v>
      </c>
      <c r="K14" s="7">
        <f t="shared" si="8"/>
        <v>4.5292929579234205</v>
      </c>
      <c r="L14" s="8">
        <f t="shared" si="9"/>
        <v>5</v>
      </c>
      <c r="M14" s="19">
        <f t="shared" si="10"/>
        <v>2564.3118373368357</v>
      </c>
      <c r="N14" s="20">
        <f t="shared" si="7"/>
        <v>3125</v>
      </c>
      <c r="O14" s="21">
        <v>0</v>
      </c>
      <c r="P14" s="21">
        <v>0</v>
      </c>
      <c r="Q14" s="21">
        <f t="shared" ref="Q14:Q16" si="12">+D14*(O14+P14)</f>
        <v>0</v>
      </c>
      <c r="R14" s="21">
        <f t="shared" ref="R14:R16" si="13">+O14+P14</f>
        <v>0</v>
      </c>
      <c r="S14" s="18"/>
      <c r="T14" s="21">
        <f t="shared" ref="T14:T16" si="14">+(M14*O14)+(N14*P14)</f>
        <v>0</v>
      </c>
      <c r="V14" s="7" t="s">
        <v>24</v>
      </c>
      <c r="W14" s="8" t="s">
        <v>65</v>
      </c>
    </row>
    <row r="15" spans="1:23" x14ac:dyDescent="0.3">
      <c r="D15" s="3">
        <v>3</v>
      </c>
      <c r="E15" s="7">
        <v>20.882952507907056</v>
      </c>
      <c r="F15" s="8">
        <v>0</v>
      </c>
      <c r="G15" s="7">
        <v>20</v>
      </c>
      <c r="H15" s="8">
        <v>-2</v>
      </c>
      <c r="I15" s="7">
        <f t="shared" si="11"/>
        <v>14</v>
      </c>
      <c r="J15" s="8">
        <v>1</v>
      </c>
      <c r="K15" s="7">
        <f t="shared" si="8"/>
        <v>6.9552164039736422</v>
      </c>
      <c r="L15" s="8">
        <f t="shared" si="9"/>
        <v>6.7082039324993694</v>
      </c>
      <c r="M15" s="19">
        <f t="shared" si="10"/>
        <v>6046.8794032630049</v>
      </c>
      <c r="N15" s="20">
        <f t="shared" si="7"/>
        <v>5625.0000000000009</v>
      </c>
      <c r="O15" s="21">
        <v>7.8E-2</v>
      </c>
      <c r="P15" s="21">
        <v>7.9999999999999996E-7</v>
      </c>
      <c r="Q15" s="21">
        <f t="shared" si="12"/>
        <v>0.2340024</v>
      </c>
      <c r="R15" s="21">
        <f t="shared" si="13"/>
        <v>7.8000799999999995E-2</v>
      </c>
      <c r="S15" s="18"/>
      <c r="T15" s="21">
        <f t="shared" si="14"/>
        <v>471.6610934545144</v>
      </c>
      <c r="V15" s="7" t="s">
        <v>22</v>
      </c>
      <c r="W15" s="8" t="s">
        <v>54</v>
      </c>
    </row>
    <row r="16" spans="1:23" x14ac:dyDescent="0.3">
      <c r="D16" s="3">
        <v>4</v>
      </c>
      <c r="E16" s="7">
        <v>21.386649900769413</v>
      </c>
      <c r="F16" s="8">
        <v>0</v>
      </c>
      <c r="G16" s="7">
        <v>20</v>
      </c>
      <c r="H16" s="8">
        <v>0</v>
      </c>
      <c r="I16" s="7">
        <f t="shared" si="11"/>
        <v>12</v>
      </c>
      <c r="J16" s="8">
        <v>1</v>
      </c>
      <c r="K16" s="7">
        <f t="shared" si="8"/>
        <v>9.4397667534539451</v>
      </c>
      <c r="L16" s="8">
        <f t="shared" si="9"/>
        <v>8.0622577482985491</v>
      </c>
      <c r="M16" s="19">
        <f>0.5*0.25*1000*(K16^2)</f>
        <v>11138.649544951804</v>
      </c>
      <c r="N16" s="20">
        <f t="shared" si="7"/>
        <v>8124.9999999999982</v>
      </c>
      <c r="O16" s="21">
        <v>0.26900000000000002</v>
      </c>
      <c r="P16" s="21">
        <v>6.0000000000000002E-6</v>
      </c>
      <c r="Q16" s="21">
        <f t="shared" si="12"/>
        <v>1.0760240000000001</v>
      </c>
      <c r="R16" s="21">
        <f t="shared" si="13"/>
        <v>0.26900600000000002</v>
      </c>
      <c r="S16" s="18"/>
      <c r="T16" s="21">
        <f t="shared" si="14"/>
        <v>2996.3454775920354</v>
      </c>
      <c r="V16" s="7" t="s">
        <v>23</v>
      </c>
      <c r="W16" s="8" t="s">
        <v>53</v>
      </c>
    </row>
    <row r="17" spans="3:24" ht="15" thickBot="1" x14ac:dyDescent="0.35">
      <c r="D17" s="4">
        <v>5</v>
      </c>
      <c r="E17" s="9">
        <v>21.918514830899088</v>
      </c>
      <c r="F17" s="10">
        <v>0</v>
      </c>
      <c r="G17" s="9">
        <v>20</v>
      </c>
      <c r="H17" s="10">
        <v>0</v>
      </c>
      <c r="I17" s="9">
        <f t="shared" si="11"/>
        <v>10</v>
      </c>
      <c r="J17" s="10">
        <v>1</v>
      </c>
      <c r="K17" s="9">
        <f t="shared" si="8"/>
        <v>11.960392793481388</v>
      </c>
      <c r="L17" s="10">
        <f t="shared" si="9"/>
        <v>10.04987562112089</v>
      </c>
      <c r="M17" s="22">
        <f t="shared" si="10"/>
        <v>17881.374471795192</v>
      </c>
      <c r="N17" s="23">
        <f t="shared" si="7"/>
        <v>12625</v>
      </c>
      <c r="O17" s="24"/>
      <c r="P17" s="24"/>
      <c r="Q17" s="24">
        <f>+SUM(Q13:Q16)/R17</f>
        <v>3.7752182377982222</v>
      </c>
      <c r="R17" s="24">
        <f>+SUM(R13:R16)</f>
        <v>0.3470068</v>
      </c>
      <c r="S17" s="18"/>
      <c r="T17" s="24">
        <f>+SUM(T13:T16)</f>
        <v>3468.0065710465497</v>
      </c>
      <c r="V17" s="7" t="s">
        <v>59</v>
      </c>
      <c r="W17" s="8" t="s">
        <v>61</v>
      </c>
    </row>
    <row r="18" spans="3:24" ht="15" thickBot="1" x14ac:dyDescent="0.35">
      <c r="M18" s="18"/>
      <c r="N18" s="18"/>
      <c r="O18" s="18"/>
      <c r="P18" s="18"/>
      <c r="Q18" s="18"/>
      <c r="R18" s="18"/>
      <c r="S18" s="18"/>
      <c r="T18" s="18"/>
      <c r="V18" s="7" t="s">
        <v>60</v>
      </c>
      <c r="W18" s="8" t="s">
        <v>62</v>
      </c>
    </row>
    <row r="19" spans="3:24" x14ac:dyDescent="0.3">
      <c r="D19" s="2" t="s">
        <v>41</v>
      </c>
      <c r="E19" s="5" t="s">
        <v>0</v>
      </c>
      <c r="F19" s="6" t="s">
        <v>1</v>
      </c>
      <c r="G19" s="5" t="s">
        <v>0</v>
      </c>
      <c r="H19" s="6" t="s">
        <v>1</v>
      </c>
      <c r="I19" s="5" t="s">
        <v>0</v>
      </c>
      <c r="J19" s="6" t="s">
        <v>1</v>
      </c>
      <c r="K19" s="5" t="s">
        <v>6</v>
      </c>
      <c r="L19" s="6" t="s">
        <v>7</v>
      </c>
      <c r="M19" s="15" t="s">
        <v>11</v>
      </c>
      <c r="N19" s="16" t="s">
        <v>12</v>
      </c>
      <c r="O19" s="17" t="s">
        <v>20</v>
      </c>
      <c r="P19" s="17" t="s">
        <v>21</v>
      </c>
      <c r="Q19" s="17" t="s">
        <v>24</v>
      </c>
      <c r="R19" s="17" t="s">
        <v>22</v>
      </c>
      <c r="S19" s="18"/>
      <c r="T19" s="17" t="s">
        <v>23</v>
      </c>
      <c r="V19" s="32" t="s">
        <v>8</v>
      </c>
      <c r="W19" s="28" t="s">
        <v>66</v>
      </c>
    </row>
    <row r="20" spans="3:24" x14ac:dyDescent="0.3">
      <c r="D20" s="3">
        <v>0</v>
      </c>
      <c r="E20" s="7">
        <v>20</v>
      </c>
      <c r="F20" s="8">
        <v>0</v>
      </c>
      <c r="G20" s="7">
        <v>20</v>
      </c>
      <c r="H20" s="8">
        <v>0</v>
      </c>
      <c r="I20" s="7">
        <v>20</v>
      </c>
      <c r="J20" s="8">
        <v>1</v>
      </c>
      <c r="K20" s="7">
        <f>+((E20-I20)^2+(F20-J20)^2)^0.5</f>
        <v>1</v>
      </c>
      <c r="L20" s="8">
        <f>+((G20-I20)^2+(H20-J20)^2)^0.5</f>
        <v>1</v>
      </c>
      <c r="M20" s="19">
        <f t="shared" ref="M20:N25" si="15">0.5*0.25*1000*(K20^2)</f>
        <v>125</v>
      </c>
      <c r="N20" s="20">
        <f t="shared" si="15"/>
        <v>125</v>
      </c>
      <c r="O20" s="21">
        <v>0</v>
      </c>
      <c r="P20" s="21">
        <v>0</v>
      </c>
      <c r="Q20" s="21">
        <f>+D20*(O20+P20)</f>
        <v>0</v>
      </c>
      <c r="R20" s="21">
        <f>+O20+P20</f>
        <v>0</v>
      </c>
      <c r="S20" s="18"/>
      <c r="T20" s="21"/>
      <c r="V20" s="32" t="s">
        <v>9</v>
      </c>
      <c r="W20" s="28" t="s">
        <v>66</v>
      </c>
      <c r="X20" s="14"/>
    </row>
    <row r="21" spans="3:24" ht="15" thickBot="1" x14ac:dyDescent="0.35">
      <c r="C21" t="s">
        <v>10</v>
      </c>
      <c r="D21" s="3">
        <v>1</v>
      </c>
      <c r="E21" s="7">
        <v>20</v>
      </c>
      <c r="F21" s="8">
        <v>0</v>
      </c>
      <c r="G21" s="7">
        <v>20</v>
      </c>
      <c r="H21" s="8">
        <v>0</v>
      </c>
      <c r="I21" s="7">
        <f>I20-0.7</f>
        <v>19.3</v>
      </c>
      <c r="J21" s="8">
        <v>1</v>
      </c>
      <c r="K21" s="7">
        <f t="shared" ref="K21:K25" si="16">+((E21-I21)^2+(F21-J21)^2)^0.5</f>
        <v>1.2206555615733699</v>
      </c>
      <c r="L21" s="8">
        <f t="shared" ref="L21:L25" si="17">+((G21-I21)^2+(H21-J21)^2)^0.5</f>
        <v>1.2206555615733699</v>
      </c>
      <c r="M21" s="19">
        <f t="shared" si="15"/>
        <v>186.24999999999986</v>
      </c>
      <c r="N21" s="20">
        <f t="shared" si="15"/>
        <v>186.24999999999986</v>
      </c>
      <c r="O21" s="21">
        <v>0</v>
      </c>
      <c r="P21" s="21">
        <v>0</v>
      </c>
      <c r="Q21" s="21">
        <f>+D21*(O21+P21)</f>
        <v>0</v>
      </c>
      <c r="R21" s="21">
        <f>+O21+P21</f>
        <v>0</v>
      </c>
      <c r="S21" s="18"/>
      <c r="T21" s="21">
        <f>+(M21*O21)+(N21*P21)</f>
        <v>0</v>
      </c>
      <c r="V21" s="33" t="s">
        <v>10</v>
      </c>
      <c r="W21" s="29" t="s">
        <v>66</v>
      </c>
      <c r="X21" s="14"/>
    </row>
    <row r="22" spans="3:24" x14ac:dyDescent="0.3">
      <c r="D22" s="3">
        <v>2</v>
      </c>
      <c r="E22" s="7">
        <v>20.417521329738509</v>
      </c>
      <c r="F22" s="8">
        <v>0</v>
      </c>
      <c r="G22" s="7">
        <v>20</v>
      </c>
      <c r="H22" s="8">
        <v>-2</v>
      </c>
      <c r="I22" s="7">
        <f t="shared" ref="I22:I25" si="18">I21-0.7</f>
        <v>18.600000000000001</v>
      </c>
      <c r="J22" s="8">
        <v>1</v>
      </c>
      <c r="K22" s="7">
        <f t="shared" si="16"/>
        <v>2.0744598776680241</v>
      </c>
      <c r="L22" s="8">
        <f t="shared" si="17"/>
        <v>3.3105890714493689</v>
      </c>
      <c r="M22" s="19">
        <f t="shared" si="15"/>
        <v>537.92297300680411</v>
      </c>
      <c r="N22" s="20">
        <f t="shared" si="15"/>
        <v>1369.9999999999993</v>
      </c>
      <c r="O22" s="21">
        <v>0</v>
      </c>
      <c r="P22" s="21">
        <v>0</v>
      </c>
      <c r="Q22" s="21">
        <f t="shared" ref="Q22:Q24" si="19">+D22*(O22+P22)</f>
        <v>0</v>
      </c>
      <c r="R22" s="21">
        <f t="shared" ref="R22:R24" si="20">+O22+P22</f>
        <v>0</v>
      </c>
      <c r="S22" s="18"/>
      <c r="T22" s="21">
        <f t="shared" ref="T22:T24" si="21">+(M22*O22)+(N22*P22)</f>
        <v>0</v>
      </c>
      <c r="V22" s="14"/>
      <c r="W22" s="14"/>
      <c r="X22" s="14"/>
    </row>
    <row r="23" spans="3:24" x14ac:dyDescent="0.3">
      <c r="D23" s="3">
        <v>3</v>
      </c>
      <c r="E23" s="7">
        <v>20.882952507907056</v>
      </c>
      <c r="F23" s="8">
        <v>0</v>
      </c>
      <c r="G23" s="7">
        <v>20</v>
      </c>
      <c r="H23" s="8">
        <v>-2</v>
      </c>
      <c r="I23" s="7">
        <f t="shared" si="18"/>
        <v>17.900000000000002</v>
      </c>
      <c r="J23" s="8">
        <v>1</v>
      </c>
      <c r="K23" s="7">
        <f t="shared" si="16"/>
        <v>3.1461096078218547</v>
      </c>
      <c r="L23" s="8">
        <f t="shared" si="17"/>
        <v>3.6619666847201096</v>
      </c>
      <c r="M23" s="19">
        <f t="shared" si="15"/>
        <v>1237.2507080536229</v>
      </c>
      <c r="N23" s="20">
        <f t="shared" si="15"/>
        <v>1676.2499999999986</v>
      </c>
      <c r="O23" s="21">
        <v>1.0200000000000001E-2</v>
      </c>
      <c r="P23" s="21">
        <v>8.9999999999999998E-4</v>
      </c>
      <c r="Q23" s="21">
        <f t="shared" si="19"/>
        <v>3.3300000000000003E-2</v>
      </c>
      <c r="R23" s="21">
        <f t="shared" si="20"/>
        <v>1.11E-2</v>
      </c>
      <c r="S23" s="18"/>
      <c r="T23" s="21">
        <f t="shared" si="21"/>
        <v>14.128582222146953</v>
      </c>
      <c r="V23" s="14"/>
      <c r="W23" s="14"/>
      <c r="X23" s="14"/>
    </row>
    <row r="24" spans="3:24" x14ac:dyDescent="0.3">
      <c r="D24" s="3">
        <v>4</v>
      </c>
      <c r="E24" s="7">
        <v>21.386649900769413</v>
      </c>
      <c r="F24" s="8">
        <v>0</v>
      </c>
      <c r="G24" s="7">
        <v>20</v>
      </c>
      <c r="H24" s="8">
        <v>0</v>
      </c>
      <c r="I24" s="7">
        <f t="shared" si="18"/>
        <v>17.200000000000003</v>
      </c>
      <c r="J24" s="8">
        <v>1</v>
      </c>
      <c r="K24" s="7">
        <f t="shared" si="16"/>
        <v>4.3044206801394909</v>
      </c>
      <c r="L24" s="8">
        <f t="shared" si="17"/>
        <v>2.9732137494636985</v>
      </c>
      <c r="M24" s="19">
        <f t="shared" si="15"/>
        <v>2316.0046739515647</v>
      </c>
      <c r="N24" s="20">
        <f t="shared" si="15"/>
        <v>1104.999999999998</v>
      </c>
      <c r="O24" s="21">
        <v>0</v>
      </c>
      <c r="P24" s="21">
        <v>0.01</v>
      </c>
      <c r="Q24" s="21">
        <f t="shared" si="19"/>
        <v>0.04</v>
      </c>
      <c r="R24" s="21">
        <f t="shared" si="20"/>
        <v>0.01</v>
      </c>
      <c r="S24" s="18"/>
      <c r="T24" s="21">
        <f t="shared" si="21"/>
        <v>11.049999999999979</v>
      </c>
      <c r="V24" s="14"/>
      <c r="W24" s="14"/>
      <c r="X24" s="14"/>
    </row>
    <row r="25" spans="3:24" ht="15" thickBot="1" x14ac:dyDescent="0.35">
      <c r="D25" s="4">
        <v>5</v>
      </c>
      <c r="E25" s="9">
        <v>21.918514830899088</v>
      </c>
      <c r="F25" s="10">
        <v>0</v>
      </c>
      <c r="G25" s="9">
        <v>20</v>
      </c>
      <c r="H25" s="10">
        <v>0</v>
      </c>
      <c r="I25" s="9">
        <f t="shared" si="18"/>
        <v>16.500000000000004</v>
      </c>
      <c r="J25" s="10">
        <v>1</v>
      </c>
      <c r="K25" s="9">
        <f t="shared" si="16"/>
        <v>5.5100184185421135</v>
      </c>
      <c r="L25" s="10">
        <f t="shared" si="17"/>
        <v>3.6400549446402559</v>
      </c>
      <c r="M25" s="22">
        <f t="shared" si="15"/>
        <v>3795.0378715841666</v>
      </c>
      <c r="N25" s="23">
        <f t="shared" si="15"/>
        <v>1656.249999999997</v>
      </c>
      <c r="O25" s="24"/>
      <c r="P25" s="24"/>
      <c r="Q25" s="24">
        <f>+SUM(Q21:Q24)/R25</f>
        <v>3.4739336492890995</v>
      </c>
      <c r="R25" s="24">
        <f>+SUM(R21:R24)</f>
        <v>2.1100000000000001E-2</v>
      </c>
      <c r="S25" s="18"/>
      <c r="T25" s="24">
        <f>+SUM(T21:T24)</f>
        <v>25.178582222146932</v>
      </c>
      <c r="V25" s="14"/>
      <c r="W25" s="14"/>
      <c r="X25" s="14"/>
    </row>
    <row r="26" spans="3:24" x14ac:dyDescent="0.3">
      <c r="V26" s="14"/>
      <c r="W26" s="14"/>
      <c r="X26" s="14"/>
    </row>
    <row r="27" spans="3:24" x14ac:dyDescent="0.3">
      <c r="V27" s="14"/>
      <c r="W27" s="14"/>
      <c r="X27" s="14"/>
    </row>
    <row r="28" spans="3:24" ht="15" thickBot="1" x14ac:dyDescent="0.35">
      <c r="F28">
        <v>88.56</v>
      </c>
      <c r="V28" s="14"/>
      <c r="W28" s="14"/>
      <c r="X28" s="14"/>
    </row>
    <row r="29" spans="3:24" x14ac:dyDescent="0.3">
      <c r="D29" s="2" t="s">
        <v>41</v>
      </c>
      <c r="E29" s="5" t="s">
        <v>13</v>
      </c>
      <c r="F29" s="6" t="s">
        <v>14</v>
      </c>
      <c r="G29" s="5" t="s">
        <v>17</v>
      </c>
      <c r="H29" s="6"/>
      <c r="I29" s="2" t="s">
        <v>5</v>
      </c>
      <c r="J29" s="5" t="s">
        <v>15</v>
      </c>
      <c r="K29" s="6" t="s">
        <v>16</v>
      </c>
      <c r="L29" s="5" t="s">
        <v>0</v>
      </c>
      <c r="M29" s="6" t="s">
        <v>1</v>
      </c>
      <c r="N29" s="2" t="s">
        <v>18</v>
      </c>
      <c r="O29" s="5" t="s">
        <v>59</v>
      </c>
      <c r="P29" s="6" t="s">
        <v>60</v>
      </c>
      <c r="Q29" s="2" t="s">
        <v>19</v>
      </c>
      <c r="R29" s="2" t="s">
        <v>24</v>
      </c>
      <c r="S29" s="25"/>
      <c r="T29" s="27" t="s">
        <v>25</v>
      </c>
      <c r="V29" s="14"/>
      <c r="W29" s="14"/>
      <c r="X29" s="14"/>
    </row>
    <row r="30" spans="3:24" x14ac:dyDescent="0.3">
      <c r="D30" s="3">
        <v>0</v>
      </c>
      <c r="E30" s="7">
        <v>10</v>
      </c>
      <c r="F30" s="8">
        <v>2</v>
      </c>
      <c r="G30" s="7">
        <f>+F30*SIN(RADIANS($F$28))</f>
        <v>1.9993683785665999</v>
      </c>
      <c r="H30" s="8"/>
      <c r="I30" s="3">
        <v>0</v>
      </c>
      <c r="J30" s="7">
        <v>0</v>
      </c>
      <c r="K30" s="8">
        <v>2</v>
      </c>
      <c r="L30" s="7">
        <v>20</v>
      </c>
      <c r="M30" s="8">
        <v>0</v>
      </c>
      <c r="N30" s="3">
        <f t="shared" ref="N30:N35" si="22">+L30*COS(RADIANS($F$28))</f>
        <v>0.5026019088667506</v>
      </c>
      <c r="O30" s="7">
        <f>0.5*1000*N30*N30*0.3</f>
        <v>37.891301819475217</v>
      </c>
      <c r="P30" s="8">
        <f t="shared" ref="P30:P35" si="23">+EXP(-K30/(2/14))</f>
        <v>8.3152871910356788E-7</v>
      </c>
      <c r="Q30" s="3">
        <f>+O30*P30</f>
        <v>3.150770566711492E-5</v>
      </c>
      <c r="R30" s="3"/>
      <c r="S30" s="14"/>
      <c r="T30" s="28"/>
      <c r="V30" s="14"/>
      <c r="W30" s="14"/>
      <c r="X30" s="14"/>
    </row>
    <row r="31" spans="3:24" x14ac:dyDescent="0.3">
      <c r="D31" s="3">
        <v>1</v>
      </c>
      <c r="E31" s="7">
        <f>+E30+L30</f>
        <v>30</v>
      </c>
      <c r="F31" s="8">
        <f>+$F$30-E31/TAN(RADIANS($F$28))</f>
        <v>1.2458589708809751</v>
      </c>
      <c r="G31" s="7">
        <f>+F31*SIN(RADIANS($F$28))</f>
        <v>1.245465515266474</v>
      </c>
      <c r="H31" s="8"/>
      <c r="I31" s="3">
        <v>1</v>
      </c>
      <c r="J31" s="7">
        <v>0</v>
      </c>
      <c r="K31" s="8">
        <f>+G30</f>
        <v>1.9993683785665999</v>
      </c>
      <c r="L31" s="7">
        <v>20</v>
      </c>
      <c r="M31" s="8">
        <v>0</v>
      </c>
      <c r="N31" s="3">
        <f t="shared" si="22"/>
        <v>0.5026019088667506</v>
      </c>
      <c r="O31" s="7">
        <f t="shared" ref="O31:O35" si="24">0.5*1000*N31*N31*0.3</f>
        <v>37.891301819475217</v>
      </c>
      <c r="P31" s="8">
        <f t="shared" si="23"/>
        <v>8.352133381267578E-7</v>
      </c>
      <c r="Q31" s="3">
        <f t="shared" ref="Q31:Q34" si="25">+O31*P31</f>
        <v>3.1647320678612385E-5</v>
      </c>
      <c r="R31" s="3">
        <f>+P31*I31</f>
        <v>8.352133381267578E-7</v>
      </c>
      <c r="S31" s="14"/>
      <c r="T31" s="28">
        <f>+P31*Q31</f>
        <v>2.643226434675182E-11</v>
      </c>
      <c r="V31" s="14"/>
      <c r="W31" s="14"/>
      <c r="X31" s="14"/>
    </row>
    <row r="32" spans="3:24" x14ac:dyDescent="0.3">
      <c r="D32" s="3">
        <v>2</v>
      </c>
      <c r="E32" s="7">
        <f>+E31+L31</f>
        <v>50</v>
      </c>
      <c r="F32" s="8">
        <f>+$F$30-E32/TAN(RADIANS($F$28))</f>
        <v>0.74309828480162521</v>
      </c>
      <c r="G32" s="7">
        <f>+F32*SIN(RADIANS($F$28))</f>
        <v>0.74286360639972338</v>
      </c>
      <c r="H32" s="8"/>
      <c r="I32" s="3">
        <v>2</v>
      </c>
      <c r="J32" s="7">
        <v>0</v>
      </c>
      <c r="K32" s="8">
        <f t="shared" ref="K32:K35" si="26">+G31</f>
        <v>1.245465515266474</v>
      </c>
      <c r="L32" s="7">
        <v>20</v>
      </c>
      <c r="M32" s="8">
        <v>0</v>
      </c>
      <c r="N32" s="3">
        <f t="shared" si="22"/>
        <v>0.5026019088667506</v>
      </c>
      <c r="O32" s="7">
        <f t="shared" si="24"/>
        <v>37.891301819475217</v>
      </c>
      <c r="P32" s="8">
        <f t="shared" si="23"/>
        <v>1.6357178583896012E-4</v>
      </c>
      <c r="Q32" s="3">
        <f t="shared" si="25"/>
        <v>6.1979479063746E-3</v>
      </c>
      <c r="R32" s="3">
        <f>+P32*I32</f>
        <v>3.2714357167792023E-4</v>
      </c>
      <c r="S32" s="14"/>
      <c r="T32" s="28">
        <f>+P32*Q32</f>
        <v>1.0138094075825372E-6</v>
      </c>
    </row>
    <row r="33" spans="4:20" x14ac:dyDescent="0.3">
      <c r="D33" s="3">
        <v>3</v>
      </c>
      <c r="E33" s="7">
        <f>+E32+L32</f>
        <v>70</v>
      </c>
      <c r="F33" s="8">
        <f>+$F$30-E33/TAN(RADIANS($F$28))</f>
        <v>0.24033759872227511</v>
      </c>
      <c r="G33" s="7">
        <f>+F33*SIN(RADIANS($F$28))</f>
        <v>0.24026169753297266</v>
      </c>
      <c r="H33" s="8"/>
      <c r="I33" s="3">
        <v>3</v>
      </c>
      <c r="J33" s="7">
        <v>0</v>
      </c>
      <c r="K33" s="8">
        <f t="shared" si="26"/>
        <v>0.74286360639972338</v>
      </c>
      <c r="L33" s="7">
        <v>20</v>
      </c>
      <c r="M33" s="8">
        <v>0</v>
      </c>
      <c r="N33" s="3">
        <f t="shared" si="22"/>
        <v>0.5026019088667506</v>
      </c>
      <c r="O33" s="7">
        <f t="shared" si="24"/>
        <v>37.891301819475217</v>
      </c>
      <c r="P33" s="8">
        <f t="shared" si="23"/>
        <v>5.5163148305639202E-3</v>
      </c>
      <c r="Q33" s="3">
        <f t="shared" si="25"/>
        <v>0.20902035017614479</v>
      </c>
      <c r="R33" s="3">
        <f>+P33*I33</f>
        <v>1.654894449169176E-2</v>
      </c>
      <c r="S33" s="14"/>
      <c r="T33" s="28">
        <f>+P33*Q33</f>
        <v>1.1530220575663313E-3</v>
      </c>
    </row>
    <row r="34" spans="4:20" x14ac:dyDescent="0.3">
      <c r="D34" s="3">
        <v>4</v>
      </c>
      <c r="E34" s="7">
        <f>+E33+L33</f>
        <v>90</v>
      </c>
      <c r="F34" s="8">
        <f>+$F$30-E34/TAN(RADIANS($F$28))</f>
        <v>-0.26242308735707498</v>
      </c>
      <c r="G34" s="7">
        <f>+F34*SIN(RADIANS($F$28))</f>
        <v>-0.26234021133377811</v>
      </c>
      <c r="H34" s="8"/>
      <c r="I34" s="3">
        <v>4</v>
      </c>
      <c r="J34" s="7">
        <v>0</v>
      </c>
      <c r="K34" s="8">
        <f t="shared" si="26"/>
        <v>0.24026169753297266</v>
      </c>
      <c r="L34" s="7">
        <v>20</v>
      </c>
      <c r="M34" s="8">
        <v>0</v>
      </c>
      <c r="N34" s="3">
        <f t="shared" si="22"/>
        <v>0.5026019088667506</v>
      </c>
      <c r="O34" s="7">
        <f t="shared" si="24"/>
        <v>37.891301819475217</v>
      </c>
      <c r="P34" s="8">
        <f t="shared" si="23"/>
        <v>0.18603287329673229</v>
      </c>
      <c r="Q34" s="3">
        <f t="shared" si="25"/>
        <v>7.0490277504306746</v>
      </c>
      <c r="R34" s="3">
        <f>+P34*I34</f>
        <v>0.74413149318692917</v>
      </c>
      <c r="S34" s="14"/>
      <c r="T34" s="28">
        <f>+P34*Q34</f>
        <v>1.3113508863610195</v>
      </c>
    </row>
    <row r="35" spans="4:20" ht="15" thickBot="1" x14ac:dyDescent="0.35">
      <c r="D35" s="4"/>
      <c r="E35" s="9">
        <f>+E34+L34</f>
        <v>110</v>
      </c>
      <c r="F35" s="10">
        <f>+$F$30-E35/TAN(RADIANS($F$28))</f>
        <v>-0.76518377343642463</v>
      </c>
      <c r="G35" s="9"/>
      <c r="H35" s="10"/>
      <c r="I35" s="4">
        <v>5</v>
      </c>
      <c r="J35" s="9">
        <v>0</v>
      </c>
      <c r="K35" s="10">
        <f t="shared" si="26"/>
        <v>-0.26234021133377811</v>
      </c>
      <c r="L35" s="9">
        <v>20</v>
      </c>
      <c r="M35" s="10">
        <v>0</v>
      </c>
      <c r="N35" s="4">
        <f t="shared" si="22"/>
        <v>0.5026019088667506</v>
      </c>
      <c r="O35" s="9">
        <f t="shared" si="24"/>
        <v>37.891301819475217</v>
      </c>
      <c r="P35" s="10">
        <f t="shared" si="23"/>
        <v>6.2737952800094527</v>
      </c>
      <c r="Q35" s="4"/>
      <c r="R35" s="4">
        <f>+SUM(R31:R34)</f>
        <v>0.76100841646363693</v>
      </c>
      <c r="S35" s="26"/>
      <c r="T35" s="29">
        <f>+SUM(T31:T34)</f>
        <v>1.3125049222544256</v>
      </c>
    </row>
    <row r="36" spans="4:20" x14ac:dyDescent="0.3">
      <c r="T36" s="30">
        <f>+R35/R37</f>
        <v>3.9695067841255618</v>
      </c>
    </row>
    <row r="37" spans="4:20" x14ac:dyDescent="0.3">
      <c r="R37">
        <f>+SUM(P31:P34)</f>
        <v>0.19171359512647329</v>
      </c>
      <c r="T37" s="30"/>
    </row>
    <row r="72" spans="3:7" x14ac:dyDescent="0.3">
      <c r="C72">
        <f>+ATAN(40)</f>
        <v>1.5458015331759765</v>
      </c>
    </row>
    <row r="73" spans="3:7" x14ac:dyDescent="0.3">
      <c r="C73">
        <f>+DEGREES(C72)</f>
        <v>88.567903815835351</v>
      </c>
      <c r="D73">
        <f>3.5*80</f>
        <v>280</v>
      </c>
      <c r="E73">
        <f>280/3.5</f>
        <v>80</v>
      </c>
    </row>
    <row r="74" spans="3:7" x14ac:dyDescent="0.3">
      <c r="G74">
        <f>3.5*35</f>
        <v>122.5</v>
      </c>
    </row>
    <row r="82" spans="3:3" x14ac:dyDescent="0.3">
      <c r="C8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tabSelected="1" workbookViewId="0">
      <selection activeCell="D30" sqref="D30"/>
    </sheetView>
  </sheetViews>
  <sheetFormatPr defaultRowHeight="14.4" x14ac:dyDescent="0.3"/>
  <cols>
    <col min="3" max="5" width="17.44140625" bestFit="1" customWidth="1"/>
    <col min="6" max="8" width="15.109375" bestFit="1" customWidth="1"/>
  </cols>
  <sheetData>
    <row r="2" spans="1:8" ht="15" thickBot="1" x14ac:dyDescent="0.35">
      <c r="B2" t="s">
        <v>26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</row>
    <row r="3" spans="1:8" x14ac:dyDescent="0.3">
      <c r="A3" t="s">
        <v>63</v>
      </c>
      <c r="B3" s="5">
        <v>1</v>
      </c>
      <c r="C3" s="25">
        <f>+Risk_Estimation!O5</f>
        <v>0</v>
      </c>
      <c r="D3" s="25">
        <f>+Risk_Estimation!O13</f>
        <v>0</v>
      </c>
      <c r="E3" s="25">
        <f>+Risk_Estimation!O21</f>
        <v>0</v>
      </c>
      <c r="F3" s="25">
        <f>+Risk_Estimation!M5</f>
        <v>125</v>
      </c>
      <c r="G3" s="25">
        <f>+Risk_Estimation!M13</f>
        <v>625.00000000000011</v>
      </c>
      <c r="H3" s="6">
        <f>+Risk_Estimation!M21</f>
        <v>186.24999999999986</v>
      </c>
    </row>
    <row r="4" spans="1:8" x14ac:dyDescent="0.3">
      <c r="B4" s="7">
        <v>2</v>
      </c>
      <c r="C4" s="14">
        <f>+Risk_Estimation!O6</f>
        <v>0</v>
      </c>
      <c r="D4" s="14">
        <f>+Risk_Estimation!O14</f>
        <v>0</v>
      </c>
      <c r="E4" s="14">
        <f>+Risk_Estimation!O22</f>
        <v>0</v>
      </c>
      <c r="F4" s="14">
        <f>+Risk_Estimation!M6</f>
        <v>146.79050759832663</v>
      </c>
      <c r="G4" s="14">
        <f>+Risk_Estimation!M14</f>
        <v>2564.3118373368357</v>
      </c>
      <c r="H4" s="8">
        <f>+Risk_Estimation!M22</f>
        <v>537.92297300680411</v>
      </c>
    </row>
    <row r="5" spans="1:8" x14ac:dyDescent="0.3">
      <c r="B5" s="7">
        <v>3</v>
      </c>
      <c r="C5" s="14">
        <f>+Risk_Estimation!O7</f>
        <v>1.9999999999999999E-6</v>
      </c>
      <c r="D5" s="14">
        <f>+Risk_Estimation!O15</f>
        <v>7.8E-2</v>
      </c>
      <c r="E5" s="14">
        <f>+Risk_Estimation!O23</f>
        <v>1.0200000000000001E-2</v>
      </c>
      <c r="F5" s="14">
        <f>+Risk_Estimation!M7</f>
        <v>222.45064140242002</v>
      </c>
      <c r="G5" s="14">
        <f>+Risk_Estimation!M15</f>
        <v>6046.8794032630049</v>
      </c>
      <c r="H5" s="8">
        <f>+Risk_Estimation!M23</f>
        <v>1237.2507080536229</v>
      </c>
    </row>
    <row r="6" spans="1:8" ht="15" thickBot="1" x14ac:dyDescent="0.35">
      <c r="B6" s="9">
        <v>4</v>
      </c>
      <c r="C6" s="26">
        <f>+Risk_Estimation!O8</f>
        <v>0</v>
      </c>
      <c r="D6" s="26">
        <f>+Risk_Estimation!O16</f>
        <v>0.26900000000000002</v>
      </c>
      <c r="E6" s="26">
        <f>+Risk_Estimation!O24</f>
        <v>0</v>
      </c>
      <c r="F6" s="26">
        <f>+Risk_Estimation!M8</f>
        <v>365.34974341297789</v>
      </c>
      <c r="G6" s="26">
        <f>+Risk_Estimation!M16</f>
        <v>11138.649544951804</v>
      </c>
      <c r="H6" s="10">
        <f>+Risk_Estimation!M24</f>
        <v>2316.0046739515647</v>
      </c>
    </row>
    <row r="8" spans="1:8" ht="15" thickBot="1" x14ac:dyDescent="0.35"/>
    <row r="9" spans="1:8" x14ac:dyDescent="0.3">
      <c r="A9" t="s">
        <v>64</v>
      </c>
      <c r="B9" s="5">
        <v>1</v>
      </c>
      <c r="C9" s="25">
        <f>+Risk_Estimation!P5</f>
        <v>0</v>
      </c>
      <c r="D9" s="25">
        <f>+Risk_Estimation!P13</f>
        <v>0</v>
      </c>
      <c r="E9" s="25">
        <f>+Risk_Estimation!P21</f>
        <v>0</v>
      </c>
      <c r="F9" s="25">
        <f>+Risk_Estimation!N5</f>
        <v>125</v>
      </c>
      <c r="G9" s="25">
        <f>+Risk_Estimation!N13</f>
        <v>625.00000000000011</v>
      </c>
      <c r="H9" s="6">
        <f>+Risk_Estimation!N21</f>
        <v>186.24999999999986</v>
      </c>
    </row>
    <row r="10" spans="1:8" x14ac:dyDescent="0.3">
      <c r="B10" s="7">
        <v>2</v>
      </c>
      <c r="C10" s="14">
        <f>+Risk_Estimation!P6</f>
        <v>0</v>
      </c>
      <c r="D10" s="14">
        <f>+Risk_Estimation!P14</f>
        <v>0</v>
      </c>
      <c r="E10" s="14">
        <f>+Risk_Estimation!P22</f>
        <v>0</v>
      </c>
      <c r="F10" s="14">
        <f>+Risk_Estimation!N6</f>
        <v>1125</v>
      </c>
      <c r="G10" s="14">
        <f>+Risk_Estimation!N14</f>
        <v>3125</v>
      </c>
      <c r="H10" s="8">
        <f>+Risk_Estimation!N22</f>
        <v>1369.9999999999993</v>
      </c>
    </row>
    <row r="11" spans="1:8" x14ac:dyDescent="0.3">
      <c r="B11" s="7">
        <v>3</v>
      </c>
      <c r="C11" s="14">
        <f>+Risk_Estimation!P7</f>
        <v>1.01E-2</v>
      </c>
      <c r="D11" s="14">
        <f>+Risk_Estimation!P15</f>
        <v>7.9999999999999996E-7</v>
      </c>
      <c r="E11" s="14">
        <f>+Risk_Estimation!P23</f>
        <v>8.9999999999999998E-4</v>
      </c>
      <c r="F11" s="14">
        <f>+Risk_Estimation!N7</f>
        <v>1125</v>
      </c>
      <c r="G11" s="14">
        <f>+Risk_Estimation!N15</f>
        <v>5625.0000000000009</v>
      </c>
      <c r="H11" s="8">
        <f>+Risk_Estimation!N23</f>
        <v>1676.2499999999986</v>
      </c>
    </row>
    <row r="12" spans="1:8" ht="15" thickBot="1" x14ac:dyDescent="0.35">
      <c r="B12" s="9">
        <v>4</v>
      </c>
      <c r="C12" s="26">
        <f>+Risk_Estimation!P8</f>
        <v>0.1236</v>
      </c>
      <c r="D12" s="26">
        <f>+Risk_Estimation!P16</f>
        <v>6.0000000000000002E-6</v>
      </c>
      <c r="E12" s="26">
        <f>+Risk_Estimation!P24</f>
        <v>0.01</v>
      </c>
      <c r="F12" s="26">
        <f>+Risk_Estimation!N8</f>
        <v>125</v>
      </c>
      <c r="G12" s="26">
        <f>+Risk_Estimation!N16</f>
        <v>8124.9999999999982</v>
      </c>
      <c r="H12" s="10">
        <f>+Risk_Estimation!N24</f>
        <v>1104.999999999998</v>
      </c>
    </row>
    <row r="14" spans="1:8" ht="15" thickBot="1" x14ac:dyDescent="0.35">
      <c r="C14" t="s">
        <v>40</v>
      </c>
      <c r="D14" t="s">
        <v>38</v>
      </c>
    </row>
    <row r="15" spans="1:8" x14ac:dyDescent="0.3">
      <c r="A15" t="s">
        <v>27</v>
      </c>
      <c r="B15" s="5">
        <v>1</v>
      </c>
      <c r="C15" s="25">
        <f>+Risk_Estimation!P31</f>
        <v>8.352133381267578E-7</v>
      </c>
      <c r="D15" s="6">
        <f>+Risk_Estimation!O31</f>
        <v>37.891301819475217</v>
      </c>
    </row>
    <row r="16" spans="1:8" x14ac:dyDescent="0.3">
      <c r="B16" s="7">
        <v>2</v>
      </c>
      <c r="C16" s="14">
        <f>+Risk_Estimation!P32</f>
        <v>1.6357178583896012E-4</v>
      </c>
      <c r="D16" s="8">
        <f>+Risk_Estimation!O32</f>
        <v>37.891301819475217</v>
      </c>
    </row>
    <row r="17" spans="1:6" x14ac:dyDescent="0.3">
      <c r="B17" s="7">
        <v>3</v>
      </c>
      <c r="C17" s="14">
        <f>+Risk_Estimation!P33</f>
        <v>5.5163148305639202E-3</v>
      </c>
      <c r="D17" s="8">
        <f>+Risk_Estimation!O33</f>
        <v>37.891301819475217</v>
      </c>
    </row>
    <row r="18" spans="1:6" ht="15" thickBot="1" x14ac:dyDescent="0.35">
      <c r="B18" s="9">
        <v>4</v>
      </c>
      <c r="C18" s="26">
        <f>+Risk_Estimation!P34</f>
        <v>0.18603287329673229</v>
      </c>
      <c r="D18" s="10">
        <f>+Risk_Estimation!O34</f>
        <v>37.891301819475217</v>
      </c>
    </row>
    <row r="20" spans="1:6" ht="15" thickBot="1" x14ac:dyDescent="0.35">
      <c r="B20" t="s">
        <v>5</v>
      </c>
      <c r="C20" t="s">
        <v>28</v>
      </c>
      <c r="D20" t="s">
        <v>29</v>
      </c>
      <c r="E20" t="s">
        <v>30</v>
      </c>
      <c r="F20" t="s">
        <v>31</v>
      </c>
    </row>
    <row r="21" spans="1:6" x14ac:dyDescent="0.3">
      <c r="A21" t="s">
        <v>19</v>
      </c>
      <c r="B21" s="5">
        <v>1</v>
      </c>
      <c r="C21" s="25">
        <f>+Risk_Estimation!T5</f>
        <v>0</v>
      </c>
      <c r="D21" s="25">
        <f>+Risk_Estimation!T13</f>
        <v>0</v>
      </c>
      <c r="E21" s="25">
        <f>+Risk_Estimation!T21</f>
        <v>0</v>
      </c>
      <c r="F21" s="6">
        <v>0</v>
      </c>
    </row>
    <row r="22" spans="1:6" x14ac:dyDescent="0.3">
      <c r="B22" s="7">
        <v>2</v>
      </c>
      <c r="C22" s="14">
        <f>+Risk_Estimation!T6</f>
        <v>0</v>
      </c>
      <c r="D22" s="14">
        <f>+Risk_Estimation!T14</f>
        <v>0</v>
      </c>
      <c r="E22" s="14">
        <f>+Risk_Estimation!T22</f>
        <v>0</v>
      </c>
      <c r="F22" s="8">
        <f>+Risk_Estimation!T32</f>
        <v>1.0138094075825372E-6</v>
      </c>
    </row>
    <row r="23" spans="1:6" x14ac:dyDescent="0.3">
      <c r="B23" s="7">
        <v>3</v>
      </c>
      <c r="C23" s="14">
        <f>+Risk_Estimation!T7</f>
        <v>11.362944901282804</v>
      </c>
      <c r="D23" s="14">
        <f>+Risk_Estimation!T15</f>
        <v>471.6610934545144</v>
      </c>
      <c r="E23" s="14">
        <f>+Risk_Estimation!T23</f>
        <v>14.128582222146953</v>
      </c>
      <c r="F23" s="8">
        <f>+Risk_Estimation!T33</f>
        <v>1.1530220575663313E-3</v>
      </c>
    </row>
    <row r="24" spans="1:6" ht="15" thickBot="1" x14ac:dyDescent="0.35">
      <c r="B24" s="9">
        <v>4</v>
      </c>
      <c r="C24" s="26">
        <f>+Risk_Estimation!T8</f>
        <v>15.450000000000001</v>
      </c>
      <c r="D24" s="26">
        <f>+Risk_Estimation!T16</f>
        <v>2996.3454775920354</v>
      </c>
      <c r="E24" s="26">
        <f>+Risk_Estimation!T24</f>
        <v>11.049999999999979</v>
      </c>
      <c r="F24" s="10">
        <f>+Risk_Estimation!T34</f>
        <v>1.3113508863610195</v>
      </c>
    </row>
    <row r="25" spans="1:6" ht="15" thickBot="1" x14ac:dyDescent="0.35"/>
    <row r="26" spans="1:6" ht="15" thickBot="1" x14ac:dyDescent="0.35">
      <c r="A26" t="s">
        <v>32</v>
      </c>
      <c r="B26" s="11"/>
      <c r="C26" s="31">
        <f>+Risk_Estimation!Q9</f>
        <v>3.9244439125817121</v>
      </c>
      <c r="D26" s="31">
        <f>+Risk_Estimation!Q17</f>
        <v>3.7752182377982222</v>
      </c>
      <c r="E26" s="31">
        <f>+Risk_Estimation!Q25</f>
        <v>3.4739336492890995</v>
      </c>
      <c r="F26" s="12">
        <f>+Risk_Estimation!T36</f>
        <v>3.9695067841255618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Risk_Estimation</vt:lpstr>
      <vt:lpstr>Output_Data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2021-01-07T10:50:50Z</dcterms:modified>
</cp:coreProperties>
</file>