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dmar\Documents\Odmar\TU Delft\00. GRADUATION\02.2. Conceptualisation\"/>
    </mc:Choice>
  </mc:AlternateContent>
  <xr:revisionPtr revIDLastSave="0" documentId="13_ncr:1_{84146CDB-B8BD-4FBB-9F15-6545DC6A60C2}" xr6:coauthVersionLast="47" xr6:coauthVersionMax="47" xr10:uidLastSave="{00000000-0000-0000-0000-000000000000}"/>
  <bookViews>
    <workbookView xWindow="28680" yWindow="-120" windowWidth="29040" windowHeight="15840" xr2:uid="{1F4DBAC7-4FED-4D59-8D2E-3A4D3BFD1580}"/>
  </bookViews>
  <sheets>
    <sheet name="Total business model" sheetId="2" r:id="rId1"/>
    <sheet name="Return system" sheetId="1" r:id="rId2"/>
    <sheet name="Repair system" sheetId="3" r:id="rId3"/>
    <sheet name="Impact estimate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4" i="2" l="1"/>
  <c r="A9" i="4"/>
  <c r="A21" i="4"/>
  <c r="A19" i="4"/>
  <c r="A7" i="4"/>
  <c r="A8" i="4" s="1"/>
  <c r="A15" i="4"/>
  <c r="B19" i="2"/>
  <c r="B18" i="2"/>
  <c r="D8" i="2"/>
  <c r="G17" i="2"/>
  <c r="G19" i="2" s="1"/>
  <c r="B20" i="2" s="1"/>
  <c r="B11" i="3"/>
  <c r="B8" i="3"/>
  <c r="C13" i="2"/>
  <c r="B2" i="3" s="1"/>
  <c r="C11" i="2"/>
  <c r="D11" i="2" s="1"/>
  <c r="C10" i="2"/>
  <c r="D10" i="2" s="1"/>
  <c r="C9" i="2"/>
  <c r="B12" i="2"/>
  <c r="C12" i="2" s="1"/>
  <c r="D12" i="2" s="1"/>
  <c r="B22" i="1"/>
  <c r="B17" i="1"/>
  <c r="B20" i="1"/>
  <c r="G13" i="1"/>
  <c r="B21" i="1" s="1"/>
  <c r="G11" i="1"/>
  <c r="B11" i="1" s="1"/>
  <c r="B14" i="1" s="1"/>
  <c r="A10" i="4" l="1"/>
  <c r="A22" i="4"/>
  <c r="B5" i="1"/>
  <c r="G17" i="1" s="1"/>
  <c r="G18" i="1" s="1"/>
  <c r="D9" i="2"/>
  <c r="D13" i="2"/>
  <c r="B22" i="2"/>
  <c r="G10" i="3"/>
  <c r="G11" i="3" s="1"/>
  <c r="B12" i="3"/>
  <c r="B14" i="3" s="1"/>
  <c r="B18" i="1"/>
  <c r="D14" i="2" l="1"/>
</calcChain>
</file>

<file path=xl/sharedStrings.xml><?xml version="1.0" encoding="utf-8"?>
<sst xmlns="http://schemas.openxmlformats.org/spreadsheetml/2006/main" count="241" uniqueCount="139">
  <si>
    <t>Quality control: Decide on further processing</t>
  </si>
  <si>
    <t>Repair &amp; touch up if necessary</t>
  </si>
  <si>
    <t>Industrial cleaning</t>
  </si>
  <si>
    <t>Prepare for resale: Photo, price, upload/deliver</t>
  </si>
  <si>
    <t>Resale processing</t>
  </si>
  <si>
    <t>Return processing</t>
  </si>
  <si>
    <t>Time estimate (per bra)</t>
  </si>
  <si>
    <t>LEGEND:</t>
  </si>
  <si>
    <t>Calculated value</t>
  </si>
  <si>
    <t>Manually inserted value</t>
  </si>
  <si>
    <t>Bra weight</t>
  </si>
  <si>
    <t>g</t>
  </si>
  <si>
    <t>Washing machine capacity</t>
  </si>
  <si>
    <t>kg</t>
  </si>
  <si>
    <t>min/wash</t>
  </si>
  <si>
    <t>min/bra</t>
  </si>
  <si>
    <t>Working hours per wash</t>
  </si>
  <si>
    <t>Working hours per bra</t>
  </si>
  <si>
    <t>Estimate of: transport to washing machine, washing, picking up</t>
  </si>
  <si>
    <t>Unit</t>
  </si>
  <si>
    <t>Amount</t>
  </si>
  <si>
    <t>Total working hours return processing/bra</t>
  </si>
  <si>
    <t>Working hours per month</t>
  </si>
  <si>
    <t>Working hours per year</t>
  </si>
  <si>
    <t>h/year</t>
  </si>
  <si>
    <t>h/month</t>
  </si>
  <si>
    <t>Minimum wage per hour</t>
  </si>
  <si>
    <t>€/h</t>
  </si>
  <si>
    <t>https://minimumloon.nl/</t>
  </si>
  <si>
    <t>Estimate</t>
  </si>
  <si>
    <t>Calculation</t>
  </si>
  <si>
    <t>Weight of prototype</t>
  </si>
  <si>
    <t>€/bra</t>
  </si>
  <si>
    <t>A few threads and spare fabrics?</t>
  </si>
  <si>
    <t>Price per wash</t>
  </si>
  <si>
    <t>Price per bra</t>
  </si>
  <si>
    <t>€/wash</t>
  </si>
  <si>
    <t>Renting an industrial washer</t>
  </si>
  <si>
    <t> 5 x 10kg wasgoed per dag, 250kg wasgoed per week (https://www.laundryuse.nl/nl/de-abonnementen)</t>
  </si>
  <si>
    <t>https://www.dewitwasserij.nl/wasserette/</t>
  </si>
  <si>
    <t>Based on an 8kg wash (https://www.dewitwasserij.nl/wasserette/)</t>
  </si>
  <si>
    <t>Total cost per bra</t>
  </si>
  <si>
    <t>Other random facts</t>
  </si>
  <si>
    <t>Industrial processing</t>
  </si>
  <si>
    <t>Labour</t>
  </si>
  <si>
    <t>Repair material</t>
  </si>
  <si>
    <t>Washing</t>
  </si>
  <si>
    <t>Total price return process (per bra)</t>
  </si>
  <si>
    <t>bras/year</t>
  </si>
  <si>
    <t>Scale of returns (in no. bras/year)</t>
  </si>
  <si>
    <t>https://www.dylon.nl/nl/home/gebruik-en-tips/gebruik.html</t>
  </si>
  <si>
    <t>Clothing dye</t>
  </si>
  <si>
    <t>€/pod</t>
  </si>
  <si>
    <t>Redyeing the bra</t>
  </si>
  <si>
    <t>https://www.salarisvanmorgen.nl/2022/06/19/minimumloon-per-1-januari-2023-met-25-procent-extra-omhoog/</t>
  </si>
  <si>
    <t>Return envelope + stamps etc</t>
  </si>
  <si>
    <t>PostNL</t>
  </si>
  <si>
    <t>Return process &amp; labour are by far the most expensive part of the refurbishing system</t>
  </si>
  <si>
    <t>Sold pre-loved bras</t>
  </si>
  <si>
    <t>Sold new bras</t>
  </si>
  <si>
    <t>Refurbished passed-on bras</t>
  </si>
  <si>
    <t>Amount (% of sold)</t>
  </si>
  <si>
    <t>-</t>
  </si>
  <si>
    <t>Recycled bras</t>
  </si>
  <si>
    <t>Lost after usephase</t>
  </si>
  <si>
    <t>Amount (#)</t>
  </si>
  <si>
    <t>Hard to sell, 1/20 bras is probably optimistic, even if return is promoted</t>
  </si>
  <si>
    <t>These bras never come back to Feelou</t>
  </si>
  <si>
    <t>Operational cost (per new bra)</t>
  </si>
  <si>
    <t>Refurbishment costs</t>
  </si>
  <si>
    <t>Cost of production</t>
  </si>
  <si>
    <t>Free refurbishment with pass-on</t>
  </si>
  <si>
    <t>Bras with 1 repair/lifetime</t>
  </si>
  <si>
    <t>Free repairs</t>
  </si>
  <si>
    <t>Scale of repair (in no. bras/year)</t>
  </si>
  <si>
    <t>Total cost as calculated in the "Return system" sheet</t>
  </si>
  <si>
    <t>Total cost/% of bras going through system</t>
  </si>
  <si>
    <t>Revenue of return system (per pre-loved bra sold)</t>
  </si>
  <si>
    <t>Sales price</t>
  </si>
  <si>
    <t>Loss/revenue per bra</t>
  </si>
  <si>
    <t>Cost of resale system</t>
  </si>
  <si>
    <t>Negative = loss, positive = revenue</t>
  </si>
  <si>
    <t>Loss of system/% of bras going through system</t>
  </si>
  <si>
    <t>This is the amount that is returned and cannot be resold. Cost/revenue of this system is assumed negligable</t>
  </si>
  <si>
    <t>Estimate, assuming all refurbished bras are sold</t>
  </si>
  <si>
    <t>Estimate of resource flows</t>
  </si>
  <si>
    <t>Estimate of resource flow in total business model calculations</t>
  </si>
  <si>
    <t>Estimate of resource flow in Total business model (pass on + pre-loved)</t>
  </si>
  <si>
    <t>Sales price (new bra)</t>
  </si>
  <si>
    <t>Assumed production + system cost *3</t>
  </si>
  <si>
    <t>Revenue of system</t>
  </si>
  <si>
    <t>Total revenue:</t>
  </si>
  <si>
    <t>Total revenue of sold bras</t>
  </si>
  <si>
    <t>Total PSS cost</t>
  </si>
  <si>
    <t>https://shop.fairphone.com/en/recycle</t>
  </si>
  <si>
    <t>Phones recycled</t>
  </si>
  <si>
    <t>Phones sold</t>
  </si>
  <si>
    <t>Recycled/sold</t>
  </si>
  <si>
    <t>https://www.fairphone.com/wp-content/uploads/2021/06/Impact-Report-2020-Fairphone-nearly-doubles-sales-in-2020-as-its-industry-influence-increases.pdf</t>
  </si>
  <si>
    <t>Recycled are not only Fairphones!</t>
  </si>
  <si>
    <t>https://www.patagonia.com/our-footprint/</t>
  </si>
  <si>
    <t>https://www.zippia.com/patagonia-careers-213543/revenue/</t>
  </si>
  <si>
    <t>Revenue in 2021</t>
  </si>
  <si>
    <t>Repaired clothes in 2020</t>
  </si>
  <si>
    <t>https://www.patagonia.com/on/demandware.static/-/Library-Sites-PatagoniaShared/default/dw751661cb/PDF-US/PAT_2020_BCorp_Report-0503%20-%20FINAL.pdf</t>
  </si>
  <si>
    <t>Pounds of recycled clothes 2020</t>
  </si>
  <si>
    <t>Kg recycled</t>
  </si>
  <si>
    <t>Estimate of amount of clothes that get recycled</t>
  </si>
  <si>
    <t>Source</t>
  </si>
  <si>
    <t>Fairphone</t>
  </si>
  <si>
    <t>Patagonia</t>
  </si>
  <si>
    <t>Repaired</t>
  </si>
  <si>
    <t>€</t>
  </si>
  <si>
    <t>pounds</t>
  </si>
  <si>
    <t>Estimate in amount of tshirts (150g/shirt)</t>
  </si>
  <si>
    <t>shirts repaired</t>
  </si>
  <si>
    <t>shirts sold</t>
  </si>
  <si>
    <t>https://silverbobbin.com/how-much-does-t-shirt-weigh/</t>
  </si>
  <si>
    <t>Impact stats of companies with a recycling program</t>
  </si>
  <si>
    <t>H&amp;M</t>
  </si>
  <si>
    <t>https://hmgroup.com/sustainability/circular-and-climate-positive/recycling/</t>
  </si>
  <si>
    <t>kg recycled</t>
  </si>
  <si>
    <t>Post-consumer, since starting in 2013</t>
  </si>
  <si>
    <t>shirts recycled/year</t>
  </si>
  <si>
    <t>https://companiesmarketcap.com/h-m/revenue/</t>
  </si>
  <si>
    <t>Revenue 2021</t>
  </si>
  <si>
    <t>Shirts sold</t>
  </si>
  <si>
    <r>
      <t xml:space="preserve">Sales if an average product would cost </t>
    </r>
    <r>
      <rPr>
        <sz val="11"/>
        <color rgb="FFFF0000"/>
        <rFont val="Calibri"/>
        <family val="2"/>
        <scheme val="minor"/>
      </rPr>
      <t>10 eu</t>
    </r>
  </si>
  <si>
    <r>
      <t xml:space="preserve">Sales if an average product would cost </t>
    </r>
    <r>
      <rPr>
        <sz val="11"/>
        <color rgb="FFFF0000"/>
        <rFont val="Calibri"/>
        <family val="2"/>
        <scheme val="minor"/>
      </rPr>
      <t>20 eu</t>
    </r>
  </si>
  <si>
    <t>Comment</t>
  </si>
  <si>
    <t>1 pound = 0,45359 kg (Google)</t>
  </si>
  <si>
    <t>% repaired, resold, recycled</t>
  </si>
  <si>
    <t>% resold, recycled</t>
  </si>
  <si>
    <t>Hopefully, 1/5 of customers will be inspired to pass on their bra (with free refurbishment)</t>
  </si>
  <si>
    <t>Assumption of average price/product, Patagonia is a high-end brand</t>
  </si>
  <si>
    <t>Assumption of average price/product, H&amp;M is a discounter</t>
  </si>
  <si>
    <t>If refurbishment can be done at a profit, this could show that a circular businessmodel is not only ethical, but also a viable businessmodel</t>
  </si>
  <si>
    <t>With free repairs, it is estimated that 1/10 of bras will be sent back for repairs (excluding refurbishment for both pass-on and resale)</t>
  </si>
  <si>
    <t>https://www.bol.com/nl/nl/p/dylon-wasmachine-textielverf-pods-intense-black-350g/9200000081697663/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</si>
</sst>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0.0"/>
    <numFmt numFmtId="165" formatCode="_ [$€-2]\ * #,##0.00_ ;_ [$€-2]\ * \-#,##0.00_ ;_ [$€-2]\ * &quot;-&quot;??_ ;_ @_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2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i/>
      <sz val="11"/>
      <color rgb="FFFF0000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 applyNumberFormat="0" applyFill="0" applyBorder="0" applyAlignment="0" applyProtection="0"/>
  </cellStyleXfs>
  <cellXfs count="91">
    <xf numFmtId="0" fontId="0" fillId="0" borderId="0" xfId="0"/>
    <xf numFmtId="0" fontId="0" fillId="2" borderId="0" xfId="0" applyFill="1"/>
    <xf numFmtId="0" fontId="0" fillId="0" borderId="2" xfId="0" applyBorder="1"/>
    <xf numFmtId="0" fontId="0" fillId="0" borderId="3" xfId="0" applyBorder="1"/>
    <xf numFmtId="0" fontId="1" fillId="0" borderId="3" xfId="0" applyFont="1" applyBorder="1"/>
    <xf numFmtId="0" fontId="0" fillId="0" borderId="4" xfId="0" applyBorder="1"/>
    <xf numFmtId="0" fontId="1" fillId="0" borderId="5" xfId="0" applyFont="1" applyBorder="1"/>
    <xf numFmtId="0" fontId="0" fillId="3" borderId="6" xfId="0" applyFill="1" applyBorder="1"/>
    <xf numFmtId="0" fontId="0" fillId="3" borderId="7" xfId="0" applyFill="1" applyBorder="1"/>
    <xf numFmtId="0" fontId="0" fillId="3" borderId="1" xfId="0" applyFill="1" applyBorder="1"/>
    <xf numFmtId="0" fontId="0" fillId="0" borderId="8" xfId="0" applyBorder="1"/>
    <xf numFmtId="0" fontId="0" fillId="2" borderId="8" xfId="0" applyFill="1" applyBorder="1"/>
    <xf numFmtId="165" fontId="0" fillId="2" borderId="9" xfId="0" applyNumberFormat="1" applyFill="1" applyBorder="1"/>
    <xf numFmtId="0" fontId="0" fillId="0" borderId="10" xfId="0" applyBorder="1"/>
    <xf numFmtId="0" fontId="0" fillId="0" borderId="11" xfId="0" applyBorder="1"/>
    <xf numFmtId="0" fontId="0" fillId="0" borderId="5" xfId="0" applyBorder="1"/>
    <xf numFmtId="0" fontId="0" fillId="0" borderId="12" xfId="0" applyBorder="1"/>
    <xf numFmtId="0" fontId="0" fillId="2" borderId="9" xfId="0" applyFill="1" applyBorder="1"/>
    <xf numFmtId="0" fontId="1" fillId="0" borderId="11" xfId="0" applyFont="1" applyBorder="1"/>
    <xf numFmtId="165" fontId="0" fillId="2" borderId="8" xfId="0" applyNumberFormat="1" applyFill="1" applyBorder="1"/>
    <xf numFmtId="165" fontId="0" fillId="0" borderId="8" xfId="0" applyNumberFormat="1" applyBorder="1"/>
    <xf numFmtId="165" fontId="0" fillId="2" borderId="12" xfId="0" applyNumberFormat="1" applyFill="1" applyBorder="1"/>
    <xf numFmtId="165" fontId="0" fillId="0" borderId="9" xfId="0" applyNumberFormat="1" applyBorder="1"/>
    <xf numFmtId="164" fontId="0" fillId="2" borderId="8" xfId="0" applyNumberFormat="1" applyFill="1" applyBorder="1"/>
    <xf numFmtId="1" fontId="0" fillId="2" borderId="8" xfId="0" applyNumberFormat="1" applyFill="1" applyBorder="1"/>
    <xf numFmtId="0" fontId="0" fillId="4" borderId="6" xfId="0" applyFill="1" applyBorder="1"/>
    <xf numFmtId="0" fontId="0" fillId="0" borderId="1" xfId="0" applyBorder="1"/>
    <xf numFmtId="0" fontId="3" fillId="0" borderId="0" xfId="0" applyFont="1"/>
    <xf numFmtId="0" fontId="1" fillId="0" borderId="0" xfId="0" applyFont="1"/>
    <xf numFmtId="0" fontId="0" fillId="0" borderId="13" xfId="0" applyBorder="1"/>
    <xf numFmtId="165" fontId="0" fillId="0" borderId="12" xfId="0" applyNumberFormat="1" applyBorder="1"/>
    <xf numFmtId="44" fontId="0" fillId="0" borderId="13" xfId="1" applyFont="1" applyBorder="1"/>
    <xf numFmtId="0" fontId="0" fillId="0" borderId="0" xfId="0" applyAlignment="1">
      <alignment horizontal="center" vertical="center"/>
    </xf>
    <xf numFmtId="9" fontId="0" fillId="0" borderId="8" xfId="0" applyNumberFormat="1" applyBorder="1"/>
    <xf numFmtId="10" fontId="0" fillId="2" borderId="8" xfId="0" applyNumberFormat="1" applyFill="1" applyBorder="1"/>
    <xf numFmtId="9" fontId="0" fillId="0" borderId="9" xfId="0" applyNumberFormat="1" applyBorder="1"/>
    <xf numFmtId="0" fontId="0" fillId="0" borderId="14" xfId="0" applyBorder="1"/>
    <xf numFmtId="0" fontId="0" fillId="0" borderId="15" xfId="0" applyBorder="1"/>
    <xf numFmtId="0" fontId="0" fillId="2" borderId="3" xfId="0" applyFill="1" applyBorder="1"/>
    <xf numFmtId="0" fontId="0" fillId="2" borderId="5" xfId="0" applyFill="1" applyBorder="1"/>
    <xf numFmtId="0" fontId="0" fillId="4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/>
    </xf>
    <xf numFmtId="44" fontId="0" fillId="2" borderId="8" xfId="1" applyFont="1" applyFill="1" applyBorder="1"/>
    <xf numFmtId="44" fontId="0" fillId="2" borderId="9" xfId="0" applyNumberFormat="1" applyFill="1" applyBorder="1"/>
    <xf numFmtId="0" fontId="1" fillId="0" borderId="15" xfId="0" applyFont="1" applyBorder="1"/>
    <xf numFmtId="0" fontId="1" fillId="0" borderId="8" xfId="0" applyFont="1" applyBorder="1"/>
    <xf numFmtId="0" fontId="1" fillId="0" borderId="12" xfId="0" applyFont="1" applyBorder="1"/>
    <xf numFmtId="0" fontId="1" fillId="0" borderId="9" xfId="0" applyFont="1" applyBorder="1"/>
    <xf numFmtId="0" fontId="0" fillId="0" borderId="9" xfId="0" applyBorder="1"/>
    <xf numFmtId="44" fontId="0" fillId="0" borderId="12" xfId="1" applyFont="1" applyBorder="1"/>
    <xf numFmtId="44" fontId="0" fillId="2" borderId="9" xfId="1" applyFont="1" applyFill="1" applyBorder="1"/>
    <xf numFmtId="0" fontId="0" fillId="3" borderId="1" xfId="0" applyFill="1" applyBorder="1" applyAlignment="1">
      <alignment horizontal="center" vertical="center" wrapText="1"/>
    </xf>
    <xf numFmtId="0" fontId="0" fillId="2" borderId="1" xfId="0" applyFill="1" applyBorder="1"/>
    <xf numFmtId="0" fontId="1" fillId="0" borderId="7" xfId="0" applyFont="1" applyBorder="1"/>
    <xf numFmtId="44" fontId="0" fillId="0" borderId="1" xfId="1" applyFont="1" applyBorder="1"/>
    <xf numFmtId="44" fontId="0" fillId="0" borderId="0" xfId="0" applyNumberFormat="1"/>
    <xf numFmtId="44" fontId="0" fillId="2" borderId="13" xfId="1" applyFont="1" applyFill="1" applyBorder="1"/>
    <xf numFmtId="44" fontId="0" fillId="2" borderId="12" xfId="1" applyFont="1" applyFill="1" applyBorder="1"/>
    <xf numFmtId="0" fontId="0" fillId="0" borderId="0" xfId="0" quotePrefix="1"/>
    <xf numFmtId="0" fontId="4" fillId="0" borderId="0" xfId="0" applyFont="1"/>
    <xf numFmtId="9" fontId="0" fillId="0" borderId="0" xfId="3" applyFont="1"/>
    <xf numFmtId="44" fontId="0" fillId="0" borderId="8" xfId="1" applyFont="1" applyBorder="1"/>
    <xf numFmtId="9" fontId="0" fillId="2" borderId="8" xfId="3" applyFont="1" applyFill="1" applyBorder="1"/>
    <xf numFmtId="0" fontId="0" fillId="4" borderId="13" xfId="0" applyFill="1" applyBorder="1"/>
    <xf numFmtId="0" fontId="0" fillId="4" borderId="20" xfId="0" applyFill="1" applyBorder="1"/>
    <xf numFmtId="0" fontId="0" fillId="4" borderId="15" xfId="0" applyFill="1" applyBorder="1"/>
    <xf numFmtId="9" fontId="0" fillId="0" borderId="0" xfId="3" applyFont="1" applyBorder="1"/>
    <xf numFmtId="0" fontId="0" fillId="0" borderId="19" xfId="0" applyBorder="1"/>
    <xf numFmtId="1" fontId="0" fillId="0" borderId="8" xfId="0" applyNumberFormat="1" applyBorder="1"/>
    <xf numFmtId="0" fontId="0" fillId="2" borderId="8" xfId="2" applyNumberFormat="1" applyFont="1" applyFill="1" applyBorder="1"/>
    <xf numFmtId="0" fontId="0" fillId="0" borderId="20" xfId="0" applyBorder="1"/>
    <xf numFmtId="0" fontId="5" fillId="0" borderId="3" xfId="0" applyFont="1" applyBorder="1"/>
    <xf numFmtId="0" fontId="0" fillId="0" borderId="7" xfId="0" applyBorder="1"/>
    <xf numFmtId="0" fontId="4" fillId="0" borderId="3" xfId="0" applyFont="1" applyBorder="1"/>
    <xf numFmtId="0" fontId="7" fillId="0" borderId="0" xfId="0" applyFont="1"/>
    <xf numFmtId="0" fontId="8" fillId="0" borderId="0" xfId="0" applyFont="1"/>
    <xf numFmtId="0" fontId="0" fillId="4" borderId="6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4" fillId="5" borderId="20" xfId="0" applyFont="1" applyFill="1" applyBorder="1" applyAlignment="1">
      <alignment horizontal="center" vertical="top" wrapText="1"/>
    </xf>
    <xf numFmtId="0" fontId="4" fillId="5" borderId="0" xfId="0" applyFont="1" applyFill="1" applyAlignment="1">
      <alignment horizontal="center" vertical="top" wrapText="1"/>
    </xf>
    <xf numFmtId="0" fontId="0" fillId="3" borderId="4" xfId="0" applyFill="1" applyBorder="1" applyAlignment="1">
      <alignment horizontal="left"/>
    </xf>
    <xf numFmtId="0" fontId="0" fillId="3" borderId="21" xfId="0" applyFill="1" applyBorder="1" applyAlignment="1">
      <alignment horizontal="left"/>
    </xf>
    <xf numFmtId="0" fontId="0" fillId="3" borderId="5" xfId="0" applyFill="1" applyBorder="1" applyAlignment="1">
      <alignment horizontal="left"/>
    </xf>
    <xf numFmtId="0" fontId="6" fillId="4" borderId="16" xfId="0" applyFont="1" applyFill="1" applyBorder="1" applyAlignment="1">
      <alignment horizontal="left" vertical="center"/>
    </xf>
    <xf numFmtId="0" fontId="6" fillId="4" borderId="17" xfId="0" applyFont="1" applyFill="1" applyBorder="1" applyAlignment="1">
      <alignment horizontal="left" vertical="center"/>
    </xf>
    <xf numFmtId="0" fontId="6" fillId="4" borderId="18" xfId="0" applyFont="1" applyFill="1" applyBorder="1" applyAlignment="1">
      <alignment horizontal="left" vertical="center"/>
    </xf>
    <xf numFmtId="0" fontId="0" fillId="3" borderId="6" xfId="0" applyFill="1" applyBorder="1" applyAlignment="1">
      <alignment horizontal="left"/>
    </xf>
    <xf numFmtId="0" fontId="0" fillId="3" borderId="19" xfId="0" applyFill="1" applyBorder="1" applyAlignment="1">
      <alignment horizontal="left"/>
    </xf>
    <xf numFmtId="0" fontId="0" fillId="3" borderId="7" xfId="0" applyFill="1" applyBorder="1" applyAlignment="1">
      <alignment horizontal="left"/>
    </xf>
    <xf numFmtId="0" fontId="10" fillId="0" borderId="0" xfId="4" applyFont="1"/>
  </cellXfs>
  <cellStyles count="5">
    <cellStyle name="Comma" xfId="2" builtinId="3"/>
    <cellStyle name="Currency" xfId="1" builtinId="4"/>
    <cellStyle name="Hyperlink" xfId="4" builtinId="8"/>
    <cellStyle name="Normal" xfId="0" builtinId="0"/>
    <cellStyle name="Percent" xfId="3" builtinId="5"/>
  </cellStyles>
  <dxfs count="3"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Cost breakup return system (per bra)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NL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gradFill rotWithShape="1">
                <a:gsLst>
                  <a:gs pos="0">
                    <a:schemeClr val="accent1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1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1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2-07A4-4ACB-9FB6-76863788B666}"/>
              </c:ext>
            </c:extLst>
          </c:dPt>
          <c:dPt>
            <c:idx val="1"/>
            <c:bubble3D val="0"/>
            <c:spPr>
              <a:gradFill rotWithShape="1">
                <a:gsLst>
                  <a:gs pos="0">
                    <a:schemeClr val="accent2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2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2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4-07A4-4ACB-9FB6-76863788B666}"/>
              </c:ext>
            </c:extLst>
          </c:dPt>
          <c:dPt>
            <c:idx val="2"/>
            <c:bubble3D val="0"/>
            <c:spPr>
              <a:gradFill rotWithShape="1">
                <a:gsLst>
                  <a:gs pos="0">
                    <a:schemeClr val="accent3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3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3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07A4-4ACB-9FB6-76863788B666}"/>
              </c:ext>
            </c:extLst>
          </c:dPt>
          <c:dPt>
            <c:idx val="3"/>
            <c:bubble3D val="0"/>
            <c:spPr>
              <a:gradFill rotWithShape="1">
                <a:gsLst>
                  <a:gs pos="0">
                    <a:schemeClr val="accent4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4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4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07A4-4ACB-9FB6-76863788B666}"/>
              </c:ext>
            </c:extLst>
          </c:dPt>
          <c:dPt>
            <c:idx val="4"/>
            <c:bubble3D val="0"/>
            <c:spPr>
              <a:gradFill rotWithShape="1">
                <a:gsLst>
                  <a:gs pos="0">
                    <a:schemeClr val="accent5">
                      <a:satMod val="103000"/>
                      <a:lumMod val="102000"/>
                      <a:tint val="94000"/>
                    </a:schemeClr>
                  </a:gs>
                  <a:gs pos="50000">
                    <a:schemeClr val="accent5">
                      <a:satMod val="110000"/>
                      <a:lumMod val="100000"/>
                      <a:shade val="100000"/>
                    </a:schemeClr>
                  </a:gs>
                  <a:gs pos="100000">
                    <a:schemeClr val="accent5">
                      <a:lumMod val="99000"/>
                      <a:satMod val="120000"/>
                      <a:shade val="78000"/>
                    </a:schemeClr>
                  </a:gs>
                </a:gsLst>
                <a:lin ang="5400000" scaled="0"/>
              </a:gra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55CD-4D33-BB82-7BED5D49E8D8}"/>
              </c:ext>
            </c:extLst>
          </c:dPt>
          <c:dLbls>
            <c:dLbl>
              <c:idx val="0"/>
              <c:layout>
                <c:manualLayout>
                  <c:x val="8.8888888888888781E-2"/>
                  <c:y val="0.22222222222222221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131532"/>
                        <a:gd name="adj2" fmla="val 544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2-07A4-4ACB-9FB6-76863788B666}"/>
                </c:ext>
              </c:extLst>
            </c:dLbl>
            <c:dLbl>
              <c:idx val="1"/>
              <c:layout>
                <c:manualLayout>
                  <c:x val="0.3888888888888889"/>
                  <c:y val="-0.18981481481481483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339837"/>
                        <a:gd name="adj2" fmla="val -11562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4-07A4-4ACB-9FB6-76863788B666}"/>
                </c:ext>
              </c:extLst>
            </c:dLbl>
            <c:dLbl>
              <c:idx val="2"/>
              <c:layout>
                <c:manualLayout>
                  <c:x val="-0.11944444444444445"/>
                  <c:y val="0.18981481481481483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44995"/>
                        <a:gd name="adj2" fmla="val -42163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3-07A4-4ACB-9FB6-76863788B666}"/>
                </c:ext>
              </c:extLst>
            </c:dLbl>
            <c:dLbl>
              <c:idx val="3"/>
              <c:layout>
                <c:manualLayout>
                  <c:x val="-0.20277777777777778"/>
                  <c:y val="0.14351851851851849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167589"/>
                        <a:gd name="adj2" fmla="val 3843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1-07A4-4ACB-9FB6-76863788B666}"/>
                </c:ext>
              </c:extLst>
            </c:dLbl>
            <c:dLbl>
              <c:idx val="4"/>
              <c:layout>
                <c:manualLayout>
                  <c:x val="0.30555555555555558"/>
                  <c:y val="0.11574074074074074"/>
                </c:manualLayout>
              </c:layout>
              <c:spPr>
                <a:solidFill>
                  <a:sysClr val="window" lastClr="FFFFFF"/>
                </a:solidFill>
                <a:ln w="9525" cap="flat" cmpd="sng" algn="ctr">
                  <a:solidFill>
                    <a:sysClr val="windowText" lastClr="000000">
                      <a:lumMod val="25000"/>
                      <a:lumOff val="75000"/>
                    </a:sysClr>
                  </a:solidFill>
                  <a:prstDash val="solid"/>
                  <a:round/>
                  <a:headEnd type="none" w="med" len="med"/>
                  <a:tailEnd type="none" w="med" len="med"/>
                  <a:extLst>
                    <a:ext uri="{C807C97D-BFC1-408E-A445-0C87EB9F89A2}">
                      <ask:lineSketchStyleProps xmlns:ask="http://schemas.microsoft.com/office/drawing/2018/sketchyshapes" sd="0">
                        <a:custGeom>
                          <a:avLst/>
                          <a:gdLst/>
                          <a:ahLst/>
                          <a:cxnLst/>
                          <a:rect l="0" t="0" r="0" b="0"/>
                          <a:pathLst/>
                        </a:custGeom>
                        <ask:type/>
                      </ask:lineSketchStyleProps>
                    </a:ext>
                  </a:extLst>
                </a:ln>
                <a:effectLst/>
              </c:spPr>
              <c:txPr>
                <a:bodyPr rot="0" spcFirstLastPara="1" vertOverflow="clip" horzOverflow="clip" vert="horz" wrap="square" lIns="38100" tIns="19050" rIns="38100" bIns="19050" anchor="ctr" anchorCtr="1">
                  <a:spAutoFit/>
                </a:bodyPr>
                <a:lstStyle/>
                <a:p>
                  <a:pPr>
                    <a:defRPr sz="900" b="0" i="0" u="none" strike="noStrike" kern="1200" baseline="0">
                      <a:solidFill>
                        <a:schemeClr val="dk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NL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wedgeRectCallout">
                      <a:avLst>
                        <a:gd name="adj1" fmla="val -285831"/>
                        <a:gd name="adj2" fmla="val 26363"/>
                      </a:avLst>
                    </a:prstGeom>
                    <a:noFill/>
                    <a:ln>
                      <a:noFill/>
                    </a:ln>
                  </c15:spPr>
                </c:ext>
                <c:ext xmlns:c16="http://schemas.microsoft.com/office/drawing/2014/chart" uri="{C3380CC4-5D6E-409C-BE32-E72D297353CC}">
                  <c16:uniqueId val="{00000009-55CD-4D33-BB82-7BED5D49E8D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NL"/>
              </a:p>
            </c:txPr>
            <c:dLblPos val="outEnd"/>
            <c:showLegendKey val="0"/>
            <c:showVal val="0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</c:ext>
            </c:extLst>
          </c:dLbls>
          <c:cat>
            <c:strRef>
              <c:f>'Return system'!$A$17:$A$21</c:f>
              <c:strCache>
                <c:ptCount val="5"/>
                <c:pt idx="0">
                  <c:v>Return envelope + stamps etc</c:v>
                </c:pt>
                <c:pt idx="1">
                  <c:v>Labour</c:v>
                </c:pt>
                <c:pt idx="2">
                  <c:v>Repair material</c:v>
                </c:pt>
                <c:pt idx="3">
                  <c:v>Redyeing the bra</c:v>
                </c:pt>
                <c:pt idx="4">
                  <c:v>Washing</c:v>
                </c:pt>
              </c:strCache>
            </c:strRef>
          </c:cat>
          <c:val>
            <c:numRef>
              <c:f>'Return system'!$B$17:$B$21</c:f>
              <c:numCache>
                <c:formatCode>_ [$€-2]\ * #,##0.00_ ;_ [$€-2]\ * \-#,##0.00_ ;_ [$€-2]\ * "-"??_ ;_ @_ </c:formatCode>
                <c:ptCount val="5"/>
                <c:pt idx="0" formatCode="_(&quot;€&quot;* #,##0.00_);_(&quot;€&quot;* \(#,##0.00\);_(&quot;€&quot;* &quot;-&quot;??_);_(@_)">
                  <c:v>5.63</c:v>
                </c:pt>
                <c:pt idx="1">
                  <c:v>11.19375</c:v>
                </c:pt>
                <c:pt idx="2">
                  <c:v>2</c:v>
                </c:pt>
                <c:pt idx="3">
                  <c:v>1.8916666666666666</c:v>
                </c:pt>
                <c:pt idx="4">
                  <c:v>7.5624999999999998E-2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7A4-4ACB-9FB6-76863788B6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4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60960</xdr:rowOff>
    </xdr:from>
    <xdr:to>
      <xdr:col>3</xdr:col>
      <xdr:colOff>525780</xdr:colOff>
      <xdr:row>39</xdr:row>
      <xdr:rowOff>60960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32053F1-4D43-F7C0-BE5B-8B358CB39A3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www.bol.com/nl/nl/p/dylon-wasmachine-textielverf-pods-intense-black-350g/9200000081697663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E4AEC5-658E-4B37-A743-9E4447578049}">
  <dimension ref="A1:I22"/>
  <sheetViews>
    <sheetView tabSelected="1" workbookViewId="0">
      <selection activeCell="E30" sqref="E30"/>
    </sheetView>
  </sheetViews>
  <sheetFormatPr defaultRowHeight="14.4" x14ac:dyDescent="0.3"/>
  <cols>
    <col min="1" max="1" width="27.6640625" bestFit="1" customWidth="1"/>
    <col min="2" max="2" width="10.44140625" customWidth="1"/>
    <col min="3" max="3" width="10" bestFit="1" customWidth="1"/>
    <col min="4" max="4" width="12.77734375" customWidth="1"/>
    <col min="5" max="5" width="30.109375" customWidth="1"/>
    <col min="6" max="6" width="29.33203125" customWidth="1"/>
    <col min="10" max="11" width="8.88671875" customWidth="1"/>
  </cols>
  <sheetData>
    <row r="1" spans="1:8" x14ac:dyDescent="0.3">
      <c r="A1" t="s">
        <v>7</v>
      </c>
    </row>
    <row r="2" spans="1:8" x14ac:dyDescent="0.3">
      <c r="A2" s="1" t="s">
        <v>8</v>
      </c>
      <c r="B2" s="59"/>
    </row>
    <row r="3" spans="1:8" x14ac:dyDescent="0.3">
      <c r="A3" t="s">
        <v>9</v>
      </c>
      <c r="B3" s="59"/>
    </row>
    <row r="5" spans="1:8" x14ac:dyDescent="0.3">
      <c r="A5" s="25" t="s">
        <v>88</v>
      </c>
      <c r="B5" s="55">
        <v>60</v>
      </c>
      <c r="C5" s="54" t="s">
        <v>32</v>
      </c>
      <c r="D5" t="s">
        <v>89</v>
      </c>
      <c r="G5" s="61"/>
    </row>
    <row r="7" spans="1:8" ht="28.8" x14ac:dyDescent="0.3">
      <c r="A7" s="40" t="s">
        <v>85</v>
      </c>
      <c r="B7" s="41" t="s">
        <v>61</v>
      </c>
      <c r="C7" s="40" t="s">
        <v>65</v>
      </c>
      <c r="D7" s="41" t="s">
        <v>90</v>
      </c>
    </row>
    <row r="8" spans="1:8" x14ac:dyDescent="0.3">
      <c r="A8" s="36" t="s">
        <v>59</v>
      </c>
      <c r="B8" s="29" t="s">
        <v>62</v>
      </c>
      <c r="C8" s="37">
        <v>8000</v>
      </c>
      <c r="D8" s="57">
        <f>C8*(B5+B17)</f>
        <v>360000</v>
      </c>
      <c r="E8" t="s">
        <v>92</v>
      </c>
    </row>
    <row r="9" spans="1:8" x14ac:dyDescent="0.3">
      <c r="A9" s="2" t="s">
        <v>58</v>
      </c>
      <c r="B9" s="33">
        <v>0.05</v>
      </c>
      <c r="C9" s="38">
        <f>B9*C8</f>
        <v>400</v>
      </c>
      <c r="D9" s="43">
        <f>C9*G19</f>
        <v>1683.5833333333339</v>
      </c>
      <c r="E9" t="s">
        <v>66</v>
      </c>
    </row>
    <row r="10" spans="1:8" x14ac:dyDescent="0.3">
      <c r="A10" s="2" t="s">
        <v>60</v>
      </c>
      <c r="B10" s="33">
        <v>0.2</v>
      </c>
      <c r="C10" s="38">
        <f>B10*C8</f>
        <v>1600</v>
      </c>
      <c r="D10" s="43">
        <f>C10*-'Return system'!B22</f>
        <v>-33265.666666666664</v>
      </c>
      <c r="E10" t="s">
        <v>133</v>
      </c>
    </row>
    <row r="11" spans="1:8" x14ac:dyDescent="0.3">
      <c r="A11" s="2" t="s">
        <v>63</v>
      </c>
      <c r="B11" s="33">
        <v>0.05</v>
      </c>
      <c r="C11" s="38">
        <f>B11*C8</f>
        <v>400</v>
      </c>
      <c r="D11" s="43">
        <f>C11*0</f>
        <v>0</v>
      </c>
      <c r="E11" t="s">
        <v>83</v>
      </c>
    </row>
    <row r="12" spans="1:8" x14ac:dyDescent="0.3">
      <c r="A12" s="2" t="s">
        <v>64</v>
      </c>
      <c r="B12" s="34">
        <f>100%-B11-B10-B9</f>
        <v>0.7</v>
      </c>
      <c r="C12" s="38">
        <f>B12*C8</f>
        <v>5600</v>
      </c>
      <c r="D12" s="43">
        <f>C12*0</f>
        <v>0</v>
      </c>
      <c r="E12" t="s">
        <v>67</v>
      </c>
    </row>
    <row r="13" spans="1:8" ht="15" thickBot="1" x14ac:dyDescent="0.35">
      <c r="A13" s="5" t="s">
        <v>72</v>
      </c>
      <c r="B13" s="35">
        <v>0.1</v>
      </c>
      <c r="C13" s="39">
        <f>B13*C8</f>
        <v>800</v>
      </c>
      <c r="D13" s="58">
        <f>C13*-'Repair system'!B14</f>
        <v>-13268</v>
      </c>
      <c r="E13" t="s">
        <v>137</v>
      </c>
    </row>
    <row r="14" spans="1:8" ht="15" thickTop="1" x14ac:dyDescent="0.3">
      <c r="B14" s="77" t="s">
        <v>91</v>
      </c>
      <c r="C14" s="78"/>
      <c r="D14" s="44">
        <f>SUM(D8:D13)</f>
        <v>315149.91666666663</v>
      </c>
      <c r="E14" s="60" t="str">
        <f>"Assuming 1 batch of "&amp;C8&amp;" bras with a full service model (=repair, refurbish, resell)"</f>
        <v>Assuming 1 batch of 8000 bras with a full service model (=repair, refurbish, resell)</v>
      </c>
    </row>
    <row r="15" spans="1:8" x14ac:dyDescent="0.3">
      <c r="D15" s="56"/>
    </row>
    <row r="16" spans="1:8" ht="28.8" x14ac:dyDescent="0.3">
      <c r="A16" s="42" t="s">
        <v>68</v>
      </c>
      <c r="B16" s="42" t="s">
        <v>20</v>
      </c>
      <c r="C16" s="42" t="s">
        <v>19</v>
      </c>
      <c r="D16" s="32"/>
      <c r="E16" s="32"/>
      <c r="F16" s="52" t="s">
        <v>77</v>
      </c>
      <c r="G16" s="42" t="s">
        <v>20</v>
      </c>
      <c r="H16" s="42" t="s">
        <v>19</v>
      </c>
    </row>
    <row r="17" spans="1:9" x14ac:dyDescent="0.3">
      <c r="A17" s="36" t="s">
        <v>70</v>
      </c>
      <c r="B17" s="31">
        <v>-15</v>
      </c>
      <c r="C17" s="45" t="s">
        <v>32</v>
      </c>
      <c r="D17" s="75" t="s">
        <v>29</v>
      </c>
      <c r="F17" s="10" t="s">
        <v>69</v>
      </c>
      <c r="G17" s="43">
        <f>-'Return system'!B22</f>
        <v>-20.791041666666665</v>
      </c>
      <c r="H17" s="46" t="s">
        <v>32</v>
      </c>
      <c r="I17" t="s">
        <v>75</v>
      </c>
    </row>
    <row r="18" spans="1:9" ht="15" thickBot="1" x14ac:dyDescent="0.35">
      <c r="A18" s="2" t="s">
        <v>71</v>
      </c>
      <c r="B18" s="43">
        <f>B10*-'Return system'!B22</f>
        <v>-4.1582083333333335</v>
      </c>
      <c r="C18" s="4" t="s">
        <v>32</v>
      </c>
      <c r="D18" t="s">
        <v>76</v>
      </c>
      <c r="F18" s="16" t="s">
        <v>78</v>
      </c>
      <c r="G18" s="50">
        <v>25</v>
      </c>
      <c r="H18" s="47" t="s">
        <v>32</v>
      </c>
      <c r="I18" s="76" t="s">
        <v>84</v>
      </c>
    </row>
    <row r="19" spans="1:9" ht="15" thickTop="1" x14ac:dyDescent="0.3">
      <c r="A19" s="2" t="s">
        <v>73</v>
      </c>
      <c r="B19" s="43">
        <f>-'Repair system'!B14*B13</f>
        <v>-1.6585000000000001</v>
      </c>
      <c r="C19" s="4" t="s">
        <v>32</v>
      </c>
      <c r="D19" t="s">
        <v>76</v>
      </c>
      <c r="F19" s="49" t="s">
        <v>79</v>
      </c>
      <c r="G19" s="51">
        <f>G18+G17</f>
        <v>4.2089583333333351</v>
      </c>
      <c r="H19" s="48" t="s">
        <v>32</v>
      </c>
      <c r="I19" s="28" t="s">
        <v>81</v>
      </c>
    </row>
    <row r="20" spans="1:9" ht="14.4" customHeight="1" x14ac:dyDescent="0.3">
      <c r="A20" s="2" t="s">
        <v>80</v>
      </c>
      <c r="B20" s="43">
        <f>IF(G19&lt;0,B9*G19,0)</f>
        <v>0</v>
      </c>
      <c r="C20" s="4" t="s">
        <v>32</v>
      </c>
      <c r="D20" t="s">
        <v>82</v>
      </c>
      <c r="F20" s="79" t="s">
        <v>136</v>
      </c>
      <c r="G20" s="79"/>
      <c r="H20" s="79"/>
    </row>
    <row r="21" spans="1:9" ht="15" thickBot="1" x14ac:dyDescent="0.35">
      <c r="A21" s="13"/>
      <c r="B21" s="16"/>
      <c r="C21" s="14"/>
      <c r="F21" s="80"/>
      <c r="G21" s="80"/>
      <c r="H21" s="80"/>
    </row>
    <row r="22" spans="1:9" ht="15" thickTop="1" x14ac:dyDescent="0.3">
      <c r="A22" s="5" t="s">
        <v>93</v>
      </c>
      <c r="B22" s="44">
        <f>SUM(B17:B21)</f>
        <v>-20.816708333333334</v>
      </c>
      <c r="C22" s="6" t="s">
        <v>32</v>
      </c>
      <c r="F22" s="80"/>
      <c r="G22" s="80"/>
      <c r="H22" s="80"/>
    </row>
  </sheetData>
  <mergeCells count="2">
    <mergeCell ref="B14:C14"/>
    <mergeCell ref="F20:H22"/>
  </mergeCells>
  <conditionalFormatting sqref="G17:G19">
    <cfRule type="cellIs" dxfId="2" priority="3" operator="lessThan">
      <formula>0</formula>
    </cfRule>
  </conditionalFormatting>
  <conditionalFormatting sqref="D8:D14">
    <cfRule type="cellIs" dxfId="1" priority="2" operator="lessThan">
      <formula>0</formula>
    </cfRule>
  </conditionalFormatting>
  <conditionalFormatting sqref="B17:B22">
    <cfRule type="cellIs" dxfId="0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9F3E79-C00F-4E4D-9111-B4D5A3D1821C}">
  <dimension ref="A1:J24"/>
  <sheetViews>
    <sheetView topLeftCell="A13" workbookViewId="0">
      <selection activeCell="E33" sqref="E33"/>
    </sheetView>
  </sheetViews>
  <sheetFormatPr defaultRowHeight="14.4" x14ac:dyDescent="0.3"/>
  <cols>
    <col min="1" max="1" width="39.77734375" bestFit="1" customWidth="1"/>
    <col min="2" max="2" width="10.33203125" bestFit="1" customWidth="1"/>
    <col min="4" max="4" width="26.44140625" customWidth="1"/>
    <col min="5" max="5" width="13.33203125" customWidth="1"/>
    <col min="6" max="6" width="30" bestFit="1" customWidth="1"/>
    <col min="8" max="8" width="9.6640625" bestFit="1" customWidth="1"/>
  </cols>
  <sheetData>
    <row r="1" spans="1:9" x14ac:dyDescent="0.3">
      <c r="A1" t="s">
        <v>7</v>
      </c>
    </row>
    <row r="2" spans="1:9" x14ac:dyDescent="0.3">
      <c r="A2" s="1" t="s">
        <v>8</v>
      </c>
    </row>
    <row r="3" spans="1:9" x14ac:dyDescent="0.3">
      <c r="A3" t="s">
        <v>9</v>
      </c>
    </row>
    <row r="5" spans="1:9" x14ac:dyDescent="0.3">
      <c r="A5" s="25" t="s">
        <v>49</v>
      </c>
      <c r="B5" s="53">
        <f>'Total business model'!C9+'Total business model'!C10</f>
        <v>2000</v>
      </c>
      <c r="C5" s="26" t="s">
        <v>48</v>
      </c>
      <c r="D5" t="s">
        <v>87</v>
      </c>
    </row>
    <row r="7" spans="1:9" x14ac:dyDescent="0.3">
      <c r="A7" s="7" t="s">
        <v>6</v>
      </c>
      <c r="B7" s="9" t="s">
        <v>20</v>
      </c>
      <c r="C7" s="8" t="s">
        <v>19</v>
      </c>
      <c r="F7" s="7" t="s">
        <v>43</v>
      </c>
      <c r="G7" s="9" t="s">
        <v>20</v>
      </c>
      <c r="H7" s="8" t="s">
        <v>19</v>
      </c>
    </row>
    <row r="8" spans="1:9" x14ac:dyDescent="0.3">
      <c r="A8" s="2" t="s">
        <v>5</v>
      </c>
      <c r="B8" s="10">
        <v>5</v>
      </c>
      <c r="C8" s="3" t="s">
        <v>15</v>
      </c>
      <c r="D8" t="s">
        <v>29</v>
      </c>
      <c r="F8" s="2" t="s">
        <v>10</v>
      </c>
      <c r="G8" s="10">
        <v>100</v>
      </c>
      <c r="H8" s="3" t="s">
        <v>11</v>
      </c>
      <c r="I8" t="s">
        <v>31</v>
      </c>
    </row>
    <row r="9" spans="1:9" x14ac:dyDescent="0.3">
      <c r="A9" s="2" t="s">
        <v>0</v>
      </c>
      <c r="B9" s="10">
        <v>10</v>
      </c>
      <c r="C9" s="3" t="s">
        <v>15</v>
      </c>
      <c r="D9" t="s">
        <v>29</v>
      </c>
      <c r="F9" s="2" t="s">
        <v>12</v>
      </c>
      <c r="G9" s="10">
        <v>8</v>
      </c>
      <c r="H9" s="3" t="s">
        <v>13</v>
      </c>
      <c r="I9" t="s">
        <v>39</v>
      </c>
    </row>
    <row r="10" spans="1:9" x14ac:dyDescent="0.3">
      <c r="A10" s="2" t="s">
        <v>1</v>
      </c>
      <c r="B10" s="10">
        <v>30</v>
      </c>
      <c r="C10" s="3" t="s">
        <v>15</v>
      </c>
      <c r="D10" t="s">
        <v>29</v>
      </c>
      <c r="F10" s="2" t="s">
        <v>16</v>
      </c>
      <c r="G10" s="10">
        <v>100</v>
      </c>
      <c r="H10" s="3" t="s">
        <v>14</v>
      </c>
      <c r="I10" t="s">
        <v>18</v>
      </c>
    </row>
    <row r="11" spans="1:9" x14ac:dyDescent="0.3">
      <c r="A11" s="2" t="s">
        <v>2</v>
      </c>
      <c r="B11" s="11">
        <f>G11</f>
        <v>1.25</v>
      </c>
      <c r="C11" s="3" t="s">
        <v>15</v>
      </c>
      <c r="D11" t="s">
        <v>29</v>
      </c>
      <c r="F11" s="2" t="s">
        <v>17</v>
      </c>
      <c r="G11" s="11">
        <f>G10/((G9*1000)/G8)</f>
        <v>1.25</v>
      </c>
      <c r="H11" s="3" t="s">
        <v>15</v>
      </c>
      <c r="I11" t="s">
        <v>30</v>
      </c>
    </row>
    <row r="12" spans="1:9" x14ac:dyDescent="0.3">
      <c r="A12" s="2" t="s">
        <v>3</v>
      </c>
      <c r="B12" s="10">
        <v>5</v>
      </c>
      <c r="C12" s="3" t="s">
        <v>15</v>
      </c>
      <c r="D12" t="s">
        <v>29</v>
      </c>
      <c r="F12" s="2" t="s">
        <v>34</v>
      </c>
      <c r="G12" s="10">
        <v>6.05</v>
      </c>
      <c r="H12" s="4" t="s">
        <v>36</v>
      </c>
      <c r="I12" t="s">
        <v>40</v>
      </c>
    </row>
    <row r="13" spans="1:9" ht="15" thickBot="1" x14ac:dyDescent="0.35">
      <c r="A13" s="13" t="s">
        <v>4</v>
      </c>
      <c r="B13" s="16">
        <v>5</v>
      </c>
      <c r="C13" s="14" t="s">
        <v>15</v>
      </c>
      <c r="D13" t="s">
        <v>29</v>
      </c>
      <c r="F13" s="5" t="s">
        <v>35</v>
      </c>
      <c r="G13" s="12">
        <f>G12/((G9*1000)/G8)</f>
        <v>7.5624999999999998E-2</v>
      </c>
      <c r="H13" s="6" t="s">
        <v>32</v>
      </c>
      <c r="I13" t="s">
        <v>30</v>
      </c>
    </row>
    <row r="14" spans="1:9" ht="15" thickTop="1" x14ac:dyDescent="0.3">
      <c r="A14" s="5" t="s">
        <v>21</v>
      </c>
      <c r="B14" s="17">
        <f>SUM(B8:B13)</f>
        <v>56.25</v>
      </c>
      <c r="C14" s="15" t="s">
        <v>15</v>
      </c>
      <c r="D14" t="s">
        <v>30</v>
      </c>
    </row>
    <row r="15" spans="1:9" x14ac:dyDescent="0.3">
      <c r="F15" s="7" t="s">
        <v>42</v>
      </c>
      <c r="G15" s="9" t="s">
        <v>20</v>
      </c>
      <c r="H15" s="8" t="s">
        <v>19</v>
      </c>
    </row>
    <row r="16" spans="1:9" x14ac:dyDescent="0.3">
      <c r="A16" s="7" t="s">
        <v>41</v>
      </c>
      <c r="B16" s="9" t="s">
        <v>20</v>
      </c>
      <c r="C16" s="8" t="s">
        <v>19</v>
      </c>
      <c r="F16" s="2" t="s">
        <v>37</v>
      </c>
      <c r="G16" s="10">
        <v>0.17</v>
      </c>
      <c r="H16" s="4" t="s">
        <v>36</v>
      </c>
      <c r="I16" t="s">
        <v>38</v>
      </c>
    </row>
    <row r="17" spans="1:10" x14ac:dyDescent="0.3">
      <c r="A17" t="s">
        <v>55</v>
      </c>
      <c r="B17" s="31">
        <f>1.79+3.84</f>
        <v>5.63</v>
      </c>
      <c r="C17" s="4" t="s">
        <v>32</v>
      </c>
      <c r="D17" t="s">
        <v>56</v>
      </c>
      <c r="F17" s="2" t="s">
        <v>23</v>
      </c>
      <c r="G17" s="23">
        <f>B14*B5/60</f>
        <v>1875</v>
      </c>
      <c r="H17" s="3" t="s">
        <v>24</v>
      </c>
      <c r="I17" t="s">
        <v>30</v>
      </c>
    </row>
    <row r="18" spans="1:10" x14ac:dyDescent="0.3">
      <c r="A18" s="2" t="s">
        <v>44</v>
      </c>
      <c r="B18" s="19">
        <f>G20*(B14/60)</f>
        <v>11.19375</v>
      </c>
      <c r="C18" s="4" t="s">
        <v>32</v>
      </c>
      <c r="D18" t="s">
        <v>30</v>
      </c>
      <c r="F18" s="2" t="s">
        <v>22</v>
      </c>
      <c r="G18" s="24">
        <f>G17/12</f>
        <v>156.25</v>
      </c>
      <c r="H18" s="3" t="s">
        <v>25</v>
      </c>
      <c r="I18" t="s">
        <v>30</v>
      </c>
    </row>
    <row r="19" spans="1:10" x14ac:dyDescent="0.3">
      <c r="A19" s="2" t="s">
        <v>45</v>
      </c>
      <c r="B19" s="20">
        <v>2</v>
      </c>
      <c r="C19" s="4" t="s">
        <v>32</v>
      </c>
      <c r="D19" t="s">
        <v>33</v>
      </c>
      <c r="F19" s="2" t="s">
        <v>51</v>
      </c>
      <c r="G19" s="19">
        <v>11.35</v>
      </c>
      <c r="H19" s="4" t="s">
        <v>52</v>
      </c>
      <c r="I19" s="90" t="s">
        <v>138</v>
      </c>
    </row>
    <row r="20" spans="1:10" x14ac:dyDescent="0.3">
      <c r="A20" s="2" t="s">
        <v>53</v>
      </c>
      <c r="B20" s="20">
        <f>G19/6</f>
        <v>1.8916666666666666</v>
      </c>
      <c r="C20" s="4" t="s">
        <v>32</v>
      </c>
      <c r="D20" t="s">
        <v>50</v>
      </c>
      <c r="F20" s="5" t="s">
        <v>26</v>
      </c>
      <c r="G20" s="22">
        <v>11.94</v>
      </c>
      <c r="H20" s="6" t="s">
        <v>27</v>
      </c>
      <c r="I20" t="s">
        <v>28</v>
      </c>
      <c r="J20" t="s">
        <v>54</v>
      </c>
    </row>
    <row r="21" spans="1:10" ht="15" thickBot="1" x14ac:dyDescent="0.35">
      <c r="A21" s="13" t="s">
        <v>46</v>
      </c>
      <c r="B21" s="21">
        <f>G13</f>
        <v>7.5624999999999998E-2</v>
      </c>
      <c r="C21" s="18" t="s">
        <v>32</v>
      </c>
      <c r="D21" t="s">
        <v>30</v>
      </c>
    </row>
    <row r="22" spans="1:10" ht="15" thickTop="1" x14ac:dyDescent="0.3">
      <c r="A22" s="5" t="s">
        <v>47</v>
      </c>
      <c r="B22" s="12">
        <f>SUM(B17:B21)</f>
        <v>20.791041666666665</v>
      </c>
      <c r="C22" s="6" t="s">
        <v>32</v>
      </c>
      <c r="D22" t="s">
        <v>30</v>
      </c>
    </row>
    <row r="24" spans="1:10" x14ac:dyDescent="0.3">
      <c r="A24" s="27" t="s">
        <v>57</v>
      </c>
    </row>
  </sheetData>
  <hyperlinks>
    <hyperlink ref="I19" r:id="rId1" xr:uid="{F20AB797-6C58-41C5-BF9E-AD4E00256ED4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489B9-CDB4-49F1-BD04-1B7E989BBBAB}">
  <dimension ref="A2:J14"/>
  <sheetViews>
    <sheetView workbookViewId="0">
      <selection activeCell="F26" sqref="F26"/>
    </sheetView>
  </sheetViews>
  <sheetFormatPr defaultRowHeight="14.4" x14ac:dyDescent="0.3"/>
  <cols>
    <col min="1" max="1" width="38.109375" bestFit="1" customWidth="1"/>
    <col min="6" max="6" width="24.109375" bestFit="1" customWidth="1"/>
  </cols>
  <sheetData>
    <row r="2" spans="1:10" x14ac:dyDescent="0.3">
      <c r="A2" s="25" t="s">
        <v>74</v>
      </c>
      <c r="B2" s="53">
        <f>'Total business model'!C13</f>
        <v>800</v>
      </c>
      <c r="C2" s="26" t="s">
        <v>48</v>
      </c>
      <c r="D2" t="s">
        <v>86</v>
      </c>
    </row>
    <row r="4" spans="1:10" x14ac:dyDescent="0.3">
      <c r="A4" s="7" t="s">
        <v>6</v>
      </c>
      <c r="B4" s="9" t="s">
        <v>20</v>
      </c>
      <c r="C4" s="8" t="s">
        <v>19</v>
      </c>
    </row>
    <row r="5" spans="1:10" x14ac:dyDescent="0.3">
      <c r="A5" s="2" t="s">
        <v>5</v>
      </c>
      <c r="B5" s="10">
        <v>5</v>
      </c>
      <c r="C5" s="3" t="s">
        <v>15</v>
      </c>
      <c r="D5" t="s">
        <v>29</v>
      </c>
    </row>
    <row r="6" spans="1:10" x14ac:dyDescent="0.3">
      <c r="A6" s="2" t="s">
        <v>0</v>
      </c>
      <c r="B6" s="10">
        <v>10</v>
      </c>
      <c r="C6" s="3" t="s">
        <v>15</v>
      </c>
      <c r="D6" t="s">
        <v>29</v>
      </c>
    </row>
    <row r="7" spans="1:10" ht="15" thickBot="1" x14ac:dyDescent="0.35">
      <c r="A7" s="13" t="s">
        <v>1</v>
      </c>
      <c r="B7" s="16">
        <v>30</v>
      </c>
      <c r="C7" s="14" t="s">
        <v>15</v>
      </c>
      <c r="D7" t="s">
        <v>29</v>
      </c>
    </row>
    <row r="8" spans="1:10" ht="15" thickTop="1" x14ac:dyDescent="0.3">
      <c r="A8" s="5" t="s">
        <v>21</v>
      </c>
      <c r="B8" s="17">
        <f>SUM(B5:B7)</f>
        <v>45</v>
      </c>
      <c r="C8" s="15" t="s">
        <v>15</v>
      </c>
      <c r="D8" t="s">
        <v>30</v>
      </c>
    </row>
    <row r="9" spans="1:10" x14ac:dyDescent="0.3">
      <c r="F9" s="7" t="s">
        <v>42</v>
      </c>
      <c r="G9" s="9" t="s">
        <v>20</v>
      </c>
      <c r="H9" s="8" t="s">
        <v>19</v>
      </c>
    </row>
    <row r="10" spans="1:10" x14ac:dyDescent="0.3">
      <c r="A10" s="7" t="s">
        <v>41</v>
      </c>
      <c r="B10" s="9" t="s">
        <v>20</v>
      </c>
      <c r="C10" s="8" t="s">
        <v>19</v>
      </c>
      <c r="F10" s="2" t="s">
        <v>23</v>
      </c>
      <c r="G10" s="23">
        <f>B8*B2/60</f>
        <v>600</v>
      </c>
      <c r="H10" s="3" t="s">
        <v>24</v>
      </c>
      <c r="I10" t="s">
        <v>30</v>
      </c>
    </row>
    <row r="11" spans="1:10" x14ac:dyDescent="0.3">
      <c r="A11" t="s">
        <v>55</v>
      </c>
      <c r="B11" s="31">
        <f>1.79+3.84</f>
        <v>5.63</v>
      </c>
      <c r="C11" s="4" t="s">
        <v>32</v>
      </c>
      <c r="D11" t="s">
        <v>56</v>
      </c>
      <c r="F11" s="2" t="s">
        <v>22</v>
      </c>
      <c r="G11" s="24">
        <f>G10/12</f>
        <v>50</v>
      </c>
      <c r="H11" s="3" t="s">
        <v>25</v>
      </c>
      <c r="I11" t="s">
        <v>30</v>
      </c>
    </row>
    <row r="12" spans="1:10" x14ac:dyDescent="0.3">
      <c r="A12" s="2" t="s">
        <v>44</v>
      </c>
      <c r="B12" s="19">
        <f>G12*(B8/60)</f>
        <v>8.9550000000000001</v>
      </c>
      <c r="C12" s="4" t="s">
        <v>32</v>
      </c>
      <c r="D12" t="s">
        <v>30</v>
      </c>
      <c r="F12" s="5" t="s">
        <v>26</v>
      </c>
      <c r="G12" s="22">
        <v>11.94</v>
      </c>
      <c r="H12" s="6" t="s">
        <v>27</v>
      </c>
      <c r="I12" t="s">
        <v>28</v>
      </c>
      <c r="J12" t="s">
        <v>54</v>
      </c>
    </row>
    <row r="13" spans="1:10" ht="15" thickBot="1" x14ac:dyDescent="0.35">
      <c r="A13" s="13" t="s">
        <v>45</v>
      </c>
      <c r="B13" s="30">
        <v>2</v>
      </c>
      <c r="C13" s="18" t="s">
        <v>32</v>
      </c>
      <c r="D13" t="s">
        <v>33</v>
      </c>
    </row>
    <row r="14" spans="1:10" ht="15" thickTop="1" x14ac:dyDescent="0.3">
      <c r="A14" s="5" t="s">
        <v>47</v>
      </c>
      <c r="B14" s="12">
        <f>SUM(B11:B13)</f>
        <v>16.585000000000001</v>
      </c>
      <c r="C14" s="6" t="s">
        <v>32</v>
      </c>
      <c r="D14" t="s">
        <v>30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B7CE0B-F4C0-470B-A87F-A104408B9D7E}">
  <dimension ref="A1:D24"/>
  <sheetViews>
    <sheetView workbookViewId="0">
      <selection activeCell="C30" sqref="C30"/>
    </sheetView>
  </sheetViews>
  <sheetFormatPr defaultRowHeight="14.4" x14ac:dyDescent="0.3"/>
  <cols>
    <col min="1" max="1" width="18.6640625" style="10" bestFit="1" customWidth="1"/>
    <col min="2" max="2" width="23.5546875" bestFit="1" customWidth="1"/>
    <col min="3" max="3" width="40.5546875" style="10" customWidth="1"/>
    <col min="4" max="4" width="137.21875" style="3" customWidth="1"/>
  </cols>
  <sheetData>
    <row r="1" spans="1:4" ht="43.2" customHeight="1" x14ac:dyDescent="0.3">
      <c r="A1" s="84" t="s">
        <v>118</v>
      </c>
      <c r="B1" s="85"/>
      <c r="C1" s="85"/>
      <c r="D1" s="86"/>
    </row>
    <row r="2" spans="1:4" x14ac:dyDescent="0.3">
      <c r="A2" s="64" t="s">
        <v>20</v>
      </c>
      <c r="B2" s="65" t="s">
        <v>19</v>
      </c>
      <c r="C2" s="64" t="s">
        <v>129</v>
      </c>
      <c r="D2" s="66" t="s">
        <v>108</v>
      </c>
    </row>
    <row r="3" spans="1:4" x14ac:dyDescent="0.3">
      <c r="A3" s="87" t="s">
        <v>110</v>
      </c>
      <c r="B3" s="88"/>
      <c r="C3" s="88"/>
      <c r="D3" s="89"/>
    </row>
    <row r="4" spans="1:4" x14ac:dyDescent="0.3">
      <c r="A4" s="10">
        <v>101706</v>
      </c>
      <c r="B4" t="s">
        <v>111</v>
      </c>
      <c r="C4" s="10" t="s">
        <v>103</v>
      </c>
      <c r="D4" s="3" t="s">
        <v>100</v>
      </c>
    </row>
    <row r="5" spans="1:4" x14ac:dyDescent="0.3">
      <c r="A5" s="62">
        <v>209100000</v>
      </c>
      <c r="B5" s="28" t="s">
        <v>112</v>
      </c>
      <c r="C5" s="10" t="s">
        <v>102</v>
      </c>
      <c r="D5" s="3" t="s">
        <v>101</v>
      </c>
    </row>
    <row r="6" spans="1:4" x14ac:dyDescent="0.3">
      <c r="A6" s="10">
        <v>47622</v>
      </c>
      <c r="B6" s="28" t="s">
        <v>113</v>
      </c>
      <c r="C6" s="10" t="s">
        <v>105</v>
      </c>
      <c r="D6" s="3" t="s">
        <v>104</v>
      </c>
    </row>
    <row r="7" spans="1:4" x14ac:dyDescent="0.3">
      <c r="A7" s="24">
        <f>A6*0.45359</f>
        <v>21600.862979999998</v>
      </c>
      <c r="B7" s="28" t="s">
        <v>13</v>
      </c>
      <c r="C7" s="10" t="s">
        <v>106</v>
      </c>
      <c r="D7" s="3" t="s">
        <v>130</v>
      </c>
    </row>
    <row r="8" spans="1:4" x14ac:dyDescent="0.3">
      <c r="A8" s="24">
        <f>A7/0.15</f>
        <v>144005.75320000001</v>
      </c>
      <c r="B8" s="28" t="s">
        <v>115</v>
      </c>
      <c r="C8" s="10" t="s">
        <v>114</v>
      </c>
      <c r="D8" s="3" t="s">
        <v>117</v>
      </c>
    </row>
    <row r="9" spans="1:4" x14ac:dyDescent="0.3">
      <c r="A9" s="11">
        <f>A5/20</f>
        <v>10455000</v>
      </c>
      <c r="B9" s="28" t="s">
        <v>116</v>
      </c>
      <c r="C9" s="10" t="s">
        <v>128</v>
      </c>
      <c r="D9" s="72" t="s">
        <v>134</v>
      </c>
    </row>
    <row r="10" spans="1:4" x14ac:dyDescent="0.3">
      <c r="A10" s="63">
        <f>(A8+A4)/A9</f>
        <v>2.3501841530368245E-2</v>
      </c>
      <c r="B10" s="67" t="s">
        <v>131</v>
      </c>
      <c r="C10" s="10" t="s">
        <v>107</v>
      </c>
    </row>
    <row r="11" spans="1:4" s="68" customFormat="1" x14ac:dyDescent="0.3">
      <c r="D11" s="73"/>
    </row>
    <row r="12" spans="1:4" x14ac:dyDescent="0.3">
      <c r="A12" s="81" t="s">
        <v>109</v>
      </c>
      <c r="B12" s="82"/>
      <c r="C12" s="82"/>
      <c r="D12" s="83"/>
    </row>
    <row r="13" spans="1:4" x14ac:dyDescent="0.3">
      <c r="A13" s="10">
        <v>17000</v>
      </c>
      <c r="B13" t="s">
        <v>95</v>
      </c>
      <c r="D13" s="3" t="s">
        <v>94</v>
      </c>
    </row>
    <row r="14" spans="1:4" x14ac:dyDescent="0.3">
      <c r="A14" s="10">
        <v>95000</v>
      </c>
      <c r="B14" t="s">
        <v>96</v>
      </c>
      <c r="D14" s="3" t="s">
        <v>98</v>
      </c>
    </row>
    <row r="15" spans="1:4" x14ac:dyDescent="0.3">
      <c r="A15" s="63">
        <f>A13/A14</f>
        <v>0.17894736842105263</v>
      </c>
      <c r="B15" t="s">
        <v>97</v>
      </c>
      <c r="C15" s="10" t="s">
        <v>99</v>
      </c>
      <c r="D15" s="3" t="s">
        <v>98</v>
      </c>
    </row>
    <row r="16" spans="1:4" s="68" customFormat="1" x14ac:dyDescent="0.3">
      <c r="D16" s="73"/>
    </row>
    <row r="17" spans="1:4" s="68" customFormat="1" x14ac:dyDescent="0.3">
      <c r="A17" s="87" t="s">
        <v>119</v>
      </c>
      <c r="B17" s="88"/>
      <c r="C17" s="88"/>
      <c r="D17" s="88"/>
    </row>
    <row r="18" spans="1:4" x14ac:dyDescent="0.3">
      <c r="A18" s="10">
        <v>140000000</v>
      </c>
      <c r="B18" t="s">
        <v>121</v>
      </c>
      <c r="C18" s="10" t="s">
        <v>122</v>
      </c>
      <c r="D18" s="3" t="s">
        <v>120</v>
      </c>
    </row>
    <row r="19" spans="1:4" x14ac:dyDescent="0.3">
      <c r="A19" s="69">
        <f>(A18/0.15)/9</f>
        <v>103703703.7037037</v>
      </c>
      <c r="B19" t="s">
        <v>123</v>
      </c>
      <c r="C19" s="10" t="s">
        <v>114</v>
      </c>
      <c r="D19" s="3" t="s">
        <v>117</v>
      </c>
    </row>
    <row r="20" spans="1:4" x14ac:dyDescent="0.3">
      <c r="A20" s="62">
        <v>23070000000</v>
      </c>
      <c r="B20" s="28" t="s">
        <v>112</v>
      </c>
      <c r="C20" s="10" t="s">
        <v>125</v>
      </c>
      <c r="D20" s="3" t="s">
        <v>124</v>
      </c>
    </row>
    <row r="21" spans="1:4" x14ac:dyDescent="0.3">
      <c r="A21" s="70">
        <f>A20/10</f>
        <v>2307000000</v>
      </c>
      <c r="B21" s="28" t="s">
        <v>126</v>
      </c>
      <c r="C21" s="10" t="s">
        <v>127</v>
      </c>
      <c r="D21" s="72" t="s">
        <v>135</v>
      </c>
    </row>
    <row r="22" spans="1:4" x14ac:dyDescent="0.3">
      <c r="A22" s="63">
        <f>A19/A21</f>
        <v>4.4951757132077892E-2</v>
      </c>
      <c r="B22" s="67" t="s">
        <v>132</v>
      </c>
      <c r="C22" s="10" t="s">
        <v>107</v>
      </c>
      <c r="D22" s="74"/>
    </row>
    <row r="23" spans="1:4" s="71" customFormat="1" x14ac:dyDescent="0.3">
      <c r="D23" s="37"/>
    </row>
    <row r="24" spans="1:4" s="71" customFormat="1" x14ac:dyDescent="0.3">
      <c r="A24" s="29"/>
      <c r="C24" s="29"/>
      <c r="D24" s="37"/>
    </row>
  </sheetData>
  <mergeCells count="4">
    <mergeCell ref="A12:D12"/>
    <mergeCell ref="A1:D1"/>
    <mergeCell ref="A3:D3"/>
    <mergeCell ref="A17:D1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Total business model</vt:lpstr>
      <vt:lpstr>Return system</vt:lpstr>
      <vt:lpstr>Repair system</vt:lpstr>
      <vt:lpstr>Impact estimates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Odmar Vandijck</dc:creator>
  <cp:lastModifiedBy>Odmar Vandijck</cp:lastModifiedBy>
  <dcterms:created xsi:type="dcterms:W3CDTF">2022-09-02T10:16:36Z</dcterms:created>
  <dcterms:modified xsi:type="dcterms:W3CDTF">2022-09-20T14:03:31Z</dcterms:modified>
</cp:coreProperties>
</file>