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blv\Documents\TU\Msc_Thesis\Berekeningen\"/>
    </mc:Choice>
  </mc:AlternateContent>
  <xr:revisionPtr revIDLastSave="0" documentId="13_ncr:1_{B942CEE9-A4DB-41E3-9C34-5DFCE239355F}" xr6:coauthVersionLast="47" xr6:coauthVersionMax="47" xr10:uidLastSave="{00000000-0000-0000-0000-000000000000}"/>
  <bookViews>
    <workbookView xWindow="-108" yWindow="-108" windowWidth="23256" windowHeight="12456" activeTab="5" xr2:uid="{B715534A-DC85-4343-9F4C-A2178AE80F8F}"/>
  </bookViews>
  <sheets>
    <sheet name="First estimates" sheetId="1" r:id="rId1"/>
    <sheet name="Gate" sheetId="3" r:id="rId2"/>
    <sheet name="Top Beam" sheetId="4" r:id="rId3"/>
    <sheet name="Sill Beam" sheetId="5" r:id="rId4"/>
    <sheet name="Pier Foot" sheetId="6" r:id="rId5"/>
    <sheet name="Global Stability &amp; Forces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" i="4" l="1"/>
  <c r="W20" i="4" s="1"/>
  <c r="W3" i="4"/>
  <c r="W4" i="4"/>
  <c r="W5" i="4"/>
  <c r="W6" i="4"/>
  <c r="W7" i="4"/>
  <c r="W8" i="4"/>
  <c r="W9" i="4"/>
  <c r="W10" i="4"/>
  <c r="W11" i="4"/>
  <c r="W13" i="4" s="1"/>
  <c r="W19" i="4" s="1"/>
  <c r="W12" i="4"/>
  <c r="W14" i="4"/>
  <c r="W21" i="4" s="1"/>
  <c r="W15" i="4"/>
  <c r="W16" i="4"/>
  <c r="W17" i="4"/>
  <c r="W18" i="4"/>
  <c r="AE24" i="7"/>
  <c r="O59" i="4"/>
  <c r="AI19" i="4" l="1"/>
  <c r="AE20" i="4"/>
  <c r="AI18" i="4"/>
  <c r="AE21" i="4"/>
  <c r="AE18" i="4"/>
  <c r="R13" i="7"/>
  <c r="O3" i="4"/>
  <c r="K16" i="4"/>
  <c r="K15" i="4"/>
  <c r="J91" i="5"/>
  <c r="J90" i="5"/>
  <c r="Y90" i="4"/>
  <c r="Y89" i="4"/>
  <c r="W89" i="4"/>
  <c r="W90" i="4"/>
  <c r="W39" i="4"/>
  <c r="AM4" i="4"/>
  <c r="AM9" i="4"/>
  <c r="N81" i="5"/>
  <c r="J82" i="5"/>
  <c r="K82" i="5"/>
  <c r="M81" i="5"/>
  <c r="N78" i="5"/>
  <c r="K79" i="5"/>
  <c r="M78" i="5"/>
  <c r="J79" i="5"/>
  <c r="Z17" i="5"/>
  <c r="Z13" i="5"/>
  <c r="K67" i="5"/>
  <c r="G85" i="5"/>
  <c r="F85" i="5"/>
  <c r="G82" i="5"/>
  <c r="F82" i="5"/>
  <c r="G78" i="5"/>
  <c r="F78" i="5"/>
  <c r="J44" i="5"/>
  <c r="J43" i="5"/>
  <c r="J41" i="5"/>
  <c r="J40" i="5"/>
  <c r="J39" i="5"/>
  <c r="J38" i="5"/>
  <c r="J37" i="5"/>
  <c r="F41" i="5"/>
  <c r="F64" i="5"/>
  <c r="F38" i="5"/>
  <c r="F39" i="5"/>
  <c r="F40" i="5"/>
  <c r="V5" i="5"/>
  <c r="V6" i="5"/>
  <c r="V7" i="5"/>
  <c r="V4" i="5"/>
  <c r="V3" i="5"/>
  <c r="V9" i="5" s="1"/>
  <c r="AE14" i="5"/>
  <c r="O63" i="5"/>
  <c r="O61" i="5"/>
  <c r="F61" i="5"/>
  <c r="AO18" i="5"/>
  <c r="AO16" i="5"/>
  <c r="AO13" i="5"/>
  <c r="AJ14" i="5"/>
  <c r="AJ19" i="5" s="1"/>
  <c r="AE19" i="5"/>
  <c r="Z14" i="5"/>
  <c r="AJ13" i="5"/>
  <c r="AJ16" i="5" s="1"/>
  <c r="AE13" i="5"/>
  <c r="AE18" i="5" s="1"/>
  <c r="AJ18" i="5"/>
  <c r="Z18" i="5"/>
  <c r="Z19" i="5"/>
  <c r="Z16" i="5"/>
  <c r="Z12" i="5"/>
  <c r="F58" i="5"/>
  <c r="F59" i="5" s="1"/>
  <c r="N25" i="5"/>
  <c r="N30" i="5"/>
  <c r="N24" i="5"/>
  <c r="N29" i="5"/>
  <c r="N23" i="5"/>
  <c r="W29" i="4"/>
  <c r="O71" i="4"/>
  <c r="F81" i="5"/>
  <c r="F19" i="5"/>
  <c r="F34" i="5"/>
  <c r="AD82" i="4"/>
  <c r="W82" i="4"/>
  <c r="AD78" i="4"/>
  <c r="AD77" i="4"/>
  <c r="AD25" i="7"/>
  <c r="AE25" i="7"/>
  <c r="N36" i="7"/>
  <c r="C27" i="6"/>
  <c r="C24" i="6"/>
  <c r="C26" i="6" s="1"/>
  <c r="AO12" i="5"/>
  <c r="AL10" i="5"/>
  <c r="AQ3" i="5"/>
  <c r="AO3" i="5"/>
  <c r="AJ12" i="5"/>
  <c r="AO5" i="5"/>
  <c r="AL7" i="5"/>
  <c r="AG7" i="5"/>
  <c r="AL4" i="5"/>
  <c r="N44" i="7"/>
  <c r="AL3" i="5"/>
  <c r="N43" i="7"/>
  <c r="AE12" i="5"/>
  <c r="AE5" i="5"/>
  <c r="AE2" i="5"/>
  <c r="F72" i="7"/>
  <c r="AG4" i="5"/>
  <c r="N74" i="7"/>
  <c r="AL5" i="5"/>
  <c r="AJ5" i="5"/>
  <c r="AB10" i="5"/>
  <c r="AG10" i="5"/>
  <c r="Z43" i="7"/>
  <c r="Z75" i="7"/>
  <c r="R75" i="7"/>
  <c r="AB7" i="5"/>
  <c r="Z72" i="7"/>
  <c r="AG3" i="5"/>
  <c r="N73" i="7"/>
  <c r="AE3" i="5"/>
  <c r="F73" i="7"/>
  <c r="F75" i="7"/>
  <c r="AG5" i="5"/>
  <c r="AE19" i="4"/>
  <c r="Z5" i="5"/>
  <c r="F11" i="7"/>
  <c r="F8" i="7"/>
  <c r="N27" i="5"/>
  <c r="R124" i="7"/>
  <c r="R43" i="7"/>
  <c r="Z10" i="7"/>
  <c r="R10" i="7"/>
  <c r="AB5" i="5"/>
  <c r="Z7" i="7"/>
  <c r="AB4" i="5"/>
  <c r="N10" i="7"/>
  <c r="AB3" i="5"/>
  <c r="N9" i="7"/>
  <c r="W34" i="4"/>
  <c r="Q78" i="4"/>
  <c r="Q79" i="4"/>
  <c r="S22" i="4"/>
  <c r="W27" i="4"/>
  <c r="T67" i="4"/>
  <c r="T68" i="4" s="1"/>
  <c r="X81" i="4"/>
  <c r="AB78" i="4"/>
  <c r="AB77" i="4"/>
  <c r="AB81" i="4"/>
  <c r="AI20" i="4"/>
  <c r="W67" i="4"/>
  <c r="X67" i="4"/>
  <c r="W26" i="4"/>
  <c r="W81" i="4"/>
  <c r="AI7" i="4"/>
  <c r="AI5" i="4"/>
  <c r="AI3" i="4"/>
  <c r="C5" i="1"/>
  <c r="G4" i="1"/>
  <c r="AG3" i="1"/>
  <c r="U8" i="1"/>
  <c r="AJ17" i="5" l="1"/>
  <c r="F51" i="5"/>
  <c r="AE17" i="5"/>
  <c r="AE16" i="5"/>
  <c r="F48" i="5"/>
  <c r="B59" i="5"/>
  <c r="B63" i="5" s="1"/>
  <c r="B64" i="5" s="1"/>
  <c r="D64" i="5" s="1"/>
  <c r="AI21" i="4"/>
  <c r="X82" i="4"/>
  <c r="B60" i="5" l="1"/>
  <c r="J58" i="5" s="1"/>
  <c r="W35" i="4"/>
  <c r="H64" i="5" l="1"/>
  <c r="F63" i="5"/>
  <c r="H63" i="5" s="1"/>
  <c r="F62" i="5"/>
  <c r="U7" i="1"/>
  <c r="R106" i="7"/>
  <c r="AV33" i="7"/>
  <c r="R27" i="7"/>
  <c r="R60" i="7"/>
  <c r="R145" i="7"/>
  <c r="R146" i="7" s="1"/>
  <c r="R96" i="7"/>
  <c r="R97" i="7" s="1"/>
  <c r="R143" i="7"/>
  <c r="R144" i="7" s="1"/>
  <c r="R94" i="7"/>
  <c r="R95" i="7" s="1"/>
  <c r="R141" i="7"/>
  <c r="R142" i="7" s="1"/>
  <c r="R92" i="7"/>
  <c r="R93" i="7" s="1"/>
  <c r="R139" i="7"/>
  <c r="R140" i="7" s="1"/>
  <c r="R90" i="7"/>
  <c r="R91" i="7" s="1"/>
  <c r="R138" i="7"/>
  <c r="R89" i="7"/>
  <c r="R137" i="7"/>
  <c r="R88" i="7"/>
  <c r="R21" i="7"/>
  <c r="R54" i="7"/>
  <c r="R109" i="7"/>
  <c r="R135" i="7"/>
  <c r="R86" i="7"/>
  <c r="R134" i="7"/>
  <c r="R85" i="7"/>
  <c r="R132" i="7"/>
  <c r="R133" i="7" s="1"/>
  <c r="R83" i="7"/>
  <c r="R84" i="7" s="1"/>
  <c r="R131" i="7"/>
  <c r="R82" i="7"/>
  <c r="Z82" i="7" s="1"/>
  <c r="R120" i="7"/>
  <c r="R71" i="7"/>
  <c r="R121" i="7"/>
  <c r="R72" i="7"/>
  <c r="Z77" i="7"/>
  <c r="Z80" i="7" s="1"/>
  <c r="Z78" i="7"/>
  <c r="Z87" i="7" s="1"/>
  <c r="Z83" i="7"/>
  <c r="Z84" i="7" s="1"/>
  <c r="Z89" i="7" s="1"/>
  <c r="Z86" i="7"/>
  <c r="Z88" i="7"/>
  <c r="Z90" i="7"/>
  <c r="Z91" i="7" s="1"/>
  <c r="Z92" i="7" s="1"/>
  <c r="Z93" i="7" s="1"/>
  <c r="Z94" i="7"/>
  <c r="Z95" i="7" s="1"/>
  <c r="Z96" i="7" s="1"/>
  <c r="Z97" i="7" s="1"/>
  <c r="AM15" i="7"/>
  <c r="AM16" i="7"/>
  <c r="F71" i="7"/>
  <c r="N71" i="7" s="1"/>
  <c r="N80" i="7" s="1"/>
  <c r="N82" i="7"/>
  <c r="F81" i="7"/>
  <c r="N81" i="7" s="1"/>
  <c r="F17" i="7"/>
  <c r="N17" i="7" s="1"/>
  <c r="N79" i="7"/>
  <c r="F78" i="7"/>
  <c r="N78" i="7" s="1"/>
  <c r="F15" i="7"/>
  <c r="N15" i="7" s="1"/>
  <c r="N76" i="7"/>
  <c r="F74" i="7"/>
  <c r="N70" i="7"/>
  <c r="N69" i="7"/>
  <c r="F69" i="7"/>
  <c r="F49" i="7"/>
  <c r="F45" i="7"/>
  <c r="F44" i="7"/>
  <c r="F10" i="7"/>
  <c r="F42" i="7"/>
  <c r="N48" i="7"/>
  <c r="F48" i="7"/>
  <c r="F82" i="7" s="1"/>
  <c r="F14" i="7"/>
  <c r="F52" i="7"/>
  <c r="F77" i="7" s="1"/>
  <c r="F18" i="7"/>
  <c r="F51" i="7"/>
  <c r="F9" i="7"/>
  <c r="F4" i="7"/>
  <c r="F3" i="7"/>
  <c r="Z62" i="7"/>
  <c r="Z58" i="7"/>
  <c r="Z54" i="7"/>
  <c r="Z51" i="7"/>
  <c r="Z37" i="7"/>
  <c r="R64" i="7"/>
  <c r="R62" i="7"/>
  <c r="R58" i="7"/>
  <c r="R57" i="7"/>
  <c r="R56" i="7"/>
  <c r="R53" i="7"/>
  <c r="R51" i="7"/>
  <c r="R50" i="7"/>
  <c r="Z50" i="7" s="1"/>
  <c r="R40" i="7"/>
  <c r="Z40" i="7" s="1"/>
  <c r="R39" i="7"/>
  <c r="O26" i="1"/>
  <c r="R113" i="7"/>
  <c r="R114" i="7" s="1"/>
  <c r="Z56" i="7"/>
  <c r="R110" i="7"/>
  <c r="R108" i="7"/>
  <c r="R107" i="7"/>
  <c r="R111" i="7" s="1"/>
  <c r="R20" i="7"/>
  <c r="R112" i="7"/>
  <c r="R17" i="7"/>
  <c r="Z17" i="7" s="1"/>
  <c r="N14" i="5"/>
  <c r="N13" i="5"/>
  <c r="AE15" i="7"/>
  <c r="AE16" i="7"/>
  <c r="AE20" i="7" s="1"/>
  <c r="C3" i="6"/>
  <c r="R31" i="7"/>
  <c r="Z29" i="7"/>
  <c r="R29" i="7"/>
  <c r="Z25" i="7"/>
  <c r="R25" i="7"/>
  <c r="Z23" i="7"/>
  <c r="R23" i="7"/>
  <c r="Z21" i="7"/>
  <c r="Z18" i="7"/>
  <c r="Z20" i="7" s="1"/>
  <c r="R24" i="7"/>
  <c r="R18" i="7"/>
  <c r="Z19" i="7"/>
  <c r="AI33" i="7"/>
  <c r="AI16" i="7"/>
  <c r="AI20" i="7" s="1"/>
  <c r="AI15" i="7"/>
  <c r="Z85" i="7" l="1"/>
  <c r="F100" i="7"/>
  <c r="AM20" i="7"/>
  <c r="AM24" i="7" s="1"/>
  <c r="AI24" i="7"/>
  <c r="N51" i="7" l="1"/>
  <c r="N49" i="7"/>
  <c r="N47" i="7"/>
  <c r="N46" i="7"/>
  <c r="F43" i="7"/>
  <c r="N52" i="7"/>
  <c r="N77" i="7" s="1"/>
  <c r="N50" i="7"/>
  <c r="N45" i="7"/>
  <c r="N42" i="7"/>
  <c r="N41" i="7"/>
  <c r="N40" i="7"/>
  <c r="N39" i="7"/>
  <c r="F38" i="7" l="1"/>
  <c r="N38" i="7" s="1"/>
  <c r="F37" i="7"/>
  <c r="R65" i="7"/>
  <c r="Z63" i="7"/>
  <c r="Z64" i="7" s="1"/>
  <c r="Z65" i="7" s="1"/>
  <c r="R63" i="7"/>
  <c r="R61" i="7"/>
  <c r="Z59" i="7"/>
  <c r="Z60" i="7" s="1"/>
  <c r="Z61" i="7" s="1"/>
  <c r="R59" i="7"/>
  <c r="Z53" i="7"/>
  <c r="Z52" i="7"/>
  <c r="Z57" i="7" s="1"/>
  <c r="R52" i="7"/>
  <c r="Z46" i="7"/>
  <c r="Z55" i="7" s="1"/>
  <c r="Z45" i="7"/>
  <c r="Z48" i="7" s="1"/>
  <c r="O45" i="1"/>
  <c r="O49" i="1" s="1"/>
  <c r="R30" i="7"/>
  <c r="R26" i="7"/>
  <c r="R32" i="7"/>
  <c r="R28" i="7"/>
  <c r="R19" i="7"/>
  <c r="N18" i="7"/>
  <c r="R7" i="7"/>
  <c r="R6" i="7"/>
  <c r="C5" i="4"/>
  <c r="C10" i="4" s="1"/>
  <c r="C4" i="6"/>
  <c r="AE33" i="7"/>
  <c r="O50" i="1"/>
  <c r="O46" i="1"/>
  <c r="O44" i="1"/>
  <c r="C6" i="6"/>
  <c r="Z13" i="7"/>
  <c r="Z22" i="7" s="1"/>
  <c r="N16" i="7"/>
  <c r="N11" i="7"/>
  <c r="N5" i="7"/>
  <c r="Z30" i="7"/>
  <c r="Z31" i="7" s="1"/>
  <c r="Z32" i="7" s="1"/>
  <c r="Z26" i="7"/>
  <c r="Z27" i="7" s="1"/>
  <c r="Z28" i="7" s="1"/>
  <c r="Z24" i="7"/>
  <c r="Z12" i="7"/>
  <c r="Z15" i="7" s="1"/>
  <c r="K5" i="1"/>
  <c r="O6" i="1" s="1"/>
  <c r="U4" i="1" s="1"/>
  <c r="U5" i="1" s="1"/>
  <c r="U10" i="1" s="1"/>
  <c r="N14" i="7"/>
  <c r="N13" i="7"/>
  <c r="N12" i="7"/>
  <c r="Z4" i="7"/>
  <c r="N8" i="7"/>
  <c r="N7" i="7"/>
  <c r="N6" i="7"/>
  <c r="N4" i="7"/>
  <c r="N3" i="7"/>
  <c r="R44" i="7" l="1"/>
  <c r="R125" i="7"/>
  <c r="R76" i="7"/>
  <c r="R11" i="7"/>
  <c r="N75" i="7"/>
  <c r="N72" i="7"/>
  <c r="AM12" i="7"/>
  <c r="N37" i="7"/>
  <c r="R105" i="7"/>
  <c r="F67" i="7"/>
  <c r="AI12" i="7"/>
  <c r="AI6" i="7"/>
  <c r="AE6" i="7"/>
  <c r="AE12" i="7"/>
  <c r="F34" i="7"/>
  <c r="BA19" i="3"/>
  <c r="AZ19" i="3"/>
  <c r="BH17" i="3"/>
  <c r="BH6" i="3"/>
  <c r="BH5" i="3"/>
  <c r="BB17" i="3"/>
  <c r="BA18" i="3"/>
  <c r="AZ18" i="3"/>
  <c r="BC17" i="3"/>
  <c r="BB15" i="3"/>
  <c r="BF15" i="3" s="1"/>
  <c r="BC14" i="3"/>
  <c r="BC15" i="3" s="1"/>
  <c r="BC13" i="3"/>
  <c r="BC11" i="3"/>
  <c r="BC10" i="3"/>
  <c r="BC9" i="3"/>
  <c r="BC8" i="3"/>
  <c r="BC7" i="3"/>
  <c r="BC6" i="3"/>
  <c r="BH14" i="3"/>
  <c r="BB14" i="3"/>
  <c r="BF14" i="3" s="1"/>
  <c r="BE13" i="3"/>
  <c r="BE11" i="3"/>
  <c r="BH13" i="3"/>
  <c r="BB13" i="3"/>
  <c r="BB12" i="3"/>
  <c r="BF12" i="3" s="1"/>
  <c r="BH12" i="3"/>
  <c r="BE12" i="3"/>
  <c r="BE7" i="3"/>
  <c r="BE8" i="3" s="1"/>
  <c r="BE9" i="3" s="1"/>
  <c r="BE10" i="3"/>
  <c r="BB6" i="3"/>
  <c r="AU16" i="3"/>
  <c r="AU17" i="3"/>
  <c r="AU20" i="3" s="1"/>
  <c r="AU21" i="3" s="1"/>
  <c r="AU29" i="3"/>
  <c r="AI27" i="3"/>
  <c r="AJ55" i="3"/>
  <c r="AJ64" i="3"/>
  <c r="AJ59" i="3"/>
  <c r="AI25" i="3"/>
  <c r="AE55" i="3"/>
  <c r="AE54" i="3"/>
  <c r="AU25" i="3"/>
  <c r="AU27" i="3" s="1"/>
  <c r="AQ46" i="3"/>
  <c r="S11" i="3"/>
  <c r="S14" i="3" s="1"/>
  <c r="S9" i="3"/>
  <c r="S12" i="3" s="1"/>
  <c r="AA17" i="3"/>
  <c r="O6" i="3"/>
  <c r="G11" i="3"/>
  <c r="W25" i="3"/>
  <c r="AE22" i="3"/>
  <c r="AA25" i="3"/>
  <c r="AA26" i="3" s="1"/>
  <c r="AA3" i="3"/>
  <c r="AA4" i="3" s="1"/>
  <c r="AE10" i="3"/>
  <c r="AI11" i="3" s="1"/>
  <c r="AE29" i="3"/>
  <c r="AI17" i="3"/>
  <c r="K24" i="3"/>
  <c r="G22" i="3"/>
  <c r="K15" i="3"/>
  <c r="K14" i="3"/>
  <c r="K16" i="3" s="1"/>
  <c r="G12" i="3"/>
  <c r="G20" i="3"/>
  <c r="BC18" i="3" l="1"/>
  <c r="BH18" i="3"/>
  <c r="BH19" i="3"/>
  <c r="BC19" i="3"/>
  <c r="BB18" i="3"/>
  <c r="BF13" i="3"/>
  <c r="BB19" i="3"/>
  <c r="BF19" i="3" s="1"/>
  <c r="AC5" i="3"/>
  <c r="AE56" i="3"/>
  <c r="AE57" i="3" s="1"/>
  <c r="AC4" i="3"/>
  <c r="AU18" i="3"/>
  <c r="AU22" i="3" s="1"/>
  <c r="AU28" i="3" s="1"/>
  <c r="AU32" i="3" s="1"/>
  <c r="AU26" i="3"/>
  <c r="S13" i="3"/>
  <c r="S15" i="3" s="1"/>
  <c r="AC6" i="3"/>
  <c r="AA5" i="3"/>
  <c r="AA6" i="3"/>
  <c r="G14" i="3"/>
  <c r="G15" i="3" s="1"/>
  <c r="AA27" i="3"/>
  <c r="AI20" i="3"/>
  <c r="AI18" i="3"/>
  <c r="K23" i="3"/>
  <c r="K25" i="3" s="1"/>
  <c r="N25" i="3" s="1"/>
  <c r="G26" i="3" s="1"/>
  <c r="G25" i="3"/>
  <c r="O30" i="1"/>
  <c r="O31" i="1" s="1"/>
  <c r="O29" i="1"/>
  <c r="K30" i="1"/>
  <c r="G49" i="1"/>
  <c r="AU33" i="3" l="1"/>
  <c r="AU34" i="3"/>
  <c r="AU19" i="3"/>
  <c r="N22" i="3"/>
  <c r="G42" i="3"/>
  <c r="G43" i="3" s="1"/>
  <c r="J28" i="3"/>
  <c r="J29" i="3" s="1"/>
  <c r="G31" i="3"/>
  <c r="J31" i="3"/>
  <c r="G24" i="3"/>
  <c r="N23" i="3" s="1"/>
  <c r="G28" i="3"/>
  <c r="G29" i="3" s="1"/>
  <c r="G27" i="3"/>
  <c r="G16" i="3"/>
  <c r="G17" i="3" s="1"/>
  <c r="G18" i="3"/>
  <c r="G19" i="3" s="1"/>
  <c r="G30" i="3" l="1"/>
  <c r="J30" i="3"/>
  <c r="AQ25" i="3" l="1"/>
  <c r="AQ27" i="3" s="1"/>
  <c r="J2" i="5"/>
  <c r="S6" i="4" l="1"/>
  <c r="S8" i="4" s="1"/>
  <c r="S12" i="4" s="1"/>
  <c r="AE16" i="4"/>
  <c r="S58" i="4"/>
  <c r="S59" i="4" s="1"/>
  <c r="AE10" i="4"/>
  <c r="AE12" i="4"/>
  <c r="J10" i="5"/>
  <c r="C15" i="4"/>
  <c r="C25" i="6"/>
  <c r="C28" i="6" s="1"/>
  <c r="C19" i="6"/>
  <c r="S23" i="4"/>
  <c r="F8" i="5"/>
  <c r="AA14" i="4"/>
  <c r="G15" i="6"/>
  <c r="G14" i="6"/>
  <c r="C36" i="1"/>
  <c r="G4" i="4"/>
  <c r="AA13" i="4"/>
  <c r="K68" i="5"/>
  <c r="G67" i="5"/>
  <c r="J22" i="5"/>
  <c r="J20" i="5"/>
  <c r="J18" i="5"/>
  <c r="J16" i="5"/>
  <c r="J14" i="5"/>
  <c r="J12" i="5"/>
  <c r="J8" i="5"/>
  <c r="J6" i="5"/>
  <c r="J4" i="5"/>
  <c r="F7" i="5"/>
  <c r="R29" i="1"/>
  <c r="O60" i="4" l="1"/>
  <c r="W58" i="4" s="1"/>
  <c r="K4" i="4"/>
  <c r="K14" i="4" s="1"/>
  <c r="G14" i="4"/>
  <c r="S14" i="4"/>
  <c r="S18" i="4"/>
  <c r="J28" i="5"/>
  <c r="F6" i="5"/>
  <c r="N20" i="5" s="1"/>
  <c r="C20" i="6"/>
  <c r="C23" i="6"/>
  <c r="R30" i="1"/>
  <c r="R31" i="1" s="1"/>
  <c r="AE14" i="4"/>
  <c r="C14" i="4"/>
  <c r="V11" i="5"/>
  <c r="V12" i="5" s="1"/>
  <c r="C21" i="6"/>
  <c r="C22" i="6"/>
  <c r="J68" i="5"/>
  <c r="J24" i="5"/>
  <c r="J26" i="5"/>
  <c r="W61" i="4" l="1"/>
  <c r="O63" i="4"/>
  <c r="O64" i="4" s="1"/>
  <c r="Q64" i="4" s="1"/>
  <c r="W62" i="4"/>
  <c r="N21" i="5"/>
  <c r="R130" i="7"/>
  <c r="R81" i="7"/>
  <c r="R49" i="7"/>
  <c r="R16" i="7"/>
  <c r="F14" i="5"/>
  <c r="F18" i="5"/>
  <c r="B71" i="5" s="1"/>
  <c r="F16" i="5"/>
  <c r="R24" i="5"/>
  <c r="R20" i="5"/>
  <c r="R19" i="5"/>
  <c r="R18" i="5"/>
  <c r="R21" i="5" s="1"/>
  <c r="B68" i="5"/>
  <c r="G68" i="5"/>
  <c r="O68" i="4"/>
  <c r="AQ4" i="4"/>
  <c r="AQ9" i="4" s="1"/>
  <c r="AQ2" i="4"/>
  <c r="AM2" i="4"/>
  <c r="AE8" i="4"/>
  <c r="AE6" i="4"/>
  <c r="AE4" i="4"/>
  <c r="AE2" i="4"/>
  <c r="S3" i="4"/>
  <c r="O9" i="1"/>
  <c r="U11" i="1"/>
  <c r="G15" i="4"/>
  <c r="K6" i="4"/>
  <c r="G6" i="4"/>
  <c r="R47" i="7" s="1"/>
  <c r="AC3" i="1"/>
  <c r="U30" i="1"/>
  <c r="C3" i="3" s="1"/>
  <c r="O65" i="4" l="1"/>
  <c r="F21" i="5"/>
  <c r="C23" i="5"/>
  <c r="N22" i="5"/>
  <c r="X9" i="5" s="1"/>
  <c r="AM13" i="4"/>
  <c r="AM11" i="4"/>
  <c r="R126" i="7"/>
  <c r="R77" i="7"/>
  <c r="R45" i="7"/>
  <c r="R12" i="7"/>
  <c r="R104" i="7"/>
  <c r="R129" i="7"/>
  <c r="R80" i="7"/>
  <c r="R48" i="7"/>
  <c r="R15" i="7"/>
  <c r="AQ11" i="4"/>
  <c r="AQ13" i="4"/>
  <c r="R79" i="7"/>
  <c r="J5" i="5"/>
  <c r="F23" i="5"/>
  <c r="S7" i="4"/>
  <c r="R14" i="7"/>
  <c r="R128" i="7"/>
  <c r="R103" i="7"/>
  <c r="X68" i="4"/>
  <c r="AA31" i="3"/>
  <c r="AA32" i="3" s="1"/>
  <c r="P21" i="5"/>
  <c r="C24" i="5"/>
  <c r="C22" i="5"/>
  <c r="C20" i="5"/>
  <c r="C21" i="5"/>
  <c r="O14" i="4"/>
  <c r="J15" i="5"/>
  <c r="J72" i="5"/>
  <c r="P20" i="5"/>
  <c r="J29" i="5"/>
  <c r="J27" i="5"/>
  <c r="J25" i="5"/>
  <c r="J19" i="5"/>
  <c r="F27" i="5"/>
  <c r="J21" i="5"/>
  <c r="J17" i="5"/>
  <c r="J23" i="5"/>
  <c r="F20" i="5"/>
  <c r="F25" i="5"/>
  <c r="J9" i="5"/>
  <c r="J7" i="5"/>
  <c r="J3" i="5"/>
  <c r="J11" i="5" s="1"/>
  <c r="J13" i="5"/>
  <c r="F29" i="5"/>
  <c r="F22" i="5"/>
  <c r="F31" i="5"/>
  <c r="R22" i="5"/>
  <c r="K69" i="5"/>
  <c r="X69" i="4"/>
  <c r="W25" i="4"/>
  <c r="P18" i="5" l="1"/>
  <c r="N19" i="5"/>
  <c r="N18" i="5"/>
  <c r="S11" i="4"/>
  <c r="S16" i="4"/>
  <c r="W68" i="4"/>
  <c r="W69" i="4" s="1"/>
  <c r="O15" i="4"/>
  <c r="F67" i="5"/>
  <c r="F68" i="5" s="1"/>
  <c r="C25" i="5"/>
  <c r="B65" i="5"/>
  <c r="D65" i="5" s="1"/>
  <c r="O18" i="4"/>
  <c r="O16" i="4"/>
  <c r="F49" i="5"/>
  <c r="P19" i="5"/>
  <c r="K72" i="5"/>
  <c r="J69" i="5"/>
  <c r="S15" i="4"/>
  <c r="AM5" i="4" s="1"/>
  <c r="S17" i="4"/>
  <c r="S13" i="4"/>
  <c r="W24" i="4" s="1"/>
  <c r="W28" i="4" s="1"/>
  <c r="O17" i="4"/>
  <c r="R5" i="7" l="1"/>
  <c r="R38" i="7"/>
  <c r="R70" i="7"/>
  <c r="R119" i="7"/>
  <c r="AA18" i="4"/>
  <c r="AA20" i="4"/>
  <c r="R42" i="7"/>
  <c r="R123" i="7"/>
  <c r="R74" i="7"/>
  <c r="AM11" i="7" s="1"/>
  <c r="R9" i="7"/>
  <c r="S29" i="4"/>
  <c r="AE3" i="4"/>
  <c r="AE5" i="4"/>
  <c r="AE11" i="4"/>
  <c r="T71" i="4"/>
  <c r="S25" i="4"/>
  <c r="S71" i="4"/>
  <c r="S67" i="4"/>
  <c r="S68" i="4" s="1"/>
  <c r="S20" i="4"/>
  <c r="AE15" i="4"/>
  <c r="Q22" i="4"/>
  <c r="O74" i="4"/>
  <c r="O75" i="4" s="1"/>
  <c r="W59" i="4" s="1"/>
  <c r="S34" i="4"/>
  <c r="Q20" i="4"/>
  <c r="Q23" i="4"/>
  <c r="Q21" i="4"/>
  <c r="W72" i="4"/>
  <c r="X72" i="4"/>
  <c r="F71" i="5"/>
  <c r="G71" i="5"/>
  <c r="J42" i="5"/>
  <c r="B66" i="5"/>
  <c r="L90" i="5"/>
  <c r="B74" i="5"/>
  <c r="B75" i="5" s="1"/>
  <c r="J59" i="5" s="1"/>
  <c r="S24" i="4"/>
  <c r="O66" i="4"/>
  <c r="AQ5" i="4"/>
  <c r="AE9" i="4"/>
  <c r="AE7" i="4"/>
  <c r="S31" i="4"/>
  <c r="S26" i="4"/>
  <c r="S19" i="4"/>
  <c r="AM3" i="4"/>
  <c r="AM8" i="4" s="1"/>
  <c r="S27" i="4"/>
  <c r="AE13" i="4"/>
  <c r="AE17" i="4"/>
  <c r="S30" i="4"/>
  <c r="AQ3" i="4"/>
  <c r="S28" i="4"/>
  <c r="P20" i="4"/>
  <c r="P23" i="4"/>
  <c r="P21" i="4"/>
  <c r="S21" i="4"/>
  <c r="P22" i="4"/>
  <c r="AA45" i="4"/>
  <c r="AE45" i="4"/>
  <c r="AE44" i="4"/>
  <c r="AF61" i="4" l="1"/>
  <c r="T76" i="4"/>
  <c r="S76" i="4"/>
  <c r="S77" i="4" s="1"/>
  <c r="S81" i="4" s="1"/>
  <c r="O64" i="5"/>
  <c r="Q63" i="5"/>
  <c r="O62" i="5"/>
  <c r="K77" i="5"/>
  <c r="K78" i="5" s="1"/>
  <c r="X77" i="4"/>
  <c r="T72" i="4"/>
  <c r="T77" i="4"/>
  <c r="T78" i="4" s="1"/>
  <c r="W77" i="4"/>
  <c r="J77" i="5"/>
  <c r="J78" i="5" s="1"/>
  <c r="AA19" i="4"/>
  <c r="AA21" i="4"/>
  <c r="S40" i="4" s="1"/>
  <c r="W38" i="4"/>
  <c r="Q24" i="4"/>
  <c r="F76" i="5"/>
  <c r="F77" i="5" s="1"/>
  <c r="F35" i="5"/>
  <c r="J73" i="5"/>
  <c r="G72" i="5"/>
  <c r="F72" i="5"/>
  <c r="G76" i="5"/>
  <c r="G77" i="5" s="1"/>
  <c r="N28" i="5"/>
  <c r="L91" i="5"/>
  <c r="K73" i="5"/>
  <c r="AA38" i="4"/>
  <c r="AQ8" i="4"/>
  <c r="S39" i="4"/>
  <c r="S62" i="4" s="1"/>
  <c r="AA39" i="4"/>
  <c r="S38" i="4"/>
  <c r="S61" i="4" s="1"/>
  <c r="AE39" i="4"/>
  <c r="AE49" i="4" s="1"/>
  <c r="AQ6" i="4"/>
  <c r="AQ10" i="4" s="1"/>
  <c r="AE38" i="4"/>
  <c r="AE48" i="4" s="1"/>
  <c r="P24" i="4"/>
  <c r="AM6" i="4"/>
  <c r="AM10" i="4" s="1"/>
  <c r="AE34" i="4"/>
  <c r="AA34" i="4"/>
  <c r="AA35" i="4" s="1"/>
  <c r="AA44" i="4"/>
  <c r="AB61" i="4" l="1"/>
  <c r="G81" i="5"/>
  <c r="S78" i="4"/>
  <c r="AF62" i="4"/>
  <c r="Y62" i="4"/>
  <c r="AQ14" i="4"/>
  <c r="AE41" i="4" s="1"/>
  <c r="AE52" i="4" s="1"/>
  <c r="AQ12" i="4"/>
  <c r="AM12" i="4"/>
  <c r="AM14" i="4"/>
  <c r="AA41" i="4" s="1"/>
  <c r="AA52" i="4" s="1"/>
  <c r="S41" i="4"/>
  <c r="S64" i="4" s="1"/>
  <c r="W40" i="4"/>
  <c r="W41" i="4"/>
  <c r="W48" i="4"/>
  <c r="S48" i="4"/>
  <c r="W49" i="4"/>
  <c r="S49" i="4"/>
  <c r="S51" i="4"/>
  <c r="S63" i="4"/>
  <c r="Q62" i="5"/>
  <c r="H62" i="5"/>
  <c r="Q61" i="5"/>
  <c r="H61" i="5"/>
  <c r="AA48" i="4"/>
  <c r="S35" i="4"/>
  <c r="AE35" i="4"/>
  <c r="AA49" i="4"/>
  <c r="O9" i="3"/>
  <c r="O10" i="3"/>
  <c r="S19" i="3" s="1"/>
  <c r="K4" i="3"/>
  <c r="G54" i="3"/>
  <c r="G45" i="3"/>
  <c r="W52" i="4" l="1"/>
  <c r="AF64" i="4"/>
  <c r="W51" i="4"/>
  <c r="AF63" i="4"/>
  <c r="W63" i="4"/>
  <c r="AA40" i="4"/>
  <c r="AA51" i="4" s="1"/>
  <c r="W64" i="4"/>
  <c r="S52" i="4"/>
  <c r="F52" i="5"/>
  <c r="Q64" i="5"/>
  <c r="AE40" i="4"/>
  <c r="AE51" i="4" s="1"/>
  <c r="O11" i="3"/>
  <c r="BH7" i="3"/>
  <c r="BH8" i="3"/>
  <c r="BH9" i="3"/>
  <c r="BH10" i="3"/>
  <c r="BH11" i="3"/>
  <c r="BF18" i="3"/>
  <c r="BF17" i="3"/>
  <c r="BB11" i="3"/>
  <c r="BB10" i="3"/>
  <c r="BF10" i="3" s="1"/>
  <c r="BB9" i="3"/>
  <c r="BB8" i="3"/>
  <c r="BB7" i="3"/>
  <c r="BF6" i="3"/>
  <c r="BB5" i="3"/>
  <c r="C12" i="4"/>
  <c r="C11" i="4"/>
  <c r="C17" i="1"/>
  <c r="G35" i="1" s="1"/>
  <c r="AM17" i="3"/>
  <c r="AP80" i="3" s="1"/>
  <c r="AP81" i="3" s="1"/>
  <c r="AP82" i="3" s="1"/>
  <c r="AP83" i="3" s="1"/>
  <c r="AP84" i="3" s="1"/>
  <c r="AP85" i="3" s="1"/>
  <c r="AQ67" i="3"/>
  <c r="AQ69" i="3" s="1"/>
  <c r="AQ59" i="3"/>
  <c r="AQ62" i="3" s="1"/>
  <c r="AQ63" i="3" s="1"/>
  <c r="AQ38" i="3"/>
  <c r="AQ39" i="3" s="1"/>
  <c r="AQ48" i="3"/>
  <c r="AQ17" i="3"/>
  <c r="O14" i="3"/>
  <c r="AJ42" i="3"/>
  <c r="AL42" i="3" s="1"/>
  <c r="AJ39" i="3"/>
  <c r="AJ40" i="3" s="1"/>
  <c r="AJ41" i="3" s="1"/>
  <c r="AJ47" i="3"/>
  <c r="AE47" i="3"/>
  <c r="AE42" i="3"/>
  <c r="AG42" i="3" s="1"/>
  <c r="AE39" i="3"/>
  <c r="AE40" i="3" s="1"/>
  <c r="AE41" i="3" s="1"/>
  <c r="AR4" i="3"/>
  <c r="AQ3" i="3"/>
  <c r="AQ6" i="3" s="1"/>
  <c r="AJ4" i="3"/>
  <c r="AI26" i="3"/>
  <c r="AJ56" i="3" s="1"/>
  <c r="AJ58" i="3" s="1"/>
  <c r="AJ62" i="3" s="1"/>
  <c r="AE18" i="3"/>
  <c r="AE16" i="3"/>
  <c r="AE14" i="3"/>
  <c r="AE31" i="3" s="1"/>
  <c r="AI3" i="3"/>
  <c r="AI4" i="3" s="1"/>
  <c r="AA20" i="3"/>
  <c r="AA21" i="3" s="1"/>
  <c r="C45" i="1"/>
  <c r="G46" i="3"/>
  <c r="C4" i="3"/>
  <c r="K3" i="3"/>
  <c r="K5" i="3" s="1"/>
  <c r="K40" i="1"/>
  <c r="K39" i="1"/>
  <c r="AC5" i="1"/>
  <c r="BF5" i="3" l="1"/>
  <c r="AG31" i="3"/>
  <c r="AE32" i="3"/>
  <c r="AI5" i="3"/>
  <c r="AQ5" i="3"/>
  <c r="AQ4" i="3"/>
  <c r="BF9" i="3"/>
  <c r="BF8" i="3"/>
  <c r="AE33" i="3"/>
  <c r="AE34" i="3" s="1"/>
  <c r="AQ20" i="3"/>
  <c r="AQ21" i="3" s="1"/>
  <c r="AQ18" i="3"/>
  <c r="BF11" i="3"/>
  <c r="AJ66" i="3"/>
  <c r="AJ67" i="3" s="1"/>
  <c r="K21" i="3"/>
  <c r="G33" i="3"/>
  <c r="G23" i="3"/>
  <c r="K9" i="3"/>
  <c r="K11" i="3"/>
  <c r="K10" i="3"/>
  <c r="AE43" i="3"/>
  <c r="AE44" i="3" s="1"/>
  <c r="AE45" i="3" s="1"/>
  <c r="AE46" i="3" s="1"/>
  <c r="AE49" i="3" s="1"/>
  <c r="BF7" i="3"/>
  <c r="O12" i="3"/>
  <c r="K60" i="3"/>
  <c r="K61" i="3" s="1"/>
  <c r="K8" i="3"/>
  <c r="AI21" i="3"/>
  <c r="AQ41" i="3"/>
  <c r="AQ42" i="3" s="1"/>
  <c r="AQ43" i="3" s="1"/>
  <c r="AQ49" i="3" s="1"/>
  <c r="AQ53" i="3" s="1"/>
  <c r="AQ54" i="3" s="1"/>
  <c r="AQ47" i="3"/>
  <c r="AQ68" i="3"/>
  <c r="AQ26" i="3"/>
  <c r="AQ60" i="3"/>
  <c r="AQ61" i="3" s="1"/>
  <c r="AQ40" i="3"/>
  <c r="AJ43" i="3"/>
  <c r="AL43" i="3" s="1"/>
  <c r="AI6" i="3"/>
  <c r="AE17" i="3"/>
  <c r="AE21" i="3" s="1"/>
  <c r="AI19" i="3"/>
  <c r="AA18" i="3"/>
  <c r="AA19" i="3" s="1"/>
  <c r="S23" i="3"/>
  <c r="S20" i="3"/>
  <c r="S21" i="3" s="1"/>
  <c r="G47" i="3"/>
  <c r="G48" i="3" s="1"/>
  <c r="G50" i="3"/>
  <c r="K7" i="3"/>
  <c r="K6" i="3"/>
  <c r="C46" i="1"/>
  <c r="C44" i="1"/>
  <c r="Y25" i="1"/>
  <c r="U25" i="1"/>
  <c r="R78" i="7" l="1"/>
  <c r="R46" i="7"/>
  <c r="R102" i="7"/>
  <c r="R127" i="7"/>
  <c r="AZ21" i="3"/>
  <c r="BF22" i="3"/>
  <c r="BF24" i="3" s="1"/>
  <c r="BF21" i="3"/>
  <c r="BF23" i="3" s="1"/>
  <c r="AE35" i="3"/>
  <c r="AE36" i="3" s="1"/>
  <c r="AQ22" i="3"/>
  <c r="AQ28" i="3" s="1"/>
  <c r="AQ32" i="3" s="1"/>
  <c r="AQ33" i="3" s="1"/>
  <c r="AG43" i="3"/>
  <c r="AJ44" i="3"/>
  <c r="AJ45" i="3" s="1"/>
  <c r="AJ46" i="3" s="1"/>
  <c r="AJ49" i="3" s="1"/>
  <c r="AJ51" i="3" s="1"/>
  <c r="AE51" i="3"/>
  <c r="AE50" i="3"/>
  <c r="G51" i="3"/>
  <c r="G52" i="3"/>
  <c r="K56" i="3" s="1"/>
  <c r="K57" i="3" s="1"/>
  <c r="G68" i="3"/>
  <c r="G69" i="3" s="1"/>
  <c r="G55" i="3"/>
  <c r="G60" i="3"/>
  <c r="G61" i="3" s="1"/>
  <c r="G62" i="3"/>
  <c r="G63" i="3" s="1"/>
  <c r="O13" i="3"/>
  <c r="O15" i="3" s="1"/>
  <c r="O16" i="3"/>
  <c r="S25" i="3"/>
  <c r="AQ64" i="3"/>
  <c r="AQ70" i="3" s="1"/>
  <c r="AQ74" i="3" s="1"/>
  <c r="AQ75" i="3" s="1"/>
  <c r="AQ19" i="3"/>
  <c r="AE19" i="3"/>
  <c r="AE20" i="3" s="1"/>
  <c r="R118" i="7" l="1"/>
  <c r="BF26" i="3"/>
  <c r="R36" i="7"/>
  <c r="R69" i="7"/>
  <c r="R3" i="7"/>
  <c r="BF27" i="3"/>
  <c r="AR43" i="7"/>
  <c r="R116" i="7"/>
  <c r="BD18" i="3"/>
  <c r="AX34" i="3" s="1"/>
  <c r="BD19" i="3"/>
  <c r="BD13" i="3"/>
  <c r="BD14" i="3"/>
  <c r="BD10" i="3"/>
  <c r="BD7" i="3"/>
  <c r="BD6" i="3"/>
  <c r="BD5" i="3"/>
  <c r="BD12" i="3"/>
  <c r="BD11" i="3"/>
  <c r="BD8" i="3"/>
  <c r="BD9" i="3"/>
  <c r="AJ50" i="3"/>
  <c r="G56" i="3"/>
  <c r="K58" i="3"/>
  <c r="BD17" i="3"/>
  <c r="S22" i="3"/>
  <c r="S24" i="3" s="1"/>
  <c r="AI38" i="7" l="1"/>
  <c r="AI13" i="7"/>
  <c r="AI37" i="7"/>
  <c r="AI11" i="7"/>
  <c r="AI31" i="7"/>
  <c r="AM13" i="7"/>
  <c r="R67" i="7"/>
  <c r="AI5" i="7"/>
  <c r="AI7" i="7" s="1"/>
  <c r="AE13" i="7"/>
  <c r="AE43" i="7"/>
  <c r="AE11" i="7"/>
  <c r="AE31" i="7"/>
  <c r="AE37" i="7"/>
  <c r="AE5" i="7"/>
  <c r="AE7" i="7" s="1"/>
  <c r="R34" i="7"/>
  <c r="AE38" i="7"/>
  <c r="AE39" i="7" s="1"/>
  <c r="AZ26" i="3"/>
  <c r="R100" i="7"/>
  <c r="R149" i="7"/>
  <c r="AV31" i="7"/>
  <c r="G57" i="3"/>
  <c r="G58" i="3" s="1"/>
  <c r="C26" i="1"/>
  <c r="G28" i="1"/>
  <c r="G27" i="1"/>
  <c r="G56" i="1"/>
  <c r="G59" i="1"/>
  <c r="G17" i="1"/>
  <c r="G6" i="1"/>
  <c r="Q5" i="1"/>
  <c r="O5" i="1"/>
  <c r="C35" i="1"/>
  <c r="C37" i="1" s="1"/>
  <c r="AE26" i="7" l="1"/>
  <c r="AE27" i="7" s="1"/>
  <c r="AE28" i="7"/>
  <c r="AM28" i="7"/>
  <c r="AM26" i="7"/>
  <c r="AM27" i="7" s="1"/>
  <c r="AI39" i="7"/>
  <c r="Y4" i="1"/>
  <c r="Y8" i="1" s="1"/>
  <c r="AC4" i="1"/>
  <c r="AC8" i="1" s="1"/>
  <c r="K35" i="1"/>
  <c r="G13" i="1"/>
  <c r="G18" i="1" s="1"/>
  <c r="AZ28" i="3"/>
  <c r="AZ30" i="3"/>
  <c r="AZ31" i="3" s="1"/>
  <c r="AI26" i="7"/>
  <c r="AI27" i="7" s="1"/>
  <c r="Y30" i="1"/>
  <c r="C43" i="1"/>
  <c r="Y27" i="1"/>
  <c r="G25" i="1"/>
  <c r="K3" i="1"/>
  <c r="K4" i="1" s="1"/>
  <c r="G20" i="1"/>
  <c r="U13" i="1" s="1"/>
  <c r="O36" i="1"/>
  <c r="G5" i="1"/>
  <c r="K8" i="1"/>
  <c r="K31" i="1" l="1"/>
  <c r="K32" i="1" s="1"/>
  <c r="M31" i="1"/>
  <c r="K33" i="1" s="1"/>
  <c r="K36" i="1"/>
  <c r="G47" i="1"/>
  <c r="Y28" i="1"/>
  <c r="G43" i="1" s="1"/>
  <c r="K10" i="1"/>
  <c r="Y10" i="1"/>
  <c r="O10" i="1"/>
  <c r="AC10" i="1"/>
  <c r="C14" i="1"/>
  <c r="G21" i="1" s="1"/>
  <c r="G14" i="1"/>
  <c r="Q6" i="1"/>
  <c r="Q8" i="1" s="1"/>
  <c r="O8" i="1"/>
  <c r="G44" i="1" l="1"/>
  <c r="G45" i="1" s="1"/>
  <c r="O35" i="1"/>
  <c r="G48" i="1" s="1"/>
  <c r="C56" i="1" s="1"/>
  <c r="C38" i="1"/>
  <c r="G58" i="1"/>
  <c r="G60" i="1" s="1"/>
  <c r="O47" i="1" l="1"/>
  <c r="S16" i="3"/>
  <c r="O51" i="1" l="1"/>
  <c r="O53" i="1"/>
  <c r="K43" i="1"/>
  <c r="G53" i="1"/>
  <c r="C57" i="1"/>
  <c r="K44" i="1"/>
  <c r="K50" i="1" l="1"/>
  <c r="M50" i="1" s="1"/>
  <c r="K46" i="1"/>
  <c r="D76" i="1"/>
  <c r="E61" i="1"/>
  <c r="E73" i="1"/>
  <c r="D67" i="1"/>
  <c r="E76" i="1"/>
  <c r="E65" i="1"/>
  <c r="D69" i="1"/>
  <c r="D70" i="1"/>
  <c r="E66" i="1"/>
  <c r="E67" i="1"/>
  <c r="D75" i="1"/>
  <c r="D71" i="1"/>
  <c r="E68" i="1"/>
  <c r="D74" i="1"/>
  <c r="D72" i="1"/>
  <c r="E69" i="1"/>
  <c r="D61" i="1"/>
  <c r="D73" i="1"/>
  <c r="E70" i="1"/>
  <c r="D62" i="1"/>
  <c r="D60" i="1"/>
  <c r="E71" i="1"/>
  <c r="D63" i="1"/>
  <c r="E72" i="1"/>
  <c r="D64" i="1"/>
  <c r="D65" i="1"/>
  <c r="E62" i="1"/>
  <c r="E74" i="1"/>
  <c r="D66" i="1"/>
  <c r="E63" i="1"/>
  <c r="E75" i="1"/>
  <c r="E64" i="1"/>
  <c r="D68" i="1"/>
  <c r="E60" i="1"/>
  <c r="G50" i="1"/>
  <c r="G52" i="1" s="1"/>
  <c r="K47" i="1" l="1"/>
  <c r="K48" i="1" l="1"/>
  <c r="U61" i="4"/>
  <c r="U63" i="4"/>
  <c r="Y64" i="4"/>
  <c r="Y61" i="4"/>
  <c r="U64" i="4"/>
  <c r="U62" i="4"/>
  <c r="Y63" i="4"/>
  <c r="X78" i="4" l="1"/>
  <c r="X73" i="4"/>
  <c r="W73" i="4"/>
  <c r="AH61" i="4"/>
  <c r="S72" i="4"/>
  <c r="AH64" i="4"/>
  <c r="AH63" i="4"/>
  <c r="AH62" i="4"/>
  <c r="AB64" i="4"/>
  <c r="AD64" i="4" s="1"/>
  <c r="AB63" i="4"/>
  <c r="AD63" i="4" s="1"/>
  <c r="AB62" i="4"/>
  <c r="AD62" i="4" s="1"/>
  <c r="AD61" i="4"/>
  <c r="Q65" i="4"/>
  <c r="X87" i="4" l="1"/>
  <c r="X79" i="4"/>
  <c r="T81" i="4"/>
  <c r="W78" i="4" l="1"/>
  <c r="W87" i="4" l="1"/>
  <c r="W79" i="4"/>
</calcChain>
</file>

<file path=xl/sharedStrings.xml><?xml version="1.0" encoding="utf-8"?>
<sst xmlns="http://schemas.openxmlformats.org/spreadsheetml/2006/main" count="3434" uniqueCount="685">
  <si>
    <t>Pier</t>
  </si>
  <si>
    <t>Gate</t>
  </si>
  <si>
    <t xml:space="preserve">hb </t>
  </si>
  <si>
    <t xml:space="preserve">ht </t>
  </si>
  <si>
    <t>h</t>
  </si>
  <si>
    <t>b</t>
  </si>
  <si>
    <t>∅</t>
  </si>
  <si>
    <t>t</t>
  </si>
  <si>
    <t>m NAP</t>
  </si>
  <si>
    <t>mm</t>
  </si>
  <si>
    <t>st</t>
  </si>
  <si>
    <t>s</t>
  </si>
  <si>
    <t>stuks</t>
  </si>
  <si>
    <t xml:space="preserve">S </t>
  </si>
  <si>
    <t>N/mm2</t>
  </si>
  <si>
    <t>hmain</t>
  </si>
  <si>
    <t xml:space="preserve">h </t>
  </si>
  <si>
    <t>found</t>
  </si>
  <si>
    <t>sill</t>
  </si>
  <si>
    <t>m</t>
  </si>
  <si>
    <t>L</t>
  </si>
  <si>
    <t>Bvoet</t>
  </si>
  <si>
    <t>Lvoet</t>
  </si>
  <si>
    <t>Tweb</t>
  </si>
  <si>
    <t>Tflange</t>
  </si>
  <si>
    <t xml:space="preserve">tw </t>
  </si>
  <si>
    <t xml:space="preserve">tfl </t>
  </si>
  <si>
    <t>ht</t>
  </si>
  <si>
    <t xml:space="preserve">nok </t>
  </si>
  <si>
    <t>Dorpel</t>
  </si>
  <si>
    <t>hb</t>
  </si>
  <si>
    <t>Bovenbalk</t>
  </si>
  <si>
    <t>ret.</t>
  </si>
  <si>
    <t>SSP2-4.5</t>
  </si>
  <si>
    <t>SSP5-8.5</t>
  </si>
  <si>
    <t>Koker</t>
  </si>
  <si>
    <t>mv</t>
  </si>
  <si>
    <t xml:space="preserve">Baseh </t>
  </si>
  <si>
    <t>Towerh</t>
  </si>
  <si>
    <t>Waves</t>
  </si>
  <si>
    <t>Design parameters</t>
  </si>
  <si>
    <t>Hs</t>
  </si>
  <si>
    <t>Depth</t>
  </si>
  <si>
    <t>Tm0</t>
  </si>
  <si>
    <t>U10</t>
  </si>
  <si>
    <t>m/s</t>
  </si>
  <si>
    <t>iterate</t>
  </si>
  <si>
    <t>k</t>
  </si>
  <si>
    <t>rad/m</t>
  </si>
  <si>
    <t>Hi</t>
  </si>
  <si>
    <t>Wlsea</t>
  </si>
  <si>
    <t>Wltidal</t>
  </si>
  <si>
    <t>kN/m2</t>
  </si>
  <si>
    <t>pmax</t>
  </si>
  <si>
    <t>Check gates</t>
  </si>
  <si>
    <t>Mu</t>
  </si>
  <si>
    <t>I</t>
  </si>
  <si>
    <t>kNm</t>
  </si>
  <si>
    <t>mm4</t>
  </si>
  <si>
    <t>σ</t>
  </si>
  <si>
    <t>U.C.</t>
  </si>
  <si>
    <t>-</t>
  </si>
  <si>
    <t>G</t>
  </si>
  <si>
    <t xml:space="preserve">kN </t>
  </si>
  <si>
    <t>Movement works</t>
  </si>
  <si>
    <t>kN</t>
  </si>
  <si>
    <t>rijbanen</t>
  </si>
  <si>
    <t>Gbase</t>
  </si>
  <si>
    <t>Gtower</t>
  </si>
  <si>
    <t>Gverkeer</t>
  </si>
  <si>
    <t>m2</t>
  </si>
  <si>
    <t>verkeer</t>
  </si>
  <si>
    <t>Gtot</t>
  </si>
  <si>
    <t>Gpijler</t>
  </si>
  <si>
    <t>Gdorpel</t>
  </si>
  <si>
    <t>Waterdruk</t>
  </si>
  <si>
    <t>Fpijler</t>
  </si>
  <si>
    <t>Fdorpel</t>
  </si>
  <si>
    <t>e1</t>
  </si>
  <si>
    <t>e2</t>
  </si>
  <si>
    <r>
      <rPr>
        <sz val="11"/>
        <color theme="1"/>
        <rFont val="GreekC"/>
      </rPr>
      <t>Σ</t>
    </r>
    <r>
      <rPr>
        <sz val="11"/>
        <color theme="1"/>
        <rFont val="Calibri"/>
        <family val="2"/>
      </rPr>
      <t>M</t>
    </r>
  </si>
  <si>
    <r>
      <rPr>
        <sz val="11"/>
        <color theme="1"/>
        <rFont val="GreekC"/>
      </rPr>
      <t>Σ</t>
    </r>
    <r>
      <rPr>
        <sz val="11"/>
        <color theme="1"/>
        <rFont val="Calibri"/>
        <family val="2"/>
      </rPr>
      <t>Mh</t>
    </r>
  </si>
  <si>
    <r>
      <rPr>
        <sz val="11"/>
        <color theme="1"/>
        <rFont val="GreekC"/>
      </rPr>
      <t>Σ</t>
    </r>
    <r>
      <rPr>
        <sz val="11"/>
        <color theme="1"/>
        <rFont val="Calibri"/>
        <family val="2"/>
      </rPr>
      <t>Mv</t>
    </r>
  </si>
  <si>
    <t xml:space="preserve">b </t>
  </si>
  <si>
    <t>Bovenbalk vleugel</t>
  </si>
  <si>
    <t>Koker vleugel</t>
  </si>
  <si>
    <t>∅sparing</t>
  </si>
  <si>
    <t>m w.r.t.</t>
  </si>
  <si>
    <t>tower left</t>
  </si>
  <si>
    <t>e</t>
  </si>
  <si>
    <t>negative = left from</t>
  </si>
  <si>
    <t>c.o.g.</t>
  </si>
  <si>
    <t>base</t>
  </si>
  <si>
    <t>etower</t>
  </si>
  <si>
    <t>eLbase ref</t>
  </si>
  <si>
    <t>btop</t>
  </si>
  <si>
    <t>nok</t>
  </si>
  <si>
    <t>ΣH</t>
  </si>
  <si>
    <t>ΣV</t>
  </si>
  <si>
    <t>Ballast internal</t>
  </si>
  <si>
    <t>Balast external</t>
  </si>
  <si>
    <t>Gnok</t>
  </si>
  <si>
    <t>Gschuin</t>
  </si>
  <si>
    <t>ΣH/ΣV</t>
  </si>
  <si>
    <t>σmax</t>
  </si>
  <si>
    <t>σmin</t>
  </si>
  <si>
    <t>Ground</t>
  </si>
  <si>
    <t>ѱ</t>
  </si>
  <si>
    <t>degrees</t>
  </si>
  <si>
    <t>σ'q</t>
  </si>
  <si>
    <t>Nq</t>
  </si>
  <si>
    <t>sq</t>
  </si>
  <si>
    <r>
      <rPr>
        <sz val="11"/>
        <color theme="1"/>
        <rFont val="GreekC"/>
      </rPr>
      <t>γ</t>
    </r>
    <r>
      <rPr>
        <sz val="11"/>
        <color theme="1"/>
        <rFont val="Calibri"/>
        <family val="2"/>
        <scheme val="minor"/>
      </rPr>
      <t>'</t>
    </r>
  </si>
  <si>
    <t>Nγ</t>
  </si>
  <si>
    <t>iq</t>
  </si>
  <si>
    <t>sγ</t>
  </si>
  <si>
    <t>iγ</t>
  </si>
  <si>
    <r>
      <rPr>
        <sz val="11"/>
        <color theme="1"/>
        <rFont val="GreekC"/>
      </rPr>
      <t>∆</t>
    </r>
    <r>
      <rPr>
        <sz val="11"/>
        <color theme="1"/>
        <rFont val="Calibri"/>
        <family val="2"/>
        <scheme val="minor"/>
      </rPr>
      <t>H</t>
    </r>
  </si>
  <si>
    <t>passive</t>
  </si>
  <si>
    <t>ΣV/(b*l)</t>
  </si>
  <si>
    <t>Hamerstuk</t>
  </si>
  <si>
    <r>
      <rPr>
        <sz val="11"/>
        <color theme="1"/>
        <rFont val="GreekC"/>
      </rPr>
      <t>Σ</t>
    </r>
    <r>
      <rPr>
        <sz val="11"/>
        <color theme="1"/>
        <rFont val="Calibri"/>
        <family val="2"/>
      </rPr>
      <t>M/(1/6*l^2*b)</t>
    </r>
  </si>
  <si>
    <t>crude</t>
  </si>
  <si>
    <t>1. Flotation stage</t>
  </si>
  <si>
    <t>Settlements</t>
  </si>
  <si>
    <t>Horizontal</t>
  </si>
  <si>
    <t>Bearing capacity</t>
  </si>
  <si>
    <t>Costs</t>
  </si>
  <si>
    <r>
      <rPr>
        <sz val="11"/>
        <color theme="1"/>
        <rFont val="GreekC"/>
      </rPr>
      <t>e</t>
    </r>
    <r>
      <rPr>
        <sz val="11"/>
        <color theme="1"/>
        <rFont val="Calibri"/>
        <family val="2"/>
        <scheme val="minor"/>
      </rPr>
      <t>p</t>
    </r>
  </si>
  <si>
    <t>∆h</t>
  </si>
  <si>
    <t>x</t>
  </si>
  <si>
    <t>Plot</t>
  </si>
  <si>
    <t>y</t>
  </si>
  <si>
    <t>∆σ</t>
  </si>
  <si>
    <t>ΣFv</t>
  </si>
  <si>
    <t>ΣFop</t>
  </si>
  <si>
    <t>draught</t>
  </si>
  <si>
    <t>bodem</t>
  </si>
  <si>
    <t>Σftot</t>
  </si>
  <si>
    <t>Flow</t>
  </si>
  <si>
    <t>u</t>
  </si>
  <si>
    <t>A</t>
  </si>
  <si>
    <t>Wind</t>
  </si>
  <si>
    <t>cscD</t>
  </si>
  <si>
    <t>cf</t>
  </si>
  <si>
    <t>qp</t>
  </si>
  <si>
    <t>Aref</t>
  </si>
  <si>
    <t>Loads gate Goda</t>
  </si>
  <si>
    <t>F</t>
  </si>
  <si>
    <t>kN/m</t>
  </si>
  <si>
    <t>Loads piers Goda</t>
  </si>
  <si>
    <t>H</t>
  </si>
  <si>
    <t>M</t>
  </si>
  <si>
    <t>Fhy1</t>
  </si>
  <si>
    <t>Fhy2</t>
  </si>
  <si>
    <t>Vertical stability hydrostatic</t>
  </si>
  <si>
    <t>p at TL WL</t>
  </si>
  <si>
    <t>Stone</t>
  </si>
  <si>
    <t>q</t>
  </si>
  <si>
    <t>m3/m/s</t>
  </si>
  <si>
    <t>g</t>
  </si>
  <si>
    <t>Concrete</t>
  </si>
  <si>
    <t>favourable</t>
  </si>
  <si>
    <t>u10</t>
  </si>
  <si>
    <t>f</t>
  </si>
  <si>
    <t>R=50</t>
  </si>
  <si>
    <t>Fw;d</t>
  </si>
  <si>
    <t>cfr</t>
  </si>
  <si>
    <t>Ffr;d</t>
  </si>
  <si>
    <t>Afr</t>
  </si>
  <si>
    <t>CL</t>
  </si>
  <si>
    <t>Plates</t>
  </si>
  <si>
    <t xml:space="preserve">FL </t>
  </si>
  <si>
    <t>downwards</t>
  </si>
  <si>
    <t>Loads</t>
  </si>
  <si>
    <t>Skin plate</t>
  </si>
  <si>
    <t>UC</t>
  </si>
  <si>
    <t>tf</t>
  </si>
  <si>
    <t>ts</t>
  </si>
  <si>
    <t>bs</t>
  </si>
  <si>
    <t>Gz</t>
  </si>
  <si>
    <t>wrt bottom</t>
  </si>
  <si>
    <t>Ixx</t>
  </si>
  <si>
    <t>σt</t>
  </si>
  <si>
    <t>σb</t>
  </si>
  <si>
    <t>Uct</t>
  </si>
  <si>
    <t>Ucb</t>
  </si>
  <si>
    <t>bf</t>
  </si>
  <si>
    <t>Matrixframe</t>
  </si>
  <si>
    <t>PNA</t>
  </si>
  <si>
    <t>Fyf</t>
  </si>
  <si>
    <t>Fys</t>
  </si>
  <si>
    <t>Elastic</t>
  </si>
  <si>
    <t>wrt top</t>
  </si>
  <si>
    <t>1s class</t>
  </si>
  <si>
    <t>2s class</t>
  </si>
  <si>
    <t>3s class</t>
  </si>
  <si>
    <t>1f class</t>
  </si>
  <si>
    <t>2f class</t>
  </si>
  <si>
    <t>3f class</t>
  </si>
  <si>
    <t>Mpl</t>
  </si>
  <si>
    <t>Plastic</t>
  </si>
  <si>
    <t>comp. F</t>
  </si>
  <si>
    <t>Shear</t>
  </si>
  <si>
    <t>Bending</t>
  </si>
  <si>
    <t>V</t>
  </si>
  <si>
    <t>Ved</t>
  </si>
  <si>
    <t>Vb,Rd</t>
  </si>
  <si>
    <t>inf. On bending</t>
  </si>
  <si>
    <t>shear buckling</t>
  </si>
  <si>
    <t xml:space="preserve">hs/ts &lt; 72 * e /  η </t>
  </si>
  <si>
    <t>ρ</t>
  </si>
  <si>
    <t>fyw</t>
  </si>
  <si>
    <t>a</t>
  </si>
  <si>
    <r>
      <rPr>
        <sz val="11"/>
        <color theme="1"/>
        <rFont val="GreekC"/>
      </rPr>
      <t>β</t>
    </r>
    <r>
      <rPr>
        <sz val="11"/>
        <color theme="1"/>
        <rFont val="Calibri"/>
        <family val="2"/>
      </rPr>
      <t>w</t>
    </r>
  </si>
  <si>
    <r>
      <rPr>
        <sz val="11"/>
        <color theme="1"/>
        <rFont val="GreekC"/>
      </rPr>
      <t>γ</t>
    </r>
    <r>
      <rPr>
        <sz val="11"/>
        <color theme="1"/>
        <rFont val="Calibri"/>
        <family val="2"/>
      </rPr>
      <t>M2</t>
    </r>
  </si>
  <si>
    <t>Fu</t>
  </si>
  <si>
    <t>a&gt;</t>
  </si>
  <si>
    <t>Golfklap</t>
  </si>
  <si>
    <t>T-stub stiffener</t>
  </si>
  <si>
    <t>Fz</t>
  </si>
  <si>
    <t>Med</t>
  </si>
  <si>
    <t>kNm/m1</t>
  </si>
  <si>
    <t>kN/m1</t>
  </si>
  <si>
    <t>leff</t>
  </si>
  <si>
    <t>τ</t>
  </si>
  <si>
    <t>matrixframe</t>
  </si>
  <si>
    <t>UC1</t>
  </si>
  <si>
    <t>UC2</t>
  </si>
  <si>
    <t>Fy</t>
  </si>
  <si>
    <t xml:space="preserve">a </t>
  </si>
  <si>
    <t>hoh</t>
  </si>
  <si>
    <t>Ged</t>
  </si>
  <si>
    <t>τ//</t>
  </si>
  <si>
    <t>N/mm2/m1</t>
  </si>
  <si>
    <r>
      <t>τ//</t>
    </r>
    <r>
      <rPr>
        <sz val="11"/>
        <color theme="1"/>
        <rFont val="Calibri"/>
        <family val="2"/>
        <scheme val="minor"/>
      </rPr>
      <t>G</t>
    </r>
  </si>
  <si>
    <t>FEd Golf</t>
  </si>
  <si>
    <t>MEd</t>
  </si>
  <si>
    <t>Pos.</t>
  </si>
  <si>
    <t>Verval</t>
  </si>
  <si>
    <t>at</t>
  </si>
  <si>
    <t>Neg.</t>
  </si>
  <si>
    <t>Deflection</t>
  </si>
  <si>
    <t>w</t>
  </si>
  <si>
    <t>&lt;1/200L</t>
  </si>
  <si>
    <t>UC &lt; 0.50</t>
  </si>
  <si>
    <t>Mxneg</t>
  </si>
  <si>
    <t>Torsion</t>
  </si>
  <si>
    <t>Von mises</t>
  </si>
  <si>
    <r>
      <rPr>
        <sz val="11"/>
        <color theme="1"/>
        <rFont val="GreekC"/>
      </rPr>
      <t>σ</t>
    </r>
    <r>
      <rPr>
        <sz val="11"/>
        <color theme="1"/>
        <rFont val="Calibri"/>
        <family val="2"/>
      </rPr>
      <t>vgl</t>
    </r>
  </si>
  <si>
    <t>It</t>
  </si>
  <si>
    <t>mm6</t>
  </si>
  <si>
    <t>Iw</t>
  </si>
  <si>
    <t>α</t>
  </si>
  <si>
    <t>E</t>
  </si>
  <si>
    <t>L/α</t>
  </si>
  <si>
    <t>&gt;15</t>
  </si>
  <si>
    <t>Ted</t>
  </si>
  <si>
    <t>Vpl,T,Rd</t>
  </si>
  <si>
    <r>
      <rPr>
        <sz val="11"/>
        <color theme="1"/>
        <rFont val="GreekC"/>
      </rPr>
      <t>τ</t>
    </r>
    <r>
      <rPr>
        <sz val="11"/>
        <color theme="1"/>
        <rFont val="Calibri"/>
        <family val="2"/>
        <scheme val="minor"/>
      </rPr>
      <t>Tweb</t>
    </r>
  </si>
  <si>
    <r>
      <rPr>
        <sz val="11"/>
        <color theme="1"/>
        <rFont val="GreekC"/>
      </rPr>
      <t>τ</t>
    </r>
    <r>
      <rPr>
        <sz val="11"/>
        <color theme="1"/>
        <rFont val="Calibri"/>
        <family val="2"/>
        <scheme val="minor"/>
      </rPr>
      <t>Tflange</t>
    </r>
  </si>
  <si>
    <t>we'll neglect warping torsion anyway</t>
  </si>
  <si>
    <t>Ned</t>
  </si>
  <si>
    <t>mm3</t>
  </si>
  <si>
    <t>Horizontal CHS</t>
  </si>
  <si>
    <t>Sa</t>
  </si>
  <si>
    <t>τEd</t>
  </si>
  <si>
    <r>
      <t>τ</t>
    </r>
    <r>
      <rPr>
        <sz val="11"/>
        <color theme="1"/>
        <rFont val="Calibri"/>
        <family val="2"/>
        <scheme val="minor"/>
      </rPr>
      <t>Ed</t>
    </r>
  </si>
  <si>
    <r>
      <t>τ</t>
    </r>
    <r>
      <rPr>
        <sz val="11"/>
        <color theme="1"/>
        <rFont val="Calibri"/>
        <family val="2"/>
        <scheme val="minor"/>
      </rPr>
      <t>Rd</t>
    </r>
  </si>
  <si>
    <t>Cross-section class</t>
  </si>
  <si>
    <t>class 1</t>
  </si>
  <si>
    <t>class 2</t>
  </si>
  <si>
    <t>class 3</t>
  </si>
  <si>
    <t>Normal force</t>
  </si>
  <si>
    <t>NRd</t>
  </si>
  <si>
    <t>neg. Matrixframe</t>
  </si>
  <si>
    <t>Buckling</t>
  </si>
  <si>
    <t>lbuc</t>
  </si>
  <si>
    <t>Ncr</t>
  </si>
  <si>
    <t>N</t>
  </si>
  <si>
    <t>λ</t>
  </si>
  <si>
    <t>Φ</t>
  </si>
  <si>
    <t>χ</t>
  </si>
  <si>
    <t>NbRd</t>
  </si>
  <si>
    <t>Stump connectors</t>
  </si>
  <si>
    <t>Ved|G</t>
  </si>
  <si>
    <t>d/t</t>
  </si>
  <si>
    <t>Welds</t>
  </si>
  <si>
    <t>β</t>
  </si>
  <si>
    <t>leff,cf</t>
  </si>
  <si>
    <t>kcf</t>
  </si>
  <si>
    <t>leff,cw</t>
  </si>
  <si>
    <t>leff,cw1</t>
  </si>
  <si>
    <t>leff,cw2</t>
  </si>
  <si>
    <t>&lt; 2.5*t0</t>
  </si>
  <si>
    <t>&lt; h0/2</t>
  </si>
  <si>
    <t>beff,cw</t>
  </si>
  <si>
    <t>kcw</t>
  </si>
  <si>
    <t>ksh</t>
  </si>
  <si>
    <t>Sj,ini</t>
  </si>
  <si>
    <t>Nmm</t>
  </si>
  <si>
    <t>pinned</t>
  </si>
  <si>
    <t>rigid</t>
  </si>
  <si>
    <t>Joint classification to vert. CHS</t>
  </si>
  <si>
    <t>Joint classification to hor. CHS</t>
  </si>
  <si>
    <t>Cf</t>
  </si>
  <si>
    <t>n0</t>
  </si>
  <si>
    <t>Med at Ned</t>
  </si>
  <si>
    <t>C1</t>
  </si>
  <si>
    <t>Qf</t>
  </si>
  <si>
    <t>γ</t>
  </si>
  <si>
    <r>
      <t>γ</t>
    </r>
    <r>
      <rPr>
        <sz val="11"/>
        <color theme="1"/>
        <rFont val="Calibri"/>
        <family val="2"/>
        <scheme val="minor"/>
      </rPr>
      <t>M5</t>
    </r>
  </si>
  <si>
    <t>Chord (face) failure</t>
  </si>
  <si>
    <t>N1Rd</t>
  </si>
  <si>
    <t>Chord punching shear</t>
  </si>
  <si>
    <t>N2Rd</t>
  </si>
  <si>
    <r>
      <t>β</t>
    </r>
    <r>
      <rPr>
        <sz val="11"/>
        <color theme="1"/>
        <rFont val="Calibri"/>
        <family val="2"/>
        <scheme val="minor"/>
      </rPr>
      <t>L,w</t>
    </r>
  </si>
  <si>
    <t>Stuks</t>
  </si>
  <si>
    <t>Max V</t>
  </si>
  <si>
    <t>Max N</t>
  </si>
  <si>
    <t>Max M</t>
  </si>
  <si>
    <t>fy</t>
  </si>
  <si>
    <t>Lift shaft</t>
  </si>
  <si>
    <t>Gmove</t>
  </si>
  <si>
    <t>Gstem</t>
  </si>
  <si>
    <t>Ggate</t>
  </si>
  <si>
    <t>xG</t>
  </si>
  <si>
    <t>CHS</t>
  </si>
  <si>
    <t>Gx</t>
  </si>
  <si>
    <t>kg</t>
  </si>
  <si>
    <t>droog</t>
  </si>
  <si>
    <t>nat</t>
  </si>
  <si>
    <t>Ixxtot</t>
  </si>
  <si>
    <t>Xdiff</t>
  </si>
  <si>
    <r>
      <rPr>
        <sz val="11"/>
        <color theme="1"/>
        <rFont val="GreekC"/>
      </rPr>
      <t>w</t>
    </r>
    <r>
      <rPr>
        <sz val="10.25"/>
        <color theme="1"/>
        <rFont val="Calibri"/>
        <family val="2"/>
      </rPr>
      <t>n</t>
    </r>
  </si>
  <si>
    <t>rad/s</t>
  </si>
  <si>
    <t>Natural frequency</t>
  </si>
  <si>
    <t>Weight</t>
  </si>
  <si>
    <t>Gravity center</t>
  </si>
  <si>
    <t>Total moment of intertia</t>
  </si>
  <si>
    <t>&lt;1/200*L</t>
  </si>
  <si>
    <t>no safety factor used!</t>
  </si>
  <si>
    <t>Total cross-section calculations</t>
  </si>
  <si>
    <t>bw of I-tower</t>
  </si>
  <si>
    <t>&lt;1</t>
  </si>
  <si>
    <t>Samengesteld profiel</t>
  </si>
  <si>
    <t>mm2</t>
  </si>
  <si>
    <t>m w.r.t. left</t>
  </si>
  <si>
    <t xml:space="preserve">mm </t>
  </si>
  <si>
    <t>xt</t>
  </si>
  <si>
    <t>xb</t>
  </si>
  <si>
    <t>hc</t>
  </si>
  <si>
    <t>hi</t>
  </si>
  <si>
    <t>bi1</t>
  </si>
  <si>
    <t>bc1</t>
  </si>
  <si>
    <t>b2</t>
  </si>
  <si>
    <t>bi3</t>
  </si>
  <si>
    <t>bc3</t>
  </si>
  <si>
    <t>Gxi</t>
  </si>
  <si>
    <t>Gzi</t>
  </si>
  <si>
    <t>Gxc</t>
  </si>
  <si>
    <t>Gzc</t>
  </si>
  <si>
    <t>Ai</t>
  </si>
  <si>
    <t>Ac</t>
  </si>
  <si>
    <t>Ixxi</t>
  </si>
  <si>
    <t>Ixxc</t>
  </si>
  <si>
    <t>Izzi</t>
  </si>
  <si>
    <t>Izzc</t>
  </si>
  <si>
    <t>xti</t>
  </si>
  <si>
    <t>xtc</t>
  </si>
  <si>
    <t>xbi</t>
  </si>
  <si>
    <t>xbc</t>
  </si>
  <si>
    <t>wrt right</t>
  </si>
  <si>
    <t>right</t>
  </si>
  <si>
    <t>left</t>
  </si>
  <si>
    <t>zti</t>
  </si>
  <si>
    <t>ztc</t>
  </si>
  <si>
    <t>zbi</t>
  </si>
  <si>
    <t>zbc</t>
  </si>
  <si>
    <t>top</t>
  </si>
  <si>
    <t>bottom</t>
  </si>
  <si>
    <t>Oplegging</t>
  </si>
  <si>
    <t>bi</t>
  </si>
  <si>
    <t>F1</t>
  </si>
  <si>
    <t>ex1</t>
  </si>
  <si>
    <t>ez1</t>
  </si>
  <si>
    <t>F2</t>
  </si>
  <si>
    <t>ez2</t>
  </si>
  <si>
    <t>F3</t>
  </si>
  <si>
    <t>ez3</t>
  </si>
  <si>
    <t>F4</t>
  </si>
  <si>
    <t>ez4</t>
  </si>
  <si>
    <t>F5</t>
  </si>
  <si>
    <t>ex5</t>
  </si>
  <si>
    <t>F6</t>
  </si>
  <si>
    <t>ex6</t>
  </si>
  <si>
    <t>F7</t>
  </si>
  <si>
    <t>ex7</t>
  </si>
  <si>
    <t>F8</t>
  </si>
  <si>
    <t>ex8</t>
  </si>
  <si>
    <t>Forces initial pos</t>
  </si>
  <si>
    <t>Vedx</t>
  </si>
  <si>
    <t>Vedz</t>
  </si>
  <si>
    <t>Medx</t>
  </si>
  <si>
    <t>Medz</t>
  </si>
  <si>
    <t>TRd,c</t>
  </si>
  <si>
    <t>qedx</t>
  </si>
  <si>
    <t>qedz</t>
  </si>
  <si>
    <t>σxt</t>
  </si>
  <si>
    <t>σxb</t>
  </si>
  <si>
    <t>σzt</t>
  </si>
  <si>
    <t>σzb</t>
  </si>
  <si>
    <t>Initial</t>
  </si>
  <si>
    <t>Climate</t>
  </si>
  <si>
    <t>Forces climate pos</t>
  </si>
  <si>
    <t>Neg golfklap initial</t>
  </si>
  <si>
    <t>Pre-tension</t>
  </si>
  <si>
    <t>epx</t>
  </si>
  <si>
    <t>epz</t>
  </si>
  <si>
    <t>∆epx</t>
  </si>
  <si>
    <t>45 kN/m2 geheel</t>
  </si>
  <si>
    <r>
      <t>Pm</t>
    </r>
    <r>
      <rPr>
        <sz val="11"/>
        <color theme="1"/>
        <rFont val="Calibri"/>
        <family val="2"/>
      </rPr>
      <t>∞x</t>
    </r>
    <r>
      <rPr>
        <sz val="11"/>
        <color theme="1"/>
        <rFont val="Calibri"/>
        <family val="2"/>
        <scheme val="minor"/>
      </rPr>
      <t xml:space="preserve"> &gt;</t>
    </r>
  </si>
  <si>
    <r>
      <t>Pm</t>
    </r>
    <r>
      <rPr>
        <sz val="11"/>
        <color theme="1"/>
        <rFont val="Calibri"/>
        <family val="2"/>
      </rPr>
      <t>∞z</t>
    </r>
    <r>
      <rPr>
        <sz val="11"/>
        <color theme="1"/>
        <rFont val="Calibri"/>
        <family val="2"/>
        <scheme val="minor"/>
      </rPr>
      <t xml:space="preserve"> &gt;</t>
    </r>
  </si>
  <si>
    <r>
      <t>Pm</t>
    </r>
    <r>
      <rPr>
        <sz val="11"/>
        <color theme="1"/>
        <rFont val="Calibri"/>
        <family val="2"/>
      </rPr>
      <t>∞z</t>
    </r>
    <r>
      <rPr>
        <sz val="11"/>
        <color theme="1"/>
        <rFont val="Calibri"/>
        <family val="2"/>
        <scheme val="minor"/>
      </rPr>
      <t xml:space="preserve"> &lt;</t>
    </r>
  </si>
  <si>
    <t>∆epz</t>
  </si>
  <si>
    <r>
      <t>Pm</t>
    </r>
    <r>
      <rPr>
        <sz val="11"/>
        <color theme="1"/>
        <rFont val="Calibri"/>
        <family val="2"/>
      </rPr>
      <t>∞x</t>
    </r>
    <r>
      <rPr>
        <sz val="11"/>
        <color theme="1"/>
        <rFont val="Calibri"/>
        <family val="2"/>
        <scheme val="minor"/>
      </rPr>
      <t xml:space="preserve"> &lt;</t>
    </r>
  </si>
  <si>
    <t>Neg golfklap climate</t>
  </si>
  <si>
    <t>Material</t>
  </si>
  <si>
    <t>fck</t>
  </si>
  <si>
    <t>fcd</t>
  </si>
  <si>
    <t>fctm</t>
  </si>
  <si>
    <t>fctd</t>
  </si>
  <si>
    <t>Pm∞x &gt;</t>
  </si>
  <si>
    <r>
      <t>Pm</t>
    </r>
    <r>
      <rPr>
        <sz val="11"/>
        <color theme="1"/>
        <rFont val="Calibri"/>
        <family val="2"/>
      </rPr>
      <t>∞</t>
    </r>
  </si>
  <si>
    <t>Applied</t>
  </si>
  <si>
    <t>θ</t>
  </si>
  <si>
    <t>strands</t>
  </si>
  <si>
    <t xml:space="preserve">st </t>
  </si>
  <si>
    <t xml:space="preserve">Ap </t>
  </si>
  <si>
    <t>Steel</t>
  </si>
  <si>
    <t>Y1860</t>
  </si>
  <si>
    <t>d</t>
  </si>
  <si>
    <t>ρl</t>
  </si>
  <si>
    <t>σcp</t>
  </si>
  <si>
    <t>k1</t>
  </si>
  <si>
    <t>Vmin</t>
  </si>
  <si>
    <t>Vrd,c</t>
  </si>
  <si>
    <t>Torsion &amp; shear</t>
  </si>
  <si>
    <t>fpk</t>
  </si>
  <si>
    <t>fp01k</t>
  </si>
  <si>
    <t>Ecm</t>
  </si>
  <si>
    <t>Ep</t>
  </si>
  <si>
    <t>Losses</t>
  </si>
  <si>
    <t>friction</t>
  </si>
  <si>
    <t>∆σp</t>
  </si>
  <si>
    <t>Kruip, krimp en relaxatie</t>
  </si>
  <si>
    <t>σ0max</t>
  </si>
  <si>
    <t>∆σc+s+r</t>
  </si>
  <si>
    <r>
      <rPr>
        <sz val="11"/>
        <color theme="1"/>
        <rFont val="GreekC"/>
      </rPr>
      <t>e</t>
    </r>
    <r>
      <rPr>
        <sz val="11"/>
        <color theme="1"/>
        <rFont val="Calibri"/>
        <family val="2"/>
      </rPr>
      <t>cs</t>
    </r>
  </si>
  <si>
    <r>
      <rPr>
        <sz val="11"/>
        <color theme="1"/>
        <rFont val="GreekC"/>
      </rPr>
      <t>f</t>
    </r>
    <r>
      <rPr>
        <sz val="11"/>
        <color theme="1"/>
        <rFont val="Calibri"/>
        <family val="2"/>
      </rPr>
      <t xml:space="preserve"> (t,t0)</t>
    </r>
  </si>
  <si>
    <t>zcp</t>
  </si>
  <si>
    <t>Check</t>
  </si>
  <si>
    <t>Pmi</t>
  </si>
  <si>
    <t>Pm0</t>
  </si>
  <si>
    <t>Pm∞</t>
  </si>
  <si>
    <t>σm∞</t>
  </si>
  <si>
    <t>Wedge set</t>
  </si>
  <si>
    <t>lset</t>
  </si>
  <si>
    <t>∆w</t>
  </si>
  <si>
    <t>σpset</t>
  </si>
  <si>
    <t>σpanchor</t>
  </si>
  <si>
    <t>σm0|x=L/2</t>
  </si>
  <si>
    <t>σi</t>
  </si>
  <si>
    <t>t=∞</t>
  </si>
  <si>
    <t>t=0</t>
  </si>
  <si>
    <t>θl</t>
  </si>
  <si>
    <t>Shear at support</t>
  </si>
  <si>
    <t>Shear at weakest part</t>
  </si>
  <si>
    <t>Fpanchor</t>
  </si>
  <si>
    <t>bic</t>
  </si>
  <si>
    <t>zt</t>
  </si>
  <si>
    <t>zb</t>
  </si>
  <si>
    <t>z</t>
  </si>
  <si>
    <t>N/mm2 t∞</t>
  </si>
  <si>
    <t>nvt</t>
  </si>
  <si>
    <t>wx</t>
  </si>
  <si>
    <t>&lt;1/200 L</t>
  </si>
  <si>
    <t>wy</t>
  </si>
  <si>
    <t>Force flow</t>
  </si>
  <si>
    <t>FD</t>
  </si>
  <si>
    <t>CD</t>
  </si>
  <si>
    <t>Lift</t>
  </si>
  <si>
    <t>Drag</t>
  </si>
  <si>
    <t>hm</t>
  </si>
  <si>
    <t>b1</t>
  </si>
  <si>
    <t>b3</t>
  </si>
  <si>
    <t>Izz</t>
  </si>
  <si>
    <t>Forces pos</t>
  </si>
  <si>
    <t>F9</t>
  </si>
  <si>
    <t>ex9</t>
  </si>
  <si>
    <t>F10</t>
  </si>
  <si>
    <t>ex10</t>
  </si>
  <si>
    <t>F11</t>
  </si>
  <si>
    <t>ex11</t>
  </si>
  <si>
    <t>F12</t>
  </si>
  <si>
    <t>ex12</t>
  </si>
  <si>
    <t>F13</t>
  </si>
  <si>
    <t>ex13</t>
  </si>
  <si>
    <t>F14</t>
  </si>
  <si>
    <t>ex14</t>
  </si>
  <si>
    <t>ez5</t>
  </si>
  <si>
    <t>ez6</t>
  </si>
  <si>
    <t>ez7</t>
  </si>
  <si>
    <t>G1</t>
  </si>
  <si>
    <t>G2</t>
  </si>
  <si>
    <t>G3</t>
  </si>
  <si>
    <t>G4</t>
  </si>
  <si>
    <t>e1x</t>
  </si>
  <si>
    <t>e2x</t>
  </si>
  <si>
    <t>e3x</t>
  </si>
  <si>
    <t>e4x</t>
  </si>
  <si>
    <t>c</t>
  </si>
  <si>
    <t>%/100</t>
  </si>
  <si>
    <t>Ahollow1,2</t>
  </si>
  <si>
    <t>Ahollow3,4</t>
  </si>
  <si>
    <r>
      <t xml:space="preserve">fill </t>
    </r>
    <r>
      <rPr>
        <sz val="11"/>
        <color theme="1"/>
        <rFont val="GreekC"/>
      </rPr>
      <t>%</t>
    </r>
    <r>
      <rPr>
        <sz val="11"/>
        <color theme="1"/>
        <rFont val="Calibri"/>
        <family val="2"/>
        <scheme val="minor"/>
      </rPr>
      <t>1,2</t>
    </r>
  </si>
  <si>
    <r>
      <t xml:space="preserve">fill </t>
    </r>
    <r>
      <rPr>
        <sz val="11"/>
        <color theme="1"/>
        <rFont val="GreekC"/>
      </rPr>
      <t>%3,4</t>
    </r>
  </si>
  <si>
    <r>
      <rPr>
        <sz val="11"/>
        <color theme="1"/>
        <rFont val="GreekC"/>
      </rPr>
      <t>g</t>
    </r>
    <r>
      <rPr>
        <sz val="11"/>
        <color theme="1"/>
        <rFont val="Calibri"/>
        <family val="2"/>
      </rPr>
      <t>' ballast</t>
    </r>
  </si>
  <si>
    <t>kN/m3</t>
  </si>
  <si>
    <t>h1</t>
  </si>
  <si>
    <t>h2</t>
  </si>
  <si>
    <t>Sx</t>
  </si>
  <si>
    <t>Sz</t>
  </si>
  <si>
    <t>teff</t>
  </si>
  <si>
    <t>teffc</t>
  </si>
  <si>
    <t>teffi</t>
  </si>
  <si>
    <t>Forces stability during construction</t>
  </si>
  <si>
    <t>hd</t>
  </si>
  <si>
    <r>
      <t>S</t>
    </r>
    <r>
      <rPr>
        <sz val="11"/>
        <color theme="1"/>
        <rFont val="Calibri"/>
        <family val="2"/>
        <scheme val="minor"/>
      </rPr>
      <t>V</t>
    </r>
  </si>
  <si>
    <t>Gw</t>
  </si>
  <si>
    <t>C30/37.5</t>
  </si>
  <si>
    <t>C35/45</t>
  </si>
  <si>
    <t>Ak</t>
  </si>
  <si>
    <t>Pijlervoet</t>
  </si>
  <si>
    <t>tussenw</t>
  </si>
  <si>
    <t>tk</t>
  </si>
  <si>
    <t>tt</t>
  </si>
  <si>
    <t>tr</t>
  </si>
  <si>
    <t>m3</t>
  </si>
  <si>
    <t>tk2</t>
  </si>
  <si>
    <t>B1</t>
  </si>
  <si>
    <t>B2</t>
  </si>
  <si>
    <t>Ab</t>
  </si>
  <si>
    <t>Gb</t>
  </si>
  <si>
    <t>Dsn</t>
  </si>
  <si>
    <t>m4</t>
  </si>
  <si>
    <t>General forces</t>
  </si>
  <si>
    <t>1/s</t>
  </si>
  <si>
    <t>C40/50</t>
  </si>
  <si>
    <t>p</t>
  </si>
  <si>
    <t>Aeff</t>
  </si>
  <si>
    <t>bs2</t>
  </si>
  <si>
    <r>
      <rPr>
        <sz val="11"/>
        <color theme="1"/>
        <rFont val="GreekC"/>
      </rPr>
      <t>λ</t>
    </r>
    <r>
      <rPr>
        <sz val="9.35"/>
        <color theme="1"/>
        <rFont val="Calibri"/>
        <family val="2"/>
      </rPr>
      <t>w</t>
    </r>
  </si>
  <si>
    <t>Vel,Rd</t>
  </si>
  <si>
    <t>Vw,Rd</t>
  </si>
  <si>
    <t>ktsl</t>
  </si>
  <si>
    <r>
      <rPr>
        <sz val="11"/>
        <color theme="1"/>
        <rFont val="GreekC"/>
      </rPr>
      <t>χ</t>
    </r>
    <r>
      <rPr>
        <sz val="9.35"/>
        <color theme="1"/>
        <rFont val="Calibri"/>
        <family val="2"/>
      </rPr>
      <t>w</t>
    </r>
  </si>
  <si>
    <t>Mf,Rd</t>
  </si>
  <si>
    <t>Vbf,Rd</t>
  </si>
  <si>
    <t>15et</t>
  </si>
  <si>
    <t>Meff,Rk,xt</t>
  </si>
  <si>
    <t>Meff,Rk,xb</t>
  </si>
  <si>
    <t>μ</t>
  </si>
  <si>
    <t>UCt</t>
  </si>
  <si>
    <t>Bending and shear</t>
  </si>
  <si>
    <t>Isl</t>
  </si>
  <si>
    <t>kt</t>
  </si>
  <si>
    <t>Weff,xt</t>
  </si>
  <si>
    <t>Weff,xb</t>
  </si>
  <si>
    <t>l</t>
  </si>
  <si>
    <t>hweff</t>
  </si>
  <si>
    <t>Wpl</t>
  </si>
  <si>
    <t>Av</t>
  </si>
  <si>
    <t>tw</t>
  </si>
  <si>
    <t>r</t>
  </si>
  <si>
    <t>HEB</t>
  </si>
  <si>
    <t>WATCH OUT HERE</t>
  </si>
  <si>
    <t>Welds to HEB</t>
  </si>
  <si>
    <t>Ship</t>
  </si>
  <si>
    <t>N1,Rd</t>
  </si>
  <si>
    <t>N1,rd</t>
  </si>
  <si>
    <t>HEB 240</t>
  </si>
  <si>
    <t>Plate</t>
  </si>
  <si>
    <t>Stiffener web</t>
  </si>
  <si>
    <t>flange</t>
  </si>
  <si>
    <t>mw</t>
  </si>
  <si>
    <t>Added mass</t>
  </si>
  <si>
    <t>H1</t>
  </si>
  <si>
    <t>H2</t>
  </si>
  <si>
    <t>H3</t>
  </si>
  <si>
    <t>H4</t>
  </si>
  <si>
    <t>H5</t>
  </si>
  <si>
    <t>V1</t>
  </si>
  <si>
    <t>H6</t>
  </si>
  <si>
    <t>V2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</si>
  <si>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</si>
  <si>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</si>
  <si>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</si>
  <si>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</si>
  <si>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</si>
  <si>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</si>
  <si>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</si>
  <si>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</si>
  <si>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</si>
  <si>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</si>
  <si>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</si>
  <si>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</si>
  <si>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</si>
  <si>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</si>
  <si>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</si>
  <si>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</si>
  <si>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</si>
  <si>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</si>
  <si>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</si>
  <si>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</si>
  <si>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</si>
  <si>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</si>
  <si>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</si>
  <si>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</si>
  <si>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</si>
  <si>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</si>
  <si>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</si>
  <si>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</si>
  <si>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</si>
  <si>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</si>
  <si>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</si>
  <si>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</si>
  <si>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max -10</t>
  </si>
  <si>
    <t>Load combination A</t>
  </si>
  <si>
    <t>Verkeer</t>
  </si>
  <si>
    <t>Toren incl</t>
  </si>
  <si>
    <t>Vleugel 1</t>
  </si>
  <si>
    <t>Vleugel 2</t>
  </si>
  <si>
    <t>Voet</t>
  </si>
  <si>
    <t>V25</t>
  </si>
  <si>
    <t>V26</t>
  </si>
  <si>
    <t>V27</t>
  </si>
  <si>
    <t>V28</t>
  </si>
  <si>
    <t>V29</t>
  </si>
  <si>
    <t>V30</t>
  </si>
  <si>
    <t>SH</t>
  </si>
  <si>
    <t>SV</t>
  </si>
  <si>
    <t>Water</t>
  </si>
  <si>
    <t>Wave</t>
  </si>
  <si>
    <t>Soil</t>
  </si>
  <si>
    <t>Characteristic</t>
  </si>
  <si>
    <t>Horizontal stability</t>
  </si>
  <si>
    <t>SM</t>
  </si>
  <si>
    <t>γHor</t>
  </si>
  <si>
    <t>γbear</t>
  </si>
  <si>
    <t>γsett</t>
  </si>
  <si>
    <t>γrot</t>
  </si>
  <si>
    <r>
      <t>σ</t>
    </r>
    <r>
      <rPr>
        <sz val="11"/>
        <color theme="1"/>
        <rFont val="Calibri"/>
        <family val="2"/>
        <scheme val="minor"/>
      </rPr>
      <t>max</t>
    </r>
  </si>
  <si>
    <t>wmax</t>
  </si>
  <si>
    <t>Rotational stability</t>
  </si>
  <si>
    <t>B</t>
  </si>
  <si>
    <t>H17</t>
  </si>
  <si>
    <t>Load combination H</t>
  </si>
  <si>
    <t>Load combination B</t>
  </si>
  <si>
    <t>γupl</t>
  </si>
  <si>
    <t>Uplift</t>
  </si>
  <si>
    <t>During construction</t>
  </si>
  <si>
    <t>During construction SSP5-8.5 reference period 2050, R=100000</t>
  </si>
  <si>
    <t>Load combination during construction</t>
  </si>
  <si>
    <t>Toren excl</t>
  </si>
  <si>
    <t>R=100000 2050 SSP5-8.5</t>
  </si>
  <si>
    <t>Lowest LAT</t>
  </si>
  <si>
    <t>LAT 2050 SSP2-4.5</t>
  </si>
  <si>
    <t>Load Comb A</t>
  </si>
  <si>
    <t>Load Comb B</t>
  </si>
  <si>
    <t>Load Comb H</t>
  </si>
  <si>
    <t>Ted,A</t>
  </si>
  <si>
    <t>Ted,B</t>
  </si>
  <si>
    <t>Wx</t>
  </si>
  <si>
    <r>
      <t>σ</t>
    </r>
    <r>
      <rPr>
        <sz val="11"/>
        <color theme="1"/>
        <rFont val="Calibri"/>
        <family val="2"/>
        <scheme val="minor"/>
      </rPr>
      <t>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</si>
</sst>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0000"/>
    <numFmt numFmtId="165" formatCode="0.0000"/>
    <numFmt numFmtId="166" formatCode="0.000"/>
    <numFmt numFmtId="167" formatCode="0.0"/>
    <numFmt numFmtId="168" formatCode="0E+00"/>
    <numFmt numFmtId="169" formatCode="#.##"/>
    <numFmt numFmtId="170" formatCode="0.0E+00"/>
    <numFmt numFmtId="171" formatCode="0.00000"/>
    <numFmt numFmtId="172" formatCode="#.###"/>
    <numFmt numFmtId="173" formatCode="0.000E+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reekC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0.25"/>
      <color theme="1"/>
      <name val="Calibri"/>
      <family val="2"/>
    </font>
    <font>
      <sz val="8"/>
      <color rgb="FF6F6F6F"/>
      <name val="Open Sans"/>
      <family val="2"/>
    </font>
    <font>
      <sz val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.35"/>
      <color theme="1"/>
      <name val="Calibri"/>
      <family val="2"/>
    </font>
    <font>
      <sz val="11"/>
      <color rgb="FF222222"/>
      <name val="Calibri"/>
      <family val="2"/>
      <scheme val="minor"/>
    </font>
    <font>
      <b/>
      <sz val="11"/>
      <color theme="1"/>
      <name val="GreekC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CCCCCC"/>
      </left>
      <right style="dotted">
        <color rgb="FFCCCCCC"/>
      </right>
      <top style="dotted">
        <color rgb="FFCCCCCC"/>
      </top>
      <bottom style="dotted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164" fontId="0" fillId="0" borderId="0" xfId="0" applyNumberFormat="1"/>
    <xf numFmtId="166" fontId="0" fillId="2" borderId="0" xfId="0" applyNumberFormat="1" applyFill="1"/>
    <xf numFmtId="1" fontId="0" fillId="0" borderId="0" xfId="0" applyNumberFormat="1"/>
    <xf numFmtId="1" fontId="0" fillId="2" borderId="0" xfId="0" applyNumberFormat="1" applyFill="1"/>
    <xf numFmtId="167" fontId="0" fillId="2" borderId="0" xfId="0" applyNumberFormat="1" applyFill="1"/>
    <xf numFmtId="2" fontId="0" fillId="2" borderId="0" xfId="0" applyNumberFormat="1" applyFill="1"/>
    <xf numFmtId="165" fontId="0" fillId="2" borderId="0" xfId="0" applyNumberFormat="1" applyFill="1"/>
    <xf numFmtId="0" fontId="0" fillId="0" borderId="1" xfId="0" applyBorder="1" applyAlignment="1">
      <alignment horizontal="right"/>
    </xf>
    <xf numFmtId="0" fontId="3" fillId="0" borderId="0" xfId="0" applyFont="1"/>
    <xf numFmtId="0" fontId="0" fillId="0" borderId="5" xfId="0" applyBorder="1"/>
    <xf numFmtId="0" fontId="0" fillId="0" borderId="0" xfId="0" applyAlignment="1">
      <alignment horizontal="center"/>
    </xf>
    <xf numFmtId="2" fontId="0" fillId="2" borderId="1" xfId="0" applyNumberFormat="1" applyFill="1" applyBorder="1"/>
    <xf numFmtId="0" fontId="1" fillId="0" borderId="4" xfId="0" applyFont="1" applyBorder="1"/>
    <xf numFmtId="0" fontId="0" fillId="2" borderId="2" xfId="0" applyFill="1" applyBorder="1"/>
    <xf numFmtId="0" fontId="0" fillId="3" borderId="0" xfId="0" applyFill="1"/>
    <xf numFmtId="0" fontId="0" fillId="2" borderId="0" xfId="0" applyFill="1" applyAlignment="1">
      <alignment horizontal="right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" fontId="0" fillId="2" borderId="0" xfId="0" applyNumberFormat="1" applyFill="1" applyAlignment="1">
      <alignment horizontal="right"/>
    </xf>
    <xf numFmtId="2" fontId="0" fillId="0" borderId="0" xfId="0" applyNumberFormat="1"/>
    <xf numFmtId="167" fontId="0" fillId="0" borderId="0" xfId="0" applyNumberFormat="1"/>
    <xf numFmtId="2" fontId="0" fillId="2" borderId="0" xfId="0" applyNumberForma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1" fontId="0" fillId="2" borderId="0" xfId="0" applyNumberFormat="1" applyFill="1"/>
    <xf numFmtId="168" fontId="0" fillId="2" borderId="0" xfId="0" applyNumberFormat="1" applyFill="1"/>
    <xf numFmtId="169" fontId="0" fillId="0" borderId="0" xfId="0" applyNumberFormat="1"/>
    <xf numFmtId="0" fontId="6" fillId="4" borderId="6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170" fontId="0" fillId="0" borderId="0" xfId="0" applyNumberFormat="1"/>
    <xf numFmtId="171" fontId="0" fillId="2" borderId="0" xfId="0" applyNumberFormat="1" applyFill="1"/>
    <xf numFmtId="0" fontId="0" fillId="0" borderId="7" xfId="0" applyBorder="1"/>
    <xf numFmtId="2" fontId="0" fillId="2" borderId="8" xfId="0" applyNumberFormat="1" applyFill="1" applyBorder="1"/>
    <xf numFmtId="0" fontId="0" fillId="0" borderId="8" xfId="0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2" fontId="0" fillId="2" borderId="13" xfId="0" applyNumberFormat="1" applyFill="1" applyBorder="1"/>
    <xf numFmtId="0" fontId="0" fillId="0" borderId="13" xfId="0" applyBorder="1" applyAlignment="1">
      <alignment horizontal="right"/>
    </xf>
    <xf numFmtId="0" fontId="0" fillId="0" borderId="14" xfId="0" applyBorder="1"/>
    <xf numFmtId="1" fontId="0" fillId="2" borderId="8" xfId="0" applyNumberFormat="1" applyFill="1" applyBorder="1"/>
    <xf numFmtId="0" fontId="0" fillId="0" borderId="9" xfId="0" applyBorder="1" applyAlignment="1">
      <alignment horizontal="right"/>
    </xf>
    <xf numFmtId="0" fontId="0" fillId="0" borderId="11" xfId="0" applyBorder="1" applyAlignment="1">
      <alignment horizontal="right"/>
    </xf>
    <xf numFmtId="1" fontId="0" fillId="2" borderId="13" xfId="0" applyNumberFormat="1" applyFill="1" applyBorder="1"/>
    <xf numFmtId="0" fontId="0" fillId="0" borderId="14" xfId="0" applyBorder="1" applyAlignment="1">
      <alignment horizontal="right"/>
    </xf>
    <xf numFmtId="11" fontId="0" fillId="2" borderId="0" xfId="0" applyNumberFormat="1" applyFill="1" applyAlignment="1">
      <alignment horizontal="right"/>
    </xf>
    <xf numFmtId="0" fontId="1" fillId="0" borderId="2" xfId="0" applyFont="1" applyBorder="1"/>
    <xf numFmtId="0" fontId="8" fillId="0" borderId="0" xfId="0" applyFont="1"/>
    <xf numFmtId="172" fontId="0" fillId="0" borderId="0" xfId="0" applyNumberFormat="1"/>
    <xf numFmtId="164" fontId="0" fillId="2" borderId="0" xfId="0" applyNumberFormat="1" applyFill="1"/>
    <xf numFmtId="0" fontId="10" fillId="0" borderId="0" xfId="0" applyFont="1"/>
    <xf numFmtId="0" fontId="1" fillId="0" borderId="7" xfId="0" applyFont="1" applyBorder="1"/>
    <xf numFmtId="0" fontId="0" fillId="0" borderId="8" xfId="0" applyBorder="1"/>
    <xf numFmtId="0" fontId="1" fillId="0" borderId="8" xfId="0" applyFont="1" applyBorder="1" applyAlignment="1">
      <alignment horizontal="left"/>
    </xf>
    <xf numFmtId="0" fontId="0" fillId="0" borderId="13" xfId="0" applyBorder="1"/>
    <xf numFmtId="1" fontId="0" fillId="0" borderId="13" xfId="0" applyNumberFormat="1" applyBorder="1"/>
    <xf numFmtId="0" fontId="11" fillId="0" borderId="0" xfId="0" applyFont="1"/>
    <xf numFmtId="0" fontId="1" fillId="0" borderId="8" xfId="0" applyFont="1" applyBorder="1"/>
    <xf numFmtId="0" fontId="11" fillId="0" borderId="13" xfId="0" applyFont="1" applyBorder="1"/>
    <xf numFmtId="0" fontId="12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2" fontId="0" fillId="0" borderId="13" xfId="0" applyNumberFormat="1" applyBorder="1"/>
    <xf numFmtId="173" fontId="0" fillId="2" borderId="0" xfId="0" applyNumberFormat="1" applyFill="1"/>
    <xf numFmtId="173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4B362-F011-4926-B622-EFF4CBDD76F6}">
  <dimension ref="A2:AI77"/>
  <sheetViews>
    <sheetView zoomScale="70" zoomScaleNormal="70" workbookViewId="0">
      <selection activeCell="C6" sqref="C6"/>
    </sheetView>
  </sheetViews>
  <sheetFormatPr defaultRowHeight="15" x14ac:dyDescent="0.25"/>
  <cols>
    <col min="3" max="3" width="18.140625" bestFit="1" customWidth="1"/>
    <col min="5" max="5" width="8.85546875" style="5"/>
    <col min="7" max="7" width="16.140625" bestFit="1" customWidth="1"/>
    <col min="9" max="9" width="12" style="5" bestFit="1" customWidth="1"/>
    <col min="11" max="11" width="16.140625" bestFit="1" customWidth="1"/>
    <col min="13" max="13" width="8.85546875" style="5"/>
    <col min="14" max="14" width="10.140625" customWidth="1"/>
    <col min="15" max="15" width="9.5703125" bestFit="1" customWidth="1"/>
    <col min="19" max="19" width="8.85546875" style="5"/>
    <col min="23" max="23" width="8.85546875" style="5"/>
    <col min="27" max="27" width="8.85546875" style="5"/>
    <col min="29" max="29" width="9.5703125" bestFit="1" customWidth="1"/>
    <col min="31" max="31" width="8.85546875" style="5"/>
    <col min="35" max="35" width="8.85546875" style="5"/>
  </cols>
  <sheetData>
    <row r="2" spans="2:34" x14ac:dyDescent="0.25">
      <c r="B2" s="1" t="s">
        <v>1</v>
      </c>
      <c r="F2" s="1" t="s">
        <v>0</v>
      </c>
      <c r="J2" s="1" t="s">
        <v>29</v>
      </c>
      <c r="N2" s="1" t="s">
        <v>31</v>
      </c>
      <c r="O2" t="s">
        <v>33</v>
      </c>
      <c r="Q2" t="s">
        <v>34</v>
      </c>
      <c r="T2" s="1" t="s">
        <v>35</v>
      </c>
      <c r="V2" s="3"/>
      <c r="X2" s="1" t="s">
        <v>84</v>
      </c>
      <c r="AB2" s="1" t="s">
        <v>85</v>
      </c>
      <c r="AF2" s="1" t="s">
        <v>120</v>
      </c>
    </row>
    <row r="3" spans="2:34" x14ac:dyDescent="0.25">
      <c r="B3" t="s">
        <v>2</v>
      </c>
      <c r="C3">
        <v>-6</v>
      </c>
      <c r="D3" s="3" t="s">
        <v>8</v>
      </c>
      <c r="F3" t="s">
        <v>17</v>
      </c>
      <c r="G3">
        <v>-12</v>
      </c>
      <c r="H3" s="3" t="s">
        <v>8</v>
      </c>
      <c r="J3" t="s">
        <v>27</v>
      </c>
      <c r="K3" s="7">
        <f>G6</f>
        <v>-6</v>
      </c>
      <c r="L3" s="3" t="s">
        <v>8</v>
      </c>
      <c r="N3" t="s">
        <v>32</v>
      </c>
      <c r="O3">
        <v>8.75</v>
      </c>
      <c r="P3" s="3" t="s">
        <v>8</v>
      </c>
      <c r="Q3" s="3">
        <v>10.5</v>
      </c>
      <c r="R3" s="3"/>
      <c r="T3" t="s">
        <v>66</v>
      </c>
      <c r="U3">
        <v>2</v>
      </c>
      <c r="V3" s="3" t="s">
        <v>10</v>
      </c>
      <c r="X3" t="s">
        <v>5</v>
      </c>
      <c r="Y3" s="7">
        <v>4</v>
      </c>
      <c r="Z3" s="3" t="s">
        <v>19</v>
      </c>
      <c r="AB3" t="s">
        <v>5</v>
      </c>
      <c r="AC3" s="7">
        <f>U3/2*8</f>
        <v>8</v>
      </c>
      <c r="AD3" s="3" t="s">
        <v>19</v>
      </c>
      <c r="AF3" t="s">
        <v>62</v>
      </c>
      <c r="AG3" s="7">
        <f>G35/1000*2500</f>
        <v>3343.75</v>
      </c>
      <c r="AH3" s="3" t="s">
        <v>65</v>
      </c>
    </row>
    <row r="4" spans="2:34" x14ac:dyDescent="0.25">
      <c r="B4" t="s">
        <v>3</v>
      </c>
      <c r="C4">
        <v>3</v>
      </c>
      <c r="D4" s="3" t="s">
        <v>8</v>
      </c>
      <c r="F4" t="s">
        <v>27</v>
      </c>
      <c r="G4" s="7">
        <f>C6+C5</f>
        <v>14.3</v>
      </c>
      <c r="H4" s="3" t="s">
        <v>8</v>
      </c>
      <c r="J4" t="s">
        <v>30</v>
      </c>
      <c r="K4" s="7">
        <f>K3-K7</f>
        <v>-14</v>
      </c>
      <c r="L4" s="3" t="s">
        <v>8</v>
      </c>
      <c r="N4" t="s">
        <v>30</v>
      </c>
      <c r="O4">
        <v>3</v>
      </c>
      <c r="P4" s="3" t="s">
        <v>8</v>
      </c>
      <c r="Q4">
        <v>3</v>
      </c>
      <c r="R4" s="3"/>
      <c r="T4" t="s">
        <v>20</v>
      </c>
      <c r="U4" s="7">
        <f>O6</f>
        <v>46.5</v>
      </c>
      <c r="V4" s="3" t="s">
        <v>19</v>
      </c>
      <c r="X4" t="s">
        <v>4</v>
      </c>
      <c r="Y4" s="7">
        <f>-G6+O4</f>
        <v>9</v>
      </c>
      <c r="Z4" s="3" t="s">
        <v>19</v>
      </c>
      <c r="AB4" t="s">
        <v>4</v>
      </c>
      <c r="AC4" s="13">
        <f>-G6+U7</f>
        <v>19.575358589062049</v>
      </c>
      <c r="AD4" s="3" t="s">
        <v>19</v>
      </c>
    </row>
    <row r="5" spans="2:34" x14ac:dyDescent="0.25">
      <c r="B5" t="s">
        <v>16</v>
      </c>
      <c r="C5" s="7">
        <f>C4-C3</f>
        <v>9</v>
      </c>
      <c r="D5" s="3" t="s">
        <v>19</v>
      </c>
      <c r="F5" t="s">
        <v>16</v>
      </c>
      <c r="G5" s="7">
        <f>G4-G3</f>
        <v>26.3</v>
      </c>
      <c r="H5" s="3" t="s">
        <v>19</v>
      </c>
      <c r="J5" t="s">
        <v>20</v>
      </c>
      <c r="K5" s="7">
        <f>C12+G11</f>
        <v>46.5</v>
      </c>
      <c r="L5" s="3" t="s">
        <v>19</v>
      </c>
      <c r="N5" t="s">
        <v>30</v>
      </c>
      <c r="O5" s="7">
        <f>O3-O4</f>
        <v>5.75</v>
      </c>
      <c r="P5" s="3" t="s">
        <v>19</v>
      </c>
      <c r="Q5" s="7">
        <f>Q3-Q4</f>
        <v>7.5</v>
      </c>
      <c r="R5" s="3"/>
      <c r="T5" t="s">
        <v>70</v>
      </c>
      <c r="U5" s="7">
        <f>(10.7+U3*3.5)*U4</f>
        <v>823.05</v>
      </c>
      <c r="V5" s="3" t="s">
        <v>70</v>
      </c>
      <c r="X5" t="s">
        <v>7</v>
      </c>
      <c r="Y5">
        <v>5.5</v>
      </c>
      <c r="Z5" s="3" t="s">
        <v>19</v>
      </c>
      <c r="AB5" t="s">
        <v>7</v>
      </c>
      <c r="AC5" s="7">
        <f>Y5</f>
        <v>5.5</v>
      </c>
      <c r="AD5" s="3" t="s">
        <v>19</v>
      </c>
    </row>
    <row r="6" spans="2:34" x14ac:dyDescent="0.25">
      <c r="B6" t="s">
        <v>15</v>
      </c>
      <c r="C6">
        <v>5.3</v>
      </c>
      <c r="D6" s="3" t="s">
        <v>8</v>
      </c>
      <c r="F6" t="s">
        <v>18</v>
      </c>
      <c r="G6" s="7">
        <f>C3</f>
        <v>-6</v>
      </c>
      <c r="H6" s="3" t="s">
        <v>8</v>
      </c>
      <c r="L6" s="3"/>
      <c r="N6" t="s">
        <v>20</v>
      </c>
      <c r="O6" s="7">
        <f>K5</f>
        <v>46.5</v>
      </c>
      <c r="P6" s="3" t="s">
        <v>19</v>
      </c>
      <c r="Q6" s="7">
        <f>O6</f>
        <v>46.5</v>
      </c>
      <c r="R6" s="3"/>
      <c r="T6" t="s">
        <v>158</v>
      </c>
      <c r="U6">
        <v>0.01</v>
      </c>
      <c r="V6" s="3" t="s">
        <v>159</v>
      </c>
      <c r="X6" t="s">
        <v>86</v>
      </c>
      <c r="Y6">
        <v>1.5</v>
      </c>
      <c r="Z6" s="3" t="s">
        <v>19</v>
      </c>
      <c r="AD6" s="3"/>
    </row>
    <row r="7" spans="2:34" x14ac:dyDescent="0.25">
      <c r="B7" t="s">
        <v>5</v>
      </c>
      <c r="C7">
        <v>4</v>
      </c>
      <c r="D7" s="3" t="s">
        <v>8</v>
      </c>
      <c r="F7" t="s">
        <v>21</v>
      </c>
      <c r="G7">
        <v>25</v>
      </c>
      <c r="H7" s="3" t="s">
        <v>19</v>
      </c>
      <c r="J7" t="s">
        <v>4</v>
      </c>
      <c r="K7">
        <v>8</v>
      </c>
      <c r="L7" s="3" t="s">
        <v>19</v>
      </c>
      <c r="N7" t="s">
        <v>83</v>
      </c>
      <c r="O7">
        <v>8</v>
      </c>
      <c r="P7" s="3" t="s">
        <v>19</v>
      </c>
      <c r="Q7">
        <v>12</v>
      </c>
      <c r="T7" t="s">
        <v>30</v>
      </c>
      <c r="U7" s="13">
        <f>-1/3*3.17*LN(U6/(0.13*SQRT(9.81*3.17^3)))+7.83</f>
        <v>13.575358589062049</v>
      </c>
      <c r="V7" s="3" t="s">
        <v>8</v>
      </c>
      <c r="Z7" s="3"/>
      <c r="AD7" s="3"/>
    </row>
    <row r="8" spans="2:34" ht="18" x14ac:dyDescent="0.4">
      <c r="B8" s="2" t="s">
        <v>6</v>
      </c>
      <c r="C8">
        <v>1800</v>
      </c>
      <c r="D8" s="3" t="s">
        <v>9</v>
      </c>
      <c r="F8" t="s">
        <v>22</v>
      </c>
      <c r="G8">
        <v>50</v>
      </c>
      <c r="H8" s="3" t="s">
        <v>19</v>
      </c>
      <c r="J8" t="s">
        <v>62</v>
      </c>
      <c r="K8" s="7">
        <f>(K7*K5/(8*46))^2*25000</f>
        <v>25546.431947069948</v>
      </c>
      <c r="L8" s="3" t="s">
        <v>65</v>
      </c>
      <c r="N8" t="s">
        <v>62</v>
      </c>
      <c r="O8" s="11">
        <f>($O$5*O6*O7/(4.8*46*6))*12000</f>
        <v>19375</v>
      </c>
      <c r="P8" s="3" t="s">
        <v>65</v>
      </c>
      <c r="Q8" s="11">
        <f>($O$5*Q6*Q7/(4.8*46*6))*12000</f>
        <v>29062.5</v>
      </c>
      <c r="T8" t="s">
        <v>62</v>
      </c>
      <c r="U8" s="7">
        <f>$U$5/814.2*12000</f>
        <v>12130.434782608694</v>
      </c>
      <c r="V8" s="3" t="s">
        <v>65</v>
      </c>
      <c r="X8" t="s">
        <v>62</v>
      </c>
      <c r="Y8" s="11">
        <f>(Y3*Y4*Y5-1/4*PI()*Y6^2*Y4)*25</f>
        <v>4552.3921797800422</v>
      </c>
      <c r="Z8" s="3" t="s">
        <v>65</v>
      </c>
      <c r="AB8" t="s">
        <v>62</v>
      </c>
      <c r="AC8" s="11">
        <f>AC3*AC4*AC5*25</f>
        <v>21532.894447968254</v>
      </c>
      <c r="AD8" s="3" t="s">
        <v>65</v>
      </c>
    </row>
    <row r="9" spans="2:34" x14ac:dyDescent="0.25">
      <c r="B9" t="s">
        <v>7</v>
      </c>
      <c r="C9">
        <v>60</v>
      </c>
      <c r="D9" s="3" t="s">
        <v>9</v>
      </c>
      <c r="F9" t="s">
        <v>23</v>
      </c>
      <c r="G9" s="5">
        <v>6.5</v>
      </c>
      <c r="H9" s="3" t="s">
        <v>19</v>
      </c>
      <c r="J9" t="s">
        <v>95</v>
      </c>
      <c r="K9">
        <v>5</v>
      </c>
      <c r="L9" s="3" t="s">
        <v>19</v>
      </c>
      <c r="N9" t="s">
        <v>96</v>
      </c>
      <c r="O9" s="7">
        <f>G12</f>
        <v>2</v>
      </c>
      <c r="P9" s="3" t="s">
        <v>19</v>
      </c>
      <c r="T9" t="s">
        <v>71</v>
      </c>
      <c r="U9">
        <v>10</v>
      </c>
      <c r="V9" s="3" t="s">
        <v>52</v>
      </c>
    </row>
    <row r="10" spans="2:34" x14ac:dyDescent="0.25">
      <c r="B10" t="s">
        <v>12</v>
      </c>
      <c r="C10">
        <v>6</v>
      </c>
      <c r="D10" s="3" t="s">
        <v>12</v>
      </c>
      <c r="F10" t="s">
        <v>25</v>
      </c>
      <c r="G10">
        <v>2</v>
      </c>
      <c r="H10" s="3" t="s">
        <v>19</v>
      </c>
      <c r="J10" t="s">
        <v>89</v>
      </c>
      <c r="K10" s="7">
        <f>G12+G9+K9/2-G20</f>
        <v>-0.25</v>
      </c>
      <c r="L10" s="3" t="s">
        <v>19</v>
      </c>
      <c r="N10" t="s">
        <v>89</v>
      </c>
      <c r="O10" s="7">
        <f>$G$9+2*$G$12+($Y$3/2)-$G$20</f>
        <v>1.25</v>
      </c>
      <c r="P10" s="3" t="s">
        <v>19</v>
      </c>
      <c r="T10" t="s">
        <v>69</v>
      </c>
      <c r="U10" s="7">
        <f>U5*U9</f>
        <v>8230.5</v>
      </c>
      <c r="V10" s="3" t="s">
        <v>65</v>
      </c>
      <c r="X10" t="s">
        <v>89</v>
      </c>
      <c r="Y10" s="7">
        <f>$G$9+2*$G$12+($Y$3/2)-$G$20</f>
        <v>1.25</v>
      </c>
      <c r="Z10" s="3" t="s">
        <v>19</v>
      </c>
      <c r="AB10" t="s">
        <v>89</v>
      </c>
      <c r="AC10" s="7">
        <f>$G$9+2*$G$12+$Y$3+($AC$3/2)-$G$20</f>
        <v>7.25</v>
      </c>
      <c r="AD10" s="18" t="s">
        <v>19</v>
      </c>
    </row>
    <row r="11" spans="2:34" x14ac:dyDescent="0.25">
      <c r="B11" t="s">
        <v>13</v>
      </c>
      <c r="C11">
        <v>355</v>
      </c>
      <c r="D11" s="3" t="s">
        <v>14</v>
      </c>
      <c r="F11" t="s">
        <v>24</v>
      </c>
      <c r="G11">
        <v>6.5</v>
      </c>
      <c r="H11" s="3" t="s">
        <v>19</v>
      </c>
      <c r="L11" s="3"/>
      <c r="T11" t="s">
        <v>72</v>
      </c>
      <c r="U11" s="7">
        <f>U8+U10</f>
        <v>20360.934782608696</v>
      </c>
      <c r="V11" s="3" t="s">
        <v>65</v>
      </c>
    </row>
    <row r="12" spans="2:34" x14ac:dyDescent="0.25">
      <c r="B12" t="s">
        <v>20</v>
      </c>
      <c r="C12">
        <v>40</v>
      </c>
      <c r="D12" s="3" t="s">
        <v>19</v>
      </c>
      <c r="F12" t="s">
        <v>26</v>
      </c>
      <c r="G12">
        <v>2</v>
      </c>
      <c r="H12" s="3" t="s">
        <v>19</v>
      </c>
      <c r="L12" s="3"/>
    </row>
    <row r="13" spans="2:34" x14ac:dyDescent="0.25">
      <c r="F13" t="s">
        <v>38</v>
      </c>
      <c r="G13" s="7">
        <f>G4-G6</f>
        <v>20.3</v>
      </c>
      <c r="H13" s="3" t="s">
        <v>19</v>
      </c>
      <c r="L13" s="3"/>
      <c r="T13" t="s">
        <v>89</v>
      </c>
      <c r="U13" s="7">
        <f>$G$9+2*$G$12+$Y$3+($AC$3/2)-$G$20</f>
        <v>7.25</v>
      </c>
      <c r="V13" s="18" t="s">
        <v>19</v>
      </c>
    </row>
    <row r="14" spans="2:34" x14ac:dyDescent="0.25">
      <c r="B14" t="s">
        <v>89</v>
      </c>
      <c r="C14" s="7">
        <f>((G9+2*G12)/2)-G20</f>
        <v>-6</v>
      </c>
      <c r="D14" s="3" t="s">
        <v>19</v>
      </c>
      <c r="F14" t="s">
        <v>37</v>
      </c>
      <c r="G14">
        <f>G5-G13</f>
        <v>6</v>
      </c>
      <c r="H14" s="3" t="s">
        <v>19</v>
      </c>
    </row>
    <row r="15" spans="2:34" x14ac:dyDescent="0.25">
      <c r="F15" t="s">
        <v>28</v>
      </c>
      <c r="G15">
        <v>2.5</v>
      </c>
      <c r="H15" s="3" t="s">
        <v>19</v>
      </c>
    </row>
    <row r="16" spans="2:34" x14ac:dyDescent="0.25">
      <c r="F16" t="s">
        <v>36</v>
      </c>
      <c r="G16">
        <v>-7</v>
      </c>
      <c r="H16" s="3" t="s">
        <v>8</v>
      </c>
    </row>
    <row r="17" spans="2:35" x14ac:dyDescent="0.25">
      <c r="B17" t="s">
        <v>62</v>
      </c>
      <c r="C17" s="11">
        <f>10700</f>
        <v>10700</v>
      </c>
      <c r="D17" s="3" t="s">
        <v>63</v>
      </c>
      <c r="F17" t="s">
        <v>67</v>
      </c>
      <c r="G17" s="11">
        <f>(G7*G8*(-G3+C3)/20000)^2*162000</f>
        <v>22781.25</v>
      </c>
      <c r="H17" s="3" t="s">
        <v>65</v>
      </c>
    </row>
    <row r="18" spans="2:35" x14ac:dyDescent="0.25">
      <c r="F18" t="s">
        <v>68</v>
      </c>
      <c r="G18" s="11">
        <f>(G9*G10+2*G11*G12)*G13*25</f>
        <v>19792.5</v>
      </c>
      <c r="H18" s="3" t="s">
        <v>65</v>
      </c>
      <c r="N18" s="17"/>
    </row>
    <row r="19" spans="2:35" x14ac:dyDescent="0.25">
      <c r="B19" s="1" t="s">
        <v>127</v>
      </c>
      <c r="E19"/>
      <c r="F19" s="17"/>
      <c r="H19" s="3"/>
      <c r="I19"/>
      <c r="J19" s="17"/>
      <c r="M19"/>
      <c r="N19" s="17"/>
      <c r="S19"/>
      <c r="T19" s="17"/>
      <c r="W19"/>
      <c r="X19" s="17"/>
      <c r="AA19"/>
      <c r="AB19" s="17"/>
    </row>
    <row r="20" spans="2:35" x14ac:dyDescent="0.25">
      <c r="F20" s="17" t="s">
        <v>94</v>
      </c>
      <c r="G20" s="7">
        <f>(G9+2*G12+Y3+AC3)/2</f>
        <v>11.25</v>
      </c>
      <c r="H20" s="3" t="s">
        <v>87</v>
      </c>
      <c r="I20" s="5" t="s">
        <v>88</v>
      </c>
    </row>
    <row r="21" spans="2:35" x14ac:dyDescent="0.25">
      <c r="F21" s="17" t="s">
        <v>93</v>
      </c>
      <c r="G21" s="7">
        <f>C14</f>
        <v>-6</v>
      </c>
      <c r="H21" s="3" t="s">
        <v>19</v>
      </c>
    </row>
    <row r="22" spans="2:35" x14ac:dyDescent="0.25">
      <c r="G22" t="s">
        <v>90</v>
      </c>
      <c r="H22" s="3" t="s">
        <v>91</v>
      </c>
      <c r="I22" s="5" t="s">
        <v>92</v>
      </c>
    </row>
    <row r="23" spans="2:35" s="4" customFormat="1" x14ac:dyDescent="0.25">
      <c r="E23" s="6"/>
      <c r="H23" s="15"/>
      <c r="I23" s="6"/>
      <c r="M23" s="6"/>
      <c r="S23" s="6"/>
      <c r="W23" s="6"/>
      <c r="AA23" s="6"/>
      <c r="AE23" s="6"/>
      <c r="AI23" s="6"/>
    </row>
    <row r="24" spans="2:35" x14ac:dyDescent="0.25">
      <c r="B24" s="1" t="s">
        <v>40</v>
      </c>
      <c r="F24" s="1" t="s">
        <v>39</v>
      </c>
      <c r="H24" s="3"/>
      <c r="J24" s="1" t="s">
        <v>142</v>
      </c>
      <c r="K24" t="s">
        <v>165</v>
      </c>
      <c r="N24" s="1" t="s">
        <v>139</v>
      </c>
      <c r="O24" s="1" t="s">
        <v>491</v>
      </c>
      <c r="Q24" s="1" t="s">
        <v>492</v>
      </c>
      <c r="T24" s="1" t="s">
        <v>147</v>
      </c>
      <c r="X24" s="1" t="s">
        <v>150</v>
      </c>
    </row>
    <row r="25" spans="2:35" ht="18" x14ac:dyDescent="0.4">
      <c r="B25" t="s">
        <v>50</v>
      </c>
      <c r="C25">
        <v>9.9700000000000006</v>
      </c>
      <c r="D25" s="3" t="s">
        <v>8</v>
      </c>
      <c r="F25" t="s">
        <v>20</v>
      </c>
      <c r="G25" s="12">
        <f>9.81*$C$28^2/(2*PI())*TANH(2*PI()/$G$26*$C$26)</f>
        <v>102.36388891251889</v>
      </c>
      <c r="H25" s="3" t="s">
        <v>46</v>
      </c>
      <c r="J25" t="s">
        <v>143</v>
      </c>
      <c r="K25">
        <v>1</v>
      </c>
      <c r="L25" s="3" t="s">
        <v>61</v>
      </c>
      <c r="N25" s="2" t="s">
        <v>19</v>
      </c>
      <c r="O25">
        <v>0.7</v>
      </c>
      <c r="P25" s="3" t="s">
        <v>61</v>
      </c>
      <c r="T25" t="s">
        <v>148</v>
      </c>
      <c r="U25" s="22">
        <f>739.3</f>
        <v>739.3</v>
      </c>
      <c r="V25" s="3" t="s">
        <v>149</v>
      </c>
      <c r="X25" t="s">
        <v>148</v>
      </c>
      <c r="Y25" s="22">
        <f>739.3</f>
        <v>739.3</v>
      </c>
      <c r="Z25" s="3" t="s">
        <v>149</v>
      </c>
    </row>
    <row r="26" spans="2:35" x14ac:dyDescent="0.25">
      <c r="B26" t="s">
        <v>42</v>
      </c>
      <c r="C26" s="7">
        <f>C25-G16</f>
        <v>16.97</v>
      </c>
      <c r="D26" s="3" t="s">
        <v>19</v>
      </c>
      <c r="F26" t="s">
        <v>20</v>
      </c>
      <c r="G26">
        <v>102.5</v>
      </c>
      <c r="H26" s="3" t="s">
        <v>19</v>
      </c>
      <c r="J26" t="s">
        <v>144</v>
      </c>
      <c r="K26">
        <v>1.1100000000000001</v>
      </c>
      <c r="L26" s="3" t="s">
        <v>167</v>
      </c>
      <c r="M26" s="5">
        <v>0.02</v>
      </c>
      <c r="N26" t="s">
        <v>140</v>
      </c>
      <c r="O26" s="13">
        <f>O25*SQRT(2*9.81*(C25-C30))</f>
        <v>9.2863225229366222</v>
      </c>
      <c r="P26" s="3" t="s">
        <v>45</v>
      </c>
      <c r="T26" t="s">
        <v>89</v>
      </c>
      <c r="U26">
        <v>3.4</v>
      </c>
      <c r="V26" s="3" t="s">
        <v>8</v>
      </c>
      <c r="X26" t="s">
        <v>89</v>
      </c>
      <c r="Y26">
        <v>3.4</v>
      </c>
      <c r="Z26" s="3" t="s">
        <v>8</v>
      </c>
    </row>
    <row r="27" spans="2:35" x14ac:dyDescent="0.25">
      <c r="B27" t="s">
        <v>41</v>
      </c>
      <c r="C27">
        <v>2.81</v>
      </c>
      <c r="D27" s="3" t="s">
        <v>19</v>
      </c>
      <c r="F27" t="s">
        <v>47</v>
      </c>
      <c r="G27" s="9">
        <f>2*PI()/G26</f>
        <v>6.1299368850532547E-2</v>
      </c>
      <c r="H27" s="3" t="s">
        <v>48</v>
      </c>
      <c r="J27" t="s">
        <v>163</v>
      </c>
      <c r="K27">
        <v>27.92</v>
      </c>
      <c r="L27" s="3" t="s">
        <v>45</v>
      </c>
      <c r="N27" t="s">
        <v>170</v>
      </c>
      <c r="O27">
        <v>1.25</v>
      </c>
      <c r="P27" s="3" t="s">
        <v>61</v>
      </c>
      <c r="Q27" t="s">
        <v>490</v>
      </c>
      <c r="R27">
        <v>1.25</v>
      </c>
      <c r="S27" s="5" t="s">
        <v>61</v>
      </c>
      <c r="T27" t="s">
        <v>151</v>
      </c>
      <c r="V27" s="3"/>
      <c r="X27" t="s">
        <v>151</v>
      </c>
      <c r="Y27" s="11">
        <f>Y25*K5</f>
        <v>34377.449999999997</v>
      </c>
      <c r="Z27" s="3" t="s">
        <v>65</v>
      </c>
    </row>
    <row r="28" spans="2:35" ht="18" x14ac:dyDescent="0.4">
      <c r="B28" t="s">
        <v>43</v>
      </c>
      <c r="C28">
        <v>9.18</v>
      </c>
      <c r="D28" s="3" t="s">
        <v>11</v>
      </c>
      <c r="F28" t="s">
        <v>49</v>
      </c>
      <c r="G28" s="7">
        <f>2*C27</f>
        <v>5.62</v>
      </c>
      <c r="H28" s="3" t="s">
        <v>19</v>
      </c>
      <c r="J28" s="2" t="s">
        <v>164</v>
      </c>
      <c r="K28" s="7">
        <v>0.2</v>
      </c>
      <c r="L28" s="3" t="s">
        <v>61</v>
      </c>
      <c r="N28" t="s">
        <v>171</v>
      </c>
      <c r="O28">
        <v>0.1</v>
      </c>
      <c r="P28" s="3" t="s">
        <v>19</v>
      </c>
      <c r="T28" t="s">
        <v>152</v>
      </c>
      <c r="V28" s="3"/>
      <c r="X28" t="s">
        <v>152</v>
      </c>
      <c r="Y28" s="11">
        <f>Y27*(-G3+Y26)</f>
        <v>529412.73</v>
      </c>
      <c r="Z28" s="3" t="s">
        <v>57</v>
      </c>
    </row>
    <row r="29" spans="2:35" ht="18" x14ac:dyDescent="0.4">
      <c r="B29" t="s">
        <v>44</v>
      </c>
      <c r="D29" s="3" t="s">
        <v>45</v>
      </c>
      <c r="H29" s="3"/>
      <c r="J29" s="2" t="s">
        <v>160</v>
      </c>
      <c r="K29" s="13">
        <v>1.65</v>
      </c>
      <c r="L29" s="3" t="s">
        <v>61</v>
      </c>
      <c r="N29" t="s">
        <v>141</v>
      </c>
      <c r="O29" s="7">
        <f>O28*C12</f>
        <v>4</v>
      </c>
      <c r="P29" s="3" t="s">
        <v>70</v>
      </c>
      <c r="Q29" t="s">
        <v>141</v>
      </c>
      <c r="R29" s="7">
        <f>O29</f>
        <v>4</v>
      </c>
      <c r="S29" s="5" t="s">
        <v>70</v>
      </c>
      <c r="T29" t="s">
        <v>156</v>
      </c>
      <c r="U29" s="27">
        <v>40.56</v>
      </c>
      <c r="V29" s="3" t="s">
        <v>52</v>
      </c>
      <c r="X29" t="s">
        <v>156</v>
      </c>
      <c r="Y29" s="27">
        <v>40.56</v>
      </c>
      <c r="Z29" s="3" t="s">
        <v>52</v>
      </c>
    </row>
    <row r="30" spans="2:35" x14ac:dyDescent="0.25">
      <c r="B30" t="s">
        <v>51</v>
      </c>
      <c r="C30">
        <v>1</v>
      </c>
      <c r="D30" s="3" t="s">
        <v>8</v>
      </c>
      <c r="H30" s="3"/>
      <c r="J30" t="s">
        <v>145</v>
      </c>
      <c r="K30" s="13">
        <f>((1+7*0.1233)*0.5*1.25*K27^2)/1000</f>
        <v>0.90770977240000017</v>
      </c>
      <c r="L30" s="3" t="s">
        <v>52</v>
      </c>
      <c r="N30" t="s">
        <v>172</v>
      </c>
      <c r="O30" s="11">
        <f>0.5*1.025*O26^2*O27*O29</f>
        <v>220.97920162499997</v>
      </c>
      <c r="P30" s="3" t="s">
        <v>65</v>
      </c>
      <c r="Q30" t="s">
        <v>489</v>
      </c>
      <c r="R30" s="11">
        <f>0.5*1.025*O26^2*R27*R29</f>
        <v>220.97920162499997</v>
      </c>
      <c r="S30" s="5" t="s">
        <v>63</v>
      </c>
      <c r="T30" t="s">
        <v>53</v>
      </c>
      <c r="U30" s="13">
        <f>($C$25-$C$30)*9.81*1.025+U29</f>
        <v>130.75559250000001</v>
      </c>
      <c r="V30" s="3" t="s">
        <v>52</v>
      </c>
      <c r="X30" t="s">
        <v>53</v>
      </c>
      <c r="Y30" s="13">
        <f>($C$25-$C$30)*9.81*1.025+Y29</f>
        <v>130.75559250000001</v>
      </c>
      <c r="Z30" s="3" t="s">
        <v>52</v>
      </c>
    </row>
    <row r="31" spans="2:35" x14ac:dyDescent="0.25">
      <c r="D31" s="3"/>
      <c r="H31" s="3"/>
      <c r="J31" t="s">
        <v>146</v>
      </c>
      <c r="K31" s="11">
        <f>($G$4-$C$25)*$G$11</f>
        <v>28.145</v>
      </c>
      <c r="L31" s="3" t="s">
        <v>169</v>
      </c>
      <c r="M31" s="21">
        <f>2*(G4-C25)*(G9+2*G10+Y3+AC3)+G11*(G9+2*G10+Y3+AC3)</f>
        <v>341.1</v>
      </c>
      <c r="N31" t="s">
        <v>559</v>
      </c>
      <c r="O31" s="28">
        <f>O30/O29</f>
        <v>55.244800406249993</v>
      </c>
      <c r="P31" s="3" t="s">
        <v>52</v>
      </c>
      <c r="R31" s="28">
        <f>R30/R29</f>
        <v>55.244800406249993</v>
      </c>
      <c r="S31" s="3" t="s">
        <v>52</v>
      </c>
      <c r="V31" s="3"/>
    </row>
    <row r="32" spans="2:35" x14ac:dyDescent="0.25">
      <c r="H32" s="3"/>
      <c r="J32" t="s">
        <v>166</v>
      </c>
      <c r="K32" s="13">
        <f>K28*K29*K25*K26*K30*K31</f>
        <v>9.3580461526397301</v>
      </c>
      <c r="L32" s="3" t="s">
        <v>65</v>
      </c>
      <c r="O32" t="s">
        <v>173</v>
      </c>
      <c r="V32" s="3"/>
    </row>
    <row r="33" spans="1:35" s="4" customFormat="1" x14ac:dyDescent="0.25">
      <c r="E33" s="6"/>
      <c r="I33" s="6"/>
      <c r="J33" s="4" t="s">
        <v>168</v>
      </c>
      <c r="K33" s="19">
        <f>K28*K29*M26*K30*M31</f>
        <v>2.0434907022132247</v>
      </c>
      <c r="L33" s="15" t="s">
        <v>65</v>
      </c>
      <c r="M33" s="6"/>
      <c r="S33" s="6"/>
      <c r="W33" s="6"/>
      <c r="AA33" s="6"/>
      <c r="AE33" s="6"/>
      <c r="AI33" s="6"/>
    </row>
    <row r="34" spans="1:35" x14ac:dyDescent="0.25">
      <c r="B34" s="1" t="s">
        <v>54</v>
      </c>
      <c r="F34" s="1" t="s">
        <v>64</v>
      </c>
      <c r="J34" s="1" t="s">
        <v>99</v>
      </c>
      <c r="N34" s="1" t="s">
        <v>75</v>
      </c>
    </row>
    <row r="35" spans="1:35" x14ac:dyDescent="0.25">
      <c r="B35" t="s">
        <v>55</v>
      </c>
      <c r="C35" s="7">
        <f>1/8*C5*U30*C12^2</f>
        <v>235360.06649999999</v>
      </c>
      <c r="D35" s="3" t="s">
        <v>57</v>
      </c>
      <c r="F35" t="s">
        <v>62</v>
      </c>
      <c r="G35" s="11">
        <f>$C$17/8000*1000</f>
        <v>1337.5</v>
      </c>
      <c r="H35" s="3" t="s">
        <v>65</v>
      </c>
      <c r="J35" t="s">
        <v>73</v>
      </c>
      <c r="K35" s="7">
        <f>0.85*(G11*(-G3+G6)*G8+(G7-2*G15-3*G12)/2*(-G3+G6)*G8)*O48</f>
        <v>30982.5</v>
      </c>
      <c r="L35" s="3" t="s">
        <v>65</v>
      </c>
      <c r="N35" t="s">
        <v>76</v>
      </c>
      <c r="O35" s="7">
        <f>(0.5*G7*G14*G8+(G11*G12*2+G9*G10)*(G3+G14+G13-C25)+(Y3*Y4*Y5-(2*1/4*PI()*Y6^2))+(AC3*AC5*(G3+G14+AC4-C25)))*10</f>
        <v>42719.714861834422</v>
      </c>
      <c r="P35" s="3" t="s">
        <v>65</v>
      </c>
    </row>
    <row r="36" spans="1:35" x14ac:dyDescent="0.25">
      <c r="B36" t="s">
        <v>56</v>
      </c>
      <c r="C36" s="11">
        <f>1.01*10^(13)</f>
        <v>10100000000000</v>
      </c>
      <c r="D36" s="3" t="s">
        <v>58</v>
      </c>
      <c r="H36" s="3"/>
      <c r="J36" t="s">
        <v>74</v>
      </c>
      <c r="K36" s="7">
        <f>K8/25000*7400</f>
        <v>7561.7438563327041</v>
      </c>
      <c r="L36" s="3" t="s">
        <v>65</v>
      </c>
      <c r="N36" t="s">
        <v>77</v>
      </c>
      <c r="O36" s="7">
        <f>K7*10*K7*K5</f>
        <v>29760</v>
      </c>
      <c r="P36" s="3" t="s">
        <v>65</v>
      </c>
    </row>
    <row r="37" spans="1:35" ht="18" x14ac:dyDescent="0.4">
      <c r="B37" s="2" t="s">
        <v>59</v>
      </c>
      <c r="C37" s="12">
        <f>C35*10^6*0.5*C7*1000/C36</f>
        <v>46.605953762376238</v>
      </c>
      <c r="D37" s="3" t="s">
        <v>14</v>
      </c>
      <c r="H37" s="3"/>
    </row>
    <row r="38" spans="1:35" x14ac:dyDescent="0.25">
      <c r="B38" t="s">
        <v>60</v>
      </c>
      <c r="C38" s="13">
        <f>C37/C11</f>
        <v>0.13128437679542601</v>
      </c>
      <c r="D38" s="3" t="s">
        <v>61</v>
      </c>
      <c r="H38" s="3"/>
      <c r="J38" s="1" t="s">
        <v>100</v>
      </c>
    </row>
    <row r="39" spans="1:35" x14ac:dyDescent="0.25">
      <c r="H39" s="3"/>
      <c r="J39" t="s">
        <v>101</v>
      </c>
      <c r="K39" s="7">
        <f>2*$G$15*$G$7*(-$G$3-2+$G$16)*O48</f>
        <v>3375</v>
      </c>
      <c r="L39" s="3" t="s">
        <v>65</v>
      </c>
    </row>
    <row r="40" spans="1:35" x14ac:dyDescent="0.25">
      <c r="D40" s="3"/>
      <c r="H40" s="3"/>
      <c r="J40" t="s">
        <v>102</v>
      </c>
      <c r="K40" s="7">
        <f>(G7-2*G15-3*G12)/2*(-G3-2+G16)*G8*O48+2*$G$15*$G$8*(-$G$3-2+$G$16)*R48</f>
        <v>21450</v>
      </c>
      <c r="L40" s="3" t="s">
        <v>65</v>
      </c>
    </row>
    <row r="41" spans="1:35" s="4" customFormat="1" x14ac:dyDescent="0.25">
      <c r="E41" s="6"/>
      <c r="F41"/>
      <c r="H41" s="15"/>
      <c r="I41" s="6"/>
      <c r="J41"/>
      <c r="L41" s="15"/>
      <c r="M41" s="6"/>
      <c r="S41" s="6"/>
      <c r="W41" s="6"/>
      <c r="AA41" s="6"/>
      <c r="AE41" s="6"/>
      <c r="AI41" s="6"/>
    </row>
    <row r="42" spans="1:35" x14ac:dyDescent="0.25">
      <c r="A42" s="1"/>
      <c r="B42" s="1" t="s">
        <v>155</v>
      </c>
      <c r="E42"/>
      <c r="F42" s="20" t="s">
        <v>125</v>
      </c>
      <c r="I42"/>
      <c r="J42" s="20" t="s">
        <v>126</v>
      </c>
      <c r="N42" s="1" t="s">
        <v>106</v>
      </c>
      <c r="Q42" s="1"/>
      <c r="R42" s="1" t="s">
        <v>157</v>
      </c>
      <c r="T42" s="1" t="s">
        <v>161</v>
      </c>
    </row>
    <row r="43" spans="1:35" ht="18" x14ac:dyDescent="0.4">
      <c r="B43" t="s">
        <v>153</v>
      </c>
      <c r="C43" s="11">
        <f>0.5*1.025*9.81*(C25-C30)*(Q3-C30)*K5</f>
        <v>19921.9514934375</v>
      </c>
      <c r="D43" s="3" t="s">
        <v>65</v>
      </c>
      <c r="E43"/>
      <c r="F43" s="16" t="s">
        <v>81</v>
      </c>
      <c r="G43" s="11">
        <f>Y28+C43*C44+C45*C46</f>
        <v>882566.01855287817</v>
      </c>
      <c r="H43" s="3" t="s">
        <v>57</v>
      </c>
      <c r="I43"/>
      <c r="J43" t="s">
        <v>119</v>
      </c>
      <c r="K43" s="9">
        <f>G48/G46*K45*1000/(G7*1000*G8*1000)</f>
        <v>0.12171048317561717</v>
      </c>
      <c r="L43" s="3" t="s">
        <v>14</v>
      </c>
      <c r="N43" s="2" t="s">
        <v>107</v>
      </c>
      <c r="O43">
        <v>30</v>
      </c>
      <c r="P43" s="3" t="s">
        <v>108</v>
      </c>
      <c r="R43">
        <v>35</v>
      </c>
      <c r="S43" s="3" t="s">
        <v>108</v>
      </c>
      <c r="T43" s="17"/>
    </row>
    <row r="44" spans="1:35" ht="18" x14ac:dyDescent="0.4">
      <c r="B44" t="s">
        <v>78</v>
      </c>
      <c r="C44" s="23">
        <f>-G16+C30+1/3*(C25-C30)</f>
        <v>10.99</v>
      </c>
      <c r="D44" s="3" t="s">
        <v>19</v>
      </c>
      <c r="E44"/>
      <c r="F44" s="16" t="s">
        <v>82</v>
      </c>
      <c r="G44" s="11">
        <f>$C$17*$C$14+$G$18*$G$21+($K$8+$K$36-$O$36)*$K$10+$O$8*$O$10+$U$11*$U$13+$Y$8*$Y$10+$AC$8*$AC$10+$G$35*$G$21</f>
        <v>141822.45819555726</v>
      </c>
      <c r="H44" s="3" t="s">
        <v>57</v>
      </c>
      <c r="I44"/>
      <c r="J44" s="16" t="s">
        <v>121</v>
      </c>
      <c r="K44" s="9">
        <f>G45*10^6/(1/6*(G8*1000)^2*(G7*1000))</f>
        <v>9.8341293767849808E-2</v>
      </c>
      <c r="L44" s="3" t="s">
        <v>14</v>
      </c>
      <c r="N44" t="s">
        <v>109</v>
      </c>
      <c r="O44" s="7">
        <f>(-G3+G16)*16</f>
        <v>80</v>
      </c>
      <c r="P44" s="3" t="s">
        <v>52</v>
      </c>
      <c r="S44" s="3"/>
      <c r="T44" s="17"/>
    </row>
    <row r="45" spans="1:35" ht="18" x14ac:dyDescent="0.4">
      <c r="B45" t="s">
        <v>154</v>
      </c>
      <c r="C45" s="26">
        <f>1.025*9.81*($C$25-$C$30)*(-$G$16+$C$30)*$K$5</f>
        <v>33552.760410000003</v>
      </c>
      <c r="D45" s="3" t="s">
        <v>65</v>
      </c>
      <c r="E45"/>
      <c r="F45" s="16" t="s">
        <v>80</v>
      </c>
      <c r="G45" s="11">
        <f>G43+G44</f>
        <v>1024388.4767484354</v>
      </c>
      <c r="I45"/>
      <c r="J45" s="2" t="s">
        <v>160</v>
      </c>
      <c r="K45" s="7">
        <v>1.05</v>
      </c>
      <c r="L45" s="3" t="s">
        <v>61</v>
      </c>
      <c r="N45" t="s">
        <v>110</v>
      </c>
      <c r="O45" s="13">
        <f>(1+SIN($O$43/180*PI()))/(1-SIN($O$43/180*PI()))*EXP(PI()*TAN(O43/180*PI()))</f>
        <v>18.401122218708679</v>
      </c>
      <c r="P45" s="3" t="s">
        <v>61</v>
      </c>
    </row>
    <row r="46" spans="1:35" ht="18" x14ac:dyDescent="0.4">
      <c r="B46" t="s">
        <v>79</v>
      </c>
      <c r="C46" s="23">
        <f>1/2*(-$G$16+$C$30)</f>
        <v>4</v>
      </c>
      <c r="D46" s="3" t="s">
        <v>19</v>
      </c>
      <c r="E46"/>
      <c r="F46" s="2" t="s">
        <v>160</v>
      </c>
      <c r="G46" s="7">
        <v>0.95</v>
      </c>
      <c r="H46" s="3" t="s">
        <v>61</v>
      </c>
      <c r="I46" t="s">
        <v>162</v>
      </c>
      <c r="J46" t="s">
        <v>104</v>
      </c>
      <c r="K46" s="13">
        <f>K43+K44</f>
        <v>0.22005177694346698</v>
      </c>
      <c r="L46" s="3" t="s">
        <v>14</v>
      </c>
      <c r="N46" t="s">
        <v>111</v>
      </c>
      <c r="O46" s="7">
        <f>1+G7/G8*SIN(O43/180*PI())</f>
        <v>1.25</v>
      </c>
      <c r="P46" s="3" t="s">
        <v>61</v>
      </c>
    </row>
    <row r="47" spans="1:35" x14ac:dyDescent="0.25">
      <c r="C47" s="3"/>
      <c r="D47" s="3"/>
      <c r="E47"/>
      <c r="F47" t="s">
        <v>97</v>
      </c>
      <c r="G47" s="11">
        <f>Y27+C43+C45</f>
        <v>87852.161903437503</v>
      </c>
      <c r="H47" s="3" t="s">
        <v>65</v>
      </c>
      <c r="I47"/>
      <c r="J47" t="s">
        <v>53</v>
      </c>
      <c r="K47" s="13">
        <f>O53</f>
        <v>0.68560923890152314</v>
      </c>
      <c r="L47" s="3" t="s">
        <v>14</v>
      </c>
      <c r="N47" t="s">
        <v>114</v>
      </c>
      <c r="O47" s="13">
        <f>(1-(G47/G48))</f>
        <v>0.36176568946379484</v>
      </c>
      <c r="P47" s="3" t="s">
        <v>61</v>
      </c>
    </row>
    <row r="48" spans="1:35" ht="18" x14ac:dyDescent="0.4">
      <c r="C48" s="3"/>
      <c r="D48" s="3"/>
      <c r="E48"/>
      <c r="F48" t="s">
        <v>98</v>
      </c>
      <c r="G48" s="11">
        <f>(C17+G17+G18+K8+O8+U11+Y8+AC8+G35*2+K35+K36-O35-O36+K39+K40+2*AG3)*G46</f>
        <v>137648.76073432894</v>
      </c>
      <c r="H48" s="3" t="s">
        <v>65</v>
      </c>
      <c r="I48"/>
      <c r="J48" t="s">
        <v>60</v>
      </c>
      <c r="K48" s="13">
        <f>K46/K47</f>
        <v>0.32095800998252577</v>
      </c>
      <c r="L48" s="3" t="s">
        <v>61</v>
      </c>
      <c r="N48" t="s">
        <v>112</v>
      </c>
      <c r="O48">
        <v>9</v>
      </c>
      <c r="P48" s="3" t="s">
        <v>52</v>
      </c>
      <c r="R48">
        <v>16</v>
      </c>
      <c r="S48" s="3" t="s">
        <v>52</v>
      </c>
      <c r="T48" s="17">
        <v>14</v>
      </c>
      <c r="U48" s="3" t="s">
        <v>52</v>
      </c>
    </row>
    <row r="49" spans="2:35" ht="18" x14ac:dyDescent="0.4">
      <c r="C49" s="3"/>
      <c r="D49" s="3"/>
      <c r="E49"/>
      <c r="F49" t="s">
        <v>117</v>
      </c>
      <c r="G49" s="11">
        <f>(((1+SIN($O$43/180*PI()))/(1-SIN($O$43/180*PI()))-(1-SIN($O$43/180*PI())/(1+SIN($O$43/180*PI()))))*(-G3+G16)*O48*G7)*-1</f>
        <v>-2624.9999999999991</v>
      </c>
      <c r="H49" s="3" t="s">
        <v>65</v>
      </c>
      <c r="I49" t="s">
        <v>118</v>
      </c>
      <c r="L49" s="3"/>
      <c r="N49" t="s">
        <v>113</v>
      </c>
      <c r="O49" s="13">
        <f>($O$45-1)*TAN(1.32*$O$43/180*PI())</f>
        <v>14.395460239976011</v>
      </c>
      <c r="P49" s="3" t="s">
        <v>61</v>
      </c>
    </row>
    <row r="50" spans="2:35" x14ac:dyDescent="0.25">
      <c r="C50" s="3"/>
      <c r="D50" s="3"/>
      <c r="E50"/>
      <c r="F50" t="s">
        <v>103</v>
      </c>
      <c r="G50" s="13">
        <f>(G47+G49)/G48</f>
        <v>0.61916403350649463</v>
      </c>
      <c r="H50" s="3" t="s">
        <v>61</v>
      </c>
      <c r="I50"/>
      <c r="J50" t="s">
        <v>105</v>
      </c>
      <c r="K50" s="9">
        <f>K43-K44</f>
        <v>2.336918940776736E-2</v>
      </c>
      <c r="L50" s="3" t="s">
        <v>14</v>
      </c>
      <c r="M50" s="5" t="b">
        <f>K50&gt;0</f>
        <v>1</v>
      </c>
      <c r="N50" t="s">
        <v>115</v>
      </c>
      <c r="O50" s="7">
        <f>1-(0.3*(G7/G8))</f>
        <v>0.85</v>
      </c>
      <c r="P50" s="3" t="s">
        <v>61</v>
      </c>
    </row>
    <row r="51" spans="2:35" x14ac:dyDescent="0.25">
      <c r="C51" s="3"/>
      <c r="D51" s="3"/>
      <c r="E51"/>
      <c r="F51" t="s">
        <v>164</v>
      </c>
      <c r="G51" s="13">
        <v>0.7</v>
      </c>
      <c r="H51" s="3" t="s">
        <v>61</v>
      </c>
      <c r="I51"/>
      <c r="L51" s="3"/>
      <c r="N51" t="s">
        <v>116</v>
      </c>
      <c r="O51" s="13">
        <f>O47</f>
        <v>0.36176568946379484</v>
      </c>
      <c r="P51" s="3" t="s">
        <v>61</v>
      </c>
    </row>
    <row r="52" spans="2:35" x14ac:dyDescent="0.25">
      <c r="C52" s="3"/>
      <c r="D52" s="3"/>
      <c r="E52"/>
      <c r="F52" t="s">
        <v>60</v>
      </c>
      <c r="G52" s="13">
        <f>G50/G51</f>
        <v>0.88452004786642091</v>
      </c>
      <c r="H52" s="3" t="s">
        <v>61</v>
      </c>
      <c r="I52" t="s">
        <v>118</v>
      </c>
    </row>
    <row r="53" spans="2:35" s="4" customFormat="1" x14ac:dyDescent="0.25">
      <c r="F53" s="4" t="s">
        <v>60</v>
      </c>
      <c r="G53" s="19">
        <f>(G47/G48)/G51</f>
        <v>0.91176330076600742</v>
      </c>
      <c r="H53" s="15" t="s">
        <v>61</v>
      </c>
      <c r="I53" s="4" t="s">
        <v>122</v>
      </c>
      <c r="M53" s="6"/>
      <c r="N53" t="s">
        <v>53</v>
      </c>
      <c r="O53" s="19">
        <f>(O44*O45*O46*O47+0.5*O48*O49*O50*O51)/1000</f>
        <v>0.68560923890152314</v>
      </c>
      <c r="P53" s="15" t="s">
        <v>14</v>
      </c>
      <c r="S53" s="6"/>
      <c r="W53" s="6"/>
      <c r="AA53" s="6"/>
      <c r="AE53" s="6"/>
      <c r="AI53" s="6"/>
    </row>
    <row r="54" spans="2:35" x14ac:dyDescent="0.25">
      <c r="B54" s="1" t="s">
        <v>124</v>
      </c>
      <c r="F54" s="1" t="s">
        <v>123</v>
      </c>
      <c r="G54" s="1"/>
      <c r="J54" s="1"/>
      <c r="K54" s="1"/>
      <c r="M54"/>
      <c r="N54" s="20"/>
      <c r="O54" s="1"/>
    </row>
    <row r="55" spans="2:35" x14ac:dyDescent="0.25">
      <c r="B55" t="s">
        <v>4</v>
      </c>
      <c r="C55">
        <v>7</v>
      </c>
      <c r="D55" s="3" t="s">
        <v>19</v>
      </c>
      <c r="F55" t="s">
        <v>136</v>
      </c>
      <c r="G55" s="10">
        <v>12</v>
      </c>
      <c r="H55" s="3" t="s">
        <v>19</v>
      </c>
      <c r="L55" s="3"/>
      <c r="M55"/>
      <c r="O55" s="1"/>
    </row>
    <row r="56" spans="2:35" ht="18" x14ac:dyDescent="0.4">
      <c r="B56" t="s">
        <v>128</v>
      </c>
      <c r="C56" s="14">
        <f>0.0115*LOG((($G$48-((-$G$3+$G$16)*$O$48*$G$7*$G$8))/(($G$7+2*$C$55)*($G$8+2*$C$55))+(-$G$3+$C$55+$G$16)*$O$48)/((-$G$3+$C$55+$G$16)*$O$48))</f>
        <v>1.3178729850162891E-3</v>
      </c>
      <c r="D56" s="3" t="s">
        <v>61</v>
      </c>
      <c r="F56" t="s">
        <v>137</v>
      </c>
      <c r="G56" s="10">
        <f>(G55+3)*-1</f>
        <v>-15</v>
      </c>
      <c r="H56" s="3" t="s">
        <v>8</v>
      </c>
      <c r="L56" s="3"/>
      <c r="M56"/>
    </row>
    <row r="57" spans="2:35" x14ac:dyDescent="0.25">
      <c r="B57" t="s">
        <v>129</v>
      </c>
      <c r="C57" s="14">
        <f>C56*C55</f>
        <v>9.2251108951140245E-3</v>
      </c>
      <c r="D57" s="3" t="s">
        <v>19</v>
      </c>
      <c r="L57" s="3"/>
      <c r="M57"/>
    </row>
    <row r="58" spans="2:35" x14ac:dyDescent="0.25">
      <c r="C58" s="8"/>
      <c r="F58" t="s">
        <v>134</v>
      </c>
      <c r="G58" s="11">
        <f>$G$17+$G$18+$Y$8+$AC$8</f>
        <v>68659.036627748297</v>
      </c>
      <c r="H58" s="3" t="s">
        <v>65</v>
      </c>
      <c r="M58"/>
    </row>
    <row r="59" spans="2:35" x14ac:dyDescent="0.25">
      <c r="B59" s="1" t="s">
        <v>131</v>
      </c>
      <c r="C59" s="3" t="s">
        <v>130</v>
      </c>
      <c r="D59" s="3" t="s">
        <v>132</v>
      </c>
      <c r="E59" s="5" t="s">
        <v>133</v>
      </c>
      <c r="F59" t="s">
        <v>135</v>
      </c>
      <c r="G59" s="7">
        <f>(0.5*G7*G8*G55*10)*-1</f>
        <v>-75000</v>
      </c>
      <c r="H59" s="3" t="s">
        <v>65</v>
      </c>
      <c r="L59" s="3"/>
      <c r="M59"/>
    </row>
    <row r="60" spans="2:35" x14ac:dyDescent="0.25">
      <c r="C60">
        <v>1</v>
      </c>
      <c r="D60" s="14">
        <f>0.0115*LOG((($G$48-((-$G$3+$G$16)*$O$48*$G$7*$G$8))/(($G$7+2*C60)*($G$8+2*C60))+(-$G$3+C60+$G$16)*$O$48)/((-$G$3+C60+$G$16)*$O$48))</f>
        <v>3.6424231918944241E-3</v>
      </c>
      <c r="E60" s="21">
        <f>(($G$48-((-$G$3+$G$16)*$O$48*$G$7*$G$8))/(($G$7+2*C60)*($G$8+2*C60)))</f>
        <v>57.976325309351097</v>
      </c>
      <c r="F60" t="s">
        <v>138</v>
      </c>
      <c r="G60" s="11">
        <f>G58+G59</f>
        <v>-6340.9633722517028</v>
      </c>
      <c r="H60" s="3" t="s">
        <v>65</v>
      </c>
      <c r="L60" s="3"/>
      <c r="M60"/>
    </row>
    <row r="61" spans="2:35" x14ac:dyDescent="0.25">
      <c r="C61">
        <v>5</v>
      </c>
      <c r="D61" s="14">
        <f t="shared" ref="D61:D76" si="0">0.0115*LOG((($G$48-((-$G$3+$G$16)*$O$48*$G$7*$G$8))/(($G$7+2*C61)*($G$8+2*C61))+(-$G$3+C61+$G$16)*$O$48)/((-$G$3+C61+$G$16)*$O$48))</f>
        <v>1.7887432658670499E-3</v>
      </c>
      <c r="E61" s="21">
        <f t="shared" ref="E61:E76" si="1">(($G$48-((-$G$3+$G$16)*$O$48*$G$7*$G$8))/(($G$7+2*C61)*($G$8+2*C61)))</f>
        <v>38.761314635394733</v>
      </c>
      <c r="L61" s="3"/>
      <c r="M61"/>
    </row>
    <row r="62" spans="2:35" x14ac:dyDescent="0.25">
      <c r="C62">
        <v>10</v>
      </c>
      <c r="D62" s="14">
        <f t="shared" si="0"/>
        <v>8.7472061780045982E-4</v>
      </c>
      <c r="E62" s="21">
        <f t="shared" si="1"/>
        <v>25.840876423596491</v>
      </c>
      <c r="L62" s="3"/>
      <c r="M62"/>
    </row>
    <row r="63" spans="2:35" x14ac:dyDescent="0.25">
      <c r="C63">
        <v>15</v>
      </c>
      <c r="D63" s="14">
        <f t="shared" si="0"/>
        <v>4.8860498242101402E-4</v>
      </c>
      <c r="E63" s="21">
        <f t="shared" si="1"/>
        <v>18.499718348711124</v>
      </c>
      <c r="L63" s="3"/>
      <c r="M63"/>
    </row>
    <row r="64" spans="2:35" x14ac:dyDescent="0.25">
      <c r="C64">
        <v>20</v>
      </c>
      <c r="D64" s="14">
        <f t="shared" si="0"/>
        <v>2.996860851258093E-4</v>
      </c>
      <c r="E64" s="21">
        <f t="shared" si="1"/>
        <v>13.914318074244264</v>
      </c>
      <c r="L64" s="3"/>
      <c r="M64"/>
    </row>
    <row r="65" spans="3:13" x14ac:dyDescent="0.25">
      <c r="C65">
        <v>30</v>
      </c>
      <c r="D65" s="14">
        <f t="shared" si="0"/>
        <v>1.3615838793943784E-4</v>
      </c>
      <c r="E65" s="21">
        <f t="shared" si="1"/>
        <v>8.7057498111581761</v>
      </c>
      <c r="L65" s="3"/>
      <c r="M65"/>
    </row>
    <row r="66" spans="3:13" x14ac:dyDescent="0.25">
      <c r="C66">
        <v>40</v>
      </c>
      <c r="D66" s="14">
        <f t="shared" si="0"/>
        <v>7.3001940836894775E-5</v>
      </c>
      <c r="E66" s="21">
        <f t="shared" si="1"/>
        <v>5.9632791746761127</v>
      </c>
      <c r="L66" s="3"/>
      <c r="M66"/>
    </row>
    <row r="67" spans="3:13" x14ac:dyDescent="0.25">
      <c r="C67">
        <v>50</v>
      </c>
      <c r="D67" s="14">
        <f t="shared" si="0"/>
        <v>4.3610991829790665E-5</v>
      </c>
      <c r="E67" s="21">
        <f t="shared" si="1"/>
        <v>4.3412672391642104</v>
      </c>
      <c r="L67" s="3"/>
      <c r="M67"/>
    </row>
    <row r="68" spans="3:13" x14ac:dyDescent="0.25">
      <c r="C68">
        <v>100</v>
      </c>
      <c r="D68" s="14">
        <f t="shared" si="0"/>
        <v>7.6421102937828169E-6</v>
      </c>
      <c r="E68" s="21">
        <f t="shared" si="1"/>
        <v>1.4470890797214033</v>
      </c>
      <c r="L68" s="3"/>
      <c r="M68"/>
    </row>
    <row r="69" spans="3:13" x14ac:dyDescent="0.25">
      <c r="C69">
        <v>200</v>
      </c>
      <c r="D69" s="14">
        <f t="shared" si="0"/>
        <v>1.1519988417415838E-6</v>
      </c>
      <c r="E69" s="21">
        <f t="shared" si="1"/>
        <v>0.42561443521217746</v>
      </c>
      <c r="M69"/>
    </row>
    <row r="70" spans="3:13" x14ac:dyDescent="0.25">
      <c r="C70">
        <v>400</v>
      </c>
      <c r="D70" s="14">
        <f t="shared" si="0"/>
        <v>1.5904595296013907E-7</v>
      </c>
      <c r="E70" s="21">
        <f t="shared" si="1"/>
        <v>0.11607666414877567</v>
      </c>
      <c r="M70"/>
    </row>
    <row r="71" spans="3:13" x14ac:dyDescent="0.25">
      <c r="C71">
        <v>800</v>
      </c>
      <c r="D71" s="14">
        <f t="shared" si="0"/>
        <v>2.0927788393063815E-8</v>
      </c>
      <c r="E71" s="21">
        <f t="shared" si="1"/>
        <v>3.0358512161987483E-2</v>
      </c>
      <c r="M71"/>
    </row>
    <row r="72" spans="3:13" x14ac:dyDescent="0.25">
      <c r="C72">
        <v>1600</v>
      </c>
      <c r="D72" s="14">
        <f t="shared" si="0"/>
        <v>2.6851540202593402E-9</v>
      </c>
      <c r="E72" s="21">
        <f t="shared" si="1"/>
        <v>7.7661310181828449E-3</v>
      </c>
      <c r="M72"/>
    </row>
    <row r="73" spans="3:13" x14ac:dyDescent="0.25">
      <c r="C73">
        <v>3200</v>
      </c>
      <c r="D73" s="14">
        <f t="shared" si="0"/>
        <v>3.4009209719912411E-10</v>
      </c>
      <c r="E73" s="21">
        <f t="shared" si="1"/>
        <v>1.9641965610190074E-3</v>
      </c>
      <c r="M73"/>
    </row>
    <row r="74" spans="3:13" x14ac:dyDescent="0.25">
      <c r="C74">
        <v>5000</v>
      </c>
      <c r="D74" s="14">
        <f t="shared" si="0"/>
        <v>8.9578318225615503E-11</v>
      </c>
      <c r="E74" s="21">
        <f t="shared" si="1"/>
        <v>8.0791812244839585E-4</v>
      </c>
      <c r="M74"/>
    </row>
    <row r="75" spans="3:13" x14ac:dyDescent="0.25">
      <c r="C75">
        <v>10000</v>
      </c>
      <c r="D75" s="14">
        <f t="shared" si="0"/>
        <v>1.1244844029588584E-11</v>
      </c>
      <c r="E75" s="21">
        <f t="shared" si="1"/>
        <v>2.0273600825484089E-4</v>
      </c>
      <c r="M75"/>
    </row>
    <row r="76" spans="3:13" x14ac:dyDescent="0.25">
      <c r="C76">
        <v>20000</v>
      </c>
      <c r="D76" s="14">
        <f t="shared" si="0"/>
        <v>1.4085910086753242E-12</v>
      </c>
      <c r="E76" s="21">
        <f t="shared" si="1"/>
        <v>5.0778975209363649E-5</v>
      </c>
      <c r="M76"/>
    </row>
    <row r="77" spans="3:13" x14ac:dyDescent="0.25">
      <c r="M77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xr2:uid="{567331D6-C16B-4A41-8BEA-61D5497D04B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'First estimates'!C56:C56</xm:f>
              <xm:sqref>C55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88CCB-F10E-4874-AF09-92FF6ACCFCC5}">
  <dimension ref="A2:BI117"/>
  <sheetViews>
    <sheetView topLeftCell="AO1" zoomScale="80" zoomScaleNormal="85" workbookViewId="0">
      <selection activeCell="BF23" sqref="BF23"/>
    </sheetView>
  </sheetViews>
  <sheetFormatPr defaultRowHeight="15" x14ac:dyDescent="0.25"/>
  <cols>
    <col min="4" max="4" width="8.85546875" style="3"/>
    <col min="7" max="7" width="16.140625" bestFit="1" customWidth="1"/>
    <col min="8" max="8" width="11.28515625" style="3" customWidth="1"/>
    <col min="10" max="10" width="11.85546875" bestFit="1" customWidth="1"/>
    <col min="11" max="11" width="12.5703125" bestFit="1" customWidth="1"/>
    <col min="12" max="12" width="8.85546875" style="3"/>
    <col min="14" max="14" width="11.28515625" bestFit="1" customWidth="1"/>
    <col min="15" max="15" width="10" bestFit="1" customWidth="1"/>
    <col min="16" max="16" width="8.85546875" style="3"/>
    <col min="19" max="19" width="14.7109375" bestFit="1" customWidth="1"/>
    <col min="20" max="20" width="12.140625" customWidth="1"/>
    <col min="23" max="23" width="12.5703125" bestFit="1" customWidth="1"/>
    <col min="24" max="24" width="8.85546875" style="3"/>
    <col min="27" max="27" width="16.5703125" bestFit="1" customWidth="1"/>
    <col min="28" max="28" width="8.85546875" style="3"/>
    <col min="31" max="31" width="12.5703125" bestFit="1" customWidth="1"/>
    <col min="36" max="36" width="11" bestFit="1" customWidth="1"/>
    <col min="38" max="38" width="10" bestFit="1" customWidth="1"/>
    <col min="39" max="39" width="16.28515625" bestFit="1" customWidth="1"/>
    <col min="42" max="42" width="16.5703125" bestFit="1" customWidth="1"/>
    <col min="43" max="43" width="12" bestFit="1" customWidth="1"/>
    <col min="47" max="47" width="12.5703125" bestFit="1" customWidth="1"/>
    <col min="49" max="49" width="8.85546875" style="3"/>
    <col min="50" max="50" width="11" bestFit="1" customWidth="1"/>
    <col min="52" max="52" width="12.7109375" bestFit="1" customWidth="1"/>
    <col min="58" max="58" width="12.85546875" bestFit="1" customWidth="1"/>
    <col min="60" max="60" width="12.7109375" bestFit="1" customWidth="1"/>
  </cols>
  <sheetData>
    <row r="2" spans="1:61" x14ac:dyDescent="0.25">
      <c r="A2" s="1" t="s">
        <v>239</v>
      </c>
      <c r="B2" s="1" t="s">
        <v>174</v>
      </c>
      <c r="F2" s="1" t="s">
        <v>175</v>
      </c>
      <c r="J2" s="1" t="s">
        <v>269</v>
      </c>
      <c r="N2" s="1" t="s">
        <v>219</v>
      </c>
      <c r="R2" s="1" t="s">
        <v>587</v>
      </c>
      <c r="V2" s="1" t="s">
        <v>585</v>
      </c>
      <c r="W2" s="1">
        <v>240</v>
      </c>
      <c r="Z2" s="1" t="s">
        <v>269</v>
      </c>
      <c r="AD2" s="1" t="s">
        <v>284</v>
      </c>
      <c r="AF2" s="3"/>
      <c r="AH2" s="1" t="s">
        <v>269</v>
      </c>
      <c r="AJ2" s="3"/>
      <c r="AL2" s="1" t="s">
        <v>264</v>
      </c>
      <c r="AN2" s="3"/>
      <c r="AP2" s="1" t="s">
        <v>269</v>
      </c>
      <c r="AR2" s="3"/>
      <c r="AX2" s="1" t="s">
        <v>342</v>
      </c>
    </row>
    <row r="3" spans="1:61" ht="18" x14ac:dyDescent="0.4">
      <c r="A3" s="1" t="s">
        <v>238</v>
      </c>
      <c r="B3" t="s">
        <v>53</v>
      </c>
      <c r="C3" s="27">
        <f>'First estimates'!U30</f>
        <v>130.75559250000001</v>
      </c>
      <c r="D3" s="3" t="s">
        <v>52</v>
      </c>
      <c r="F3" t="s">
        <v>20</v>
      </c>
      <c r="G3">
        <v>2000</v>
      </c>
      <c r="H3" s="3" t="s">
        <v>9</v>
      </c>
      <c r="J3" s="2" t="s">
        <v>89</v>
      </c>
      <c r="K3" s="27">
        <f>SQRT(235/G4)</f>
        <v>0.81361651346682706</v>
      </c>
      <c r="L3" s="3" t="s">
        <v>61</v>
      </c>
      <c r="N3" s="16" t="s">
        <v>214</v>
      </c>
      <c r="O3" s="27">
        <v>0.9</v>
      </c>
      <c r="P3" s="3" t="s">
        <v>61</v>
      </c>
      <c r="R3" s="16" t="s">
        <v>214</v>
      </c>
      <c r="S3" s="27">
        <v>0.9</v>
      </c>
      <c r="T3" s="3" t="s">
        <v>61</v>
      </c>
      <c r="V3" t="s">
        <v>4</v>
      </c>
      <c r="W3">
        <v>240</v>
      </c>
      <c r="X3" s="3" t="s">
        <v>9</v>
      </c>
      <c r="Z3" s="2" t="s">
        <v>89</v>
      </c>
      <c r="AA3" s="27">
        <f>SQRT(235/W7)</f>
        <v>0.81361651346682706</v>
      </c>
      <c r="AB3" s="3" t="s">
        <v>584</v>
      </c>
      <c r="AC3">
        <v>21</v>
      </c>
      <c r="AD3" s="2" t="s">
        <v>6</v>
      </c>
      <c r="AE3">
        <v>139.69999999999999</v>
      </c>
      <c r="AF3" s="3" t="s">
        <v>9</v>
      </c>
      <c r="AH3" s="2" t="s">
        <v>89</v>
      </c>
      <c r="AI3" s="27">
        <f>SQRT(235/AE6)</f>
        <v>0.81361651346682706</v>
      </c>
      <c r="AJ3" s="3" t="s">
        <v>286</v>
      </c>
      <c r="AL3" s="2" t="s">
        <v>6</v>
      </c>
      <c r="AM3">
        <v>1200</v>
      </c>
      <c r="AN3" s="3" t="s">
        <v>9</v>
      </c>
      <c r="AP3" s="2" t="s">
        <v>89</v>
      </c>
      <c r="AQ3" s="27">
        <f>SQRT(235/AM6)</f>
        <v>0.81361651346682706</v>
      </c>
      <c r="AR3" s="3" t="s">
        <v>286</v>
      </c>
      <c r="AX3" t="s">
        <v>5</v>
      </c>
      <c r="AY3">
        <v>4</v>
      </c>
      <c r="AZ3" s="3" t="s">
        <v>19</v>
      </c>
    </row>
    <row r="4" spans="1:61" ht="18" x14ac:dyDescent="0.4">
      <c r="A4" s="1"/>
      <c r="B4" t="s">
        <v>240</v>
      </c>
      <c r="C4">
        <f>'First estimates'!C30</f>
        <v>1</v>
      </c>
      <c r="D4" s="3" t="s">
        <v>8</v>
      </c>
      <c r="F4" t="s">
        <v>190</v>
      </c>
      <c r="G4">
        <v>355</v>
      </c>
      <c r="H4" s="3" t="s">
        <v>14</v>
      </c>
      <c r="J4" t="s">
        <v>189</v>
      </c>
      <c r="K4">
        <f>(G9/2*G8+G7*G6)/(2*G7)</f>
        <v>10.7</v>
      </c>
      <c r="L4" s="3" t="s">
        <v>9</v>
      </c>
      <c r="M4" t="s">
        <v>193</v>
      </c>
      <c r="N4" s="16" t="s">
        <v>215</v>
      </c>
      <c r="O4">
        <v>1.25</v>
      </c>
      <c r="P4" s="3" t="s">
        <v>61</v>
      </c>
      <c r="R4" s="16" t="s">
        <v>215</v>
      </c>
      <c r="S4">
        <v>1.25</v>
      </c>
      <c r="T4" s="3" t="s">
        <v>61</v>
      </c>
      <c r="V4" t="s">
        <v>5</v>
      </c>
      <c r="W4">
        <v>240</v>
      </c>
      <c r="X4" s="3" t="s">
        <v>9</v>
      </c>
      <c r="Z4" t="s">
        <v>270</v>
      </c>
      <c r="AA4" t="b">
        <f>($W$3-2*$W$6)/$W$5&lt;72*$AA$3</f>
        <v>1</v>
      </c>
      <c r="AB4" s="25" t="s">
        <v>270</v>
      </c>
      <c r="AC4" t="b">
        <f>($W$4/2-W5/2-AC3)/$W$6&lt;9*$AA$3</f>
        <v>1</v>
      </c>
      <c r="AD4" t="s">
        <v>7</v>
      </c>
      <c r="AE4">
        <v>12.5</v>
      </c>
      <c r="AF4" s="3" t="s">
        <v>9</v>
      </c>
      <c r="AH4" t="s">
        <v>270</v>
      </c>
      <c r="AI4" t="b">
        <f>$AE$3/$AE$4&lt;50*$AI$3^2</f>
        <v>1</v>
      </c>
      <c r="AJ4" s="25">
        <f>AE3/AE4</f>
        <v>11.175999999999998</v>
      </c>
      <c r="AL4" t="s">
        <v>7</v>
      </c>
      <c r="AM4">
        <v>110</v>
      </c>
      <c r="AN4" s="3" t="s">
        <v>9</v>
      </c>
      <c r="AP4" t="s">
        <v>270</v>
      </c>
      <c r="AQ4" t="b">
        <f>$AM$3/$AM$4&lt;50*$AQ$3^2</f>
        <v>1</v>
      </c>
      <c r="AR4" s="25">
        <f>AM3/AM4</f>
        <v>10.909090909090908</v>
      </c>
      <c r="AX4" t="s">
        <v>327</v>
      </c>
      <c r="AY4" t="s">
        <v>10</v>
      </c>
      <c r="AZ4" s="2" t="s">
        <v>6</v>
      </c>
      <c r="BA4" t="s">
        <v>7</v>
      </c>
      <c r="BB4" t="s">
        <v>141</v>
      </c>
      <c r="BC4" t="s">
        <v>326</v>
      </c>
      <c r="BD4" t="s">
        <v>333</v>
      </c>
      <c r="BE4" t="s">
        <v>20</v>
      </c>
      <c r="BF4" t="s">
        <v>205</v>
      </c>
      <c r="BH4" t="s">
        <v>182</v>
      </c>
    </row>
    <row r="5" spans="1:61" x14ac:dyDescent="0.25">
      <c r="A5" s="1" t="s">
        <v>241</v>
      </c>
      <c r="B5" t="s">
        <v>53</v>
      </c>
      <c r="C5">
        <v>42.85</v>
      </c>
      <c r="D5" s="3" t="s">
        <v>52</v>
      </c>
      <c r="F5" t="s">
        <v>191</v>
      </c>
      <c r="G5">
        <v>355</v>
      </c>
      <c r="H5" s="3" t="s">
        <v>14</v>
      </c>
      <c r="J5" t="s">
        <v>194</v>
      </c>
      <c r="K5" t="b">
        <f>$G$9/$G$8&lt;(33*$K$3)</f>
        <v>1</v>
      </c>
      <c r="N5" s="16" t="s">
        <v>216</v>
      </c>
      <c r="O5">
        <v>490</v>
      </c>
      <c r="P5" s="3" t="s">
        <v>14</v>
      </c>
      <c r="R5" s="16" t="s">
        <v>216</v>
      </c>
      <c r="S5">
        <v>490</v>
      </c>
      <c r="T5" s="3" t="s">
        <v>14</v>
      </c>
      <c r="V5" t="s">
        <v>583</v>
      </c>
      <c r="W5">
        <v>10</v>
      </c>
      <c r="X5" s="3" t="s">
        <v>9</v>
      </c>
      <c r="Z5" t="s">
        <v>270</v>
      </c>
      <c r="AA5" t="b">
        <f>($W$3-2*$W$6)/$W$5&lt;83*$AA$3</f>
        <v>1</v>
      </c>
      <c r="AB5" s="25" t="s">
        <v>271</v>
      </c>
      <c r="AC5" t="b">
        <f>($W$4/2-W5/2-AC3)/$W$6&lt;10*$AA$3</f>
        <v>1</v>
      </c>
      <c r="AD5" t="s">
        <v>20</v>
      </c>
      <c r="AE5">
        <v>100</v>
      </c>
      <c r="AF5" s="3" t="s">
        <v>9</v>
      </c>
      <c r="AH5" t="s">
        <v>271</v>
      </c>
      <c r="AI5" t="b">
        <f>$AE$3/$AE$4&lt;70*$AI$3^2</f>
        <v>1</v>
      </c>
      <c r="AJ5" s="3"/>
      <c r="AL5" t="s">
        <v>231</v>
      </c>
      <c r="AM5">
        <v>3500</v>
      </c>
      <c r="AN5" s="3" t="s">
        <v>9</v>
      </c>
      <c r="AP5" t="s">
        <v>271</v>
      </c>
      <c r="AQ5" t="b">
        <f>$AM$3/$AM$4&lt;70*$AQ$3^2</f>
        <v>1</v>
      </c>
      <c r="AR5" s="3"/>
      <c r="AY5">
        <v>3</v>
      </c>
      <c r="AZ5">
        <v>1200</v>
      </c>
      <c r="BA5">
        <v>110</v>
      </c>
      <c r="BB5">
        <f t="shared" ref="BB5:BB11" si="0">AY5*(1/4*PI()*AZ5^2-1/4*PI()*(AZ5-2*BA5)^2)</f>
        <v>1130030.877496249</v>
      </c>
      <c r="BC5">
        <v>0</v>
      </c>
      <c r="BD5" s="10">
        <f>AZ21</f>
        <v>2263.6430533231924</v>
      </c>
      <c r="BE5">
        <v>40</v>
      </c>
      <c r="BF5">
        <f>BB5*BE5*1000</f>
        <v>45201235099.84996</v>
      </c>
      <c r="BH5">
        <f t="shared" ref="BH5:BH14" si="1">PI()*AZ5^4/64-PI()*(AZ5-2*BA5)^4/64</f>
        <v>56510960798.791565</v>
      </c>
      <c r="BI5" s="3" t="s">
        <v>58</v>
      </c>
    </row>
    <row r="6" spans="1:61" x14ac:dyDescent="0.25">
      <c r="B6" t="s">
        <v>240</v>
      </c>
      <c r="C6">
        <v>-1</v>
      </c>
      <c r="D6" s="3" t="s">
        <v>8</v>
      </c>
      <c r="F6" t="s">
        <v>177</v>
      </c>
      <c r="G6">
        <v>20</v>
      </c>
      <c r="H6" s="3" t="s">
        <v>9</v>
      </c>
      <c r="J6" t="s">
        <v>195</v>
      </c>
      <c r="K6" t="b">
        <f>$G$9/$G$8&lt;(38*$K$3)</f>
        <v>1</v>
      </c>
      <c r="N6" s="16" t="s">
        <v>217</v>
      </c>
      <c r="O6" s="7">
        <f>$G$8*$O$3*$O$4*0.5*SQRT(2)*$G$5/$O$5</f>
        <v>8.0685934496107841</v>
      </c>
      <c r="P6" s="3" t="s">
        <v>9</v>
      </c>
      <c r="R6" s="16" t="s">
        <v>230</v>
      </c>
      <c r="S6">
        <v>3</v>
      </c>
      <c r="T6" s="3" t="s">
        <v>9</v>
      </c>
      <c r="V6" t="s">
        <v>177</v>
      </c>
      <c r="W6">
        <v>17</v>
      </c>
      <c r="X6" s="3" t="s">
        <v>14</v>
      </c>
      <c r="Z6" t="s">
        <v>270</v>
      </c>
      <c r="AA6" t="b">
        <f>($W$3-2*$W$6)/$W$5&lt;124*$AA$3</f>
        <v>1</v>
      </c>
      <c r="AB6" s="25" t="s">
        <v>272</v>
      </c>
      <c r="AC6" t="b">
        <f>($W$4/2-W5/2-AC3)/$W$6&lt;14*$AA$3</f>
        <v>1</v>
      </c>
      <c r="AD6" t="s">
        <v>229</v>
      </c>
      <c r="AE6">
        <v>355</v>
      </c>
      <c r="AF6" s="3" t="s">
        <v>14</v>
      </c>
      <c r="AH6" t="s">
        <v>272</v>
      </c>
      <c r="AI6" t="b">
        <f>$AE$3/$AE$4&lt;90*$AI$3^2</f>
        <v>1</v>
      </c>
      <c r="AL6" t="s">
        <v>229</v>
      </c>
      <c r="AM6">
        <v>355</v>
      </c>
      <c r="AN6" s="3" t="s">
        <v>14</v>
      </c>
      <c r="AP6" t="s">
        <v>272</v>
      </c>
      <c r="AQ6" t="b">
        <f>$AM$3/$AM$4&lt;90*$AQ$3^2</f>
        <v>1</v>
      </c>
      <c r="AY6">
        <v>3</v>
      </c>
      <c r="AZ6">
        <v>1200</v>
      </c>
      <c r="BA6">
        <v>110</v>
      </c>
      <c r="BB6">
        <f>AY6*(1/4*PI()*AZ6^2-1/4*PI()*(AZ6-2*BA6)^2)</f>
        <v>1130030.877496249</v>
      </c>
      <c r="BC6">
        <f>AY3*1000</f>
        <v>4000</v>
      </c>
      <c r="BD6" s="10">
        <f>BC6-AZ21</f>
        <v>1736.3569466768076</v>
      </c>
      <c r="BE6">
        <v>40</v>
      </c>
      <c r="BF6">
        <f t="shared" ref="BF6:BF11" si="2">BB6*BE6*1000</f>
        <v>45201235099.84996</v>
      </c>
      <c r="BH6">
        <f t="shared" si="1"/>
        <v>56510960798.791565</v>
      </c>
      <c r="BI6" s="3" t="s">
        <v>58</v>
      </c>
    </row>
    <row r="7" spans="1:61" ht="18" x14ac:dyDescent="0.4">
      <c r="F7" t="s">
        <v>187</v>
      </c>
      <c r="G7">
        <v>1000</v>
      </c>
      <c r="H7" s="3" t="s">
        <v>9</v>
      </c>
      <c r="J7" t="s">
        <v>196</v>
      </c>
      <c r="K7" t="b">
        <f>$G$9/$G$8&lt;(42*$K$3)</f>
        <v>1</v>
      </c>
      <c r="N7" s="16" t="s">
        <v>213</v>
      </c>
      <c r="O7">
        <v>7</v>
      </c>
      <c r="P7" s="3" t="s">
        <v>9</v>
      </c>
      <c r="R7" s="2" t="s">
        <v>316</v>
      </c>
      <c r="S7" s="27">
        <v>1</v>
      </c>
      <c r="T7" s="3" t="s">
        <v>61</v>
      </c>
      <c r="V7" t="s">
        <v>229</v>
      </c>
      <c r="W7">
        <v>355</v>
      </c>
      <c r="X7" s="3" t="s">
        <v>14</v>
      </c>
      <c r="AD7" t="s">
        <v>216</v>
      </c>
      <c r="AE7">
        <v>490</v>
      </c>
      <c r="AF7" s="3" t="s">
        <v>14</v>
      </c>
      <c r="AL7" t="s">
        <v>216</v>
      </c>
      <c r="AM7">
        <v>490</v>
      </c>
      <c r="AN7" s="3" t="s">
        <v>14</v>
      </c>
      <c r="AY7">
        <v>6</v>
      </c>
      <c r="AZ7">
        <v>1200</v>
      </c>
      <c r="BA7">
        <v>110</v>
      </c>
      <c r="BB7">
        <f t="shared" si="0"/>
        <v>2260061.7549924981</v>
      </c>
      <c r="BC7">
        <f>AY3/2*1000</f>
        <v>2000</v>
      </c>
      <c r="BD7" s="10">
        <f>AZ21-BC7</f>
        <v>263.64305332319236</v>
      </c>
      <c r="BE7" s="27">
        <f>SQRT(6.667^2+(AY3-AZ6/1000)^2)</f>
        <v>7.2311056554305715</v>
      </c>
      <c r="BF7">
        <f t="shared" si="2"/>
        <v>16342745338.148596</v>
      </c>
      <c r="BH7">
        <f t="shared" si="1"/>
        <v>56510960798.791565</v>
      </c>
      <c r="BI7" s="3" t="s">
        <v>58</v>
      </c>
    </row>
    <row r="8" spans="1:61" ht="18" x14ac:dyDescent="0.4">
      <c r="A8" s="1" t="s">
        <v>218</v>
      </c>
      <c r="B8" t="s">
        <v>148</v>
      </c>
      <c r="C8">
        <v>600</v>
      </c>
      <c r="D8" s="3" t="s">
        <v>52</v>
      </c>
      <c r="F8" t="s">
        <v>178</v>
      </c>
      <c r="G8" s="10">
        <v>14</v>
      </c>
      <c r="H8" s="3" t="s">
        <v>9</v>
      </c>
      <c r="J8" t="s">
        <v>202</v>
      </c>
      <c r="K8" t="b">
        <f>K4&lt;G6</f>
        <v>1</v>
      </c>
      <c r="N8" s="16" t="s">
        <v>224</v>
      </c>
      <c r="O8">
        <v>1000</v>
      </c>
      <c r="P8" s="3" t="s">
        <v>9</v>
      </c>
      <c r="S8" s="16"/>
      <c r="T8" s="3"/>
      <c r="V8" t="s">
        <v>216</v>
      </c>
      <c r="W8">
        <v>490</v>
      </c>
      <c r="X8" s="3" t="s">
        <v>14</v>
      </c>
      <c r="AD8" t="s">
        <v>213</v>
      </c>
      <c r="AE8">
        <v>7</v>
      </c>
      <c r="AF8" s="3" t="s">
        <v>9</v>
      </c>
      <c r="AH8" s="16" t="s">
        <v>214</v>
      </c>
      <c r="AI8" s="27">
        <v>0.9</v>
      </c>
      <c r="AL8" t="s">
        <v>317</v>
      </c>
      <c r="AM8">
        <v>6</v>
      </c>
      <c r="AN8" s="3" t="s">
        <v>10</v>
      </c>
      <c r="AY8">
        <v>6</v>
      </c>
      <c r="AZ8">
        <v>1000</v>
      </c>
      <c r="BA8">
        <v>85</v>
      </c>
      <c r="BB8">
        <f t="shared" si="0"/>
        <v>1466024.211797677</v>
      </c>
      <c r="BC8">
        <f>$AY$3/2*1000</f>
        <v>2000</v>
      </c>
      <c r="BD8" s="10">
        <f>AZ21-BC8</f>
        <v>263.64305332319236</v>
      </c>
      <c r="BE8" s="27">
        <f>BE7</f>
        <v>7.2311056554305715</v>
      </c>
      <c r="BF8">
        <f t="shared" si="2"/>
        <v>10600975968.928328</v>
      </c>
      <c r="BH8">
        <f t="shared" si="1"/>
        <v>25791336367.761421</v>
      </c>
      <c r="BI8" s="3" t="s">
        <v>58</v>
      </c>
    </row>
    <row r="9" spans="1:61" ht="18" x14ac:dyDescent="0.4">
      <c r="F9" t="s">
        <v>179</v>
      </c>
      <c r="G9" s="10">
        <v>200</v>
      </c>
      <c r="H9" s="3" t="s">
        <v>9</v>
      </c>
      <c r="J9" t="s">
        <v>197</v>
      </c>
      <c r="K9" t="b">
        <f>($G$7/2-$G$8/2)/$G$6&lt;(9*$K$3)</f>
        <v>0</v>
      </c>
      <c r="N9" s="16" t="s">
        <v>218</v>
      </c>
      <c r="O9" s="7">
        <f>C8</f>
        <v>600</v>
      </c>
      <c r="P9" s="3" t="s">
        <v>52</v>
      </c>
      <c r="Q9" s="1" t="s">
        <v>238</v>
      </c>
      <c r="R9" t="s">
        <v>206</v>
      </c>
      <c r="S9" s="11">
        <f>134.2*G3/1000</f>
        <v>268.39999999999998</v>
      </c>
      <c r="T9" s="3" t="s">
        <v>223</v>
      </c>
      <c r="V9" s="16" t="s">
        <v>221</v>
      </c>
      <c r="W9">
        <v>360.25</v>
      </c>
      <c r="X9" s="3" t="s">
        <v>57</v>
      </c>
      <c r="Y9" t="s">
        <v>226</v>
      </c>
      <c r="AH9" s="16" t="s">
        <v>215</v>
      </c>
      <c r="AI9">
        <v>1.25</v>
      </c>
      <c r="AK9" t="s">
        <v>588</v>
      </c>
      <c r="AL9" t="s">
        <v>221</v>
      </c>
      <c r="AM9">
        <v>44679</v>
      </c>
      <c r="AN9" s="3" t="s">
        <v>57</v>
      </c>
      <c r="AO9" t="s">
        <v>206</v>
      </c>
      <c r="AP9">
        <v>2610</v>
      </c>
      <c r="AQ9" t="s">
        <v>65</v>
      </c>
      <c r="AR9" t="s">
        <v>262</v>
      </c>
      <c r="AS9">
        <v>0.3</v>
      </c>
      <c r="AT9" t="s">
        <v>65</v>
      </c>
      <c r="AY9">
        <v>6</v>
      </c>
      <c r="AZ9">
        <v>800</v>
      </c>
      <c r="BA9">
        <v>85</v>
      </c>
      <c r="BB9">
        <f t="shared" si="0"/>
        <v>1145581.7611315181</v>
      </c>
      <c r="BC9">
        <f>$AY$3/2*1000</f>
        <v>2000</v>
      </c>
      <c r="BD9" s="10">
        <f>AZ21-BC9</f>
        <v>263.64305332319236</v>
      </c>
      <c r="BE9" s="27">
        <f>BE8</f>
        <v>7.2311056554305715</v>
      </c>
      <c r="BF9">
        <f t="shared" si="2"/>
        <v>8283822751.6762342</v>
      </c>
      <c r="BH9">
        <f t="shared" si="1"/>
        <v>12373476334.554905</v>
      </c>
      <c r="BI9" s="3" t="s">
        <v>58</v>
      </c>
    </row>
    <row r="10" spans="1:61" ht="18" x14ac:dyDescent="0.4">
      <c r="B10" t="s">
        <v>254</v>
      </c>
      <c r="C10">
        <v>210000</v>
      </c>
      <c r="D10" s="3" t="s">
        <v>14</v>
      </c>
      <c r="F10" t="s">
        <v>561</v>
      </c>
      <c r="G10">
        <v>100</v>
      </c>
      <c r="H10" s="3" t="s">
        <v>9</v>
      </c>
      <c r="J10" t="s">
        <v>198</v>
      </c>
      <c r="K10" t="b">
        <f>($G$7/2-$G$8/2)/$G$6&lt;(10*$K$3)</f>
        <v>0</v>
      </c>
      <c r="N10" s="16" t="s">
        <v>220</v>
      </c>
      <c r="O10" s="7">
        <f>O9*(G9/1000)</f>
        <v>120</v>
      </c>
      <c r="P10" s="3" t="s">
        <v>223</v>
      </c>
      <c r="R10" s="2" t="s">
        <v>160</v>
      </c>
      <c r="S10">
        <v>1.25</v>
      </c>
      <c r="T10" s="3" t="s">
        <v>61</v>
      </c>
      <c r="V10" s="16" t="s">
        <v>206</v>
      </c>
      <c r="W10">
        <v>470.09</v>
      </c>
      <c r="X10" s="3" t="s">
        <v>65</v>
      </c>
      <c r="Y10" t="s">
        <v>226</v>
      </c>
      <c r="AD10" t="s">
        <v>285</v>
      </c>
      <c r="AE10" s="27">
        <f>((1/4*PI()*(W3/1000)^2-1/4*PI()*((W3-2*W4)/1000)^2)*(AM5/1000)*6.85*9.81+(W5/1000)*(AM5/1000)*(G6/1000)*6.85*9.81+INT(AM5/G7+1)*(G9/1000)*(G8/1000)*6.85*9.81)*1.35</f>
        <v>1.0795439025000002</v>
      </c>
      <c r="AF10" t="s">
        <v>65</v>
      </c>
      <c r="AK10" t="s">
        <v>318</v>
      </c>
      <c r="AL10" t="s">
        <v>206</v>
      </c>
      <c r="AM10">
        <v>4259</v>
      </c>
      <c r="AN10" s="3" t="s">
        <v>65</v>
      </c>
      <c r="AO10" t="s">
        <v>221</v>
      </c>
      <c r="AP10">
        <v>19894</v>
      </c>
      <c r="AQ10" t="s">
        <v>57</v>
      </c>
      <c r="AR10" t="s">
        <v>262</v>
      </c>
      <c r="AS10">
        <v>250</v>
      </c>
      <c r="AT10" t="s">
        <v>65</v>
      </c>
      <c r="AU10" t="s">
        <v>276</v>
      </c>
      <c r="AV10">
        <v>-7512.61</v>
      </c>
      <c r="AW10" s="3" t="s">
        <v>65</v>
      </c>
      <c r="AY10">
        <v>6</v>
      </c>
      <c r="AZ10">
        <v>457</v>
      </c>
      <c r="BA10">
        <v>40</v>
      </c>
      <c r="BB10">
        <f t="shared" si="0"/>
        <v>314410.59277126647</v>
      </c>
      <c r="BC10">
        <f>$AY$3/2*1000</f>
        <v>2000</v>
      </c>
      <c r="BD10" s="10">
        <f>BC10-AZ21</f>
        <v>-263.64305332319236</v>
      </c>
      <c r="BE10">
        <f>AY3-AZ6/1000</f>
        <v>2.8</v>
      </c>
      <c r="BF10">
        <f t="shared" si="2"/>
        <v>880349659.75954604</v>
      </c>
      <c r="BH10">
        <f t="shared" si="1"/>
        <v>1149491677.3924332</v>
      </c>
      <c r="BI10" s="3" t="s">
        <v>58</v>
      </c>
    </row>
    <row r="11" spans="1:61" x14ac:dyDescent="0.25">
      <c r="B11" t="s">
        <v>62</v>
      </c>
      <c r="C11">
        <v>79300</v>
      </c>
      <c r="D11" s="3" t="s">
        <v>14</v>
      </c>
      <c r="F11" t="s">
        <v>188</v>
      </c>
      <c r="G11" s="27">
        <f>1/8*134.2*(G7/1000)*(G3/1000)^2</f>
        <v>67.099999999999994</v>
      </c>
      <c r="H11" s="3" t="s">
        <v>57</v>
      </c>
      <c r="J11" t="s">
        <v>199</v>
      </c>
      <c r="K11" t="b">
        <f>($G$7/2-$G$8/2)/$G$6&lt;(14*$K$3)</f>
        <v>0</v>
      </c>
      <c r="N11" t="s">
        <v>221</v>
      </c>
      <c r="O11" s="7">
        <f>O10*0.5*(G9/1000)</f>
        <v>12</v>
      </c>
      <c r="P11" s="3" t="s">
        <v>222</v>
      </c>
      <c r="R11" t="s">
        <v>232</v>
      </c>
      <c r="S11" s="11">
        <f>((3*(G10*G6+G9*G8)+G6*1000)*G3*10^(-9)*(7850-1000)+83.2)*9.81/1000</f>
        <v>5.4394488000000001</v>
      </c>
      <c r="T11" s="3" t="s">
        <v>223</v>
      </c>
      <c r="V11" s="16" t="s">
        <v>262</v>
      </c>
      <c r="W11">
        <v>0</v>
      </c>
      <c r="X11" s="3" t="s">
        <v>65</v>
      </c>
      <c r="Y11" t="s">
        <v>226</v>
      </c>
      <c r="AD11" t="s">
        <v>262</v>
      </c>
      <c r="AE11">
        <v>890.9</v>
      </c>
      <c r="AF11" t="s">
        <v>65</v>
      </c>
      <c r="AG11" t="s">
        <v>188</v>
      </c>
      <c r="AH11" t="s">
        <v>307</v>
      </c>
      <c r="AI11" s="27">
        <f>AE10*(AE5/1000)</f>
        <v>0.10795439025000003</v>
      </c>
      <c r="AJ11" t="s">
        <v>57</v>
      </c>
      <c r="AK11" t="s">
        <v>320</v>
      </c>
      <c r="AL11" t="s">
        <v>221</v>
      </c>
      <c r="AM11">
        <v>2167</v>
      </c>
      <c r="AN11" s="3" t="s">
        <v>57</v>
      </c>
      <c r="AO11" t="s">
        <v>206</v>
      </c>
      <c r="AP11">
        <v>0</v>
      </c>
      <c r="AQ11" t="s">
        <v>65</v>
      </c>
      <c r="AR11" t="s">
        <v>262</v>
      </c>
      <c r="AS11">
        <v>0</v>
      </c>
      <c r="AT11" t="s">
        <v>65</v>
      </c>
      <c r="AY11">
        <v>4</v>
      </c>
      <c r="AZ11">
        <v>457</v>
      </c>
      <c r="BA11">
        <v>40</v>
      </c>
      <c r="BB11">
        <f t="shared" si="0"/>
        <v>209607.06184751098</v>
      </c>
      <c r="BC11">
        <f>$AY$3/2*1000</f>
        <v>2000</v>
      </c>
      <c r="BD11" s="10">
        <f>BC11-AZ21</f>
        <v>-263.64305332319236</v>
      </c>
      <c r="BE11" s="27">
        <f>SQRT(AY3^2+(3.5-AZ6/1000)^2)</f>
        <v>4.6141087980237305</v>
      </c>
      <c r="BF11">
        <f t="shared" si="2"/>
        <v>967149788.19850457</v>
      </c>
      <c r="BH11">
        <f t="shared" si="1"/>
        <v>1149491677.3924332</v>
      </c>
      <c r="BI11" s="3" t="s">
        <v>58</v>
      </c>
    </row>
    <row r="12" spans="1:61" ht="18" x14ac:dyDescent="0.4">
      <c r="F12" t="s">
        <v>246</v>
      </c>
      <c r="G12" s="11">
        <f>1/8*$C$5*($G$7/1000)*($G$3/1000)^2</f>
        <v>21.425000000000001</v>
      </c>
      <c r="H12" s="3" t="s">
        <v>57</v>
      </c>
      <c r="N12" s="2" t="s">
        <v>59</v>
      </c>
      <c r="O12" s="13">
        <f>O10*1000*SQRT(2)/(4*O7*O8)+0.5*SQRT(2)*O11*10^6/((G8+0.5*SQRT(2)*O7)*O7*O8)</f>
        <v>70.029211176800985</v>
      </c>
      <c r="P12" s="3" t="s">
        <v>14</v>
      </c>
      <c r="R12" s="2" t="s">
        <v>59</v>
      </c>
      <c r="S12" s="13">
        <f>1/4*SQRT(2)*S9*1000/(S6*1000)</f>
        <v>31.631243345078225</v>
      </c>
      <c r="T12" s="3" t="s">
        <v>234</v>
      </c>
      <c r="V12" s="16" t="s">
        <v>276</v>
      </c>
      <c r="W12">
        <v>0</v>
      </c>
      <c r="X12" s="3" t="s">
        <v>65</v>
      </c>
      <c r="Y12" t="s">
        <v>275</v>
      </c>
      <c r="AD12" t="s">
        <v>276</v>
      </c>
      <c r="AE12">
        <v>890.9</v>
      </c>
      <c r="AF12" t="s">
        <v>65</v>
      </c>
      <c r="AG12" t="s">
        <v>188</v>
      </c>
      <c r="AK12" t="s">
        <v>319</v>
      </c>
      <c r="AL12" t="s">
        <v>262</v>
      </c>
      <c r="AM12">
        <v>4259</v>
      </c>
      <c r="AN12" s="3" t="s">
        <v>65</v>
      </c>
      <c r="AO12" t="s">
        <v>206</v>
      </c>
      <c r="AP12">
        <v>19894</v>
      </c>
      <c r="AQ12" t="s">
        <v>65</v>
      </c>
      <c r="AR12" t="s">
        <v>221</v>
      </c>
      <c r="AS12">
        <v>250</v>
      </c>
      <c r="AT12" t="s">
        <v>57</v>
      </c>
      <c r="AY12">
        <v>4</v>
      </c>
      <c r="AZ12">
        <v>457</v>
      </c>
      <c r="BA12">
        <v>40</v>
      </c>
      <c r="BB12">
        <f>AY12*(1/4*PI()*AZ12^2-1/4*PI()*(AZ12-2*BA12)^2)</f>
        <v>209607.06184751098</v>
      </c>
      <c r="BC12">
        <v>0</v>
      </c>
      <c r="BD12" s="10">
        <f>AZ21</f>
        <v>2263.6430533231924</v>
      </c>
      <c r="BE12">
        <f>AY5-AZ8/1000</f>
        <v>2</v>
      </c>
      <c r="BF12">
        <f>BB12*BE12*1000</f>
        <v>419214123.69502199</v>
      </c>
      <c r="BH12">
        <f t="shared" si="1"/>
        <v>1149491677.3924332</v>
      </c>
      <c r="BI12" s="3" t="s">
        <v>58</v>
      </c>
    </row>
    <row r="13" spans="1:61" ht="18" x14ac:dyDescent="0.4">
      <c r="C13" s="1" t="s">
        <v>238</v>
      </c>
      <c r="D13" s="31" t="s">
        <v>204</v>
      </c>
      <c r="F13" s="1" t="s">
        <v>192</v>
      </c>
      <c r="G13" s="10"/>
      <c r="J13" s="1"/>
      <c r="N13" s="2" t="s">
        <v>225</v>
      </c>
      <c r="O13" s="13">
        <f>O12</f>
        <v>70.029211176800985</v>
      </c>
      <c r="P13" s="3" t="s">
        <v>14</v>
      </c>
      <c r="R13" s="2" t="s">
        <v>225</v>
      </c>
      <c r="S13" s="13">
        <f>S12</f>
        <v>31.631243345078225</v>
      </c>
      <c r="T13" s="3" t="s">
        <v>234</v>
      </c>
      <c r="V13" s="1" t="s">
        <v>192</v>
      </c>
      <c r="Y13" s="1"/>
      <c r="Z13" s="1" t="s">
        <v>201</v>
      </c>
      <c r="AD13" s="1" t="s">
        <v>192</v>
      </c>
      <c r="AF13" s="3"/>
      <c r="AG13" s="1"/>
      <c r="AH13" s="1" t="s">
        <v>201</v>
      </c>
      <c r="AJ13" s="3"/>
      <c r="AK13" s="1"/>
      <c r="AL13" s="1" t="s">
        <v>192</v>
      </c>
      <c r="AP13" s="1" t="s">
        <v>201</v>
      </c>
      <c r="AY13">
        <v>12</v>
      </c>
      <c r="AZ13">
        <v>457</v>
      </c>
      <c r="BA13">
        <v>40</v>
      </c>
      <c r="BB13">
        <f>AY13*(1/4*PI()*AZ13^2-1/4*PI()*(AZ13-2*BA13)^2)</f>
        <v>628821.18554253294</v>
      </c>
      <c r="BC13">
        <f>AY3*1000</f>
        <v>4000</v>
      </c>
      <c r="BD13" s="10">
        <f>BC13-AZ21</f>
        <v>1736.3569466768076</v>
      </c>
      <c r="BE13" s="27">
        <f>SQRT(6.667^2+(3.5-AZ5/1000)^2)</f>
        <v>7.0525803079440363</v>
      </c>
      <c r="BF13">
        <f>BB13*BE13*1000</f>
        <v>4434811910.3752909</v>
      </c>
      <c r="BH13">
        <f t="shared" si="1"/>
        <v>1149491677.3924332</v>
      </c>
      <c r="BI13" s="3" t="s">
        <v>58</v>
      </c>
    </row>
    <row r="14" spans="1:61" ht="18" x14ac:dyDescent="0.4">
      <c r="F14" t="s">
        <v>328</v>
      </c>
      <c r="G14" s="11">
        <f>(G7*G6*(G6/2)+G10*G6*(G6/2+G9+G6)+(G9-K14)*G8*((G9-K14)/2+K14+G6))/(G7*G6+(G9-K14)*G8+G10*G6)</f>
        <v>40.165016501650165</v>
      </c>
      <c r="H14" s="3" t="s">
        <v>9</v>
      </c>
      <c r="I14" t="s">
        <v>181</v>
      </c>
      <c r="J14" t="s">
        <v>351</v>
      </c>
      <c r="K14">
        <f>MIN(40,(G9+2*G6)/4)</f>
        <v>40</v>
      </c>
      <c r="L14" s="3" t="s">
        <v>9</v>
      </c>
      <c r="N14" s="2" t="s">
        <v>316</v>
      </c>
      <c r="O14" s="27">
        <f>1.2-0.2*W5/(150*O7)</f>
        <v>1.1980952380952381</v>
      </c>
      <c r="P14" s="3" t="s">
        <v>61</v>
      </c>
      <c r="R14" s="2" t="s">
        <v>235</v>
      </c>
      <c r="S14" s="13">
        <f>1/2*S11*1000/(S6*1000)</f>
        <v>0.90657480000000001</v>
      </c>
      <c r="T14" s="3" t="s">
        <v>234</v>
      </c>
      <c r="V14" s="16"/>
      <c r="W14" s="16"/>
      <c r="AA14" s="16"/>
      <c r="AD14" s="16" t="s">
        <v>182</v>
      </c>
      <c r="AE14" s="11">
        <f>PI()*$AE$3^4/64-PI()*($AE$3-2*$AE$4)^4/64</f>
        <v>10200116.391060857</v>
      </c>
      <c r="AF14" s="3" t="s">
        <v>263</v>
      </c>
      <c r="AI14" s="16"/>
      <c r="AJ14" s="3"/>
      <c r="AO14" s="1" t="s">
        <v>318</v>
      </c>
      <c r="AS14" s="1" t="s">
        <v>588</v>
      </c>
      <c r="AY14">
        <v>57</v>
      </c>
      <c r="AZ14">
        <v>139.69999999999999</v>
      </c>
      <c r="BA14">
        <v>12.5</v>
      </c>
      <c r="BB14">
        <f>AY14*(1/4*PI()*AZ14^2-1/4*PI()*(AZ14-2*BA14)^2)</f>
        <v>284722.54219484294</v>
      </c>
      <c r="BC14">
        <f>AY3*1000+AZ5/2+BE14*1000/2</f>
        <v>4650</v>
      </c>
      <c r="BD14" s="10">
        <f>BC14-AZ21</f>
        <v>2386.3569466768076</v>
      </c>
      <c r="BE14" s="27">
        <v>0.1</v>
      </c>
      <c r="BF14">
        <f>BB14*BE14*1000</f>
        <v>28472254.219484296</v>
      </c>
      <c r="BH14" s="10">
        <f t="shared" si="1"/>
        <v>10200116.391060857</v>
      </c>
      <c r="BI14" s="3" t="s">
        <v>58</v>
      </c>
    </row>
    <row r="15" spans="1:61" x14ac:dyDescent="0.25">
      <c r="F15" t="s">
        <v>182</v>
      </c>
      <c r="G15" s="11">
        <f>1/12*G10*G6^3+G10*G6*(G9+G6/2+G6-G14)^2 + 1/12*G7*G6^3+G7*G6*(G6/2-G14)^2 + 1/12*G8*(G9-K14)^3+G8*(G9-K14)*((G9-K14)/2+K14+G6-G14)^2</f>
        <v>118111339.9339934</v>
      </c>
      <c r="H15" s="3" t="s">
        <v>58</v>
      </c>
      <c r="J15" t="s">
        <v>579</v>
      </c>
      <c r="K15">
        <f>6*G6</f>
        <v>120</v>
      </c>
      <c r="L15" s="3" t="s">
        <v>9</v>
      </c>
      <c r="N15" t="s">
        <v>227</v>
      </c>
      <c r="O15" s="13">
        <f>SQRT($O$12^2+3*$O$13^2)/($O$5*O14/($O$3*$O$4))</f>
        <v>0.26839494404009001</v>
      </c>
      <c r="P15" s="3" t="s">
        <v>61</v>
      </c>
      <c r="R15" t="s">
        <v>227</v>
      </c>
      <c r="S15" s="13">
        <f>SQRT($S$12^2+3*($S$13^2+$S$14^2))/($S$5*S7/($S$3*$S$4))</f>
        <v>0.14529023958038714</v>
      </c>
      <c r="T15" s="3" t="s">
        <v>61</v>
      </c>
      <c r="V15" s="31"/>
      <c r="W15" s="3"/>
      <c r="Z15" s="1" t="s">
        <v>203</v>
      </c>
      <c r="AA15" s="16"/>
      <c r="AD15" s="31" t="s">
        <v>203</v>
      </c>
      <c r="AF15" s="3"/>
      <c r="AH15" s="1" t="s">
        <v>203</v>
      </c>
      <c r="AI15" s="16"/>
      <c r="AJ15" s="3"/>
      <c r="AP15" s="1" t="s">
        <v>203</v>
      </c>
      <c r="AQ15" s="16"/>
      <c r="AR15" s="3"/>
      <c r="AT15" s="1" t="s">
        <v>203</v>
      </c>
      <c r="AU15" s="16"/>
      <c r="AV15" s="3"/>
      <c r="AX15" t="s">
        <v>591</v>
      </c>
      <c r="AY15">
        <v>9</v>
      </c>
      <c r="BB15">
        <f>AY15*10599</f>
        <v>95391</v>
      </c>
      <c r="BC15">
        <f>BC14+BE14*1000/2+240/2</f>
        <v>4820</v>
      </c>
      <c r="BE15">
        <v>10.4</v>
      </c>
      <c r="BF15">
        <f>BB15*BE15*1000</f>
        <v>992066400</v>
      </c>
      <c r="BI15" s="3"/>
    </row>
    <row r="16" spans="1:61" x14ac:dyDescent="0.25">
      <c r="F16" t="s">
        <v>183</v>
      </c>
      <c r="G16" s="26">
        <f>$G$11*10^6*($G$9+$G$6+G6-$G$14)/$G$15</f>
        <v>113.52785769963205</v>
      </c>
      <c r="H16" s="3" t="s">
        <v>14</v>
      </c>
      <c r="J16" t="s">
        <v>580</v>
      </c>
      <c r="K16" s="10">
        <f>G9-K14</f>
        <v>160</v>
      </c>
      <c r="L16" s="3" t="s">
        <v>9</v>
      </c>
      <c r="N16" t="s">
        <v>228</v>
      </c>
      <c r="O16" s="13">
        <f>$O$12/(0.9*$O$5*O14/$O$4)</f>
        <v>0.16567589138277167</v>
      </c>
      <c r="P16" s="3" t="s">
        <v>61</v>
      </c>
      <c r="R16" t="s">
        <v>228</v>
      </c>
      <c r="S16" s="13">
        <f>$S$12/(0.9*$S$5*S7/$S$4)</f>
        <v>8.9657719232081129E-2</v>
      </c>
      <c r="T16" s="3" t="s">
        <v>61</v>
      </c>
      <c r="W16" s="3"/>
      <c r="Z16" t="s">
        <v>582</v>
      </c>
      <c r="AA16" s="16">
        <v>8160</v>
      </c>
      <c r="AB16" s="3" t="s">
        <v>346</v>
      </c>
      <c r="AD16" t="s">
        <v>265</v>
      </c>
      <c r="AE16" s="11">
        <f>4/3*(($AE$3/2)^3-($AE$3/2-$AE$4)^3)</f>
        <v>202899.04166666663</v>
      </c>
      <c r="AF16" s="3" t="s">
        <v>263</v>
      </c>
      <c r="AI16" s="3"/>
      <c r="AJ16" s="3"/>
      <c r="AQ16" s="3"/>
      <c r="AR16" s="3"/>
      <c r="AT16" t="s">
        <v>582</v>
      </c>
      <c r="AU16" s="23">
        <f>(2*(1/4*PI()*$AM$3^2-1/4*PI()*($AM$3-2*$AM$4)^2)/PI())</f>
        <v>239800.00000000006</v>
      </c>
      <c r="AV16" s="3" t="s">
        <v>346</v>
      </c>
      <c r="AY16" t="s">
        <v>10</v>
      </c>
      <c r="AZ16" t="s">
        <v>4</v>
      </c>
      <c r="BA16" t="s">
        <v>7</v>
      </c>
      <c r="BB16" t="s">
        <v>141</v>
      </c>
      <c r="BC16" t="s">
        <v>326</v>
      </c>
      <c r="BE16" t="s">
        <v>20</v>
      </c>
      <c r="BF16" t="s">
        <v>205</v>
      </c>
      <c r="BI16" s="3"/>
    </row>
    <row r="17" spans="4:61" x14ac:dyDescent="0.25">
      <c r="F17" t="s">
        <v>185</v>
      </c>
      <c r="G17" s="13">
        <f>G16/G4</f>
        <v>0.31979678225248465</v>
      </c>
      <c r="H17" s="3" t="s">
        <v>61</v>
      </c>
      <c r="W17" s="3"/>
      <c r="Z17" t="s">
        <v>207</v>
      </c>
      <c r="AA17" s="13">
        <f>AA16*W7/SQRT(3)/1000</f>
        <v>1672.468259788508</v>
      </c>
      <c r="AB17" s="3" t="s">
        <v>65</v>
      </c>
      <c r="AD17" t="s">
        <v>266</v>
      </c>
      <c r="AE17" s="11">
        <f>$AE$10*1000*$AE$16/(2*$AE$4*$AE$14)</f>
        <v>0.85896440729364065</v>
      </c>
      <c r="AF17" s="3" t="s">
        <v>14</v>
      </c>
      <c r="AH17" t="s">
        <v>207</v>
      </c>
      <c r="AI17" s="11">
        <f>(2*(1/4*PI()*AE3^2-1/4*PI()*(AE3-2*AE4)^2)/PI())*AE6/SQRT(3)/1000</f>
        <v>651.77071888816852</v>
      </c>
      <c r="AJ17" s="3" t="s">
        <v>65</v>
      </c>
      <c r="AL17" s="16" t="s">
        <v>182</v>
      </c>
      <c r="AM17" s="11">
        <f>PI()*$AM$3^4/64-PI()*($AM$3-2*$AM$4)^4/64</f>
        <v>56510960798.791565</v>
      </c>
      <c r="AN17" s="3" t="s">
        <v>263</v>
      </c>
      <c r="AP17" t="s">
        <v>207</v>
      </c>
      <c r="AQ17" s="11">
        <f>(2*(1/4*PI()*$AM$3^2-1/4*PI()*($AM$3-2*$AM$4)^2)/PI())*$AM$6/SQRT(3)/1000</f>
        <v>49149.251065843666</v>
      </c>
      <c r="AR17" s="3" t="s">
        <v>65</v>
      </c>
      <c r="AT17" t="s">
        <v>207</v>
      </c>
      <c r="AU17" s="11">
        <f>(2*(1/4*PI()*$AM$3^2-1/4*PI()*($AM$3-2*$AM$4)^2)/PI())*$AM$6/SQRT(3)/1000</f>
        <v>49149.251065843666</v>
      </c>
      <c r="AV17" s="3" t="s">
        <v>65</v>
      </c>
      <c r="AX17" t="s">
        <v>592</v>
      </c>
      <c r="AY17">
        <v>1</v>
      </c>
      <c r="AZ17">
        <v>9000</v>
      </c>
      <c r="BA17">
        <v>20</v>
      </c>
      <c r="BB17">
        <f>AY17*AZ17*BA17</f>
        <v>180000</v>
      </c>
      <c r="BC17">
        <f>AY3*1000+AZ5/2+BE14*1000+240+BA17/2</f>
        <v>4950</v>
      </c>
      <c r="BD17" s="10">
        <f>BC17-AZ21</f>
        <v>2686.3569466768076</v>
      </c>
      <c r="BE17">
        <v>40</v>
      </c>
      <c r="BF17">
        <f>BB17*BE17*1000</f>
        <v>7200000000</v>
      </c>
      <c r="BH17">
        <f>1/12*AZ17*BA17^3</f>
        <v>6000000</v>
      </c>
      <c r="BI17" s="3" t="s">
        <v>58</v>
      </c>
    </row>
    <row r="18" spans="4:61" ht="18" x14ac:dyDescent="0.4">
      <c r="F18" t="s">
        <v>184</v>
      </c>
      <c r="G18" s="11">
        <f>-$G$11*10^6*$G$14/$G$15</f>
        <v>-22.818068178439674</v>
      </c>
      <c r="H18" s="3" t="s">
        <v>14</v>
      </c>
      <c r="Q18" s="1" t="s">
        <v>241</v>
      </c>
      <c r="R18" t="s">
        <v>218</v>
      </c>
      <c r="V18" s="2"/>
      <c r="W18" s="3"/>
      <c r="Z18" t="s">
        <v>176</v>
      </c>
      <c r="AA18" s="13">
        <f>W10/AA17</f>
        <v>0.28107558828018969</v>
      </c>
      <c r="AB18" s="3" t="s">
        <v>61</v>
      </c>
      <c r="AD18" s="2" t="s">
        <v>268</v>
      </c>
      <c r="AE18" s="11">
        <f>$AE$6/SQRT(3)</f>
        <v>204.95934556231717</v>
      </c>
      <c r="AF18" s="3" t="s">
        <v>14</v>
      </c>
      <c r="AH18" t="s">
        <v>176</v>
      </c>
      <c r="AI18" s="13">
        <f>AE10/AI17</f>
        <v>1.6563246418028017E-3</v>
      </c>
      <c r="AJ18" s="3" t="s">
        <v>61</v>
      </c>
      <c r="AP18" t="s">
        <v>176</v>
      </c>
      <c r="AQ18" s="13">
        <f>$AM$10/AQ17</f>
        <v>8.6654423162915648E-2</v>
      </c>
      <c r="AR18" s="3" t="s">
        <v>61</v>
      </c>
      <c r="AT18" t="s">
        <v>176</v>
      </c>
      <c r="AU18" s="13">
        <f>$AP$9/AU17</f>
        <v>5.310355587114577E-2</v>
      </c>
      <c r="AV18" s="3" t="s">
        <v>61</v>
      </c>
      <c r="AX18" t="s">
        <v>593</v>
      </c>
      <c r="AY18">
        <v>9</v>
      </c>
      <c r="AZ18" s="10">
        <f>G9</f>
        <v>200</v>
      </c>
      <c r="BA18" s="10">
        <f>G8</f>
        <v>14</v>
      </c>
      <c r="BB18">
        <f>AY18*AZ18*BA18</f>
        <v>25200</v>
      </c>
      <c r="BC18">
        <f>BC17+BA17/2+AZ18/2</f>
        <v>5060</v>
      </c>
      <c r="BD18" s="10">
        <f>BC18-AZ21</f>
        <v>2796.3569466768076</v>
      </c>
      <c r="BE18">
        <v>40</v>
      </c>
      <c r="BF18">
        <f>BB18*BE18*1000</f>
        <v>1008000000</v>
      </c>
      <c r="BH18" s="10">
        <f>1/12*BA18*AZ18^3</f>
        <v>9333333.3333333321</v>
      </c>
      <c r="BI18" s="3" t="s">
        <v>58</v>
      </c>
    </row>
    <row r="19" spans="4:61" x14ac:dyDescent="0.25">
      <c r="F19" t="s">
        <v>186</v>
      </c>
      <c r="G19" s="29">
        <f>ABS(G18)/G5</f>
        <v>6.4276248389970911E-2</v>
      </c>
      <c r="H19" s="3" t="s">
        <v>61</v>
      </c>
      <c r="R19" t="s">
        <v>236</v>
      </c>
      <c r="S19" s="7">
        <f>O10*(W5/1000)</f>
        <v>1.2</v>
      </c>
      <c r="T19" s="3" t="s">
        <v>65</v>
      </c>
      <c r="W19" s="3"/>
      <c r="AA19" t="b">
        <f>AA18&lt;0.5</f>
        <v>1</v>
      </c>
      <c r="AB19" s="3" t="s">
        <v>245</v>
      </c>
      <c r="AD19" t="s">
        <v>176</v>
      </c>
      <c r="AE19" s="13">
        <f>AE17/AE18</f>
        <v>4.1909013952841469E-3</v>
      </c>
      <c r="AF19" s="3" t="s">
        <v>61</v>
      </c>
      <c r="AI19" t="b">
        <f>AI18&lt;0.5</f>
        <v>1</v>
      </c>
      <c r="AJ19" s="3" t="s">
        <v>245</v>
      </c>
      <c r="AQ19" t="b">
        <f>AQ18&lt;0.5</f>
        <v>1</v>
      </c>
      <c r="AR19" s="3" t="s">
        <v>245</v>
      </c>
      <c r="AU19" t="b">
        <f>AU18&lt;0.5</f>
        <v>1</v>
      </c>
      <c r="AV19" s="3" t="s">
        <v>245</v>
      </c>
      <c r="AX19" t="s">
        <v>594</v>
      </c>
      <c r="AY19">
        <v>9</v>
      </c>
      <c r="AZ19">
        <f>G10</f>
        <v>100</v>
      </c>
      <c r="BA19">
        <f>G6</f>
        <v>20</v>
      </c>
      <c r="BB19">
        <f>AY19*AZ19*BA19</f>
        <v>18000</v>
      </c>
      <c r="BC19">
        <f>BC18+AZ18/2+BA19/2</f>
        <v>5170</v>
      </c>
      <c r="BD19" s="10">
        <f>BC19-AZ21</f>
        <v>2906.3569466768076</v>
      </c>
      <c r="BE19">
        <v>40</v>
      </c>
      <c r="BF19">
        <f>BB19*BE19*1000</f>
        <v>720000000</v>
      </c>
      <c r="BH19" s="10">
        <f>1/12*AZ19*BA19^3</f>
        <v>66666.666666666657</v>
      </c>
      <c r="BI19" s="3" t="s">
        <v>58</v>
      </c>
    </row>
    <row r="20" spans="4:61" ht="18" x14ac:dyDescent="0.4">
      <c r="F20" t="s">
        <v>560</v>
      </c>
      <c r="G20" s="23">
        <f>(G7*G6+G9*G8+G10*G6)*(10400/G7)</f>
        <v>257920</v>
      </c>
      <c r="H20" s="3" t="s">
        <v>346</v>
      </c>
      <c r="J20" s="32"/>
      <c r="R20" t="s">
        <v>237</v>
      </c>
      <c r="S20" s="11">
        <f>S19*(G9/1000/2+G6/1000)</f>
        <v>0.14400000000000002</v>
      </c>
      <c r="T20" s="3" t="s">
        <v>57</v>
      </c>
      <c r="U20" t="s">
        <v>208</v>
      </c>
      <c r="W20" s="3"/>
      <c r="Z20" s="2" t="s">
        <v>211</v>
      </c>
      <c r="AA20" s="9">
        <f>(2*W10/AA17-1)^2</f>
        <v>0.19171159218746006</v>
      </c>
      <c r="AB20" s="3" t="s">
        <v>61</v>
      </c>
      <c r="AE20" t="b">
        <f>AE19&lt;0.5</f>
        <v>1</v>
      </c>
      <c r="AF20" s="3" t="s">
        <v>245</v>
      </c>
      <c r="AH20" s="2" t="s">
        <v>211</v>
      </c>
      <c r="AI20" s="9">
        <f>(2*AE10/AI17-1)^2</f>
        <v>0.99338567507806486</v>
      </c>
      <c r="AJ20" s="3" t="s">
        <v>61</v>
      </c>
      <c r="AP20" s="2" t="s">
        <v>211</v>
      </c>
      <c r="AQ20" s="9">
        <f>(2*$AM$10/AQ17-1)^2</f>
        <v>0.68341826356312796</v>
      </c>
      <c r="AR20" s="3" t="s">
        <v>61</v>
      </c>
      <c r="AT20" s="2" t="s">
        <v>211</v>
      </c>
      <c r="AU20" s="9">
        <f>(2*$AP$9/AU17-1)^2</f>
        <v>0.79886572710005643</v>
      </c>
      <c r="AV20" s="3" t="s">
        <v>61</v>
      </c>
      <c r="AX20" s="1" t="s">
        <v>338</v>
      </c>
      <c r="BD20" s="1" t="s">
        <v>337</v>
      </c>
    </row>
    <row r="21" spans="4:61" ht="18" x14ac:dyDescent="0.4">
      <c r="D21" s="31" t="s">
        <v>203</v>
      </c>
      <c r="G21" s="24"/>
      <c r="J21" s="32" t="s">
        <v>569</v>
      </c>
      <c r="K21" s="11">
        <f>15*K3*G6</f>
        <v>244.0849540400481</v>
      </c>
      <c r="R21" s="2" t="s">
        <v>59</v>
      </c>
      <c r="S21" s="13">
        <f>9000*SQRT(2)*S20*10^6/(S6*3500^3)</f>
        <v>1.42493354856018E-2</v>
      </c>
      <c r="T21" s="3" t="s">
        <v>14</v>
      </c>
      <c r="V21" s="2"/>
      <c r="W21" s="3"/>
      <c r="Z21" t="s">
        <v>212</v>
      </c>
      <c r="AA21" s="11">
        <f>(1-AA20)*W6</f>
        <v>13.74090293281318</v>
      </c>
      <c r="AB21" s="3" t="s">
        <v>14</v>
      </c>
      <c r="AD21" s="2" t="s">
        <v>211</v>
      </c>
      <c r="AE21" s="9">
        <f>(2*AE17/AE18-1)^2</f>
        <v>0.98330664903688336</v>
      </c>
      <c r="AF21" s="3" t="s">
        <v>61</v>
      </c>
      <c r="AH21" t="s">
        <v>212</v>
      </c>
      <c r="AI21" s="11">
        <f>(1-AI20)*AE6</f>
        <v>2.3480853472869763</v>
      </c>
      <c r="AJ21" s="3" t="s">
        <v>14</v>
      </c>
      <c r="AP21" t="s">
        <v>212</v>
      </c>
      <c r="AQ21" s="7">
        <f>AM6*(1-AQ20)</f>
        <v>112.38651643508958</v>
      </c>
      <c r="AR21" s="3" t="s">
        <v>14</v>
      </c>
      <c r="AT21" t="s">
        <v>212</v>
      </c>
      <c r="AU21" s="7">
        <f>AM6*(1-AU20)</f>
        <v>71.402666879479966</v>
      </c>
      <c r="AV21" s="3" t="s">
        <v>14</v>
      </c>
      <c r="AY21" t="s">
        <v>328</v>
      </c>
      <c r="AZ21" s="10">
        <f>(BC5*BF5+BC6*BF6+BC7*BF7+BC8*BF8+BC9*BF9+BC10*BF10+BC11*BF11+BC13*BF13+BC14*BF14+BC17*BF17+BC18*BF18+BC12*BF12+BC15*BF15+BC19*BF19)/(BF12+BF15+BF19+BF5+BF6+BF7+BF8+BF9+BF10+BF11+BF13+BF14+BF17+BF18)</f>
        <v>2263.6430533231924</v>
      </c>
      <c r="BA21" t="s">
        <v>9</v>
      </c>
      <c r="BE21" t="s">
        <v>62</v>
      </c>
      <c r="BF21" s="10">
        <f>SUM(BF5:BF12,BF13:BF15,BF17:BF19)/10^9*7850</f>
        <v>1116898.6153984023</v>
      </c>
      <c r="BG21" s="3" t="s">
        <v>329</v>
      </c>
      <c r="BH21" t="s">
        <v>330</v>
      </c>
    </row>
    <row r="22" spans="4:61" ht="18" x14ac:dyDescent="0.4">
      <c r="F22" t="s">
        <v>206</v>
      </c>
      <c r="G22" s="27">
        <f>134.2*(G7/1000)*(G3/1000)</f>
        <v>268.39999999999998</v>
      </c>
      <c r="H22" s="3" t="s">
        <v>65</v>
      </c>
      <c r="J22" s="16" t="s">
        <v>566</v>
      </c>
      <c r="K22">
        <v>1.2</v>
      </c>
      <c r="M22" s="32" t="s">
        <v>575</v>
      </c>
      <c r="N22" s="11">
        <f>G15</f>
        <v>118111339.9339934</v>
      </c>
      <c r="O22" s="3" t="s">
        <v>58</v>
      </c>
      <c r="R22" s="2" t="s">
        <v>225</v>
      </c>
      <c r="S22" s="13">
        <f>S21</f>
        <v>1.42493354856018E-2</v>
      </c>
      <c r="T22" s="3" t="s">
        <v>14</v>
      </c>
      <c r="W22" s="3"/>
      <c r="AA22" s="27"/>
      <c r="AD22" t="s">
        <v>212</v>
      </c>
      <c r="AE22" s="11">
        <f>(1-$W$21)*$W$6</f>
        <v>17</v>
      </c>
      <c r="AF22" s="3" t="s">
        <v>14</v>
      </c>
      <c r="AJ22" s="3"/>
      <c r="AP22" t="s">
        <v>321</v>
      </c>
      <c r="AQ22" s="7">
        <f>IF($AQ$18&lt;0.5,$AM$6,$AQ$21)</f>
        <v>355</v>
      </c>
      <c r="AR22" s="3" t="s">
        <v>14</v>
      </c>
      <c r="AT22" t="s">
        <v>321</v>
      </c>
      <c r="AU22" s="7">
        <f>IF($AU$18&lt;0.5,$AM$6,$AU$21)</f>
        <v>355</v>
      </c>
      <c r="AV22" s="3" t="s">
        <v>14</v>
      </c>
      <c r="BF22" s="10">
        <f>SUM(BF5:BF12,BF13:BF15,BF17:BF19)/10^9*(7850-1025)</f>
        <v>971061.53504383378</v>
      </c>
      <c r="BG22" s="3" t="s">
        <v>329</v>
      </c>
      <c r="BH22" t="s">
        <v>331</v>
      </c>
    </row>
    <row r="23" spans="4:61" ht="18" x14ac:dyDescent="0.4">
      <c r="F23" s="16" t="s">
        <v>562</v>
      </c>
      <c r="G23" s="29">
        <f>K16/(37.4*G8*K3*SQRT(5.34+4*(K16/G3)^2+G24))</f>
        <v>8.6340708161272484E-2</v>
      </c>
      <c r="H23" s="3" t="s">
        <v>61</v>
      </c>
      <c r="J23" t="s">
        <v>521</v>
      </c>
      <c r="K23" s="26">
        <f>$G$3*(0.25+(1.6*$G$10*$G$6^2*$G$4)/($G$8*$K$16^2*$G$5))</f>
        <v>857.14285714285722</v>
      </c>
      <c r="L23" s="25" t="s">
        <v>9</v>
      </c>
      <c r="M23" s="32" t="s">
        <v>576</v>
      </c>
      <c r="N23" s="13">
        <f>5.34+4*(K16/G3)^2+G24</f>
        <v>18.92212763326242</v>
      </c>
      <c r="O23" s="3" t="s">
        <v>61</v>
      </c>
      <c r="R23" s="2" t="s">
        <v>233</v>
      </c>
      <c r="S23" s="13">
        <f>1/2*$S$19*1000/($S$6*1000)</f>
        <v>0.2</v>
      </c>
      <c r="T23" s="3" t="s">
        <v>14</v>
      </c>
      <c r="W23" s="10"/>
      <c r="AA23" s="27"/>
      <c r="AE23" t="s">
        <v>586</v>
      </c>
      <c r="BE23" t="s">
        <v>232</v>
      </c>
      <c r="BF23" s="10">
        <f>BF21*9.81/1000</f>
        <v>10956.775417058328</v>
      </c>
      <c r="BG23" s="3" t="s">
        <v>65</v>
      </c>
      <c r="BH23" t="s">
        <v>330</v>
      </c>
      <c r="BI23" t="s">
        <v>341</v>
      </c>
    </row>
    <row r="24" spans="4:61" x14ac:dyDescent="0.25">
      <c r="F24" s="16" t="s">
        <v>565</v>
      </c>
      <c r="G24" s="29">
        <f>MAX(9*(K16/G3)^2*(G15/(K16*G8^3))^(0.75),2.1/G8*(G15/(K16))^(1/3))</f>
        <v>13.556527633262419</v>
      </c>
      <c r="H24" s="3" t="s">
        <v>61</v>
      </c>
      <c r="J24" t="s">
        <v>567</v>
      </c>
      <c r="K24" s="23">
        <f>G10*G6*G4*(G9+G6)</f>
        <v>156200000</v>
      </c>
      <c r="L24" s="3" t="s">
        <v>300</v>
      </c>
      <c r="M24" s="3"/>
      <c r="O24" s="3"/>
      <c r="R24" t="s">
        <v>227</v>
      </c>
      <c r="S24" s="13">
        <f>SQRT($S$21^2+3*($S$22^2+$S$23^2))/($S$5*S7/($S$3*$S$4))</f>
        <v>7.9801635588160123E-4</v>
      </c>
      <c r="T24" s="3" t="s">
        <v>61</v>
      </c>
      <c r="V24" s="1" t="s">
        <v>204</v>
      </c>
      <c r="Z24" s="1" t="s">
        <v>204</v>
      </c>
      <c r="AD24" s="1"/>
      <c r="AF24" s="3"/>
      <c r="AH24" s="1" t="s">
        <v>273</v>
      </c>
      <c r="AJ24" s="3"/>
      <c r="AP24" s="1" t="s">
        <v>273</v>
      </c>
      <c r="AR24" s="3"/>
      <c r="AT24" s="1" t="s">
        <v>273</v>
      </c>
      <c r="AV24" s="3"/>
      <c r="BF24" s="10">
        <f>BF22*9.81/1000</f>
        <v>9526.1136587800102</v>
      </c>
      <c r="BG24" s="3" t="s">
        <v>65</v>
      </c>
      <c r="BH24" t="s">
        <v>331</v>
      </c>
      <c r="BI24" t="s">
        <v>341</v>
      </c>
    </row>
    <row r="25" spans="4:61" ht="18" x14ac:dyDescent="0.4">
      <c r="F25" s="16" t="s">
        <v>564</v>
      </c>
      <c r="G25" s="26">
        <f>K22*$G$5*$K$16/2*$G$8/SQRT(3)/1000</f>
        <v>275.46536043575423</v>
      </c>
      <c r="H25" s="3" t="s">
        <v>65</v>
      </c>
      <c r="J25" t="s">
        <v>568</v>
      </c>
      <c r="K25" s="26">
        <f>G10*G6^2*G4/K23*(1-(G11*10^6/K24)^2)*10^-3</f>
        <v>13.509507042253519</v>
      </c>
      <c r="L25" t="s">
        <v>65</v>
      </c>
      <c r="M25" t="s">
        <v>563</v>
      </c>
      <c r="N25" s="13">
        <f>G25+K25</f>
        <v>288.97486747800775</v>
      </c>
      <c r="O25" s="3" t="s">
        <v>65</v>
      </c>
      <c r="R25" t="s">
        <v>228</v>
      </c>
      <c r="S25" s="13">
        <f>$S$21/(0.9*$S$5*S7/$S$4)</f>
        <v>4.0389272918372447E-5</v>
      </c>
      <c r="T25" s="3" t="s">
        <v>61</v>
      </c>
      <c r="V25" s="16" t="s">
        <v>182</v>
      </c>
      <c r="W25" s="11">
        <f>112.6*10^6</f>
        <v>112600000</v>
      </c>
      <c r="X25" s="3" t="s">
        <v>263</v>
      </c>
      <c r="Z25" t="s">
        <v>581</v>
      </c>
      <c r="AA25" s="60">
        <f>1053*10^3</f>
        <v>1053000</v>
      </c>
      <c r="AB25" s="3" t="s">
        <v>263</v>
      </c>
      <c r="AF25" s="3"/>
      <c r="AH25" t="s">
        <v>274</v>
      </c>
      <c r="AI25" s="13">
        <f>(1/4*PI()*$AE$3^2-1/4*PI()*($AE$3-2*$AE$4)^2)*$AE$6/1000</f>
        <v>1773.2719733187587</v>
      </c>
      <c r="AJ25" s="3" t="s">
        <v>65</v>
      </c>
      <c r="AP25" t="s">
        <v>274</v>
      </c>
      <c r="AQ25" s="11">
        <f>(1/4*PI()*$AM$3^2-1/4*PI()*($AM$3-2*$AM$4)^2)*$AM$6/1000</f>
        <v>133720.32050372279</v>
      </c>
      <c r="AR25" s="3" t="s">
        <v>65</v>
      </c>
      <c r="AT25" t="s">
        <v>274</v>
      </c>
      <c r="AU25" s="11">
        <f>(1/4*PI()*$AM$3^2-1/4*PI()*($AM$3-2*$AM$4)^2)*$AM$6/1000</f>
        <v>133720.32050372279</v>
      </c>
      <c r="AV25" s="3" t="s">
        <v>65</v>
      </c>
      <c r="AX25" s="1" t="s">
        <v>339</v>
      </c>
      <c r="BE25" s="2" t="s">
        <v>310</v>
      </c>
      <c r="BF25">
        <v>1.25</v>
      </c>
    </row>
    <row r="26" spans="4:61" x14ac:dyDescent="0.25">
      <c r="F26" t="s">
        <v>176</v>
      </c>
      <c r="G26" s="13">
        <f>G22/N25</f>
        <v>0.92880049515180207</v>
      </c>
      <c r="H26" s="3" t="s">
        <v>61</v>
      </c>
      <c r="K26" s="3"/>
      <c r="X26"/>
      <c r="Z26" t="s">
        <v>200</v>
      </c>
      <c r="AA26" s="13">
        <f>AA25*W7*10^-6</f>
        <v>373.815</v>
      </c>
      <c r="AF26" s="3"/>
      <c r="AH26" t="s">
        <v>176</v>
      </c>
      <c r="AI26" s="13">
        <f>AE11/AI25</f>
        <v>0.50240460200396686</v>
      </c>
      <c r="AJ26" s="3" t="s">
        <v>61</v>
      </c>
      <c r="AP26" t="s">
        <v>176</v>
      </c>
      <c r="AQ26" s="13">
        <f>AS10/AQ25</f>
        <v>1.8695737421078045E-3</v>
      </c>
      <c r="AR26" s="3" t="s">
        <v>61</v>
      </c>
      <c r="AT26" t="s">
        <v>176</v>
      </c>
      <c r="AU26" s="13">
        <f>AS9/AU25</f>
        <v>2.2434884905293653E-6</v>
      </c>
      <c r="AV26" s="3" t="s">
        <v>61</v>
      </c>
      <c r="AY26" t="s">
        <v>332</v>
      </c>
      <c r="AZ26">
        <f>AY5*BH5+BB5*BD5^2+AY6*BH6+BB6*BD6^2+AY17*BH17+BB17*BD17^2+AY18*BH18+BB18*BD18^2+AY19*BH19+BB19*BD19^2</f>
        <v>11184566063310.787</v>
      </c>
      <c r="BA26" s="3" t="s">
        <v>58</v>
      </c>
      <c r="BF26" s="10">
        <f>BF25*BF23</f>
        <v>13695.969271322911</v>
      </c>
      <c r="BG26" s="3" t="s">
        <v>65</v>
      </c>
      <c r="BH26" t="s">
        <v>330</v>
      </c>
    </row>
    <row r="27" spans="4:61" ht="18" x14ac:dyDescent="0.4">
      <c r="E27" t="s">
        <v>208</v>
      </c>
      <c r="G27" t="b">
        <f>G26&lt;0.5</f>
        <v>0</v>
      </c>
      <c r="H27" s="3" t="s">
        <v>245</v>
      </c>
      <c r="I27" t="s">
        <v>208</v>
      </c>
      <c r="K27" s="3"/>
      <c r="X27"/>
      <c r="Z27" t="s">
        <v>176</v>
      </c>
      <c r="AA27" s="13">
        <f>W9/AA26</f>
        <v>0.96371199657584639</v>
      </c>
      <c r="AH27" t="s">
        <v>141</v>
      </c>
      <c r="AI27" s="7">
        <f>(1/4*PI()*$AE$3^2-1/4*PI()*($AE$3-2*$AE$4)^2)</f>
        <v>4995.1323192077707</v>
      </c>
      <c r="AJ27" t="s">
        <v>346</v>
      </c>
      <c r="AP27" s="2" t="s">
        <v>211</v>
      </c>
      <c r="AQ27" s="34">
        <f>(AS10/AQ25)^2</f>
        <v>3.4953059771789795E-6</v>
      </c>
      <c r="AR27" s="3" t="s">
        <v>61</v>
      </c>
      <c r="AT27" s="2" t="s">
        <v>211</v>
      </c>
      <c r="AU27" s="34">
        <f>(AS9/AU25)^2</f>
        <v>5.0332406071377302E-12</v>
      </c>
      <c r="AV27" s="3" t="s">
        <v>61</v>
      </c>
      <c r="AX27" s="1" t="s">
        <v>336</v>
      </c>
      <c r="AY27" s="1"/>
      <c r="BF27" s="10">
        <f>BF25*BF24</f>
        <v>11907.642073475014</v>
      </c>
      <c r="BG27" s="3" t="s">
        <v>65</v>
      </c>
      <c r="BH27" t="s">
        <v>331</v>
      </c>
    </row>
    <row r="28" spans="4:61" ht="18" x14ac:dyDescent="0.4">
      <c r="D28" s="31" t="s">
        <v>574</v>
      </c>
      <c r="F28" t="s">
        <v>570</v>
      </c>
      <c r="G28" s="59">
        <f>G15/(2*G6+G9-G14)*G4*10^-6</f>
        <v>209.82074781172588</v>
      </c>
      <c r="H28" s="3" t="s">
        <v>57</v>
      </c>
      <c r="I28" t="s">
        <v>571</v>
      </c>
      <c r="J28" s="59">
        <f>G15/(G14)*G4*10^-6</f>
        <v>1043.931493837305</v>
      </c>
      <c r="K28" s="3" t="s">
        <v>57</v>
      </c>
      <c r="X28"/>
      <c r="AD28" s="1" t="s">
        <v>276</v>
      </c>
      <c r="AF28" s="3"/>
      <c r="AH28" s="1"/>
      <c r="AP28" t="s">
        <v>212</v>
      </c>
      <c r="AQ28" s="13">
        <f>AQ22*(1-AQ27)</f>
        <v>354.99875916637808</v>
      </c>
      <c r="AR28" s="3" t="s">
        <v>14</v>
      </c>
      <c r="AT28" t="s">
        <v>212</v>
      </c>
      <c r="AU28" s="13">
        <f>AU22*(1-AU27)</f>
        <v>354.99999999821324</v>
      </c>
      <c r="AV28" s="3" t="s">
        <v>14</v>
      </c>
      <c r="AY28" s="16" t="s">
        <v>334</v>
      </c>
      <c r="AZ28" s="27">
        <f>SQRT((384/5*210000*AZ26/40000^3)/(BF21+BF29))</f>
        <v>1.2065101005955106</v>
      </c>
      <c r="BA28" s="3" t="s">
        <v>335</v>
      </c>
    </row>
    <row r="29" spans="4:61" ht="18" x14ac:dyDescent="0.4">
      <c r="F29" s="2" t="s">
        <v>572</v>
      </c>
      <c r="G29" s="13">
        <f>(K24*10^-6/G28+0.2)^15+1</f>
        <v>1.4242773611269806</v>
      </c>
      <c r="H29" s="3" t="s">
        <v>61</v>
      </c>
      <c r="J29" s="13">
        <f>(K24*10^-6/J28+0.2)^15+1</f>
        <v>1.0000001425832237</v>
      </c>
      <c r="K29" s="3" t="s">
        <v>61</v>
      </c>
      <c r="AD29" t="s">
        <v>277</v>
      </c>
      <c r="AE29">
        <f>AE5</f>
        <v>100</v>
      </c>
      <c r="AF29" s="3" t="s">
        <v>9</v>
      </c>
      <c r="AP29" s="1"/>
      <c r="AR29" s="3"/>
      <c r="AT29" t="s">
        <v>141</v>
      </c>
      <c r="AU29" s="11">
        <f>(1/4*PI()*($AM$3)^2-1/4*PI()*($AM$3-2*$AM$4)^2)</f>
        <v>376676.95916541631</v>
      </c>
      <c r="AV29" s="3" t="s">
        <v>70</v>
      </c>
      <c r="AX29" s="1" t="s">
        <v>242</v>
      </c>
      <c r="BE29" t="s">
        <v>595</v>
      </c>
      <c r="BF29">
        <v>819335</v>
      </c>
      <c r="BG29" s="3" t="s">
        <v>329</v>
      </c>
      <c r="BH29" t="s">
        <v>596</v>
      </c>
    </row>
    <row r="30" spans="4:61" ht="18" x14ac:dyDescent="0.4">
      <c r="F30" t="s">
        <v>573</v>
      </c>
      <c r="G30" s="13">
        <f>G17+(1-(K24*10^-6/G28))*(2*G22/G25-1)^G29</f>
        <v>0.55688566512609416</v>
      </c>
      <c r="H30" s="3" t="s">
        <v>61</v>
      </c>
      <c r="I30" s="3" t="s">
        <v>186</v>
      </c>
      <c r="J30" s="13">
        <f>G19+(1-(K24*10^-6/J28))*(2*G22/G25-1)^J29</f>
        <v>0.87102742737984062</v>
      </c>
      <c r="K30" s="3" t="s">
        <v>61</v>
      </c>
      <c r="V30" s="1"/>
      <c r="Z30" s="1" t="s">
        <v>242</v>
      </c>
      <c r="AD30" s="2" t="s">
        <v>253</v>
      </c>
      <c r="AE30">
        <v>0.21</v>
      </c>
      <c r="AF30" s="3" t="s">
        <v>61</v>
      </c>
      <c r="AR30" s="3"/>
      <c r="AV30" s="3"/>
      <c r="AY30" t="s">
        <v>243</v>
      </c>
      <c r="AZ30" s="10">
        <f>5/384*C3*9*40000^4/(210000*AZ26)</f>
        <v>16.701023760249043</v>
      </c>
      <c r="BA30" s="3" t="s">
        <v>9</v>
      </c>
    </row>
    <row r="31" spans="4:61" x14ac:dyDescent="0.25">
      <c r="F31" t="s">
        <v>577</v>
      </c>
      <c r="G31" s="11">
        <f>G15/(2*G6+G9-G14)</f>
        <v>591044.36003303062</v>
      </c>
      <c r="I31" t="s">
        <v>578</v>
      </c>
      <c r="J31" s="11">
        <f>G15/(G14)</f>
        <v>2940652.0953163519</v>
      </c>
      <c r="K31" s="3"/>
      <c r="Z31" t="s">
        <v>243</v>
      </c>
      <c r="AA31" s="13">
        <f>5/384*$C$3*($W$5/1000)*$AM$5^4/(210000*$W$25)</f>
        <v>0.10804720704353653</v>
      </c>
      <c r="AB31" s="3" t="s">
        <v>9</v>
      </c>
      <c r="AD31" t="s">
        <v>278</v>
      </c>
      <c r="AE31" s="11">
        <f>PI()^2*210000*$AE$14/(AE29^2)</f>
        <v>2114093386.1215966</v>
      </c>
      <c r="AF31" s="3" t="s">
        <v>279</v>
      </c>
      <c r="AG31">
        <f>AE31/1000</f>
        <v>2114093.3861215967</v>
      </c>
      <c r="AP31" s="1" t="s">
        <v>204</v>
      </c>
      <c r="AR31" s="3"/>
      <c r="AT31" s="1" t="s">
        <v>204</v>
      </c>
      <c r="AV31" s="3"/>
      <c r="AZ31" t="b">
        <f>AZ30&lt;(40000/200)</f>
        <v>1</v>
      </c>
      <c r="BA31" t="s">
        <v>340</v>
      </c>
    </row>
    <row r="32" spans="4:61" ht="18" x14ac:dyDescent="0.4">
      <c r="K32" s="3"/>
      <c r="AA32" t="b">
        <f>AA31&lt;1/200*$AM$5</f>
        <v>1</v>
      </c>
      <c r="AB32" t="s">
        <v>244</v>
      </c>
      <c r="AD32" s="2" t="s">
        <v>280</v>
      </c>
      <c r="AE32" s="13">
        <f>SQRT((1/4*PI()*$AE$3^2-1/4*PI()*($AE$3-2*$AE$4)^2)*$AE$6/AE31)</f>
        <v>2.8961802743249929E-2</v>
      </c>
      <c r="AF32" s="3" t="s">
        <v>61</v>
      </c>
      <c r="AP32" t="s">
        <v>200</v>
      </c>
      <c r="AQ32" s="11">
        <f>(1/6*($AM$3^3-($AM$3-2*$AM$4)^3)*AQ28)*10^(-6)</f>
        <v>46552.643950363265</v>
      </c>
      <c r="AR32" s="3" t="s">
        <v>57</v>
      </c>
      <c r="AT32" t="s">
        <v>200</v>
      </c>
      <c r="AU32" s="11">
        <f>(1/6*($AM$3^3-($AM$3-2*$AM$4)^3)*AU28)*10^(-6)</f>
        <v>46552.806666432356</v>
      </c>
      <c r="AV32" s="3" t="s">
        <v>57</v>
      </c>
    </row>
    <row r="33" spans="3:50" ht="18" x14ac:dyDescent="0.4">
      <c r="E33" t="s">
        <v>209</v>
      </c>
      <c r="G33" t="b">
        <f>$K$16/$G$8&lt;(72*$K$3/$K$22)</f>
        <v>1</v>
      </c>
      <c r="H33" s="32" t="s">
        <v>210</v>
      </c>
      <c r="AD33" s="2" t="s">
        <v>281</v>
      </c>
      <c r="AE33" s="13">
        <f>0.5*(1+AE30*(AE32-0.2)+AE32^2)</f>
        <v>0.48246038229711069</v>
      </c>
      <c r="AF33" s="3" t="s">
        <v>61</v>
      </c>
      <c r="AP33" t="s">
        <v>176</v>
      </c>
      <c r="AQ33" s="13">
        <f>$AP$10/AQ32</f>
        <v>0.42734414872787824</v>
      </c>
      <c r="AR33" s="3" t="s">
        <v>61</v>
      </c>
      <c r="AT33" t="s">
        <v>176</v>
      </c>
      <c r="AU33" s="13">
        <f>$AM$9/AU32</f>
        <v>0.95974879280944636</v>
      </c>
      <c r="AV33" s="3" t="s">
        <v>61</v>
      </c>
      <c r="AX33" s="1" t="s">
        <v>343</v>
      </c>
    </row>
    <row r="34" spans="3:50" ht="18" x14ac:dyDescent="0.4">
      <c r="AD34" s="2" t="s">
        <v>282</v>
      </c>
      <c r="AE34" s="13">
        <f>1/(AE33+SQRT(AE33^2-AE32^2))</f>
        <v>1.0372898433755686</v>
      </c>
      <c r="AF34" s="3" t="s">
        <v>61</v>
      </c>
      <c r="AG34" t="s">
        <v>344</v>
      </c>
      <c r="AT34" t="s">
        <v>581</v>
      </c>
      <c r="AU34" s="11">
        <f>AU32*10^6/AM6</f>
        <v>131134666.66600664</v>
      </c>
      <c r="AV34" s="3" t="s">
        <v>263</v>
      </c>
      <c r="AX34">
        <f>(BD18+BA18/2)*2</f>
        <v>5606.7138933536153</v>
      </c>
    </row>
    <row r="35" spans="3:50" x14ac:dyDescent="0.25">
      <c r="AD35" t="s">
        <v>283</v>
      </c>
      <c r="AE35" s="13">
        <f>MIN(AE34,1)*(1/4*PI()*$AE$3^2-1/4*PI()*($AE$3-2*$AE$4)^2)*$AE$6/1000</f>
        <v>1773.2719733187587</v>
      </c>
      <c r="AF35" s="3" t="s">
        <v>65</v>
      </c>
      <c r="AO35" s="1" t="s">
        <v>320</v>
      </c>
    </row>
    <row r="36" spans="3:50" x14ac:dyDescent="0.25">
      <c r="AD36" t="s">
        <v>176</v>
      </c>
      <c r="AE36" s="13">
        <f>$AE$12/AE35</f>
        <v>0.50240460200396686</v>
      </c>
      <c r="AF36" s="3" t="s">
        <v>61</v>
      </c>
      <c r="AP36" s="1" t="s">
        <v>203</v>
      </c>
      <c r="AQ36" s="16"/>
      <c r="AR36" s="3"/>
    </row>
    <row r="37" spans="3:50" x14ac:dyDescent="0.25">
      <c r="AQ37" s="3"/>
      <c r="AR37" s="3"/>
    </row>
    <row r="38" spans="3:50" ht="18" x14ac:dyDescent="0.4">
      <c r="V38" s="2"/>
      <c r="W38" s="2"/>
      <c r="AD38" s="1" t="s">
        <v>303</v>
      </c>
      <c r="AI38" s="1" t="s">
        <v>304</v>
      </c>
      <c r="AP38" t="s">
        <v>207</v>
      </c>
      <c r="AQ38" s="11">
        <f>(2*(1/4*PI()*$AM$3^2-1/4*PI()*($AM$3-2*$AM$4)^2)/PI())*$AM$6/SQRT(3)/1000</f>
        <v>49149.251065843666</v>
      </c>
      <c r="AR38" s="3" t="s">
        <v>65</v>
      </c>
    </row>
    <row r="39" spans="3:50" ht="18" x14ac:dyDescent="0.4">
      <c r="D39" s="30"/>
      <c r="F39" s="16"/>
      <c r="V39" s="2"/>
      <c r="W39" s="2"/>
      <c r="AD39" s="2" t="s">
        <v>288</v>
      </c>
      <c r="AE39" s="13">
        <f>$AE$3/$W$3</f>
        <v>0.58208333333333329</v>
      </c>
      <c r="AF39" s="3" t="s">
        <v>61</v>
      </c>
      <c r="AI39" s="2" t="s">
        <v>288</v>
      </c>
      <c r="AJ39" s="13">
        <f>$AE$3/$AM$3</f>
        <v>0.11641666666666665</v>
      </c>
      <c r="AK39" s="3" t="s">
        <v>61</v>
      </c>
      <c r="AP39" t="s">
        <v>176</v>
      </c>
      <c r="AQ39" s="13">
        <f>$AP$11/AQ38</f>
        <v>0</v>
      </c>
      <c r="AR39" s="3" t="s">
        <v>61</v>
      </c>
    </row>
    <row r="40" spans="3:50" ht="18" x14ac:dyDescent="0.4">
      <c r="D40" s="30"/>
      <c r="V40" s="2"/>
      <c r="W40" s="2"/>
      <c r="AD40" t="s">
        <v>289</v>
      </c>
      <c r="AE40" s="11">
        <f>$AE$4+2*$W$3*SQRT(1-AE39)</f>
        <v>322.80307765151156</v>
      </c>
      <c r="AF40" s="3" t="s">
        <v>19</v>
      </c>
      <c r="AI40" t="s">
        <v>289</v>
      </c>
      <c r="AJ40" s="11">
        <f>$AE$4+2*$AM$3*SQRT(1-AJ39)</f>
        <v>2268.4787233039233</v>
      </c>
      <c r="AK40" s="3" t="s">
        <v>19</v>
      </c>
      <c r="AQ40" t="b">
        <f>AQ39&lt;0.5</f>
        <v>1</v>
      </c>
      <c r="AR40" s="3" t="s">
        <v>245</v>
      </c>
    </row>
    <row r="41" spans="3:50" ht="18" x14ac:dyDescent="0.4">
      <c r="AD41" t="s">
        <v>290</v>
      </c>
      <c r="AE41" s="13">
        <f>20*$W$4^3*AE40/((1-AE39)^3*$W$3^3)*1/(2+6*AE39/(1-AE39))</f>
        <v>8540.1909365484862</v>
      </c>
      <c r="AF41" s="3" t="s">
        <v>9</v>
      </c>
      <c r="AI41" t="s">
        <v>290</v>
      </c>
      <c r="AJ41" s="13">
        <f>20*$AM$4^3*AJ40/((1-AJ39)^3*$AM$3^3)*1/(2+6*AJ39/(1-AJ39))</f>
        <v>18.153887030152578</v>
      </c>
      <c r="AK41" s="3" t="s">
        <v>9</v>
      </c>
      <c r="AP41" s="2" t="s">
        <v>211</v>
      </c>
      <c r="AQ41" s="9">
        <f>(2*$AP$11/AQ38-1)^2</f>
        <v>1</v>
      </c>
      <c r="AR41" s="3" t="s">
        <v>61</v>
      </c>
    </row>
    <row r="42" spans="3:50" x14ac:dyDescent="0.25">
      <c r="D42" s="30" t="s">
        <v>242</v>
      </c>
      <c r="F42" t="s">
        <v>243</v>
      </c>
      <c r="G42" s="13">
        <f>5/384*134.2*10^-3*$G$7*$G$3^4/(210000*$G$15)</f>
        <v>1.1271984612935826</v>
      </c>
      <c r="H42" s="3" t="s">
        <v>9</v>
      </c>
      <c r="AD42" t="s">
        <v>292</v>
      </c>
      <c r="AE42" s="11">
        <f>$W$4*SQRT($W$3/(2*$W$4))</f>
        <v>169.70562748477141</v>
      </c>
      <c r="AF42" s="3" t="s">
        <v>9</v>
      </c>
      <c r="AG42" t="b">
        <f>AE42&lt;2.5*W4</f>
        <v>1</v>
      </c>
      <c r="AH42" t="s">
        <v>294</v>
      </c>
      <c r="AI42" t="s">
        <v>292</v>
      </c>
      <c r="AJ42" s="11">
        <f>$AM$4*SQRT($AM$3/(2*$AM$4))</f>
        <v>256.9046515733026</v>
      </c>
      <c r="AK42" s="3" t="s">
        <v>9</v>
      </c>
      <c r="AL42" t="e">
        <f>AJ42&lt;2.5*AB4</f>
        <v>#VALUE!</v>
      </c>
      <c r="AM42" t="s">
        <v>294</v>
      </c>
      <c r="AP42" t="s">
        <v>212</v>
      </c>
      <c r="AQ42" s="13">
        <f>AM6*(1-AQ41)</f>
        <v>0</v>
      </c>
      <c r="AR42" s="3" t="s">
        <v>14</v>
      </c>
    </row>
    <row r="43" spans="3:50" x14ac:dyDescent="0.25">
      <c r="G43" t="b">
        <f>G42&lt;1/200*$G$3</f>
        <v>1</v>
      </c>
      <c r="H43" t="s">
        <v>244</v>
      </c>
      <c r="AD43" t="s">
        <v>293</v>
      </c>
      <c r="AE43" s="11">
        <f>$W$3/2*SQRT(1-AE39)</f>
        <v>77.575769412877889</v>
      </c>
      <c r="AF43" s="3" t="s">
        <v>9</v>
      </c>
      <c r="AG43" t="b">
        <f>AE43&lt;W3/2</f>
        <v>1</v>
      </c>
      <c r="AH43" t="s">
        <v>295</v>
      </c>
      <c r="AI43" t="s">
        <v>293</v>
      </c>
      <c r="AJ43" s="11">
        <f>$AM$3/2*SQRT(1-AJ39)</f>
        <v>563.99468082598082</v>
      </c>
      <c r="AK43" s="3" t="s">
        <v>9</v>
      </c>
      <c r="AL43" t="b">
        <f>AJ43&lt;W3/2</f>
        <v>0</v>
      </c>
      <c r="AM43" t="s">
        <v>295</v>
      </c>
      <c r="AP43" t="s">
        <v>321</v>
      </c>
      <c r="AQ43" s="7">
        <f>IF($AQ$39&lt;0.5,$AM$6,$AQ$42)</f>
        <v>355</v>
      </c>
      <c r="AR43" s="3" t="s">
        <v>14</v>
      </c>
    </row>
    <row r="44" spans="3:50" x14ac:dyDescent="0.25">
      <c r="F44" s="1" t="s">
        <v>192</v>
      </c>
      <c r="J44" s="1" t="s">
        <v>201</v>
      </c>
      <c r="AD44" t="s">
        <v>291</v>
      </c>
      <c r="AE44" s="11">
        <f>MAX(AE42,AE43)</f>
        <v>169.70562748477141</v>
      </c>
      <c r="AF44" s="3" t="s">
        <v>9</v>
      </c>
      <c r="AI44" t="s">
        <v>291</v>
      </c>
      <c r="AJ44" s="11">
        <f>MAX(AJ42,AJ43)</f>
        <v>563.99468082598082</v>
      </c>
      <c r="AK44" s="3" t="s">
        <v>9</v>
      </c>
    </row>
    <row r="45" spans="3:50" x14ac:dyDescent="0.25">
      <c r="C45" s="1" t="s">
        <v>241</v>
      </c>
      <c r="D45" s="31" t="s">
        <v>247</v>
      </c>
      <c r="F45" t="s">
        <v>250</v>
      </c>
      <c r="G45" s="11">
        <f>1/3*((G9-0.5*G6)*G8^3+G7*G6^3)</f>
        <v>2840453.333333333</v>
      </c>
      <c r="H45" s="3" t="s">
        <v>58</v>
      </c>
      <c r="AD45" t="s">
        <v>296</v>
      </c>
      <c r="AE45" s="11">
        <f>2*0.7*AE44+$AE$4</f>
        <v>250.08787847867995</v>
      </c>
      <c r="AF45" s="3" t="s">
        <v>9</v>
      </c>
      <c r="AI45" t="s">
        <v>296</v>
      </c>
      <c r="AJ45" s="11">
        <f>2*0.7*AJ44+$AE$4</f>
        <v>802.09255315637313</v>
      </c>
      <c r="AK45" s="3" t="s">
        <v>9</v>
      </c>
      <c r="AP45" s="1" t="s">
        <v>273</v>
      </c>
      <c r="AR45" s="3"/>
    </row>
    <row r="46" spans="3:50" x14ac:dyDescent="0.25">
      <c r="F46" t="s">
        <v>252</v>
      </c>
      <c r="G46" s="33">
        <f>G7^3*G6^4/144+(G9-0.5*G6)^3*G8^3/36</f>
        <v>1111633919333.3333</v>
      </c>
      <c r="H46" s="3" t="s">
        <v>251</v>
      </c>
      <c r="AD46" t="s">
        <v>297</v>
      </c>
      <c r="AE46" s="13">
        <f>2*$W$4*AE45/($W$3-3*$W$4)</f>
        <v>-250.08787847867995</v>
      </c>
      <c r="AF46" s="3" t="s">
        <v>9</v>
      </c>
      <c r="AI46" t="s">
        <v>297</v>
      </c>
      <c r="AJ46" s="13">
        <f>2*$AM$4*AJ45/($AM$3-3*$AM$4)</f>
        <v>202.8280019475886</v>
      </c>
      <c r="AK46" s="3" t="s">
        <v>9</v>
      </c>
      <c r="AP46" t="s">
        <v>274</v>
      </c>
      <c r="AQ46" s="11">
        <f>(1/4*PI()*$AM$3^2-1/4*PI()*($AM$3-2*$AM$4)^2)*$AM$6/1000</f>
        <v>133720.32050372279</v>
      </c>
      <c r="AR46" s="3" t="s">
        <v>65</v>
      </c>
    </row>
    <row r="47" spans="3:50" ht="18" x14ac:dyDescent="0.4">
      <c r="F47" s="2" t="s">
        <v>253</v>
      </c>
      <c r="G47" s="11">
        <f>SQRT(C10*G46/(C11*G45))</f>
        <v>1018.0289291037851</v>
      </c>
      <c r="H47" s="3" t="s">
        <v>9</v>
      </c>
      <c r="AD47" t="s">
        <v>298</v>
      </c>
      <c r="AE47" s="7">
        <f>0.38*(2*(1/4*PI()*$AE$3^2-1/4*PI()*($AE$3-2*$AE$4)^2)/PI())/($AE$3-$AE$4)</f>
        <v>9.5000000000000018</v>
      </c>
      <c r="AF47" s="3" t="s">
        <v>9</v>
      </c>
      <c r="AI47" t="s">
        <v>298</v>
      </c>
      <c r="AJ47" s="7">
        <f>0.38*(2*(1/4*PI()*$AE$3^2-1/4*PI()*($AE$3-2*$AE$4)^2)/PI())/($AE$3-$AE$4)</f>
        <v>9.5000000000000018</v>
      </c>
      <c r="AK47" s="3" t="s">
        <v>9</v>
      </c>
      <c r="AP47" t="s">
        <v>176</v>
      </c>
      <c r="AQ47" s="13">
        <f>AS11/AQ46</f>
        <v>0</v>
      </c>
      <c r="AR47" s="3" t="s">
        <v>61</v>
      </c>
    </row>
    <row r="48" spans="3:50" ht="18" x14ac:dyDescent="0.4">
      <c r="F48" t="s">
        <v>255</v>
      </c>
      <c r="G48" s="27" t="b">
        <f>W5/G47&gt;15</f>
        <v>0</v>
      </c>
      <c r="H48" s="3" t="s">
        <v>256</v>
      </c>
      <c r="AD48" s="1"/>
      <c r="AI48" s="1"/>
      <c r="AP48" s="2" t="s">
        <v>211</v>
      </c>
      <c r="AQ48" s="34">
        <f>(AS11/AQ46)^2</f>
        <v>0</v>
      </c>
      <c r="AR48" s="3" t="s">
        <v>61</v>
      </c>
    </row>
    <row r="49" spans="4:44" x14ac:dyDescent="0.25">
      <c r="F49" t="s">
        <v>261</v>
      </c>
      <c r="AD49" t="s">
        <v>299</v>
      </c>
      <c r="AE49" s="7">
        <f>210000*($AE$3-$AE$4)/(2/AE41+2/AE46+1/AE47)</f>
        <v>273968792.92649877</v>
      </c>
      <c r="AF49" s="3" t="s">
        <v>300</v>
      </c>
      <c r="AI49" t="s">
        <v>299</v>
      </c>
      <c r="AJ49" s="11">
        <f>210000*($AE$3-$AE$4)/(2/AJ41+2/AJ46+1/AJ47)</f>
        <v>118565615.56420429</v>
      </c>
      <c r="AK49" s="3" t="s">
        <v>300</v>
      </c>
      <c r="AP49" t="s">
        <v>212</v>
      </c>
      <c r="AQ49" s="13">
        <f>AQ43*(1-AQ48)</f>
        <v>355</v>
      </c>
      <c r="AR49" s="3" t="s">
        <v>14</v>
      </c>
    </row>
    <row r="50" spans="4:44" x14ac:dyDescent="0.25">
      <c r="D50" s="30"/>
      <c r="F50" t="s">
        <v>257</v>
      </c>
      <c r="G50" s="11">
        <f>C8*(G7/1000)*(G9/1000)*(G14/1000-G9/1000/2)</f>
        <v>-7.1801980198019812</v>
      </c>
      <c r="H50" s="3" t="s">
        <v>57</v>
      </c>
      <c r="AD50" t="s">
        <v>301</v>
      </c>
      <c r="AE50" t="b">
        <f>AE49&lt;0.5*210000*$AE$14/$AE$5</f>
        <v>1</v>
      </c>
      <c r="AI50" t="s">
        <v>301</v>
      </c>
      <c r="AJ50" t="b">
        <f>AJ49&lt;0.5*210000*$AE$14/$AE$5</f>
        <v>1</v>
      </c>
      <c r="AP50" s="1"/>
      <c r="AR50" s="3"/>
    </row>
    <row r="51" spans="4:44" ht="18" x14ac:dyDescent="0.4">
      <c r="F51" t="s">
        <v>259</v>
      </c>
      <c r="G51" s="13">
        <f>$G$50*10^6*$G$8/$G$45</f>
        <v>-35.389693292113371</v>
      </c>
      <c r="H51" s="3" t="s">
        <v>14</v>
      </c>
      <c r="AD51" t="s">
        <v>302</v>
      </c>
      <c r="AE51" t="b">
        <f>AE49&gt;25*210000*$AE$14/$AE$5</f>
        <v>0</v>
      </c>
      <c r="AI51" t="s">
        <v>302</v>
      </c>
      <c r="AJ51" t="b">
        <f>AJ49&gt;25*210000*$AE$14/$AE$5</f>
        <v>0</v>
      </c>
      <c r="AR51" s="3"/>
    </row>
    <row r="52" spans="4:44" ht="18" x14ac:dyDescent="0.4">
      <c r="F52" t="s">
        <v>260</v>
      </c>
      <c r="G52" s="13">
        <f>$G$50*10^6*$G$6/$G$45</f>
        <v>-50.556704703019101</v>
      </c>
      <c r="H52" s="3" t="s">
        <v>14</v>
      </c>
      <c r="AP52" s="1" t="s">
        <v>204</v>
      </c>
      <c r="AR52" s="3"/>
    </row>
    <row r="53" spans="4:44" x14ac:dyDescent="0.25">
      <c r="F53" s="1"/>
      <c r="H53"/>
      <c r="AD53" s="1" t="s">
        <v>287</v>
      </c>
      <c r="AI53" s="1" t="s">
        <v>287</v>
      </c>
      <c r="AP53" t="s">
        <v>200</v>
      </c>
      <c r="AQ53" s="11">
        <f>(1/6*($AM$3^3-($AM$3-2*$AM$4)^3)*AQ49)*10^(-6)</f>
        <v>46552.806666666664</v>
      </c>
      <c r="AR53" s="3" t="s">
        <v>57</v>
      </c>
    </row>
    <row r="54" spans="4:44" x14ac:dyDescent="0.25">
      <c r="D54" s="31" t="s">
        <v>203</v>
      </c>
      <c r="F54" t="s">
        <v>206</v>
      </c>
      <c r="G54" s="11">
        <f>C5*(W5/2/1000)</f>
        <v>0.21425000000000002</v>
      </c>
      <c r="H54" s="3" t="s">
        <v>65</v>
      </c>
      <c r="AD54" t="s">
        <v>589</v>
      </c>
      <c r="AE54" s="13">
        <f>PI()/4*W7*W5*(AE3+5*(W6+AC3))/1000</f>
        <v>919.25749937609237</v>
      </c>
      <c r="AF54" s="3" t="s">
        <v>65</v>
      </c>
      <c r="AI54" t="s">
        <v>305</v>
      </c>
      <c r="AJ54">
        <v>0.9</v>
      </c>
      <c r="AK54" s="3" t="s">
        <v>61</v>
      </c>
      <c r="AP54" t="s">
        <v>176</v>
      </c>
      <c r="AQ54" s="13">
        <f>$AM$11/AQ53</f>
        <v>4.6549287898287842E-2</v>
      </c>
      <c r="AR54" s="3" t="s">
        <v>61</v>
      </c>
    </row>
    <row r="55" spans="4:44" ht="18" x14ac:dyDescent="0.4">
      <c r="D55" s="31"/>
      <c r="F55" s="2" t="s">
        <v>267</v>
      </c>
      <c r="G55" s="26">
        <f>G54*1000*$G$22/($G$6*$G$15)</f>
        <v>2.4343428849480732E-5</v>
      </c>
      <c r="H55" s="3" t="s">
        <v>14</v>
      </c>
      <c r="AD55" t="s">
        <v>589</v>
      </c>
      <c r="AE55" s="13">
        <f>PI()/4*2*AE6*AE4*(W5+2*AC3+7*W6)/1000</f>
        <v>1191.9398877260523</v>
      </c>
      <c r="AF55" s="3" t="s">
        <v>65</v>
      </c>
      <c r="AI55" s="2" t="s">
        <v>288</v>
      </c>
      <c r="AJ55" s="27">
        <f>MIN(MIN(AE3/AE4,AM3/AM4),50)</f>
        <v>10.909090909090908</v>
      </c>
      <c r="AK55" s="3" t="s">
        <v>61</v>
      </c>
    </row>
    <row r="56" spans="4:44" ht="18" x14ac:dyDescent="0.4">
      <c r="D56" s="32"/>
      <c r="F56" s="2" t="s">
        <v>268</v>
      </c>
      <c r="G56" s="11">
        <f>SQRT(1-G52/(1.25*($G$4/SQRT(3))))*$G$4/SQRT(3)</f>
        <v>224.27213072762254</v>
      </c>
      <c r="H56" s="3" t="s">
        <v>14</v>
      </c>
      <c r="J56" t="s">
        <v>258</v>
      </c>
      <c r="K56" s="11">
        <f>SQRT(1-G52/(1.25*($G$4/SQRT(3))))*$K$25</f>
        <v>14.782472695419576</v>
      </c>
      <c r="L56" s="3" t="s">
        <v>65</v>
      </c>
      <c r="AD56" t="s">
        <v>590</v>
      </c>
      <c r="AE56" s="13">
        <f>MIN(AE54,AE55)</f>
        <v>919.25749937609237</v>
      </c>
      <c r="AF56" s="3" t="s">
        <v>65</v>
      </c>
      <c r="AI56" t="s">
        <v>306</v>
      </c>
      <c r="AJ56" s="13">
        <f>AI26</f>
        <v>0.50240460200396686</v>
      </c>
      <c r="AK56" s="3" t="s">
        <v>61</v>
      </c>
      <c r="AO56" s="1" t="s">
        <v>319</v>
      </c>
    </row>
    <row r="57" spans="4:44" x14ac:dyDescent="0.25">
      <c r="D57" s="32"/>
      <c r="F57" t="s">
        <v>176</v>
      </c>
      <c r="G57" s="13">
        <f>G55/G56</f>
        <v>1.0854415468610191E-7</v>
      </c>
      <c r="H57" s="3" t="s">
        <v>61</v>
      </c>
      <c r="J57" t="s">
        <v>176</v>
      </c>
      <c r="K57" s="13">
        <f>G54/K56</f>
        <v>1.4493515693513608E-2</v>
      </c>
      <c r="L57" s="3" t="s">
        <v>61</v>
      </c>
      <c r="AD57" t="s">
        <v>176</v>
      </c>
      <c r="AE57" s="13">
        <f>AE11/AE56</f>
        <v>0.9691517345299453</v>
      </c>
      <c r="AF57" s="3" t="s">
        <v>61</v>
      </c>
      <c r="AI57" t="s">
        <v>308</v>
      </c>
      <c r="AJ57">
        <v>0.2</v>
      </c>
      <c r="AK57" s="3" t="s">
        <v>61</v>
      </c>
      <c r="AP57" s="1" t="s">
        <v>203</v>
      </c>
      <c r="AQ57" s="16"/>
      <c r="AR57" s="3"/>
    </row>
    <row r="58" spans="4:44" x14ac:dyDescent="0.25">
      <c r="D58" s="32"/>
      <c r="E58" t="s">
        <v>208</v>
      </c>
      <c r="G58" t="b">
        <f>G57&lt;0.5</f>
        <v>1</v>
      </c>
      <c r="H58" s="3" t="s">
        <v>245</v>
      </c>
      <c r="I58" t="s">
        <v>208</v>
      </c>
      <c r="K58" t="b">
        <f>K57&lt;0.5</f>
        <v>1</v>
      </c>
      <c r="L58" s="3" t="s">
        <v>245</v>
      </c>
      <c r="AF58" s="3"/>
      <c r="AI58" t="s">
        <v>309</v>
      </c>
      <c r="AJ58" s="13">
        <f>(1-ABS(AJ56))^AJ57</f>
        <v>0.86971161682257836</v>
      </c>
      <c r="AK58" s="3" t="s">
        <v>61</v>
      </c>
      <c r="AQ58" s="3"/>
      <c r="AR58" s="3"/>
    </row>
    <row r="59" spans="4:44" ht="18" x14ac:dyDescent="0.4">
      <c r="D59" s="32"/>
      <c r="AD59" s="2"/>
      <c r="AE59" s="2"/>
      <c r="AF59" s="3"/>
      <c r="AI59" s="2" t="s">
        <v>310</v>
      </c>
      <c r="AJ59" s="13">
        <f>AM3/(2*AM4)</f>
        <v>5.4545454545454541</v>
      </c>
      <c r="AK59" s="3" t="s">
        <v>61</v>
      </c>
      <c r="AP59" t="s">
        <v>207</v>
      </c>
      <c r="AQ59" s="11">
        <f>(2*(1/4*PI()*$AM$3^2-1/4*PI()*($AM$3-2*$AM$4)^2)/PI())*$AM$6/SQRT(3)/1000</f>
        <v>49149.251065843666</v>
      </c>
      <c r="AR59" s="3" t="s">
        <v>65</v>
      </c>
    </row>
    <row r="60" spans="4:44" ht="18" x14ac:dyDescent="0.4">
      <c r="D60" s="31" t="s">
        <v>204</v>
      </c>
      <c r="F60" t="s">
        <v>183</v>
      </c>
      <c r="G60" s="26">
        <f>$G$12*10^6*($G$9+$G$6-$G$14)/$G$15</f>
        <v>32.621461441427869</v>
      </c>
      <c r="H60" s="3" t="s">
        <v>14</v>
      </c>
      <c r="J60" t="s">
        <v>200</v>
      </c>
      <c r="K60" s="11">
        <f>($G$9*$G$8*$G$5*($G$9+$G$6-$K$4)+$K$4*$G$7*$G$4*$K$4/2+($G$6-$K$4)*$G$7*$G$4*($G$6-$K$4)/2)*10^(-6)</f>
        <v>243.71814999999998</v>
      </c>
      <c r="L60" s="3" t="s">
        <v>57</v>
      </c>
      <c r="AD60" s="2"/>
      <c r="AE60" s="2"/>
      <c r="AF60" s="3"/>
      <c r="AI60" s="2" t="s">
        <v>311</v>
      </c>
      <c r="AJ60" s="27">
        <v>1</v>
      </c>
      <c r="AK60" s="3" t="s">
        <v>61</v>
      </c>
      <c r="AP60" t="s">
        <v>176</v>
      </c>
      <c r="AQ60" s="13">
        <f>$AP$12/AQ59</f>
        <v>0.40476710364006668</v>
      </c>
      <c r="AR60" s="3" t="s">
        <v>61</v>
      </c>
    </row>
    <row r="61" spans="4:44" x14ac:dyDescent="0.25">
      <c r="F61" t="s">
        <v>185</v>
      </c>
      <c r="G61" s="13">
        <f>G60/G4</f>
        <v>9.1891440680078498E-2</v>
      </c>
      <c r="H61" s="3" t="s">
        <v>61</v>
      </c>
      <c r="J61" t="s">
        <v>176</v>
      </c>
      <c r="K61" s="13">
        <f>G12/K60</f>
        <v>8.7908922663330585E-2</v>
      </c>
      <c r="L61" s="3" t="s">
        <v>61</v>
      </c>
      <c r="AD61" s="1"/>
      <c r="AE61" s="1"/>
      <c r="AF61" s="3"/>
      <c r="AI61" s="1" t="s">
        <v>312</v>
      </c>
      <c r="AK61" s="3"/>
      <c r="AQ61" t="b">
        <f>AQ60&lt;0.5</f>
        <v>1</v>
      </c>
      <c r="AR61" s="3" t="s">
        <v>245</v>
      </c>
    </row>
    <row r="62" spans="4:44" ht="18" x14ac:dyDescent="0.4">
      <c r="F62" t="s">
        <v>184</v>
      </c>
      <c r="G62" s="11">
        <f>$G$12*10^6*$G$14/$G$15</f>
        <v>7.2857989675569304</v>
      </c>
      <c r="H62" s="3" t="s">
        <v>14</v>
      </c>
      <c r="AF62" s="3"/>
      <c r="AI62" t="s">
        <v>313</v>
      </c>
      <c r="AJ62" s="11">
        <f>AJ54*$AM$6*$AM$4^2*(2.6+17.7*AJ55^2)*AJ59^(0.2)*AJ58/1000</f>
        <v>9955643.2768667787</v>
      </c>
      <c r="AK62" s="3" t="s">
        <v>65</v>
      </c>
      <c r="AP62" s="2" t="s">
        <v>211</v>
      </c>
      <c r="AQ62" s="9">
        <f>(2*$AP$12/AQ59-1)^2</f>
        <v>3.6277218196407203E-2</v>
      </c>
      <c r="AR62" s="3" t="s">
        <v>61</v>
      </c>
    </row>
    <row r="63" spans="4:44" x14ac:dyDescent="0.25">
      <c r="F63" t="s">
        <v>186</v>
      </c>
      <c r="G63" s="29">
        <f>G62/G5</f>
        <v>2.0523377373399803E-2</v>
      </c>
      <c r="H63" s="3" t="s">
        <v>61</v>
      </c>
      <c r="AD63" s="1"/>
      <c r="AE63" s="1"/>
      <c r="AF63" s="3"/>
      <c r="AI63" s="1" t="s">
        <v>314</v>
      </c>
      <c r="AK63" s="3"/>
      <c r="AP63" t="s">
        <v>212</v>
      </c>
      <c r="AQ63" s="13">
        <f>AM6*(1-AQ62)</f>
        <v>342.12158754027547</v>
      </c>
      <c r="AR63" s="3" t="s">
        <v>14</v>
      </c>
    </row>
    <row r="64" spans="4:44" x14ac:dyDescent="0.25">
      <c r="AF64" s="3"/>
      <c r="AI64" t="s">
        <v>315</v>
      </c>
      <c r="AJ64" s="11">
        <f>AJ54*$AM$6/SQRT(3)*PI()*$AE$3*$AM$4/1000</f>
        <v>8905.3132182448171</v>
      </c>
      <c r="AK64" s="3" t="s">
        <v>65</v>
      </c>
      <c r="AP64" t="s">
        <v>321</v>
      </c>
      <c r="AQ64" s="7">
        <f>IF($AQ$18&lt;0.5,$AM$6,$AQ$21)</f>
        <v>355</v>
      </c>
      <c r="AR64" s="3" t="s">
        <v>14</v>
      </c>
    </row>
    <row r="65" spans="4:44" ht="18" x14ac:dyDescent="0.4">
      <c r="D65" s="30" t="s">
        <v>248</v>
      </c>
      <c r="F65" s="16" t="s">
        <v>249</v>
      </c>
      <c r="AF65" s="3"/>
      <c r="AK65" s="3"/>
    </row>
    <row r="66" spans="4:44" x14ac:dyDescent="0.25">
      <c r="D66" s="30"/>
      <c r="AF66" s="3"/>
      <c r="AI66" t="s">
        <v>274</v>
      </c>
      <c r="AJ66" s="11">
        <f>MIN(AJ62,AJ64)</f>
        <v>8905.3132182448171</v>
      </c>
      <c r="AK66" s="3" t="s">
        <v>65</v>
      </c>
      <c r="AP66" s="1" t="s">
        <v>273</v>
      </c>
      <c r="AR66" s="3"/>
    </row>
    <row r="67" spans="4:44" x14ac:dyDescent="0.25">
      <c r="AF67" s="3"/>
      <c r="AI67" t="s">
        <v>176</v>
      </c>
      <c r="AJ67" s="13">
        <f>$AE$11/AJ66</f>
        <v>0.10004139979880358</v>
      </c>
      <c r="AK67" s="3" t="s">
        <v>61</v>
      </c>
      <c r="AP67" t="s">
        <v>274</v>
      </c>
      <c r="AQ67" s="11">
        <f>(1/4*PI()*$AM$3^2-1/4*PI()*($AM$3-2*$AM$4)^2)*$AM$6/1000</f>
        <v>133720.32050372279</v>
      </c>
      <c r="AR67" s="3" t="s">
        <v>65</v>
      </c>
    </row>
    <row r="68" spans="4:44" x14ac:dyDescent="0.25">
      <c r="D68" s="30" t="s">
        <v>242</v>
      </c>
      <c r="F68" t="s">
        <v>243</v>
      </c>
      <c r="G68" s="13">
        <f>5/384*$C$5*($G$7/1000)*$G$3^4/(210000*$G$15)</f>
        <v>0.35991396472749643</v>
      </c>
      <c r="H68" s="3" t="s">
        <v>9</v>
      </c>
      <c r="AF68" s="3"/>
      <c r="AP68" t="s">
        <v>176</v>
      </c>
      <c r="AQ68" s="13">
        <f>AM12/AQ67</f>
        <v>3.1850058270548556E-2</v>
      </c>
      <c r="AR68" s="3" t="s">
        <v>61</v>
      </c>
    </row>
    <row r="69" spans="4:44" ht="18" x14ac:dyDescent="0.4">
      <c r="G69" t="b">
        <f>G68&lt;1/200*$G$3</f>
        <v>1</v>
      </c>
      <c r="H69" t="s">
        <v>244</v>
      </c>
      <c r="AF69" s="3"/>
      <c r="AP69" s="2" t="s">
        <v>211</v>
      </c>
      <c r="AQ69" s="34">
        <f>(AM12/AQ67)^2</f>
        <v>1.0144262118373386E-3</v>
      </c>
      <c r="AR69" s="3" t="s">
        <v>61</v>
      </c>
    </row>
    <row r="70" spans="4:44" ht="18" x14ac:dyDescent="0.4">
      <c r="AD70" s="2"/>
      <c r="AE70" s="2"/>
      <c r="AF70" s="3"/>
      <c r="AP70" t="s">
        <v>212</v>
      </c>
      <c r="AQ70" s="13">
        <f>AQ64*(1-AQ69)</f>
        <v>354.63987869479774</v>
      </c>
      <c r="AR70" s="3" t="s">
        <v>14</v>
      </c>
    </row>
    <row r="71" spans="4:44" ht="18" x14ac:dyDescent="0.4">
      <c r="AD71" s="2"/>
      <c r="AE71" s="2"/>
      <c r="AF71" s="3"/>
      <c r="AP71" s="1"/>
      <c r="AR71" s="3"/>
    </row>
    <row r="72" spans="4:44" ht="18" x14ac:dyDescent="0.4">
      <c r="AD72" s="2"/>
      <c r="AE72" s="2"/>
      <c r="AF72" s="3"/>
      <c r="AR72" s="3"/>
    </row>
    <row r="73" spans="4:44" x14ac:dyDescent="0.25">
      <c r="AP73" s="1" t="s">
        <v>204</v>
      </c>
      <c r="AR73" s="3"/>
    </row>
    <row r="74" spans="4:44" x14ac:dyDescent="0.25">
      <c r="AF74" s="3"/>
      <c r="AP74" t="s">
        <v>200</v>
      </c>
      <c r="AQ74" s="11">
        <f>(1/6*($AM$3^3-($AM$3-2*$AM$4)^3)*AQ70)*10^(-6)</f>
        <v>46505.582279349401</v>
      </c>
      <c r="AR74" s="3" t="s">
        <v>57</v>
      </c>
    </row>
    <row r="75" spans="4:44" x14ac:dyDescent="0.25">
      <c r="AF75" s="3"/>
      <c r="AP75" t="s">
        <v>176</v>
      </c>
      <c r="AQ75" s="13">
        <f>$AS$12/AQ74</f>
        <v>5.3756987386654308E-3</v>
      </c>
      <c r="AR75" s="3" t="s">
        <v>61</v>
      </c>
    </row>
    <row r="77" spans="4:44" x14ac:dyDescent="0.25">
      <c r="AO77" s="1" t="s">
        <v>276</v>
      </c>
      <c r="AQ77" s="3"/>
    </row>
    <row r="78" spans="4:44" x14ac:dyDescent="0.25">
      <c r="AO78" t="s">
        <v>277</v>
      </c>
      <c r="AP78">
        <v>13333</v>
      </c>
      <c r="AQ78" s="3" t="s">
        <v>9</v>
      </c>
    </row>
    <row r="79" spans="4:44" ht="18" x14ac:dyDescent="0.4">
      <c r="AO79" s="2" t="s">
        <v>253</v>
      </c>
      <c r="AP79">
        <v>0.21</v>
      </c>
      <c r="AQ79" s="3" t="s">
        <v>61</v>
      </c>
    </row>
    <row r="80" spans="4:44" x14ac:dyDescent="0.25">
      <c r="AO80" t="s">
        <v>278</v>
      </c>
      <c r="AP80" s="11">
        <f>PI()^2*210000*$AM$17/($AP$78^2)</f>
        <v>658864295.18048966</v>
      </c>
      <c r="AQ80" s="3" t="s">
        <v>279</v>
      </c>
    </row>
    <row r="81" spans="41:44" ht="18" x14ac:dyDescent="0.4">
      <c r="AO81" s="2" t="s">
        <v>280</v>
      </c>
      <c r="AP81" s="13">
        <f>SQRT((1/4*PI()*$AM$3^2-1/4*PI()*($AM$3-2*$AM$4)^2)*$AM$6/AP80)</f>
        <v>0.45050614358195284</v>
      </c>
      <c r="AQ81" s="3" t="s">
        <v>61</v>
      </c>
    </row>
    <row r="82" spans="41:44" ht="18" x14ac:dyDescent="0.4">
      <c r="AO82" s="2" t="s">
        <v>281</v>
      </c>
      <c r="AP82" s="13">
        <f>0.5*(1+AP79*(AP81-0.2)+AP81^2)</f>
        <v>0.62778103777864669</v>
      </c>
      <c r="AQ82" s="3" t="s">
        <v>61</v>
      </c>
    </row>
    <row r="83" spans="41:44" ht="18" x14ac:dyDescent="0.4">
      <c r="AO83" s="2" t="s">
        <v>282</v>
      </c>
      <c r="AP83" s="13">
        <f>1/(AP82+SQRT(AP82^2-AP81^2))</f>
        <v>0.93897437046309673</v>
      </c>
      <c r="AQ83" s="3" t="s">
        <v>61</v>
      </c>
    </row>
    <row r="84" spans="41:44" x14ac:dyDescent="0.25">
      <c r="AO84" t="s">
        <v>283</v>
      </c>
      <c r="AP84" s="11">
        <f>AP83*(1/4*PI()*$AM$3^2-1/4*PI()*($AM$3-2*$AM$4)^2)*$AM$6/1000</f>
        <v>125559.95376310665</v>
      </c>
      <c r="AQ84" s="3" t="s">
        <v>65</v>
      </c>
    </row>
    <row r="85" spans="41:44" x14ac:dyDescent="0.25">
      <c r="AO85" t="s">
        <v>176</v>
      </c>
      <c r="AP85" s="13">
        <f>ABS(AM12)/AP84</f>
        <v>3.3920050719638162E-2</v>
      </c>
      <c r="AQ85" s="3" t="s">
        <v>61</v>
      </c>
    </row>
    <row r="87" spans="41:44" x14ac:dyDescent="0.25">
      <c r="AP87" s="1"/>
    </row>
    <row r="88" spans="41:44" x14ac:dyDescent="0.25">
      <c r="AR88" s="3"/>
    </row>
    <row r="89" spans="41:44" ht="18" x14ac:dyDescent="0.4">
      <c r="AP89" s="2"/>
      <c r="AR89" s="3"/>
    </row>
    <row r="90" spans="41:44" x14ac:dyDescent="0.25">
      <c r="AR90" s="3"/>
    </row>
    <row r="91" spans="41:44" x14ac:dyDescent="0.25">
      <c r="AR91" s="3"/>
    </row>
    <row r="92" spans="41:44" x14ac:dyDescent="0.25">
      <c r="AQ92" s="35"/>
      <c r="AR92" s="3"/>
    </row>
    <row r="93" spans="41:44" x14ac:dyDescent="0.25">
      <c r="AR93" s="3"/>
    </row>
    <row r="94" spans="41:44" x14ac:dyDescent="0.25">
      <c r="AR94" s="3"/>
    </row>
    <row r="95" spans="41:44" x14ac:dyDescent="0.25">
      <c r="AR95" s="3"/>
    </row>
    <row r="96" spans="41:44" x14ac:dyDescent="0.25">
      <c r="AR96" s="3"/>
    </row>
    <row r="97" spans="42:45" x14ac:dyDescent="0.25">
      <c r="AP97" s="1"/>
      <c r="AQ97" s="1"/>
      <c r="AR97" s="3"/>
    </row>
    <row r="98" spans="42:45" x14ac:dyDescent="0.25">
      <c r="AR98" s="3"/>
    </row>
    <row r="99" spans="42:45" x14ac:dyDescent="0.25">
      <c r="AR99" s="3"/>
    </row>
    <row r="100" spans="42:45" x14ac:dyDescent="0.25">
      <c r="AR100" s="3"/>
    </row>
    <row r="101" spans="42:45" x14ac:dyDescent="0.25">
      <c r="AR101" s="3"/>
    </row>
    <row r="102" spans="42:45" ht="18" x14ac:dyDescent="0.4">
      <c r="AP102" s="2"/>
      <c r="AQ102" s="2"/>
      <c r="AR102" s="3"/>
    </row>
    <row r="103" spans="42:45" x14ac:dyDescent="0.25">
      <c r="AR103" s="3"/>
    </row>
    <row r="104" spans="42:45" x14ac:dyDescent="0.25">
      <c r="AR104" s="3"/>
    </row>
    <row r="106" spans="42:45" x14ac:dyDescent="0.25">
      <c r="AP106" s="1"/>
      <c r="AQ106" s="1"/>
      <c r="AR106" s="3"/>
    </row>
    <row r="107" spans="42:45" x14ac:dyDescent="0.25">
      <c r="AP107" s="1"/>
      <c r="AQ107" s="1"/>
      <c r="AR107" s="3"/>
    </row>
    <row r="108" spans="42:45" x14ac:dyDescent="0.25">
      <c r="AR108" s="3"/>
    </row>
    <row r="109" spans="42:45" x14ac:dyDescent="0.25">
      <c r="AR109" s="3"/>
    </row>
    <row r="110" spans="42:45" x14ac:dyDescent="0.25">
      <c r="AQ110" s="3"/>
      <c r="AR110" s="3"/>
    </row>
    <row r="111" spans="42:45" x14ac:dyDescent="0.25">
      <c r="AP111" s="1"/>
      <c r="AQ111" s="3"/>
      <c r="AR111" s="3"/>
    </row>
    <row r="112" spans="42:45" x14ac:dyDescent="0.25">
      <c r="AQ112" s="3"/>
      <c r="AR112" s="3"/>
      <c r="AS112" s="3"/>
    </row>
    <row r="113" spans="42:45" x14ac:dyDescent="0.25">
      <c r="AP113" s="1"/>
      <c r="AQ113" s="3"/>
      <c r="AR113" s="3"/>
      <c r="AS113" s="3"/>
    </row>
    <row r="114" spans="42:45" x14ac:dyDescent="0.25">
      <c r="AQ114" s="3"/>
      <c r="AR114" s="3"/>
      <c r="AS114" s="3"/>
    </row>
    <row r="115" spans="42:45" x14ac:dyDescent="0.25">
      <c r="AQ115" s="3"/>
      <c r="AR115" s="3"/>
      <c r="AS115" s="3"/>
    </row>
    <row r="116" spans="42:45" x14ac:dyDescent="0.25">
      <c r="AS116" s="3"/>
    </row>
    <row r="117" spans="42:45" x14ac:dyDescent="0.25">
      <c r="AS117" s="3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967DF-5B55-48D5-8455-8ACADE3EEF0F}">
  <dimension ref="B1:AS93"/>
  <sheetViews>
    <sheetView topLeftCell="N63" zoomScale="70" zoomScaleNormal="70" workbookViewId="0">
      <selection activeCell="AF26" sqref="AF26"/>
    </sheetView>
  </sheetViews>
  <sheetFormatPr defaultRowHeight="15" x14ac:dyDescent="0.25"/>
  <cols>
    <col min="3" max="3" width="16.7109375" bestFit="1" customWidth="1"/>
    <col min="4" max="4" width="12.7109375" style="3" bestFit="1" customWidth="1"/>
    <col min="8" max="8" width="8.85546875" style="3"/>
    <col min="11" max="11" width="12.5703125" bestFit="1" customWidth="1"/>
    <col min="12" max="12" width="8.85546875" style="3"/>
    <col min="13" max="13" width="9.140625" style="5"/>
    <col min="15" max="15" width="13.42578125" bestFit="1" customWidth="1"/>
    <col min="16" max="16" width="9" style="3" bestFit="1" customWidth="1"/>
    <col min="17" max="17" width="12.140625" bestFit="1" customWidth="1"/>
    <col min="19" max="19" width="16.28515625" bestFit="1" customWidth="1"/>
    <col min="20" max="20" width="8.85546875" style="3"/>
    <col min="23" max="23" width="9.7109375" customWidth="1"/>
    <col min="24" max="24" width="10" style="3" bestFit="1" customWidth="1"/>
    <col min="27" max="27" width="12.7109375" bestFit="1" customWidth="1"/>
    <col min="28" max="28" width="8.85546875" style="3"/>
    <col min="31" max="31" width="10.7109375" bestFit="1" customWidth="1"/>
    <col min="32" max="32" width="8.85546875" style="3"/>
    <col min="35" max="35" width="10" bestFit="1" customWidth="1"/>
    <col min="36" max="36" width="8.85546875" style="3"/>
    <col min="39" max="39" width="9" bestFit="1" customWidth="1"/>
    <col min="40" max="40" width="8.85546875" style="3"/>
  </cols>
  <sheetData>
    <row r="1" spans="2:45" ht="15.75" thickBot="1" x14ac:dyDescent="0.3">
      <c r="V1" s="1" t="s">
        <v>400</v>
      </c>
      <c r="Z1" s="1" t="s">
        <v>427</v>
      </c>
      <c r="AD1" s="1" t="s">
        <v>414</v>
      </c>
      <c r="AL1" s="1" t="s">
        <v>415</v>
      </c>
      <c r="AP1" s="1" t="s">
        <v>413</v>
      </c>
    </row>
    <row r="2" spans="2:45" x14ac:dyDescent="0.25">
      <c r="B2" s="1" t="s">
        <v>322</v>
      </c>
      <c r="F2" s="1" t="s">
        <v>84</v>
      </c>
      <c r="J2" s="1" t="s">
        <v>85</v>
      </c>
      <c r="N2" s="1" t="s">
        <v>345</v>
      </c>
      <c r="R2" s="1" t="s">
        <v>31</v>
      </c>
      <c r="V2" t="s">
        <v>383</v>
      </c>
      <c r="W2" s="11">
        <f>34.3*S3</f>
        <v>197.22499999999999</v>
      </c>
      <c r="X2" s="3" t="s">
        <v>223</v>
      </c>
      <c r="Z2" t="s">
        <v>558</v>
      </c>
      <c r="AD2" t="s">
        <v>383</v>
      </c>
      <c r="AE2" s="11">
        <f>34.2*7</f>
        <v>239.40000000000003</v>
      </c>
      <c r="AF2" s="3" t="s">
        <v>223</v>
      </c>
      <c r="AH2" s="40" t="s">
        <v>597</v>
      </c>
      <c r="AI2" s="62">
        <v>11691.91</v>
      </c>
      <c r="AJ2" s="51" t="s">
        <v>65</v>
      </c>
      <c r="AL2" t="s">
        <v>383</v>
      </c>
      <c r="AM2" s="11">
        <f>45*($S$10+$S$9)</f>
        <v>270</v>
      </c>
      <c r="AN2" s="3" t="s">
        <v>223</v>
      </c>
      <c r="AO2" t="s">
        <v>420</v>
      </c>
      <c r="AP2" t="s">
        <v>383</v>
      </c>
      <c r="AQ2" s="11">
        <f>45*($S$10+$S$9)</f>
        <v>270</v>
      </c>
      <c r="AR2" s="3" t="s">
        <v>223</v>
      </c>
      <c r="AS2" t="s">
        <v>420</v>
      </c>
    </row>
    <row r="3" spans="2:45" x14ac:dyDescent="0.25">
      <c r="B3" t="s">
        <v>17</v>
      </c>
      <c r="C3">
        <v>-12</v>
      </c>
      <c r="D3" s="3" t="s">
        <v>8</v>
      </c>
      <c r="F3" t="s">
        <v>5</v>
      </c>
      <c r="G3">
        <v>2.2000000000000002</v>
      </c>
      <c r="H3" s="3" t="s">
        <v>19</v>
      </c>
      <c r="J3" t="s">
        <v>5</v>
      </c>
      <c r="K3">
        <v>12.2</v>
      </c>
      <c r="L3" s="3" t="s">
        <v>19</v>
      </c>
      <c r="N3" t="s">
        <v>328</v>
      </c>
      <c r="O3" s="9">
        <f>(C14*(C5/2+C8)+G14*(G3/2+2*C8+C5)+K14*(K3/2+G3+2*C8+C5))/(C14+G14+K14)</f>
        <v>11.408099748435031</v>
      </c>
      <c r="P3" s="3" t="s">
        <v>347</v>
      </c>
      <c r="R3" t="s">
        <v>352</v>
      </c>
      <c r="S3">
        <f>5.75</f>
        <v>5.75</v>
      </c>
      <c r="T3" s="3" t="s">
        <v>19</v>
      </c>
      <c r="V3" t="s">
        <v>385</v>
      </c>
      <c r="W3" s="13">
        <f>S3/2-S15</f>
        <v>0.73156724093572123</v>
      </c>
      <c r="X3" s="3" t="s">
        <v>19</v>
      </c>
      <c r="Z3" t="s">
        <v>428</v>
      </c>
      <c r="AA3">
        <v>40</v>
      </c>
      <c r="AB3" s="3" t="s">
        <v>14</v>
      </c>
      <c r="AD3" t="s">
        <v>385</v>
      </c>
      <c r="AE3" s="13">
        <f>3.5-S16</f>
        <v>0.70397823549951255</v>
      </c>
      <c r="AF3" s="3" t="s">
        <v>19</v>
      </c>
      <c r="AH3" s="44" t="s">
        <v>78</v>
      </c>
      <c r="AI3" s="27">
        <f>(920.08*(0.5*0.53+4.174)+27.56*(1/3*0.53+4.174)+9951.74*(0.5*6.27-2.796)+792.53*(2/3*6.27-2.796))/AI2</f>
        <v>0.74193531025583792</v>
      </c>
      <c r="AJ3" s="52" t="s">
        <v>19</v>
      </c>
      <c r="AL3" t="s">
        <v>384</v>
      </c>
      <c r="AM3" s="13">
        <f>($S$10+$S$9)/2-$S$13</f>
        <v>0.33634599589080461</v>
      </c>
      <c r="AN3" s="3" t="s">
        <v>19</v>
      </c>
      <c r="AP3" t="s">
        <v>384</v>
      </c>
      <c r="AQ3" s="13">
        <f>($S$10+$S$9)/2-$S$14</f>
        <v>0.41863591527618249</v>
      </c>
      <c r="AR3" s="3" t="s">
        <v>19</v>
      </c>
    </row>
    <row r="4" spans="2:45" x14ac:dyDescent="0.25">
      <c r="B4" t="s">
        <v>27</v>
      </c>
      <c r="C4">
        <v>14.3</v>
      </c>
      <c r="D4" s="3" t="s">
        <v>8</v>
      </c>
      <c r="F4" t="s">
        <v>7</v>
      </c>
      <c r="G4">
        <f>C6</f>
        <v>2.5</v>
      </c>
      <c r="H4" s="3" t="s">
        <v>19</v>
      </c>
      <c r="J4" t="s">
        <v>7</v>
      </c>
      <c r="K4">
        <f>G4</f>
        <v>2.5</v>
      </c>
      <c r="L4" s="3" t="s">
        <v>19</v>
      </c>
      <c r="R4" t="s">
        <v>351</v>
      </c>
      <c r="S4">
        <v>7.5</v>
      </c>
      <c r="T4" s="3" t="s">
        <v>19</v>
      </c>
      <c r="V4" t="s">
        <v>386</v>
      </c>
      <c r="W4" s="11">
        <f>0.5*(47.48-34.3)*S3</f>
        <v>37.892499999999998</v>
      </c>
      <c r="X4" s="3" t="s">
        <v>223</v>
      </c>
      <c r="Z4" s="37" t="s">
        <v>429</v>
      </c>
      <c r="AA4" s="37">
        <v>26.7</v>
      </c>
      <c r="AB4" s="3" t="s">
        <v>14</v>
      </c>
      <c r="AC4" s="36"/>
      <c r="AD4" t="s">
        <v>386</v>
      </c>
      <c r="AE4" s="11">
        <f>0.5*(48.6-34.3)*7</f>
        <v>50.050000000000011</v>
      </c>
      <c r="AF4" s="3" t="s">
        <v>223</v>
      </c>
      <c r="AH4" s="44" t="s">
        <v>598</v>
      </c>
      <c r="AI4">
        <v>7906.47</v>
      </c>
      <c r="AJ4" s="52" t="s">
        <v>65</v>
      </c>
      <c r="AL4" t="s">
        <v>386</v>
      </c>
      <c r="AM4" s="11">
        <f>0.5*16.2*(6.96-3)</f>
        <v>32.076000000000001</v>
      </c>
      <c r="AN4" s="3" t="s">
        <v>223</v>
      </c>
      <c r="AP4" t="s">
        <v>386</v>
      </c>
      <c r="AQ4" s="11">
        <f>0.5*16.2*(6.96-3)</f>
        <v>32.076000000000001</v>
      </c>
      <c r="AR4" s="3" t="s">
        <v>223</v>
      </c>
    </row>
    <row r="5" spans="2:45" x14ac:dyDescent="0.25">
      <c r="B5" t="s">
        <v>23</v>
      </c>
      <c r="C5" s="58">
        <f>6786/1000</f>
        <v>6.7859999999999996</v>
      </c>
      <c r="D5" s="3" t="s">
        <v>19</v>
      </c>
      <c r="F5" t="s">
        <v>27</v>
      </c>
      <c r="G5">
        <v>3</v>
      </c>
      <c r="H5" s="3" t="s">
        <v>8</v>
      </c>
      <c r="J5" t="s">
        <v>27</v>
      </c>
      <c r="K5">
        <v>8.5</v>
      </c>
      <c r="L5" s="3" t="s">
        <v>8</v>
      </c>
      <c r="R5" t="s">
        <v>177</v>
      </c>
      <c r="S5">
        <v>0.7</v>
      </c>
      <c r="T5" s="3" t="s">
        <v>19</v>
      </c>
      <c r="V5" t="s">
        <v>387</v>
      </c>
      <c r="W5" s="13">
        <f>2/3*S3-S15</f>
        <v>1.6899005742690543</v>
      </c>
      <c r="X5" s="3" t="s">
        <v>19</v>
      </c>
      <c r="Z5" t="s">
        <v>430</v>
      </c>
      <c r="AA5">
        <v>3.5</v>
      </c>
      <c r="AB5" s="3" t="s">
        <v>14</v>
      </c>
      <c r="AD5" t="s">
        <v>387</v>
      </c>
      <c r="AE5" s="13">
        <f>2/3*7-S16</f>
        <v>1.8706449021661786</v>
      </c>
      <c r="AF5" s="3" t="s">
        <v>19</v>
      </c>
      <c r="AH5" s="44" t="s">
        <v>79</v>
      </c>
      <c r="AI5">
        <f>1/3*(9.97-3.7)+0.7-2.796</f>
        <v>-5.9999999999997833E-3</v>
      </c>
      <c r="AJ5" s="52" t="s">
        <v>19</v>
      </c>
      <c r="AL5" t="s">
        <v>385</v>
      </c>
      <c r="AM5" s="13">
        <f>-(6.96-3)/3+S15</f>
        <v>0.82343275906427871</v>
      </c>
      <c r="AN5" s="3" t="s">
        <v>19</v>
      </c>
      <c r="AP5" t="s">
        <v>385</v>
      </c>
      <c r="AQ5" s="13">
        <f>-(6.96-3)/3+S16</f>
        <v>1.4760217645004874</v>
      </c>
      <c r="AR5" s="3" t="s">
        <v>19</v>
      </c>
    </row>
    <row r="6" spans="2:45" x14ac:dyDescent="0.25">
      <c r="B6" t="s">
        <v>25</v>
      </c>
      <c r="C6">
        <v>2.5</v>
      </c>
      <c r="D6" s="3" t="s">
        <v>19</v>
      </c>
      <c r="F6" t="s">
        <v>4</v>
      </c>
      <c r="G6">
        <f>6+G5</f>
        <v>9</v>
      </c>
      <c r="H6" s="3" t="s">
        <v>19</v>
      </c>
      <c r="J6" t="s">
        <v>4</v>
      </c>
      <c r="K6">
        <f>6+K5</f>
        <v>14.5</v>
      </c>
      <c r="L6" s="3" t="s">
        <v>19</v>
      </c>
      <c r="R6" t="s">
        <v>557</v>
      </c>
      <c r="S6" s="13">
        <f>1/4.4</f>
        <v>0.22727272727272727</v>
      </c>
      <c r="T6" s="3" t="s">
        <v>61</v>
      </c>
      <c r="V6" t="s">
        <v>388</v>
      </c>
      <c r="W6" s="11">
        <f>12.57*S3</f>
        <v>72.277500000000003</v>
      </c>
      <c r="X6" s="3" t="s">
        <v>223</v>
      </c>
      <c r="Z6" t="s">
        <v>431</v>
      </c>
      <c r="AA6">
        <v>1.64</v>
      </c>
      <c r="AB6" s="3" t="s">
        <v>14</v>
      </c>
      <c r="AD6" t="s">
        <v>388</v>
      </c>
      <c r="AE6" s="7">
        <f>46*0.5</f>
        <v>23</v>
      </c>
      <c r="AF6" s="3" t="s">
        <v>223</v>
      </c>
      <c r="AH6" s="44" t="s">
        <v>602</v>
      </c>
      <c r="AI6">
        <v>3319.54</v>
      </c>
      <c r="AJ6" s="52" t="s">
        <v>65</v>
      </c>
      <c r="AL6" t="s">
        <v>62</v>
      </c>
      <c r="AM6" s="11">
        <f>$W$18</f>
        <v>-333.91844909186</v>
      </c>
      <c r="AN6" s="3" t="s">
        <v>223</v>
      </c>
      <c r="AP6" t="s">
        <v>62</v>
      </c>
      <c r="AQ6" s="11">
        <f>$W$18</f>
        <v>-333.91844909186</v>
      </c>
      <c r="AR6" s="3" t="s">
        <v>223</v>
      </c>
    </row>
    <row r="7" spans="2:45" ht="15.75" thickBot="1" x14ac:dyDescent="0.3">
      <c r="B7" t="s">
        <v>24</v>
      </c>
      <c r="C7">
        <v>6.5</v>
      </c>
      <c r="D7" s="3" t="s">
        <v>19</v>
      </c>
      <c r="R7" t="s">
        <v>353</v>
      </c>
      <c r="S7" s="13">
        <f>(S3-S5)*S6</f>
        <v>1.1477272727272727</v>
      </c>
      <c r="T7" s="3" t="s">
        <v>19</v>
      </c>
      <c r="V7" t="s">
        <v>389</v>
      </c>
      <c r="W7" s="13">
        <f>W3</f>
        <v>0.73156724093572123</v>
      </c>
      <c r="X7" s="3" t="s">
        <v>19</v>
      </c>
      <c r="Z7" t="s">
        <v>450</v>
      </c>
      <c r="AA7">
        <v>35000</v>
      </c>
      <c r="AB7" s="3" t="s">
        <v>14</v>
      </c>
      <c r="AD7" t="s">
        <v>389</v>
      </c>
      <c r="AE7" s="13">
        <f>S4-(S4-7)/2-S16</f>
        <v>4.4539782354995126</v>
      </c>
      <c r="AF7" s="3" t="s">
        <v>19</v>
      </c>
      <c r="AH7" s="46" t="s">
        <v>78</v>
      </c>
      <c r="AI7" s="71">
        <f>2344/1000</f>
        <v>2.3439999999999999</v>
      </c>
      <c r="AJ7" s="54" t="s">
        <v>19</v>
      </c>
      <c r="AR7" s="3"/>
    </row>
    <row r="8" spans="2:45" x14ac:dyDescent="0.25">
      <c r="B8" t="s">
        <v>26</v>
      </c>
      <c r="C8">
        <v>2.5</v>
      </c>
      <c r="D8" s="3" t="s">
        <v>19</v>
      </c>
      <c r="R8" t="s">
        <v>354</v>
      </c>
      <c r="S8" s="9">
        <f>(S4-S5)*S6</f>
        <v>1.5454545454545454</v>
      </c>
      <c r="T8" s="3" t="s">
        <v>19</v>
      </c>
      <c r="V8" t="s">
        <v>390</v>
      </c>
      <c r="W8" s="11">
        <f>0.5*(70.39-12.57)*S3</f>
        <v>166.23249999999999</v>
      </c>
      <c r="X8" s="3" t="s">
        <v>223</v>
      </c>
      <c r="AA8" s="38"/>
      <c r="AD8" t="s">
        <v>390</v>
      </c>
      <c r="AE8" s="13">
        <f>0.5*(48.6-46)*0.5</f>
        <v>0.65000000000000036</v>
      </c>
      <c r="AF8" s="3" t="s">
        <v>223</v>
      </c>
      <c r="AL8" t="s">
        <v>257</v>
      </c>
      <c r="AM8" s="11">
        <f>(AM2*AM3+AM4*AM5)*46/2</f>
        <v>2696.1945056160498</v>
      </c>
      <c r="AN8" s="3" t="s">
        <v>57</v>
      </c>
      <c r="AP8" t="s">
        <v>257</v>
      </c>
      <c r="AQ8" s="11">
        <f>(AQ2*AQ3+AQ4*AQ5)*46/2</f>
        <v>3688.6611385817987</v>
      </c>
      <c r="AR8" s="3" t="s">
        <v>57</v>
      </c>
    </row>
    <row r="9" spans="2:45" x14ac:dyDescent="0.25">
      <c r="B9" t="s">
        <v>38</v>
      </c>
      <c r="C9">
        <v>20.3</v>
      </c>
      <c r="D9" s="3" t="s">
        <v>19</v>
      </c>
      <c r="R9" t="s">
        <v>96</v>
      </c>
      <c r="S9">
        <v>0.6</v>
      </c>
      <c r="T9" s="3" t="s">
        <v>19</v>
      </c>
      <c r="V9" t="s">
        <v>391</v>
      </c>
      <c r="W9" s="13">
        <f>1/3*S3-S15</f>
        <v>-0.22676609239761225</v>
      </c>
      <c r="X9" s="3" t="s">
        <v>19</v>
      </c>
      <c r="Z9" s="1" t="s">
        <v>439</v>
      </c>
      <c r="AD9" t="s">
        <v>391</v>
      </c>
      <c r="AE9" s="13">
        <f>S4-(2*(S4-7)/3)-S16</f>
        <v>4.3706449021661795</v>
      </c>
      <c r="AF9" s="3" t="s">
        <v>19</v>
      </c>
      <c r="AI9" s="10"/>
      <c r="AL9" t="s">
        <v>406</v>
      </c>
      <c r="AM9" s="11">
        <f>AM4</f>
        <v>32.076000000000001</v>
      </c>
      <c r="AN9" s="3" t="s">
        <v>223</v>
      </c>
      <c r="AP9" t="s">
        <v>406</v>
      </c>
      <c r="AQ9" s="11">
        <f>AQ4</f>
        <v>32.076000000000001</v>
      </c>
      <c r="AR9" s="3" t="s">
        <v>223</v>
      </c>
    </row>
    <row r="10" spans="2:45" x14ac:dyDescent="0.25">
      <c r="B10" t="s">
        <v>68</v>
      </c>
      <c r="C10" s="11">
        <f>(C5*C6+2*C7*C8)*C9*25</f>
        <v>25103.487500000003</v>
      </c>
      <c r="D10" s="3" t="s">
        <v>65</v>
      </c>
      <c r="R10" t="s">
        <v>355</v>
      </c>
      <c r="S10">
        <v>5.4</v>
      </c>
      <c r="T10" s="3" t="s">
        <v>19</v>
      </c>
      <c r="V10" t="s">
        <v>392</v>
      </c>
      <c r="W10" s="11">
        <f>0</f>
        <v>0</v>
      </c>
      <c r="X10" s="3" t="s">
        <v>223</v>
      </c>
      <c r="Z10" t="s">
        <v>440</v>
      </c>
      <c r="AD10" t="s">
        <v>392</v>
      </c>
      <c r="AE10" s="11">
        <f>0.5*70.39*7</f>
        <v>246.36500000000001</v>
      </c>
      <c r="AF10" s="3" t="s">
        <v>223</v>
      </c>
      <c r="AI10" s="10"/>
      <c r="AL10" t="s">
        <v>407</v>
      </c>
      <c r="AM10" s="11">
        <f>AM2+AM6</f>
        <v>-63.918449091859998</v>
      </c>
      <c r="AN10" s="3" t="s">
        <v>223</v>
      </c>
      <c r="AP10" t="s">
        <v>407</v>
      </c>
      <c r="AQ10" s="11">
        <f>AQ2+AQ6</f>
        <v>-63.918449091859998</v>
      </c>
      <c r="AR10" s="3" t="s">
        <v>223</v>
      </c>
    </row>
    <row r="11" spans="2:45" x14ac:dyDescent="0.25">
      <c r="B11" t="s">
        <v>323</v>
      </c>
      <c r="C11">
        <f>2*1350</f>
        <v>2700</v>
      </c>
      <c r="D11" s="3" t="s">
        <v>65</v>
      </c>
      <c r="R11" t="s">
        <v>356</v>
      </c>
      <c r="S11" s="13">
        <f>S10-S7</f>
        <v>4.2522727272727279</v>
      </c>
      <c r="T11" s="3" t="s">
        <v>19</v>
      </c>
      <c r="V11" t="s">
        <v>393</v>
      </c>
      <c r="W11" s="13">
        <f>(S10+S9)/2-S13</f>
        <v>0.33634599589080461</v>
      </c>
      <c r="X11" s="3" t="s">
        <v>19</v>
      </c>
      <c r="Z11" t="s">
        <v>448</v>
      </c>
      <c r="AA11">
        <v>1860</v>
      </c>
      <c r="AB11" s="3" t="s">
        <v>14</v>
      </c>
      <c r="AD11" t="s">
        <v>393</v>
      </c>
      <c r="AE11" s="13">
        <f>1/3*S4-S16</f>
        <v>-0.29602176450048745</v>
      </c>
      <c r="AF11" s="3" t="s">
        <v>19</v>
      </c>
      <c r="AI11" s="10"/>
      <c r="AL11" t="s">
        <v>401</v>
      </c>
      <c r="AM11" s="11">
        <f>AM9*45.25/2</f>
        <v>725.71950000000004</v>
      </c>
      <c r="AN11" s="3" t="s">
        <v>65</v>
      </c>
      <c r="AP11" t="s">
        <v>401</v>
      </c>
      <c r="AQ11" s="11">
        <f>AQ9*45.25/2</f>
        <v>725.71950000000004</v>
      </c>
      <c r="AR11" s="3" t="s">
        <v>65</v>
      </c>
    </row>
    <row r="12" spans="2:45" x14ac:dyDescent="0.25">
      <c r="B12" t="s">
        <v>324</v>
      </c>
      <c r="C12">
        <f>2*3350</f>
        <v>6700</v>
      </c>
      <c r="D12" s="3" t="s">
        <v>65</v>
      </c>
      <c r="R12" t="s">
        <v>357</v>
      </c>
      <c r="S12" s="9">
        <f>S10-S8</f>
        <v>3.8545454545454549</v>
      </c>
      <c r="T12" s="3" t="s">
        <v>19</v>
      </c>
      <c r="V12" t="s">
        <v>394</v>
      </c>
      <c r="W12" s="11">
        <f>-12.57*(S10+S9)</f>
        <v>-75.42</v>
      </c>
      <c r="X12" s="3" t="s">
        <v>223</v>
      </c>
      <c r="Z12" t="s">
        <v>449</v>
      </c>
      <c r="AA12">
        <v>1600</v>
      </c>
      <c r="AB12" s="3" t="s">
        <v>14</v>
      </c>
      <c r="AD12" t="s">
        <v>394</v>
      </c>
      <c r="AE12" s="11">
        <f>0</f>
        <v>0</v>
      </c>
      <c r="AF12" s="3" t="s">
        <v>223</v>
      </c>
      <c r="AI12" s="10"/>
      <c r="AL12" t="s">
        <v>402</v>
      </c>
      <c r="AM12" s="11">
        <f>AM10*45.25/2</f>
        <v>-1446.1549107033325</v>
      </c>
      <c r="AN12" s="3" t="s">
        <v>65</v>
      </c>
      <c r="AP12" t="s">
        <v>402</v>
      </c>
      <c r="AQ12" s="11">
        <f>AQ10*45.25/2</f>
        <v>-1446.1549107033325</v>
      </c>
      <c r="AR12" s="3" t="s">
        <v>65</v>
      </c>
    </row>
    <row r="13" spans="2:45" x14ac:dyDescent="0.25">
      <c r="B13" t="s">
        <v>325</v>
      </c>
      <c r="C13">
        <v>9300</v>
      </c>
      <c r="D13" s="3" t="s">
        <v>65</v>
      </c>
      <c r="R13" t="s">
        <v>358</v>
      </c>
      <c r="S13" s="9">
        <f>(($S$3-2*$S$5)*$S$5*$S$5/2+($S$10+$S$9)*$S$5*($S$10+$S$9)/2+($S$11-$S$5)*$S$5*($S$11-$S$5)/2+SQRT(($S$3-$S$5)^2+$S$7^2)*$S$5*($S$11+$S$7/2))/(($S$3-2*$S$5)*$S$5+($S$10+$S$9)*$S$5+($S$11-$S$5)*$S$5+SQRT(($S$3-$S$5)^2+$S$7^2)*$S$5)</f>
        <v>2.6636540041091954</v>
      </c>
      <c r="T13" s="3" t="s">
        <v>19</v>
      </c>
      <c r="U13" t="s">
        <v>372</v>
      </c>
      <c r="V13" t="s">
        <v>395</v>
      </c>
      <c r="W13" s="13">
        <f>W11</f>
        <v>0.33634599589080461</v>
      </c>
      <c r="X13" s="3" t="s">
        <v>19</v>
      </c>
      <c r="Z13" t="s">
        <v>456</v>
      </c>
      <c r="AA13">
        <f>MIN(0.75*$AA$11,0.85*$AA$12)</f>
        <v>1360</v>
      </c>
      <c r="AB13" s="3" t="s">
        <v>14</v>
      </c>
      <c r="AD13" t="s">
        <v>395</v>
      </c>
      <c r="AE13" s="13">
        <f>(S10+S9)/2-S14</f>
        <v>0.41863591527618249</v>
      </c>
      <c r="AF13" s="3" t="s">
        <v>19</v>
      </c>
      <c r="AI13" s="10"/>
      <c r="AL13" t="s">
        <v>403</v>
      </c>
      <c r="AM13" s="11">
        <f>1/8*AM9*45.25^2</f>
        <v>8209.701843750001</v>
      </c>
      <c r="AN13" s="3" t="s">
        <v>57</v>
      </c>
      <c r="AP13" t="s">
        <v>403</v>
      </c>
      <c r="AQ13" s="11">
        <f>1/8*AQ9*45.25^2</f>
        <v>8209.701843750001</v>
      </c>
      <c r="AR13" s="3" t="s">
        <v>57</v>
      </c>
    </row>
    <row r="14" spans="2:45" x14ac:dyDescent="0.25">
      <c r="B14" t="s">
        <v>141</v>
      </c>
      <c r="C14" s="7">
        <f>(C5*C6+2*C7*C8)*10^6</f>
        <v>49465000</v>
      </c>
      <c r="D14" s="3" t="s">
        <v>346</v>
      </c>
      <c r="F14" t="s">
        <v>141</v>
      </c>
      <c r="G14" s="7">
        <f>G3*G4*10^6</f>
        <v>5500000</v>
      </c>
      <c r="H14" s="3" t="s">
        <v>346</v>
      </c>
      <c r="J14" t="s">
        <v>141</v>
      </c>
      <c r="K14" s="7">
        <f>K3*K4*10^6</f>
        <v>30500000</v>
      </c>
      <c r="L14" s="3" t="s">
        <v>346</v>
      </c>
      <c r="N14" t="s">
        <v>141</v>
      </c>
      <c r="O14" s="7">
        <f>C14+G14+K14</f>
        <v>85465000</v>
      </c>
      <c r="P14" s="3" t="s">
        <v>346</v>
      </c>
      <c r="R14" t="s">
        <v>360</v>
      </c>
      <c r="S14" s="9">
        <f>(($S$4-2*$S$5)*$S$5*$S$5/2+($S$10+$S$9)*$S$5*($S$10+$S$9)/2+($S$12-$S$5)*$S$5*($S$12-$S$5)/2+SQRT(($S$4-$S$5)^2+$S$8^2)*$S$5*($S$12+$S$8/2))/(($S$4-2*$S$5)*$S$5+($S$10+$S$9)*$S$5+($S$12-$S$5)*$S$5+SQRT(($S$4-$S$5)^2+$S$8^2)*$S$5)</f>
        <v>2.5813640847238175</v>
      </c>
      <c r="T14" s="3" t="s">
        <v>19</v>
      </c>
      <c r="U14" t="s">
        <v>372</v>
      </c>
      <c r="V14" t="s">
        <v>396</v>
      </c>
      <c r="W14" s="11">
        <f>-0.5*(65.36-12.57)*S7</f>
        <v>-30.294261363636362</v>
      </c>
      <c r="X14" s="3" t="s">
        <v>223</v>
      </c>
      <c r="Z14" s="16" t="s">
        <v>104</v>
      </c>
      <c r="AA14">
        <f>MIN(0.8*$AA$11,0.95*$AA$12)</f>
        <v>1488</v>
      </c>
      <c r="AB14" s="3" t="s">
        <v>14</v>
      </c>
      <c r="AD14" t="s">
        <v>396</v>
      </c>
      <c r="AE14" s="11">
        <f>-0.5*65.36*S8</f>
        <v>-50.50545454545454</v>
      </c>
      <c r="AF14" s="3" t="s">
        <v>223</v>
      </c>
      <c r="AI14" s="10"/>
      <c r="AL14" t="s">
        <v>404</v>
      </c>
      <c r="AM14" s="11">
        <f>1/8*AM10*45.25^2</f>
        <v>-16359.627427331448</v>
      </c>
      <c r="AN14" s="3" t="s">
        <v>57</v>
      </c>
      <c r="AP14" t="s">
        <v>404</v>
      </c>
      <c r="AQ14" s="11">
        <f>1/8*AQ10*45.25^2</f>
        <v>-16359.627427331448</v>
      </c>
      <c r="AR14" s="3" t="s">
        <v>57</v>
      </c>
    </row>
    <row r="15" spans="2:45" x14ac:dyDescent="0.25">
      <c r="B15" t="s">
        <v>182</v>
      </c>
      <c r="C15" s="7">
        <f>(1/12*C6*C5^3+2/12*C7*C8^3+2*C7*C8*(C5/2+C8/2)^2)*10^12</f>
        <v>782647074928333.25</v>
      </c>
      <c r="D15" s="3" t="s">
        <v>58</v>
      </c>
      <c r="F15" t="s">
        <v>182</v>
      </c>
      <c r="G15" s="7">
        <f>1/12*G4*G3^3*10^12</f>
        <v>2218333333333.3335</v>
      </c>
      <c r="H15" s="3" t="s">
        <v>58</v>
      </c>
      <c r="J15" t="s">
        <v>182</v>
      </c>
      <c r="K15" s="7">
        <f>1/12*K4*K3^3*10^12</f>
        <v>378301666666666.5</v>
      </c>
      <c r="L15" s="3" t="s">
        <v>58</v>
      </c>
      <c r="N15" t="s">
        <v>182</v>
      </c>
      <c r="O15" s="33">
        <f>C15+C14*(O3*1000-C5/2*1000-C8*1000)^2+G15+G14*(G3*1000/2+2*1000*C8+C5*1000-O3*1000)^2+K15+K14*(K3*1000/2+G3*1000+2*1000*C8+C5*1000-O3*1000)^2</f>
        <v>4976555202702978</v>
      </c>
      <c r="P15" s="3" t="s">
        <v>58</v>
      </c>
      <c r="R15" t="s">
        <v>359</v>
      </c>
      <c r="S15" s="9">
        <f>(($S$3-2*$S$5)*$S$5*((S3-2*S5)/2+S5)+($S$10+$S$9)*$S$5*S5/2+($S$11-$S$5)*$S$5*(S3-S5/2)/2+SQRT(($S$3-$S$5)^2+$S$7^2)*$S$5*((S3-S5)/2+S5))/(($S$3-2*$S$5)*$S$5+($S$10+$S$9)*$S$5+($S$11-$S$5)*$S$5+SQRT(($S$3-$S$5)^2+$S$7^2)*$S$5)</f>
        <v>2.1434327590642788</v>
      </c>
      <c r="T15" s="3" t="s">
        <v>19</v>
      </c>
      <c r="U15" t="s">
        <v>181</v>
      </c>
      <c r="V15" t="s">
        <v>397</v>
      </c>
      <c r="W15" s="13">
        <f>S11+2*S7/3-S13</f>
        <v>2.3537702383150472</v>
      </c>
      <c r="X15" s="3" t="s">
        <v>19</v>
      </c>
      <c r="AD15" t="s">
        <v>397</v>
      </c>
      <c r="AE15" s="13">
        <f>2/3*S8+S12-S14</f>
        <v>2.3034844001246673</v>
      </c>
      <c r="AF15" s="3" t="s">
        <v>19</v>
      </c>
      <c r="AM15" s="10"/>
    </row>
    <row r="16" spans="2:45" x14ac:dyDescent="0.25">
      <c r="J16" t="s">
        <v>683</v>
      </c>
      <c r="K16" s="7">
        <f>1/6*K4*K3^2*10^12</f>
        <v>62016666666666.648</v>
      </c>
      <c r="L16" s="3" t="s">
        <v>263</v>
      </c>
      <c r="N16" t="s">
        <v>349</v>
      </c>
      <c r="O16" s="11">
        <f>O3*10^3</f>
        <v>11408.099748435032</v>
      </c>
      <c r="P16" s="3" t="s">
        <v>348</v>
      </c>
      <c r="R16" t="s">
        <v>361</v>
      </c>
      <c r="S16" s="9">
        <f>(($S$4-2*$S$5)*$S$5*((S4-2*S6)/2+S6)+($S$10+$S$9)*$S$5*S6/2+($S$12-$S$5)*$S$5*(S4-S6/2)/2+SQRT(($S$4-$S$5)^2+$S$8^2)*$S$5*((S4-S6)/2+S6))/(($S$4-2*$S$5)*$S$5+($S$10+$S$9)*$S$5+($S$12-$S$5)*$S$5+SQRT(($S$4-$S$5)^2+$S$8^2)*$S$5)</f>
        <v>2.7960217645004874</v>
      </c>
      <c r="T16" s="3" t="s">
        <v>19</v>
      </c>
      <c r="U16" t="s">
        <v>181</v>
      </c>
      <c r="V16" t="s">
        <v>398</v>
      </c>
      <c r="W16" s="11">
        <f>-(65.36-12.57)*S9</f>
        <v>-31.673999999999999</v>
      </c>
      <c r="X16" s="3" t="s">
        <v>223</v>
      </c>
      <c r="Z16" t="s">
        <v>451</v>
      </c>
      <c r="AA16">
        <v>195000</v>
      </c>
      <c r="AB16" s="3" t="s">
        <v>14</v>
      </c>
      <c r="AD16" t="s">
        <v>398</v>
      </c>
      <c r="AE16" s="11">
        <f>-65.36*S9</f>
        <v>-39.216000000000001</v>
      </c>
      <c r="AF16" s="3" t="s">
        <v>223</v>
      </c>
      <c r="AL16" s="1"/>
    </row>
    <row r="17" spans="2:36" x14ac:dyDescent="0.25">
      <c r="N17" t="s">
        <v>350</v>
      </c>
      <c r="O17" s="11">
        <f>(C5+2*C8+G3+K3-O3)*10^3</f>
        <v>14777.900251564968</v>
      </c>
      <c r="P17" s="3" t="s">
        <v>9</v>
      </c>
      <c r="R17" t="s">
        <v>362</v>
      </c>
      <c r="S17" s="13">
        <f>(($S$3-2*$S$5)*$S$5+($S$10+$S$9)*$S$5+($S$11-$S$5)*$S$5+SQRT(($S$3-$S$5)^2+$S$7^2)*$S$5)</f>
        <v>13.3567379636744</v>
      </c>
      <c r="T17" s="3" t="s">
        <v>70</v>
      </c>
      <c r="V17" t="s">
        <v>399</v>
      </c>
      <c r="W17" s="13">
        <f>S11+S7+S9/2-S13</f>
        <v>3.0363459958908048</v>
      </c>
      <c r="X17" s="3" t="s">
        <v>19</v>
      </c>
      <c r="AD17" t="s">
        <v>399</v>
      </c>
      <c r="AE17" s="13">
        <f>S12+S8+S9/2-S14</f>
        <v>3.1186359152761827</v>
      </c>
      <c r="AF17" s="3" t="s">
        <v>19</v>
      </c>
    </row>
    <row r="18" spans="2:36" x14ac:dyDescent="0.25">
      <c r="N18" t="s">
        <v>531</v>
      </c>
      <c r="O18" s="33">
        <f>((G3+K3)*K4*((G3+K3)/2+(2*C8+C5-O3))+(2*C8+C5-O3)*C7*(2*C8+C5-O3)/2)*10^9</f>
        <v>273268537006.77066</v>
      </c>
      <c r="P18" s="3" t="s">
        <v>263</v>
      </c>
      <c r="R18" t="s">
        <v>363</v>
      </c>
      <c r="S18" s="13">
        <f>(($S$4-2*$S$5)*$S$5+($S$10+$S$9)*$S$5+($S$12-$S$5)*$S$5+SQRT(($S$4-$S$5)^2+$S$8^2)*$S$5)</f>
        <v>15.559567951086322</v>
      </c>
      <c r="T18" s="3" t="s">
        <v>70</v>
      </c>
      <c r="V18" t="s">
        <v>62</v>
      </c>
      <c r="W18" s="11">
        <f>-S17*25</f>
        <v>-333.91844909186</v>
      </c>
      <c r="X18" s="3" t="s">
        <v>223</v>
      </c>
      <c r="Z18" t="s">
        <v>401</v>
      </c>
      <c r="AA18" s="11">
        <f>W20*40/2</f>
        <v>9472.5499999999993</v>
      </c>
      <c r="AB18" s="3" t="s">
        <v>65</v>
      </c>
      <c r="AD18" t="s">
        <v>62</v>
      </c>
      <c r="AE18" s="11">
        <f>-S18*25*1.35</f>
        <v>-525.13541834916339</v>
      </c>
      <c r="AF18" s="3" t="s">
        <v>223</v>
      </c>
      <c r="AH18" t="s">
        <v>401</v>
      </c>
      <c r="AI18" s="11">
        <f>AE20*40/2</f>
        <v>9799.19</v>
      </c>
      <c r="AJ18" s="3" t="s">
        <v>65</v>
      </c>
    </row>
    <row r="19" spans="2:36" x14ac:dyDescent="0.25">
      <c r="O19" s="1" t="s">
        <v>488</v>
      </c>
      <c r="P19" s="30" t="s">
        <v>412</v>
      </c>
      <c r="Q19" s="1" t="s">
        <v>413</v>
      </c>
      <c r="R19" t="s">
        <v>364</v>
      </c>
      <c r="S19" s="7">
        <f>(1/12*($S$3-2*$S$5)*$S$5^3+($S$3-2*$S$5)*$S$5*($S$13-$S$5/2)^2+1/12*$S$5*($S$11-$S$5)^3+$S$5*($S$11-$S$5)*(($S$11-$S$5)/2-$S$13)^2+1/12*$S$5*($S$10+$S$9)^3+$S$5*($S$10+$S$9)*(($S$10+$S$9)/2-$S$13)^2+1/12*($S$3-$S$5)*$S$5^3+SQRT(($S$3-$S$5)^2+$S$7^2)*$S$5*(($S$11+$S$7/2)/2-$S$13)^2)*10^12</f>
        <v>34444767683555.078</v>
      </c>
      <c r="T19" s="3" t="s">
        <v>58</v>
      </c>
      <c r="V19" t="s">
        <v>257</v>
      </c>
      <c r="W19" s="11">
        <f>(W2*W3+W4*W5+W6*W7+W8*W9+W10*W11+W12*W13+W14*W15+W16*W17)*46/2</f>
        <v>704.98897425644168</v>
      </c>
      <c r="X19" s="3" t="s">
        <v>57</v>
      </c>
      <c r="Z19" t="s">
        <v>402</v>
      </c>
      <c r="AA19" s="11">
        <f>W21*45.25/2</f>
        <v>-10663.314324055606</v>
      </c>
      <c r="AB19" s="3" t="s">
        <v>65</v>
      </c>
      <c r="AD19" t="s">
        <v>257</v>
      </c>
      <c r="AE19" s="11">
        <f>(AI2*AI3+AI4*AI5-AI6*AI7)/2</f>
        <v>423.10014666666848</v>
      </c>
      <c r="AF19" s="3" t="s">
        <v>57</v>
      </c>
      <c r="AH19" t="s">
        <v>402</v>
      </c>
      <c r="AI19" s="11">
        <f>AE21*40/2</f>
        <v>-12162.478366983269</v>
      </c>
      <c r="AJ19" s="3" t="s">
        <v>65</v>
      </c>
    </row>
    <row r="20" spans="2:36" x14ac:dyDescent="0.25">
      <c r="O20" t="s">
        <v>383</v>
      </c>
      <c r="P20" s="3">
        <f>($S$3-2*$S$5)*$S$5/S17</f>
        <v>0.2279748250120143</v>
      </c>
      <c r="Q20" s="3">
        <f>($S$4-2*$S$5)*$S$5/S18</f>
        <v>0.27442921380743618</v>
      </c>
      <c r="R20" t="s">
        <v>365</v>
      </c>
      <c r="S20" s="7">
        <f>(1/12*($S$4-2*$S$5)*$S$5^3+($S$4-2*$S$5)*$S$5*($S$14-$S$5/2)^2+1/12*$S$5*($S$12-$S$5)^3+$S$5*($S$12-$S$5)*(($S$12-$S$5)/2-$S$14)^2+1/12*$S$5*($S$10+$S$9)^3+$S$5*($S$10+$S$9)*(($S$10+$S$9)/2-$S$14)^2+1/12*($S$4-$S$5)*$S$5^3+SQRT(($S$4-$S$5)^2+$S$8^2)*$S$5*(($S$12+$S$8/2)/2-$S$14)^2)*10^12</f>
        <v>39372409185775.938</v>
      </c>
      <c r="T20" s="3" t="s">
        <v>58</v>
      </c>
      <c r="V20" t="s">
        <v>406</v>
      </c>
      <c r="W20" s="11">
        <f>(W2+W4+W6+W8)</f>
        <v>473.62749999999994</v>
      </c>
      <c r="X20" s="3" t="s">
        <v>223</v>
      </c>
      <c r="Z20" t="s">
        <v>403</v>
      </c>
      <c r="AA20" s="11">
        <f>1/8*W20*45.25^2</f>
        <v>121222.73849609373</v>
      </c>
      <c r="AB20" s="3" t="s">
        <v>57</v>
      </c>
      <c r="AD20" t="s">
        <v>406</v>
      </c>
      <c r="AE20" s="11">
        <f>(AI2+AI4)/40</f>
        <v>489.95950000000005</v>
      </c>
      <c r="AF20" s="3" t="s">
        <v>223</v>
      </c>
      <c r="AH20" t="s">
        <v>403</v>
      </c>
      <c r="AI20" s="11">
        <f>1/8*AE20*43.25^2</f>
        <v>114562.48340234376</v>
      </c>
      <c r="AJ20" s="3" t="s">
        <v>57</v>
      </c>
    </row>
    <row r="21" spans="2:36" x14ac:dyDescent="0.25">
      <c r="O21" t="s">
        <v>386</v>
      </c>
      <c r="P21" s="3">
        <f>($S$10+$S$9)*$S$5/S17</f>
        <v>0.31444803449933006</v>
      </c>
      <c r="Q21" s="3">
        <f>($S$10+$S$9)*$S$5/S18</f>
        <v>0.26993037423682242</v>
      </c>
      <c r="R21" t="s">
        <v>366</v>
      </c>
      <c r="S21" s="7">
        <f>(1/12*($S$10+$S$9)*$S$5^3+($S$10+$S$9)*$S$9*($S$15-$S$5/2)^2+1/12*$S$5*($S$3-2*$S$5)^3+$S$5*($S$3-2*$S$5)*(($S$3-2*$S$5)/2+$S$5-$S$15)^2+1/12*$S$5*$S$3^3+SQRT(($S$3-$S$5)^2+$S$7^2)*$S$5*($S$3/2+$S$5-$S$15)^2+1/12*($S$11-$S$5)*$S$5^3+($S$11-$S$5)*$S$5*($S$3-$S$5/2-$S$15)^2)*10^12</f>
        <v>63173223131793.68</v>
      </c>
      <c r="T21" s="3" t="s">
        <v>58</v>
      </c>
      <c r="V21" t="s">
        <v>407</v>
      </c>
      <c r="W21" s="11">
        <f>W10+W12+W14+W16+W18</f>
        <v>-471.30671045549639</v>
      </c>
      <c r="X21" s="3" t="s">
        <v>223</v>
      </c>
      <c r="Z21" t="s">
        <v>404</v>
      </c>
      <c r="AA21" s="11">
        <f>1/8*W21*45.25^2</f>
        <v>-120628.74329087904</v>
      </c>
      <c r="AB21" s="3" t="s">
        <v>57</v>
      </c>
      <c r="AD21" t="s">
        <v>407</v>
      </c>
      <c r="AE21" s="11">
        <f>-AI6/40+AE18</f>
        <v>-608.12391834916343</v>
      </c>
      <c r="AF21" s="3" t="s">
        <v>223</v>
      </c>
      <c r="AH21" t="s">
        <v>404</v>
      </c>
      <c r="AI21" s="11">
        <f>1/8*AE21*43.25^2</f>
        <v>-142191.72462712589</v>
      </c>
      <c r="AJ21" s="3" t="s">
        <v>57</v>
      </c>
    </row>
    <row r="22" spans="2:36" x14ac:dyDescent="0.25">
      <c r="O22" t="s">
        <v>388</v>
      </c>
      <c r="P22" s="3">
        <f>($S$11-$S$5)*$S$5/S17</f>
        <v>0.18616752951608068</v>
      </c>
      <c r="Q22" s="3">
        <f>($S$12-$S$5)*$S$5/S18</f>
        <v>0.14191793918208698</v>
      </c>
      <c r="R22" t="s">
        <v>367</v>
      </c>
      <c r="S22" s="7">
        <f>(1/12*($S$10+$S$9)*$S$5^3+($S$10+$S$9)*$S$9*($S$16-$S$5/2)^2+1/12*$S$5*($S$4-2*$S$5)^3+$S$5*($S$4-2*$S$5)*(($S$4-2*$S$5)/2+$S$5-$S$16)^2+1/12*$S$5*$S$4^3+SQRT(($S$4-$S$5)^2+$S$8^2)*$S$5*($S$4/2+$S$5-$S$16)^2+1/12*($S$12-$S$5)*$S$5^3+($S$12-$S$5)*$S$5*($S$4-$S$5/2-$S$16)^2)*10^12</f>
        <v>118751016372202.31</v>
      </c>
      <c r="T22" s="3" t="s">
        <v>58</v>
      </c>
    </row>
    <row r="23" spans="2:36" x14ac:dyDescent="0.25">
      <c r="O23" t="s">
        <v>390</v>
      </c>
      <c r="P23" s="3">
        <f>SQRT(($S$3-$S$5)^2+$S$7^2)*$S$5/S17</f>
        <v>0.27140961097257499</v>
      </c>
      <c r="Q23" s="3">
        <f>SQRT(($S$4-$S$5)^2+$S$8^2)*$S$5/S18</f>
        <v>0.31372247277365439</v>
      </c>
      <c r="R23" t="s">
        <v>20</v>
      </c>
      <c r="S23">
        <f>46</f>
        <v>46</v>
      </c>
      <c r="T23" s="3" t="s">
        <v>19</v>
      </c>
      <c r="V23" s="1" t="s">
        <v>381</v>
      </c>
      <c r="Z23" s="1"/>
    </row>
    <row r="24" spans="2:36" x14ac:dyDescent="0.25">
      <c r="P24" s="3">
        <f>SUM(P20:P23)</f>
        <v>1</v>
      </c>
      <c r="Q24" s="3">
        <f>SUM(Q20:Q23)</f>
        <v>1</v>
      </c>
      <c r="R24" t="s">
        <v>368</v>
      </c>
      <c r="S24" s="11">
        <f>S13*10^3</f>
        <v>2663.6540041091953</v>
      </c>
      <c r="T24" s="3" t="s">
        <v>9</v>
      </c>
      <c r="U24" t="s">
        <v>373</v>
      </c>
      <c r="V24" t="s">
        <v>382</v>
      </c>
      <c r="W24" s="9">
        <f>($S$11-$S$13)*2</f>
        <v>3.177237446327065</v>
      </c>
      <c r="X24" s="3" t="s">
        <v>19</v>
      </c>
    </row>
    <row r="25" spans="2:36" x14ac:dyDescent="0.25">
      <c r="Q25" s="3"/>
      <c r="R25" t="s">
        <v>369</v>
      </c>
      <c r="S25" s="11">
        <f>S14*10^3</f>
        <v>2581.3640847238175</v>
      </c>
      <c r="T25" s="3" t="s">
        <v>9</v>
      </c>
      <c r="U25" t="s">
        <v>373</v>
      </c>
      <c r="V25" t="s">
        <v>352</v>
      </c>
      <c r="W25" s="9">
        <f>$S$3</f>
        <v>5.75</v>
      </c>
      <c r="X25" s="3" t="s">
        <v>19</v>
      </c>
    </row>
    <row r="26" spans="2:36" x14ac:dyDescent="0.25">
      <c r="B26" s="1"/>
      <c r="H26" s="1"/>
      <c r="J26" s="3"/>
      <c r="R26" t="s">
        <v>370</v>
      </c>
      <c r="S26" s="11">
        <f>($S$10+$S$9-S13)*10^3</f>
        <v>3336.3459958908047</v>
      </c>
      <c r="T26" s="3" t="s">
        <v>9</v>
      </c>
      <c r="U26" t="s">
        <v>374</v>
      </c>
      <c r="V26" t="s">
        <v>351</v>
      </c>
      <c r="W26" s="9">
        <f>$S$4</f>
        <v>7.5</v>
      </c>
      <c r="X26" s="3" t="s">
        <v>19</v>
      </c>
    </row>
    <row r="27" spans="2:36" x14ac:dyDescent="0.25">
      <c r="H27"/>
      <c r="J27" s="3"/>
      <c r="R27" t="s">
        <v>371</v>
      </c>
      <c r="S27" s="11">
        <f>($S$10+$S$9-S14)*10^3</f>
        <v>3418.6359152761825</v>
      </c>
      <c r="T27" s="3" t="s">
        <v>9</v>
      </c>
      <c r="U27" t="s">
        <v>374</v>
      </c>
      <c r="V27" t="s">
        <v>479</v>
      </c>
      <c r="W27" s="9">
        <f>3650/1000</f>
        <v>3.65</v>
      </c>
      <c r="X27" s="3" t="s">
        <v>19</v>
      </c>
    </row>
    <row r="28" spans="2:36" x14ac:dyDescent="0.25">
      <c r="H28"/>
      <c r="J28" s="3"/>
      <c r="R28" t="s">
        <v>375</v>
      </c>
      <c r="S28" s="11">
        <f>(S3-S15)*10^3</f>
        <v>3606.5672409357212</v>
      </c>
      <c r="T28" s="3" t="s">
        <v>9</v>
      </c>
      <c r="U28" t="s">
        <v>379</v>
      </c>
      <c r="V28" t="s">
        <v>535</v>
      </c>
      <c r="W28" s="9">
        <f>W25*W24/(2*(W25+W24))</f>
        <v>1.0232233334343026</v>
      </c>
      <c r="X28" s="3" t="s">
        <v>19</v>
      </c>
    </row>
    <row r="29" spans="2:36" ht="18" x14ac:dyDescent="0.4">
      <c r="E29" s="2"/>
      <c r="H29" s="37"/>
      <c r="I29" s="37"/>
      <c r="J29" s="3"/>
      <c r="R29" t="s">
        <v>376</v>
      </c>
      <c r="S29" s="11">
        <f>(S4-S16)*10^3</f>
        <v>4703.9782354995123</v>
      </c>
      <c r="T29" s="3" t="s">
        <v>9</v>
      </c>
      <c r="U29" t="s">
        <v>379</v>
      </c>
      <c r="V29" t="s">
        <v>534</v>
      </c>
      <c r="W29" s="9">
        <f>W26*W27/(2*(W26+W27))</f>
        <v>1.2275784753363228</v>
      </c>
      <c r="X29" s="3" t="s">
        <v>19</v>
      </c>
    </row>
    <row r="30" spans="2:36" ht="18" x14ac:dyDescent="0.4">
      <c r="C30" s="10"/>
      <c r="E30" s="2"/>
      <c r="H30"/>
      <c r="J30" s="3"/>
      <c r="R30" t="s">
        <v>377</v>
      </c>
      <c r="S30" s="11">
        <f>S15*10^3</f>
        <v>2143.4327590642788</v>
      </c>
      <c r="T30" s="3" t="s">
        <v>9</v>
      </c>
      <c r="U30" t="s">
        <v>380</v>
      </c>
    </row>
    <row r="31" spans="2:36" x14ac:dyDescent="0.25">
      <c r="H31"/>
      <c r="J31" s="3"/>
      <c r="R31" t="s">
        <v>378</v>
      </c>
      <c r="S31" s="11">
        <f>S16*10^3</f>
        <v>2796.0217645004873</v>
      </c>
      <c r="T31" s="3" t="s">
        <v>9</v>
      </c>
      <c r="U31" t="s">
        <v>380</v>
      </c>
    </row>
    <row r="32" spans="2:36" x14ac:dyDescent="0.25">
      <c r="R32" s="1" t="s">
        <v>412</v>
      </c>
      <c r="V32" s="1" t="s">
        <v>413</v>
      </c>
      <c r="Z32" s="1" t="s">
        <v>415</v>
      </c>
      <c r="AD32" s="1" t="s">
        <v>426</v>
      </c>
    </row>
    <row r="33" spans="2:33" x14ac:dyDescent="0.25">
      <c r="R33" s="1" t="s">
        <v>247</v>
      </c>
      <c r="V33" s="1" t="s">
        <v>247</v>
      </c>
      <c r="Z33" s="1" t="s">
        <v>247</v>
      </c>
      <c r="AD33" s="1" t="s">
        <v>247</v>
      </c>
    </row>
    <row r="34" spans="2:33" x14ac:dyDescent="0.25">
      <c r="B34" s="1"/>
      <c r="R34" t="s">
        <v>405</v>
      </c>
      <c r="S34" s="11">
        <f>(2*($W$25-$W$28)*($W$24-$W$28)*10^6*AA6*$W$25*$W$24*10^6/((2*$W$25+2*$W$24)*10^3))*10^-6</f>
        <v>34171.017142645978</v>
      </c>
      <c r="T34" s="3" t="s">
        <v>57</v>
      </c>
      <c r="V34" t="s">
        <v>405</v>
      </c>
      <c r="W34" s="11">
        <f>(2*($W$26-$W$29)*($W$27-$W$29)*10^6*AA6*$W$26*$W$27*10^6/((2*$W$26+2*$W$27)*10^3))*10^-6</f>
        <v>61179.801251482582</v>
      </c>
      <c r="X34" s="3" t="s">
        <v>57</v>
      </c>
      <c r="Z34" t="s">
        <v>405</v>
      </c>
      <c r="AA34" s="11">
        <f>(2*($W$25-$S$5)*($W$24-$S$5)*10^6*AA6*$W$25*$W$24*10^6/((2*$W$25+2*$W$24)*10^3))*10^-6</f>
        <v>41985.883197476949</v>
      </c>
      <c r="AB34" s="3" t="s">
        <v>57</v>
      </c>
      <c r="AD34" t="s">
        <v>405</v>
      </c>
      <c r="AE34" s="11">
        <f>(2*($W$26-$S$5)*($W$24-$S$5)*10^6*AA6*$W$26*$W$24*10^6/((2*$W$26+2*$W$24)*10^3))*10^-6</f>
        <v>61655.586296170855</v>
      </c>
      <c r="AF34" s="3" t="s">
        <v>57</v>
      </c>
    </row>
    <row r="35" spans="2:33" x14ac:dyDescent="0.25">
      <c r="C35" s="3"/>
      <c r="R35" t="s">
        <v>176</v>
      </c>
      <c r="S35" s="13">
        <f>$W$19/$S$34</f>
        <v>2.0631196645785652E-2</v>
      </c>
      <c r="T35" s="3" t="s">
        <v>61</v>
      </c>
      <c r="V35" t="s">
        <v>176</v>
      </c>
      <c r="W35" s="13">
        <f>ABS(AE19)/W34</f>
        <v>6.9156835754907815E-3</v>
      </c>
      <c r="X35" s="3" t="s">
        <v>61</v>
      </c>
      <c r="Z35" t="s">
        <v>176</v>
      </c>
      <c r="AA35" s="13">
        <f>AM8/AA34</f>
        <v>6.4216691427800468E-2</v>
      </c>
      <c r="AB35" s="3" t="s">
        <v>61</v>
      </c>
      <c r="AD35" t="s">
        <v>176</v>
      </c>
      <c r="AE35" s="13">
        <f>AQ8/AE34</f>
        <v>5.9826876365473541E-2</v>
      </c>
      <c r="AF35" s="3" t="s">
        <v>61</v>
      </c>
    </row>
    <row r="36" spans="2:33" x14ac:dyDescent="0.25">
      <c r="C36" s="3"/>
    </row>
    <row r="37" spans="2:33" x14ac:dyDescent="0.25">
      <c r="R37" s="1" t="s">
        <v>204</v>
      </c>
      <c r="V37" s="1" t="s">
        <v>204</v>
      </c>
      <c r="Z37" s="1" t="s">
        <v>204</v>
      </c>
      <c r="AD37" s="1" t="s">
        <v>204</v>
      </c>
    </row>
    <row r="38" spans="2:33" x14ac:dyDescent="0.25">
      <c r="R38" t="s">
        <v>408</v>
      </c>
      <c r="S38" s="13">
        <f>AA20*10^6*S24/S19</f>
        <v>9.3742955606683189</v>
      </c>
      <c r="T38" s="3" t="s">
        <v>14</v>
      </c>
      <c r="V38" t="s">
        <v>408</v>
      </c>
      <c r="W38" s="13">
        <f>AI20*10^6*S25/S20</f>
        <v>7.5110333918407015</v>
      </c>
      <c r="X38" s="3" t="s">
        <v>14</v>
      </c>
      <c r="Z38" t="s">
        <v>408</v>
      </c>
      <c r="AA38" s="13">
        <f>-AM13*10^6*S24/S19</f>
        <v>-0.63486580573129114</v>
      </c>
      <c r="AB38" s="3" t="s">
        <v>14</v>
      </c>
      <c r="AD38" t="s">
        <v>408</v>
      </c>
      <c r="AE38" s="13">
        <f>-AQ13*10^6*S25/S20</f>
        <v>-0.53825076808871708</v>
      </c>
      <c r="AF38" s="3" t="s">
        <v>14</v>
      </c>
    </row>
    <row r="39" spans="2:33" x14ac:dyDescent="0.25">
      <c r="R39" t="s">
        <v>409</v>
      </c>
      <c r="S39" s="13">
        <f>-AA20*10^6*S26/S19</f>
        <v>-11.741725242799422</v>
      </c>
      <c r="T39" s="3" t="s">
        <v>14</v>
      </c>
      <c r="V39" t="s">
        <v>409</v>
      </c>
      <c r="W39" s="13">
        <f>-AI20*10^6*S27/S20</f>
        <v>-9.9472556646082584</v>
      </c>
      <c r="X39" s="3" t="s">
        <v>14</v>
      </c>
      <c r="Z39" t="s">
        <v>409</v>
      </c>
      <c r="AA39" s="13">
        <f>AM13*10^6*S26/S19</f>
        <v>0.79519786939743653</v>
      </c>
      <c r="AB39" s="3" t="s">
        <v>14</v>
      </c>
      <c r="AD39" t="s">
        <v>409</v>
      </c>
      <c r="AE39" s="13">
        <f>AQ13*10^6*S27/S20</f>
        <v>0.71283373705493847</v>
      </c>
      <c r="AF39" s="3" t="s">
        <v>14</v>
      </c>
    </row>
    <row r="40" spans="2:33" x14ac:dyDescent="0.25">
      <c r="R40" t="s">
        <v>410</v>
      </c>
      <c r="S40" s="13">
        <f>AA21*10^6*S28/S21</f>
        <v>-6.8867101012165257</v>
      </c>
      <c r="T40" s="3" t="s">
        <v>14</v>
      </c>
      <c r="V40" t="s">
        <v>410</v>
      </c>
      <c r="W40" s="13">
        <f>AI21*10^6*S29/S22</f>
        <v>-5.6325141320702921</v>
      </c>
      <c r="X40" s="3" t="s">
        <v>14</v>
      </c>
      <c r="Z40" t="s">
        <v>410</v>
      </c>
      <c r="AA40" s="13">
        <f>AM14*10^6*S28/S21</f>
        <v>-0.93397318402189755</v>
      </c>
      <c r="AB40" s="3" t="s">
        <v>14</v>
      </c>
      <c r="AD40" t="s">
        <v>410</v>
      </c>
      <c r="AE40" s="13">
        <f>AQ14*10^6*S29/S22</f>
        <v>-0.64803934913572669</v>
      </c>
      <c r="AF40" s="3" t="s">
        <v>14</v>
      </c>
    </row>
    <row r="41" spans="2:33" x14ac:dyDescent="0.25">
      <c r="R41" t="s">
        <v>411</v>
      </c>
      <c r="S41" s="13">
        <f>-1*AA21*10^6*S30/S21</f>
        <v>4.0928669970663281</v>
      </c>
      <c r="T41" s="3" t="s">
        <v>14</v>
      </c>
      <c r="V41" t="s">
        <v>411</v>
      </c>
      <c r="W41" s="13">
        <f>-1*AI21*10^6*S31/S22</f>
        <v>3.3479389813657958</v>
      </c>
      <c r="X41" s="3" t="s">
        <v>14</v>
      </c>
      <c r="Z41" t="s">
        <v>411</v>
      </c>
      <c r="AA41" s="13">
        <f>-AM14*10^6*S30/S21</f>
        <v>0.55507317207281892</v>
      </c>
      <c r="AB41" s="3" t="s">
        <v>14</v>
      </c>
      <c r="AD41" t="s">
        <v>411</v>
      </c>
      <c r="AE41" s="13">
        <f>-AQ14*10^6*S31/S22</f>
        <v>0.38519143451007359</v>
      </c>
      <c r="AF41" s="3" t="s">
        <v>14</v>
      </c>
    </row>
    <row r="43" spans="2:33" x14ac:dyDescent="0.25">
      <c r="R43" s="1" t="s">
        <v>416</v>
      </c>
      <c r="V43" s="1" t="s">
        <v>416</v>
      </c>
      <c r="Z43" s="1" t="s">
        <v>416</v>
      </c>
      <c r="AD43" s="1" t="s">
        <v>416</v>
      </c>
    </row>
    <row r="44" spans="2:33" x14ac:dyDescent="0.25">
      <c r="R44" t="s">
        <v>417</v>
      </c>
      <c r="S44" s="11">
        <v>0</v>
      </c>
      <c r="T44" s="3" t="s">
        <v>9</v>
      </c>
      <c r="U44" t="s">
        <v>373</v>
      </c>
      <c r="V44" t="s">
        <v>417</v>
      </c>
      <c r="W44" s="11">
        <v>0</v>
      </c>
      <c r="X44" s="3" t="s">
        <v>9</v>
      </c>
      <c r="Y44" t="s">
        <v>373</v>
      </c>
      <c r="Z44" t="s">
        <v>417</v>
      </c>
      <c r="AA44" s="11">
        <f>S44</f>
        <v>0</v>
      </c>
      <c r="AB44" s="3" t="s">
        <v>9</v>
      </c>
      <c r="AC44" t="s">
        <v>373</v>
      </c>
      <c r="AD44" t="s">
        <v>417</v>
      </c>
      <c r="AE44" s="11">
        <f>W44</f>
        <v>0</v>
      </c>
      <c r="AF44" s="3" t="s">
        <v>9</v>
      </c>
      <c r="AG44" t="s">
        <v>373</v>
      </c>
    </row>
    <row r="45" spans="2:33" x14ac:dyDescent="0.25">
      <c r="R45" t="s">
        <v>418</v>
      </c>
      <c r="S45" s="11">
        <v>0</v>
      </c>
      <c r="T45" s="3" t="s">
        <v>9</v>
      </c>
      <c r="U45" t="s">
        <v>380</v>
      </c>
      <c r="V45" t="s">
        <v>418</v>
      </c>
      <c r="W45" s="11">
        <v>0</v>
      </c>
      <c r="X45" s="3" t="s">
        <v>9</v>
      </c>
      <c r="Y45" t="s">
        <v>380</v>
      </c>
      <c r="Z45" t="s">
        <v>418</v>
      </c>
      <c r="AA45" s="11">
        <f>S45</f>
        <v>0</v>
      </c>
      <c r="AB45" s="3" t="s">
        <v>9</v>
      </c>
      <c r="AC45" t="s">
        <v>380</v>
      </c>
      <c r="AD45" t="s">
        <v>418</v>
      </c>
      <c r="AE45" s="11">
        <f>W45</f>
        <v>0</v>
      </c>
      <c r="AF45" s="3" t="s">
        <v>9</v>
      </c>
      <c r="AG45" t="s">
        <v>380</v>
      </c>
    </row>
    <row r="46" spans="2:33" x14ac:dyDescent="0.25">
      <c r="V46" s="16" t="s">
        <v>419</v>
      </c>
      <c r="W46" s="11">
        <v>0</v>
      </c>
      <c r="X46" s="3" t="s">
        <v>9</v>
      </c>
    </row>
    <row r="47" spans="2:33" ht="15.75" thickBot="1" x14ac:dyDescent="0.3">
      <c r="V47" s="16" t="s">
        <v>424</v>
      </c>
      <c r="W47" s="11">
        <v>0</v>
      </c>
      <c r="X47" s="3" t="s">
        <v>9</v>
      </c>
    </row>
    <row r="48" spans="2:33" x14ac:dyDescent="0.25">
      <c r="M48" s="56"/>
      <c r="Q48" t="s">
        <v>408</v>
      </c>
      <c r="R48" t="s">
        <v>421</v>
      </c>
      <c r="S48" s="11">
        <f>($S$38/(1/($S$17*10^6)+$S$44*$S$24/$S$19))*10^(-3)</f>
        <v>125210.00939788294</v>
      </c>
      <c r="T48" s="3" t="s">
        <v>65</v>
      </c>
      <c r="V48" s="40" t="s">
        <v>421</v>
      </c>
      <c r="W48" s="50">
        <f>(W38/(1/(S18*10^6)+W44*S25/S20))*10^-3</f>
        <v>116868.43444322377</v>
      </c>
      <c r="X48" s="51" t="s">
        <v>65</v>
      </c>
      <c r="Z48" t="s">
        <v>425</v>
      </c>
      <c r="AA48" s="11">
        <f>((0.6*AA3+AA38)/(1/(S17*10^6)+AA44*S24/S19))*10^-3</f>
        <v>312081.97491893574</v>
      </c>
      <c r="AB48" s="3" t="s">
        <v>65</v>
      </c>
      <c r="AD48" t="s">
        <v>425</v>
      </c>
      <c r="AE48" s="11">
        <f>((0.6*AA3+AE38)/(1/(S18*10^6)+AE44*S25/S20))*10^-3</f>
        <v>365054.68142527097</v>
      </c>
      <c r="AF48" s="3" t="s">
        <v>65</v>
      </c>
    </row>
    <row r="49" spans="2:34" x14ac:dyDescent="0.25">
      <c r="M49" s="56"/>
      <c r="Q49" t="s">
        <v>409</v>
      </c>
      <c r="R49" t="s">
        <v>425</v>
      </c>
      <c r="S49" s="11">
        <f>((0.6*$AA$3+$S$39)/(1/($S$17*10^6)+$S$44*$S$26/$S$19))*10^(-3)</f>
        <v>163730.56381865253</v>
      </c>
      <c r="T49" s="3" t="s">
        <v>65</v>
      </c>
      <c r="V49" s="44" t="s">
        <v>425</v>
      </c>
      <c r="W49" s="11">
        <f>((0.6*AA3+W39)/(1/(S18*10^6)+W44*S27/S20))*10^-3</f>
        <v>218654.63038577122</v>
      </c>
      <c r="X49" s="52" t="s">
        <v>65</v>
      </c>
      <c r="Z49" t="s">
        <v>432</v>
      </c>
      <c r="AA49" s="11">
        <f>(-AA39/(-1/(S17*10^6)+AA44*S26/S19))*10^-3</f>
        <v>10621.249570813738</v>
      </c>
      <c r="AB49" s="3" t="s">
        <v>65</v>
      </c>
      <c r="AD49" t="s">
        <v>432</v>
      </c>
      <c r="AE49" s="11">
        <f>(-AE39/(-1/(S18*10^6)+AE44*S27/S20))*10^-3</f>
        <v>11091.384969533116</v>
      </c>
      <c r="AF49" s="3" t="s">
        <v>65</v>
      </c>
    </row>
    <row r="50" spans="2:34" x14ac:dyDescent="0.25">
      <c r="B50" s="1"/>
      <c r="V50" s="44"/>
      <c r="X50" s="52"/>
    </row>
    <row r="51" spans="2:34" x14ac:dyDescent="0.25">
      <c r="C51" s="3"/>
      <c r="Q51" t="s">
        <v>410</v>
      </c>
      <c r="R51" t="s">
        <v>423</v>
      </c>
      <c r="S51" s="11">
        <f>((0.6*AA3+S40)/(1/(S17*10^6)+S45*S28/S21))*10^-3</f>
        <v>228577.72887444688</v>
      </c>
      <c r="T51" s="3" t="s">
        <v>65</v>
      </c>
      <c r="V51" s="44" t="s">
        <v>423</v>
      </c>
      <c r="W51" s="11">
        <f>((0.6*AA3+W40)/(1/(S18*10^6)+W45*S29/S22))*10^-3</f>
        <v>285790.14445267007</v>
      </c>
      <c r="X51" s="52" t="s">
        <v>65</v>
      </c>
      <c r="Z51" t="s">
        <v>423</v>
      </c>
      <c r="AA51" s="11">
        <f>((0.6*AA3+AA40)/(1/(S17*10^6)+AA45*S28/S21))*10^-3</f>
        <v>308086.8760441065</v>
      </c>
      <c r="AB51" s="3" t="s">
        <v>65</v>
      </c>
      <c r="AD51" t="s">
        <v>423</v>
      </c>
      <c r="AE51" s="11">
        <f>((0.6*AA3+AE40)/(1/(S18*10^6)+AE45*S29/S22))*10^-3</f>
        <v>363346.41853821668</v>
      </c>
      <c r="AF51" s="3" t="s">
        <v>65</v>
      </c>
    </row>
    <row r="52" spans="2:34" ht="15.75" thickBot="1" x14ac:dyDescent="0.3">
      <c r="C52" s="3"/>
      <c r="Q52" t="s">
        <v>411</v>
      </c>
      <c r="R52" t="s">
        <v>422</v>
      </c>
      <c r="S52" s="11">
        <f>((S41)/(1/(S17*10^6)+S45*S30/S21))*10^-3</f>
        <v>54667.351999985869</v>
      </c>
      <c r="T52" s="3" t="s">
        <v>65</v>
      </c>
      <c r="V52" s="46" t="s">
        <v>422</v>
      </c>
      <c r="W52" s="53">
        <f>((W41)/(1/(S18*10^6)+W45*S31/S22))*10^-3</f>
        <v>52092.484076651825</v>
      </c>
      <c r="X52" s="54" t="s">
        <v>65</v>
      </c>
      <c r="Z52" t="s">
        <v>422</v>
      </c>
      <c r="AA52" s="11">
        <f>((AA41)/(1/(S17*10^6)+AA45*S30/S21))*10^-3</f>
        <v>7413.9669100421943</v>
      </c>
      <c r="AB52" s="3" t="s">
        <v>65</v>
      </c>
      <c r="AD52" t="s">
        <v>422</v>
      </c>
      <c r="AE52" s="11">
        <f>((AE41)/(1/(S18*10^6)+AE45*S31/S22))*10^-3</f>
        <v>5993.4122994359068</v>
      </c>
      <c r="AF52" s="3" t="s">
        <v>65</v>
      </c>
    </row>
    <row r="54" spans="2:34" x14ac:dyDescent="0.25">
      <c r="N54" s="1" t="s">
        <v>452</v>
      </c>
      <c r="R54" s="1" t="s">
        <v>434</v>
      </c>
    </row>
    <row r="55" spans="2:34" x14ac:dyDescent="0.25">
      <c r="N55" s="1" t="s">
        <v>453</v>
      </c>
      <c r="R55" s="16" t="s">
        <v>435</v>
      </c>
      <c r="S55">
        <v>15.7</v>
      </c>
      <c r="T55" s="3" t="s">
        <v>9</v>
      </c>
    </row>
    <row r="56" spans="2:34" ht="18" x14ac:dyDescent="0.4">
      <c r="N56" s="2" t="s">
        <v>19</v>
      </c>
      <c r="O56">
        <v>0.19</v>
      </c>
      <c r="P56" s="3" t="s">
        <v>61</v>
      </c>
      <c r="R56" s="16" t="s">
        <v>436</v>
      </c>
      <c r="S56">
        <v>55</v>
      </c>
      <c r="T56" s="3" t="s">
        <v>10</v>
      </c>
    </row>
    <row r="57" spans="2:34" x14ac:dyDescent="0.25">
      <c r="N57" s="16" t="s">
        <v>435</v>
      </c>
      <c r="O57">
        <v>0</v>
      </c>
      <c r="P57" s="3" t="s">
        <v>61</v>
      </c>
      <c r="R57" s="16" t="s">
        <v>437</v>
      </c>
      <c r="S57">
        <v>12</v>
      </c>
      <c r="T57" s="3" t="s">
        <v>10</v>
      </c>
    </row>
    <row r="58" spans="2:34" x14ac:dyDescent="0.25">
      <c r="N58" t="s">
        <v>47</v>
      </c>
      <c r="O58">
        <v>0.01</v>
      </c>
      <c r="P58" s="3" t="s">
        <v>48</v>
      </c>
      <c r="R58" s="16" t="s">
        <v>438</v>
      </c>
      <c r="S58" s="11">
        <f>S57*150*S56</f>
        <v>99000</v>
      </c>
      <c r="T58" s="3" t="s">
        <v>346</v>
      </c>
      <c r="V58" t="s">
        <v>463</v>
      </c>
      <c r="W58" s="11">
        <f>O60*S58/1000</f>
        <v>133557.8282584938</v>
      </c>
      <c r="X58" s="3" t="s">
        <v>65</v>
      </c>
    </row>
    <row r="59" spans="2:34" x14ac:dyDescent="0.25">
      <c r="N59" s="16" t="s">
        <v>454</v>
      </c>
      <c r="O59" s="13">
        <f>-(1-EXP(-O56*O58*(46.5/2)))*(S59*10^3/S58)</f>
        <v>-60.931027691981882</v>
      </c>
      <c r="P59" s="3" t="s">
        <v>14</v>
      </c>
      <c r="R59" t="s">
        <v>462</v>
      </c>
      <c r="S59" s="11">
        <f>S58*S60/1000</f>
        <v>139590</v>
      </c>
      <c r="T59" s="3" t="s">
        <v>65</v>
      </c>
      <c r="V59" t="s">
        <v>433</v>
      </c>
      <c r="W59" s="11">
        <f>O75</f>
        <v>118179.43289523968</v>
      </c>
      <c r="X59" s="3" t="s">
        <v>65</v>
      </c>
    </row>
    <row r="60" spans="2:34" ht="15.75" thickBot="1" x14ac:dyDescent="0.3">
      <c r="N60" s="16" t="s">
        <v>471</v>
      </c>
      <c r="O60" s="11">
        <f>S59*10^3/S58+O59</f>
        <v>1349.0689723080181</v>
      </c>
      <c r="P60" s="3" t="s">
        <v>14</v>
      </c>
      <c r="Q60" s="1"/>
      <c r="R60" s="16" t="s">
        <v>472</v>
      </c>
      <c r="S60">
        <v>1410</v>
      </c>
      <c r="T60" s="3" t="s">
        <v>14</v>
      </c>
      <c r="AA60" s="1"/>
    </row>
    <row r="61" spans="2:34" x14ac:dyDescent="0.25">
      <c r="N61" s="1" t="s">
        <v>466</v>
      </c>
      <c r="Q61" s="1" t="s">
        <v>474</v>
      </c>
      <c r="R61" t="s">
        <v>408</v>
      </c>
      <c r="S61" s="13">
        <f>$S$38-$W$58*10^3/($S$17*10^6)+$W$58*10^3*$W$44*$S$24/$S$19</f>
        <v>-0.62498934120845817</v>
      </c>
      <c r="T61" s="3" t="s">
        <v>14</v>
      </c>
      <c r="U61" t="b">
        <f>S61&lt;0</f>
        <v>1</v>
      </c>
      <c r="V61" s="40" t="s">
        <v>408</v>
      </c>
      <c r="W61" s="41">
        <f>$W$38-$W$58*10^3/($S$18*10^6)+$W$58*10^3*$W$46*$S$25/$S$20</f>
        <v>-1.0726129329384637</v>
      </c>
      <c r="X61" s="42" t="s">
        <v>14</v>
      </c>
      <c r="Y61" s="43" t="b">
        <f>W61&lt;0</f>
        <v>1</v>
      </c>
      <c r="Z61" s="1" t="s">
        <v>473</v>
      </c>
      <c r="AA61" t="s">
        <v>408</v>
      </c>
      <c r="AB61" s="13">
        <f>$S$38-$W$59*10^3/($S$17*10^6)+$W$59*10^3*$W$44*$S$24/$S$19</f>
        <v>0.52636927682222456</v>
      </c>
      <c r="AC61" s="3" t="s">
        <v>14</v>
      </c>
      <c r="AD61" t="b">
        <f>AB61&lt;0</f>
        <v>0</v>
      </c>
      <c r="AE61" s="40" t="s">
        <v>408</v>
      </c>
      <c r="AF61" s="41">
        <f>$W$38-$W$59*10^3/($S$18*10^6)+$W$59*10^3*$W$46*$S$25/$S$20</f>
        <v>-8.4256738756321781E-2</v>
      </c>
      <c r="AG61" s="42" t="s">
        <v>14</v>
      </c>
      <c r="AH61" s="43" t="b">
        <f>AF61&lt;0</f>
        <v>1</v>
      </c>
    </row>
    <row r="62" spans="2:34" x14ac:dyDescent="0.25">
      <c r="N62" s="16" t="s">
        <v>468</v>
      </c>
      <c r="O62">
        <v>5</v>
      </c>
      <c r="P62" s="3" t="s">
        <v>9</v>
      </c>
      <c r="R62" t="s">
        <v>409</v>
      </c>
      <c r="S62" s="13">
        <f>$S$39-$W$58*10^3/($S$17*10^6)-$W$58*10^3*$W$45*$S$26/$S$19</f>
        <v>-21.741010144676199</v>
      </c>
      <c r="T62" s="3" t="s">
        <v>14</v>
      </c>
      <c r="U62" t="b">
        <f>S62&gt;(-0.6*$AA$3)</f>
        <v>1</v>
      </c>
      <c r="V62" s="44" t="s">
        <v>409</v>
      </c>
      <c r="W62" s="13">
        <f>$W$39-$W$58*10^3/($S$18*10^6)-$W$58*10^3*$W$46*$S$27/$S$20</f>
        <v>-18.530901989387424</v>
      </c>
      <c r="X62" s="3" t="s">
        <v>14</v>
      </c>
      <c r="Y62" s="45" t="b">
        <f>W62&gt;(-0.6*$AA$3)</f>
        <v>1</v>
      </c>
      <c r="AA62" t="s">
        <v>409</v>
      </c>
      <c r="AB62" s="13">
        <f>$S$39-$W$59*10^3/($S$17*10^6)-$W$59*10^3*$W$45*$S$26/$S$19</f>
        <v>-20.589651526645518</v>
      </c>
      <c r="AC62" s="3" t="s">
        <v>14</v>
      </c>
      <c r="AD62" t="b">
        <f>AB62&gt;(-0.6*$AA$3)</f>
        <v>1</v>
      </c>
      <c r="AE62" s="44" t="s">
        <v>409</v>
      </c>
      <c r="AF62" s="13">
        <f>$W$39-$W$59*10^3/($S$18*10^6)-$W$59*10^3*$W$46*$S$27/$S$20</f>
        <v>-17.542545795205282</v>
      </c>
      <c r="AG62" s="3" t="s">
        <v>14</v>
      </c>
      <c r="AH62" s="45" t="b">
        <f>AF62&gt;(-0.6*$AA$3)</f>
        <v>1</v>
      </c>
    </row>
    <row r="63" spans="2:34" x14ac:dyDescent="0.25">
      <c r="N63" s="16" t="s">
        <v>467</v>
      </c>
      <c r="O63" s="11">
        <f>SQRT(O62*AA16/(-O59/(S23*1000/2)))</f>
        <v>19184.344926372338</v>
      </c>
      <c r="P63" s="3" t="s">
        <v>9</v>
      </c>
      <c r="R63" t="s">
        <v>410</v>
      </c>
      <c r="S63" s="13">
        <f>$S$40-$W$58*10^3/($S$17*10^6)+$W$58*10^3*$W$45*$S$28/$S$21</f>
        <v>-16.885995003093303</v>
      </c>
      <c r="T63" s="3" t="s">
        <v>14</v>
      </c>
      <c r="U63" t="b">
        <f>S63&gt;(-0.6*$AA$3)</f>
        <v>1</v>
      </c>
      <c r="V63" s="44" t="s">
        <v>410</v>
      </c>
      <c r="W63" s="13">
        <f>$W$40-$W$58*10^3/($S$18*10^6)+$W$58*10^3*$W$47*$S$29/$S$22</f>
        <v>-14.216160456849458</v>
      </c>
      <c r="X63" s="3" t="s">
        <v>14</v>
      </c>
      <c r="Y63" s="45" t="b">
        <f>W63&gt;(-0.6*$AA$3)</f>
        <v>1</v>
      </c>
      <c r="AA63" t="s">
        <v>410</v>
      </c>
      <c r="AB63" s="13">
        <f>$S$40-$W$59*10^3/($S$17*10^6)+$W$59*10^3*$W$45*$S$28/$S$21</f>
        <v>-15.73463638506262</v>
      </c>
      <c r="AC63" s="3" t="s">
        <v>14</v>
      </c>
      <c r="AD63" t="b">
        <f>AB63&gt;(-0.6*$AA$3)</f>
        <v>1</v>
      </c>
      <c r="AE63" s="44" t="s">
        <v>410</v>
      </c>
      <c r="AF63" s="13">
        <f>$W$40-$W$59*10^3/($S$18*10^6)+$W$59*10^3*$W$47*$S$29/$S$22</f>
        <v>-13.227804262667316</v>
      </c>
      <c r="AG63" s="3" t="s">
        <v>14</v>
      </c>
      <c r="AH63" s="45" t="b">
        <f>AF63&gt;(-0.6*$AA$3)</f>
        <v>1</v>
      </c>
    </row>
    <row r="64" spans="2:34" ht="15.75" thickBot="1" x14ac:dyDescent="0.3">
      <c r="N64" s="16" t="s">
        <v>469</v>
      </c>
      <c r="O64" s="11">
        <f>$S$60+$O$63*$O$59/(46500/2)</f>
        <v>1359.7237913134913</v>
      </c>
      <c r="P64" s="3" t="s">
        <v>14</v>
      </c>
      <c r="Q64" t="b">
        <f>O64&lt;AA13</f>
        <v>1</v>
      </c>
      <c r="R64" t="s">
        <v>411</v>
      </c>
      <c r="S64" s="13">
        <f>$S$41-$W$58*10^3/($S$17*10^6)-$W$58*10^3*$W$45*$S$30/$S$21</f>
        <v>-5.906417904810449</v>
      </c>
      <c r="T64" s="3" t="s">
        <v>14</v>
      </c>
      <c r="U64" t="b">
        <f>S64&gt;(-0.6*$AA$3)</f>
        <v>1</v>
      </c>
      <c r="V64" s="46" t="s">
        <v>411</v>
      </c>
      <c r="W64" s="47">
        <f>$W$41-$W$58*10^3/($S$18*10^6)-$W$58*10^3*$W$47*$S$31/$S$22</f>
        <v>-5.2357073434133694</v>
      </c>
      <c r="X64" s="48" t="s">
        <v>14</v>
      </c>
      <c r="Y64" s="49" t="b">
        <f>W64&gt;(-0.6*$AA$3)</f>
        <v>1</v>
      </c>
      <c r="AA64" t="s">
        <v>411</v>
      </c>
      <c r="AB64" s="13">
        <f>$S$41-$W$59*10^3/($S$17*10^6)-$W$59*10^3*$W$45*$S$30/$S$21</f>
        <v>-4.7550592867797663</v>
      </c>
      <c r="AC64" s="3" t="s">
        <v>14</v>
      </c>
      <c r="AD64" t="b">
        <f>AB64&gt;(-0.6*$AA$3)</f>
        <v>1</v>
      </c>
      <c r="AE64" s="46" t="s">
        <v>411</v>
      </c>
      <c r="AF64" s="47">
        <f>$W$41-$W$59*10^3/($S$18*10^6)-$W$59*10^3*$W$47*$S$31/$S$22</f>
        <v>-4.2473511492312275</v>
      </c>
      <c r="AG64" s="48" t="s">
        <v>14</v>
      </c>
      <c r="AH64" s="49" t="b">
        <f>AF64&gt;(-0.6*$AA$3)</f>
        <v>1</v>
      </c>
    </row>
    <row r="65" spans="14:30" x14ac:dyDescent="0.25">
      <c r="N65" s="16" t="s">
        <v>470</v>
      </c>
      <c r="O65" s="11">
        <f>$S$60+2*$O$63*$O$59/(46500/2)</f>
        <v>1309.4475826269827</v>
      </c>
      <c r="P65" s="3" t="s">
        <v>14</v>
      </c>
      <c r="Q65" t="b">
        <f>O65&lt;AA13</f>
        <v>1</v>
      </c>
      <c r="R65" s="1" t="s">
        <v>413</v>
      </c>
      <c r="S65" s="1" t="s">
        <v>130</v>
      </c>
      <c r="T65" s="30" t="s">
        <v>482</v>
      </c>
      <c r="W65" s="1" t="s">
        <v>130</v>
      </c>
      <c r="X65" s="30" t="s">
        <v>482</v>
      </c>
    </row>
    <row r="66" spans="14:30" x14ac:dyDescent="0.25">
      <c r="N66" s="16" t="s">
        <v>478</v>
      </c>
      <c r="O66" s="11">
        <f>O65*S58/1000</f>
        <v>129635.31068007128</v>
      </c>
      <c r="P66" s="3" t="s">
        <v>65</v>
      </c>
      <c r="R66" s="1" t="s">
        <v>476</v>
      </c>
      <c r="S66" s="1"/>
      <c r="T66" s="30"/>
      <c r="V66" s="1" t="s">
        <v>477</v>
      </c>
      <c r="W66" s="1"/>
      <c r="X66" s="30"/>
    </row>
    <row r="67" spans="14:30" x14ac:dyDescent="0.25">
      <c r="N67" s="1" t="s">
        <v>455</v>
      </c>
      <c r="R67" t="s">
        <v>441</v>
      </c>
      <c r="S67" s="11">
        <f>W27*1000-W27*1000/4</f>
        <v>2737.5</v>
      </c>
      <c r="T67" s="11">
        <f>W26*1000-W26*1000/4</f>
        <v>5625</v>
      </c>
      <c r="U67" s="3" t="s">
        <v>9</v>
      </c>
      <c r="V67" t="s">
        <v>130</v>
      </c>
      <c r="W67" s="9">
        <f>4.625</f>
        <v>4.625</v>
      </c>
      <c r="X67" s="9">
        <f>W67</f>
        <v>4.625</v>
      </c>
      <c r="Y67" s="3" t="s">
        <v>19</v>
      </c>
    </row>
    <row r="68" spans="14:30" ht="18" x14ac:dyDescent="0.4">
      <c r="N68" s="16" t="s">
        <v>458</v>
      </c>
      <c r="O68">
        <f>-0.25*10^-3</f>
        <v>-2.5000000000000001E-4</v>
      </c>
      <c r="P68" s="3" t="s">
        <v>61</v>
      </c>
      <c r="R68" t="s">
        <v>47</v>
      </c>
      <c r="S68" s="13">
        <f>MIN(1+SQRT(200/S67),2)</f>
        <v>1.2702949513597943</v>
      </c>
      <c r="T68" s="13">
        <f>MIN(1+SQRT(200/T67),2)</f>
        <v>1.1885618083164127</v>
      </c>
      <c r="U68" s="3" t="s">
        <v>61</v>
      </c>
      <c r="V68" t="s">
        <v>441</v>
      </c>
      <c r="W68" s="11">
        <f>(S12+S8/2-S5/2)*1000-S5*1000/2</f>
        <v>3927.2727272727279</v>
      </c>
      <c r="X68" s="7">
        <f>W26*1000-S5*1000/2</f>
        <v>7150</v>
      </c>
      <c r="Y68" s="3" t="s">
        <v>9</v>
      </c>
    </row>
    <row r="69" spans="14:30" ht="18" x14ac:dyDescent="0.4">
      <c r="N69" s="16" t="s">
        <v>459</v>
      </c>
      <c r="O69">
        <v>2.5</v>
      </c>
      <c r="P69" s="3" t="s">
        <v>61</v>
      </c>
      <c r="R69" t="s">
        <v>10</v>
      </c>
      <c r="S69" s="10">
        <v>2</v>
      </c>
      <c r="T69" s="10">
        <v>2</v>
      </c>
      <c r="U69" s="3" t="s">
        <v>10</v>
      </c>
      <c r="V69" t="s">
        <v>47</v>
      </c>
      <c r="W69" s="13">
        <f>MIN(1+SQRT(200/W68),2)</f>
        <v>1.22566773346211</v>
      </c>
      <c r="X69" s="13">
        <f>MIN(1+SQRT(200/X68),2)</f>
        <v>1.1672484020014182</v>
      </c>
      <c r="Y69" s="3" t="s">
        <v>61</v>
      </c>
    </row>
    <row r="70" spans="14:30" x14ac:dyDescent="0.25">
      <c r="N70" s="16" t="s">
        <v>460</v>
      </c>
      <c r="O70">
        <v>0</v>
      </c>
      <c r="P70" s="3" t="s">
        <v>9</v>
      </c>
      <c r="R70" s="16" t="s">
        <v>475</v>
      </c>
      <c r="S70" s="10">
        <v>45</v>
      </c>
      <c r="T70" s="10">
        <v>45</v>
      </c>
      <c r="U70" s="3" t="s">
        <v>9</v>
      </c>
      <c r="V70" t="s">
        <v>10</v>
      </c>
      <c r="W70" s="10">
        <v>2</v>
      </c>
      <c r="X70" s="10">
        <v>2</v>
      </c>
      <c r="Y70" s="3" t="s">
        <v>10</v>
      </c>
    </row>
    <row r="71" spans="14:30" x14ac:dyDescent="0.25">
      <c r="N71" s="16" t="s">
        <v>457</v>
      </c>
      <c r="O71" s="13">
        <f>(O68*$AA$16+0.8*$O$59+$AA$16/$AA$7*O69*-$S$59/($S$17*10^3))/(1+$AA$16/$AA$7*$S$58/($S$17*10^6)*(1+0.8*O69))</f>
        <v>-216.26835459353862</v>
      </c>
      <c r="P71" s="3" t="s">
        <v>14</v>
      </c>
      <c r="R71" s="16" t="s">
        <v>442</v>
      </c>
      <c r="S71" s="39">
        <f>S69*1/4*PI()*S70^2/($W$27*$W$26*10^6)</f>
        <v>1.1619589266701974E-4</v>
      </c>
      <c r="T71" s="39">
        <f>T69*1/4*PI()*T70^2/($W$27*$W$26*10^6)</f>
        <v>1.1619589266701974E-4</v>
      </c>
      <c r="U71" s="3" t="s">
        <v>61</v>
      </c>
      <c r="V71" s="16" t="s">
        <v>475</v>
      </c>
      <c r="W71" s="10">
        <v>45</v>
      </c>
      <c r="X71" s="10">
        <v>45</v>
      </c>
      <c r="Y71" s="3" t="s">
        <v>9</v>
      </c>
    </row>
    <row r="72" spans="14:30" x14ac:dyDescent="0.25">
      <c r="R72" t="s">
        <v>443</v>
      </c>
      <c r="S72" s="13">
        <f>MIN(W59*10^3/(W27*W26*10^6),0.2*AA4)</f>
        <v>4.3170569094151485</v>
      </c>
      <c r="T72" s="13">
        <f>MIN(W59*10^3/(W27*W26*10^6),0.2*AA4)</f>
        <v>4.3170569094151485</v>
      </c>
      <c r="U72" s="3" t="s">
        <v>483</v>
      </c>
      <c r="V72" s="16" t="s">
        <v>442</v>
      </c>
      <c r="W72" s="39">
        <f>W70*1/4*PI()*W71^2/(S18*10^6)</f>
        <v>2.0443129087897245E-4</v>
      </c>
      <c r="X72" s="39">
        <f>X70*1/4*PI()*X71^2/(S18*10^6)</f>
        <v>2.0443129087897245E-4</v>
      </c>
      <c r="Y72" s="3" t="s">
        <v>61</v>
      </c>
    </row>
    <row r="73" spans="14:30" x14ac:dyDescent="0.25">
      <c r="N73" s="1" t="s">
        <v>461</v>
      </c>
      <c r="R73" t="s">
        <v>444</v>
      </c>
      <c r="S73">
        <v>0.15</v>
      </c>
      <c r="T73">
        <v>0.15</v>
      </c>
      <c r="U73" s="3" t="s">
        <v>61</v>
      </c>
      <c r="V73" t="s">
        <v>443</v>
      </c>
      <c r="W73" s="13">
        <f>MIN(W59*10^3/(S18*10^6),0.2*AA4)</f>
        <v>5.34</v>
      </c>
      <c r="X73" s="13">
        <f>MIN(W59*10^3/(S18*10^6),0.2*AA4)</f>
        <v>5.34</v>
      </c>
      <c r="Y73" s="3" t="s">
        <v>483</v>
      </c>
    </row>
    <row r="74" spans="14:30" x14ac:dyDescent="0.25">
      <c r="N74" t="s">
        <v>465</v>
      </c>
      <c r="O74" s="11">
        <f>S60+O71</f>
        <v>1193.7316454064614</v>
      </c>
      <c r="P74" s="3" t="s">
        <v>14</v>
      </c>
      <c r="U74" s="3"/>
      <c r="V74" t="s">
        <v>444</v>
      </c>
      <c r="W74">
        <v>0.15</v>
      </c>
      <c r="X74">
        <v>0.15</v>
      </c>
      <c r="Y74" s="3" t="s">
        <v>61</v>
      </c>
    </row>
    <row r="75" spans="14:30" x14ac:dyDescent="0.25">
      <c r="N75" t="s">
        <v>464</v>
      </c>
      <c r="O75" s="11">
        <f>O74*$S$58/1000</f>
        <v>118179.43289523968</v>
      </c>
      <c r="P75" s="3" t="s">
        <v>65</v>
      </c>
      <c r="R75" t="s">
        <v>445</v>
      </c>
      <c r="S75" s="11" t="s">
        <v>484</v>
      </c>
      <c r="T75" s="11" t="s">
        <v>484</v>
      </c>
      <c r="U75" s="3" t="s">
        <v>65</v>
      </c>
      <c r="X75"/>
      <c r="Y75" s="3"/>
    </row>
    <row r="76" spans="14:30" x14ac:dyDescent="0.25">
      <c r="R76" t="s">
        <v>446</v>
      </c>
      <c r="S76" s="11">
        <f>1/12*$W$26*$W$27^3*$W$26/(1/8*$W$26*$W$27^2)*SQRT(($AA$6*1000)^2+1*$W$59/(W26*W27)*$AA$6*1000)</f>
        <v>57042.777962709843</v>
      </c>
      <c r="T76" s="11">
        <f>1/12*$W$27*$W$26^3*$W$27/(1/8*$W$27*$W$26^2)*SQRT(($AA$6*1000)^2+1*$W$59/(W26*W27)*$AA$6*1000)</f>
        <v>57042.777962709843</v>
      </c>
      <c r="U76" s="3" t="s">
        <v>65</v>
      </c>
      <c r="V76" t="s">
        <v>445</v>
      </c>
      <c r="W76" s="11" t="s">
        <v>484</v>
      </c>
      <c r="X76" s="11" t="s">
        <v>484</v>
      </c>
      <c r="Y76" s="3" t="s">
        <v>65</v>
      </c>
    </row>
    <row r="77" spans="14:30" x14ac:dyDescent="0.25">
      <c r="R77" t="s">
        <v>446</v>
      </c>
      <c r="S77" s="11">
        <f>MAX(S75,S76)</f>
        <v>57042.777962709843</v>
      </c>
      <c r="T77" s="11">
        <f>MAX(T75,T76)</f>
        <v>57042.777962709843</v>
      </c>
      <c r="U77" s="3" t="s">
        <v>65</v>
      </c>
      <c r="V77" t="s">
        <v>446</v>
      </c>
      <c r="W77" s="11">
        <f>$S$20*10^-12*2*$S$5/(2*($S$12-$S$14)*$S$5*($S$12-$S$14)/2+($S$4-2*$S$5)*$S$5*($S$12-$S$14-$S$5/2))*SQRT(($AA$6*1000)^2+1*$W$59/$S$18*$AA$6*1000)</f>
        <v>42255.92397136255</v>
      </c>
      <c r="X77" s="11">
        <f>$S$22*10^-12*2*$S$5/((S4-S16-S5)*S5*(S4-S16-S5)/2+S12*S5*(S4-S16-S5/2)+SQRT((S4-S16)^2+((S4-S16)/(1/S6))^2)*S5*(S4-S16)/2)*SQRT(($AA$6*1000)^2+1*$W$59/$S$18*$AA$6*1000)</f>
        <v>25572.538467133476</v>
      </c>
      <c r="Y77" s="3" t="s">
        <v>65</v>
      </c>
      <c r="AA77" t="s">
        <v>531</v>
      </c>
      <c r="AB77" s="3">
        <f>(2*($S$12-$S$14)*$S$5*($S$12-$S$14)/2+($S$4-2*$S$5)*$S$5*($S$12-$S$14-$S$5/2))</f>
        <v>5.0766780094610224</v>
      </c>
      <c r="AC77" t="s">
        <v>401</v>
      </c>
      <c r="AD77">
        <f>AI18/(43.25/2)*(43.25/2-W67)</f>
        <v>7703.4094797687867</v>
      </c>
    </row>
    <row r="78" spans="14:30" x14ac:dyDescent="0.25">
      <c r="P78" s="3" t="s">
        <v>531</v>
      </c>
      <c r="Q78">
        <f>(1/8*$W$26*$W$27^2)</f>
        <v>12.48984375</v>
      </c>
      <c r="R78" t="s">
        <v>176</v>
      </c>
      <c r="S78" s="13">
        <f>AA18/S77</f>
        <v>0.16606046090869592</v>
      </c>
      <c r="T78" s="13">
        <f>ABS(AI19)/T77</f>
        <v>0.21321679626006568</v>
      </c>
      <c r="U78" s="3" t="s">
        <v>61</v>
      </c>
      <c r="V78" t="s">
        <v>446</v>
      </c>
      <c r="W78" s="11">
        <f>MAX(W76,W77)</f>
        <v>42255.92397136255</v>
      </c>
      <c r="X78" s="11">
        <f>MAX(X76,X77)</f>
        <v>25572.538467133476</v>
      </c>
      <c r="Y78" s="3" t="s">
        <v>65</v>
      </c>
      <c r="AA78" t="s">
        <v>532</v>
      </c>
      <c r="AB78" s="3">
        <f>((S4-S16-S5)*S5*(S4-S16-S5)/2+S12*S5*(S4-S16-S5/2)+SQRT((S4-S16)^2+((S4-S16)/(1/S6))^2)*S5*(S4-S16)/2)</f>
        <v>25.301060568074917</v>
      </c>
      <c r="AC78" t="s">
        <v>402</v>
      </c>
      <c r="AD78">
        <f>ABS(AI19)/(43.25/2)*(43.25/2-W67)</f>
        <v>9561.2546699984068</v>
      </c>
    </row>
    <row r="79" spans="14:30" x14ac:dyDescent="0.25">
      <c r="P79" s="3" t="s">
        <v>532</v>
      </c>
      <c r="Q79">
        <f>(1/8*$W$27*$W$26^2)</f>
        <v>25.6640625</v>
      </c>
      <c r="U79" s="3"/>
      <c r="V79" t="s">
        <v>176</v>
      </c>
      <c r="W79" s="13">
        <f>AI18/46*(46-W67)/W78</f>
        <v>0.20858484503224228</v>
      </c>
      <c r="X79" s="13">
        <f>ABS(AI19)/45.25*(45.25-X67)/X78</f>
        <v>0.42699523706212777</v>
      </c>
      <c r="Y79" s="3" t="s">
        <v>61</v>
      </c>
    </row>
    <row r="80" spans="14:30" x14ac:dyDescent="0.25">
      <c r="R80" s="1" t="s">
        <v>447</v>
      </c>
      <c r="U80" s="3"/>
      <c r="V80" s="1" t="s">
        <v>247</v>
      </c>
      <c r="Y80" s="3"/>
    </row>
    <row r="81" spans="18:30" x14ac:dyDescent="0.25">
      <c r="R81" t="s">
        <v>176</v>
      </c>
      <c r="S81" s="13">
        <f>AE19/W34+AI18/S77</f>
        <v>0.17870237331921177</v>
      </c>
      <c r="T81" s="13">
        <f>AE19/W34+ABS(AI19)/T77</f>
        <v>0.22013247983555645</v>
      </c>
      <c r="U81" s="3" t="s">
        <v>61</v>
      </c>
      <c r="V81" t="s">
        <v>405</v>
      </c>
      <c r="W81" s="11">
        <f>2*(($S$4-$S$5)*(0.5*$S$8+($S$12-$S$5)))*$AA$6*1000*$S$18/($S$4+$S$10+$S$12+$S$5+SQRT(($S$4-$S$5)^2+$S$8^2))</f>
        <v>55793.583271758624</v>
      </c>
      <c r="X81" s="11">
        <f>2*(($S$4-$S$5)*(0.5*$S$8+($S$12-$S$5)))*$AA$6*1000*$S$18/($S$4+$S$10+$S$12+$S$5+SQRT(($S$4-$S$5)^2+$S$8^2))</f>
        <v>55793.583271758624</v>
      </c>
      <c r="Y81" s="3" t="s">
        <v>57</v>
      </c>
      <c r="AA81" t="s">
        <v>542</v>
      </c>
      <c r="AB81" s="3">
        <f>(($S$4-$S$5)*(0.5*$S$8+($S$12-$S$5)))</f>
        <v>26.705454545454547</v>
      </c>
    </row>
    <row r="82" spans="18:30" x14ac:dyDescent="0.25">
      <c r="V82" t="s">
        <v>176</v>
      </c>
      <c r="W82" s="13">
        <f>$AE$19/(43.25/2)*(43.25/2-W67)/W81</f>
        <v>5.9614475432211511E-3</v>
      </c>
      <c r="X82" s="13">
        <f>$AE$19/(43.25/2)*(43.25/2-X67)/X81</f>
        <v>5.9614475432211511E-3</v>
      </c>
      <c r="Y82" s="3" t="s">
        <v>61</v>
      </c>
      <c r="AC82" t="s">
        <v>257</v>
      </c>
      <c r="AD82">
        <f>$AE$19/(43.25/2)*(43.25/2-W67)</f>
        <v>332.61051992293017</v>
      </c>
    </row>
    <row r="83" spans="18:30" x14ac:dyDescent="0.25">
      <c r="Y83" s="3"/>
    </row>
    <row r="84" spans="18:30" x14ac:dyDescent="0.25">
      <c r="Y84" s="3"/>
    </row>
    <row r="85" spans="18:30" x14ac:dyDescent="0.25">
      <c r="Y85" s="3"/>
    </row>
    <row r="86" spans="18:30" x14ac:dyDescent="0.25">
      <c r="V86" s="1" t="s">
        <v>447</v>
      </c>
    </row>
    <row r="87" spans="18:30" x14ac:dyDescent="0.25">
      <c r="V87" t="s">
        <v>176</v>
      </c>
      <c r="W87" s="13">
        <f>ABS(AI18)/(43.25/2)*(43.25/2-W67)/W78+$AE$19/(43.25/2)*(43.25/2-W67)/W81</f>
        <v>0.18826510477692637</v>
      </c>
      <c r="X87" s="13">
        <f>ABS(AI19)/(43.25/2)*(43.25/2-X67)/X78+$AE$19/(43.25/2)*(43.25/2-X67)/X81</f>
        <v>0.37984903333321973</v>
      </c>
      <c r="Y87" s="3" t="s">
        <v>61</v>
      </c>
    </row>
    <row r="88" spans="18:30" x14ac:dyDescent="0.25">
      <c r="V88" s="1" t="s">
        <v>242</v>
      </c>
      <c r="W88" s="27"/>
    </row>
    <row r="89" spans="18:30" x14ac:dyDescent="0.25">
      <c r="V89" t="s">
        <v>485</v>
      </c>
      <c r="W89" s="13">
        <f>5/384*211*43250^4/(AA7*S20)</f>
        <v>6.9759867681538505</v>
      </c>
      <c r="X89" s="3" t="s">
        <v>9</v>
      </c>
      <c r="Y89" t="b">
        <f>W89&lt;(43250/200)</f>
        <v>1</v>
      </c>
      <c r="Z89" t="s">
        <v>486</v>
      </c>
    </row>
    <row r="90" spans="18:30" x14ac:dyDescent="0.25">
      <c r="V90" t="s">
        <v>487</v>
      </c>
      <c r="W90" s="13">
        <f>5/384*628*43250^4/(AA7*S22)</f>
        <v>6.8839465748831712</v>
      </c>
      <c r="X90" s="3" t="s">
        <v>9</v>
      </c>
      <c r="Y90" t="b">
        <f>W90&lt;(43250/200)</f>
        <v>1</v>
      </c>
      <c r="Z90" t="s">
        <v>486</v>
      </c>
    </row>
    <row r="92" spans="18:30" x14ac:dyDescent="0.25">
      <c r="W92" s="27"/>
    </row>
    <row r="93" spans="18:30" x14ac:dyDescent="0.25">
      <c r="W93" s="2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9E50F-0FEE-4027-A8D1-6BAEAC6ACA59}">
  <dimension ref="A1:AQ93"/>
  <sheetViews>
    <sheetView topLeftCell="K1" zoomScale="70" zoomScaleNormal="70" workbookViewId="0">
      <selection activeCell="J95" sqref="J95"/>
    </sheetView>
  </sheetViews>
  <sheetFormatPr defaultRowHeight="15" x14ac:dyDescent="0.25"/>
  <cols>
    <col min="2" max="2" width="13.28515625" bestFit="1" customWidth="1"/>
    <col min="3" max="3" width="8.85546875" style="3"/>
    <col min="4" max="4" width="12" bestFit="1" customWidth="1"/>
    <col min="6" max="6" width="17.7109375" bestFit="1" customWidth="1"/>
    <col min="7" max="7" width="9.28515625" style="3" bestFit="1" customWidth="1"/>
    <col min="10" max="10" width="20.28515625" bestFit="1" customWidth="1"/>
    <col min="11" max="11" width="10" style="3" bestFit="1" customWidth="1"/>
    <col min="14" max="14" width="13.28515625" bestFit="1" customWidth="1"/>
    <col min="15" max="15" width="8.85546875" style="3"/>
    <col min="18" max="18" width="11.5703125" bestFit="1" customWidth="1"/>
    <col min="19" max="19" width="8.85546875" style="3"/>
    <col min="22" max="22" width="9.5703125" bestFit="1" customWidth="1"/>
    <col min="23" max="23" width="8.85546875" style="3"/>
    <col min="27" max="27" width="8.85546875" style="3"/>
    <col min="31" max="31" width="13.28515625" bestFit="1" customWidth="1"/>
    <col min="32" max="32" width="8.85546875" style="3"/>
    <col min="33" max="33" width="7.28515625" bestFit="1" customWidth="1"/>
    <col min="37" max="37" width="8.85546875" style="3"/>
    <col min="42" max="42" width="8.85546875" style="3"/>
  </cols>
  <sheetData>
    <row r="1" spans="1:43" x14ac:dyDescent="0.25">
      <c r="I1" s="1" t="s">
        <v>497</v>
      </c>
      <c r="M1" s="1" t="s">
        <v>427</v>
      </c>
      <c r="Q1" s="1"/>
      <c r="R1" s="3"/>
      <c r="U1" s="1" t="s">
        <v>536</v>
      </c>
      <c r="V1" s="3"/>
      <c r="Y1" s="1" t="s">
        <v>678</v>
      </c>
      <c r="AC1" s="1"/>
      <c r="AD1" s="1" t="s">
        <v>679</v>
      </c>
      <c r="AI1" s="1" t="s">
        <v>680</v>
      </c>
      <c r="AN1" s="1" t="s">
        <v>676</v>
      </c>
    </row>
    <row r="2" spans="1:43" x14ac:dyDescent="0.25">
      <c r="A2" s="1"/>
      <c r="E2" s="1" t="s">
        <v>29</v>
      </c>
      <c r="I2" t="s">
        <v>383</v>
      </c>
      <c r="J2" s="11">
        <f>0.5*9*(F3-1)^2*((1-SIN(30/180*PI()))/(1+SIN(30/180*PI())))</f>
        <v>13.5</v>
      </c>
      <c r="K2" s="3" t="s">
        <v>223</v>
      </c>
      <c r="M2" t="s">
        <v>541</v>
      </c>
      <c r="R2" s="3"/>
      <c r="U2" t="s">
        <v>537</v>
      </c>
      <c r="V2" s="3">
        <v>2</v>
      </c>
      <c r="W2" s="3" t="s">
        <v>8</v>
      </c>
      <c r="Y2" t="s">
        <v>603</v>
      </c>
      <c r="Z2" s="27">
        <v>636.18900000000008</v>
      </c>
      <c r="AA2" s="3" t="s">
        <v>89</v>
      </c>
      <c r="AB2" s="27">
        <v>-0.84799999999999998</v>
      </c>
      <c r="AD2" t="s">
        <v>600</v>
      </c>
      <c r="AE2" s="10">
        <f>-Z5</f>
        <v>2347.2000000000003</v>
      </c>
      <c r="AF2" s="3" t="s">
        <v>89</v>
      </c>
      <c r="AG2" s="27">
        <v>-0.84799999999999998</v>
      </c>
      <c r="AI2" t="s">
        <v>605</v>
      </c>
      <c r="AJ2" s="10">
        <v>636.18900000000008</v>
      </c>
      <c r="AK2" s="3" t="s">
        <v>89</v>
      </c>
      <c r="AL2" s="27">
        <v>-0.84799999999999998</v>
      </c>
      <c r="AN2" t="s">
        <v>615</v>
      </c>
      <c r="AO2" s="10">
        <v>680.4</v>
      </c>
      <c r="AP2" s="3" t="s">
        <v>89</v>
      </c>
      <c r="AQ2">
        <v>-2.5099999999999998</v>
      </c>
    </row>
    <row r="3" spans="1:43" x14ac:dyDescent="0.25">
      <c r="E3" t="s">
        <v>4</v>
      </c>
      <c r="F3">
        <v>4</v>
      </c>
      <c r="G3" s="3" t="s">
        <v>19</v>
      </c>
      <c r="I3" t="s">
        <v>385</v>
      </c>
      <c r="J3" s="13">
        <f>1/3*(F3-1)-F16</f>
        <v>-0.84778899594261925</v>
      </c>
      <c r="K3" s="3" t="s">
        <v>19</v>
      </c>
      <c r="M3" t="s">
        <v>428</v>
      </c>
      <c r="N3">
        <v>35</v>
      </c>
      <c r="O3" s="3" t="s">
        <v>14</v>
      </c>
      <c r="R3" s="3"/>
      <c r="U3" t="s">
        <v>383</v>
      </c>
      <c r="V3" s="25">
        <f>(6+V2+F3)*9.81*1.025*F10</f>
        <v>844.64099999999985</v>
      </c>
      <c r="W3" s="3" t="s">
        <v>223</v>
      </c>
      <c r="Y3" t="s">
        <v>605</v>
      </c>
      <c r="Z3">
        <v>19817.311799999999</v>
      </c>
      <c r="AA3" s="3" t="s">
        <v>89</v>
      </c>
      <c r="AB3" s="27">
        <f>(167.62*3.3*(40-2*(25-6.5)/(11-6))*(0.5*3.3-1.848)+0.5*(200.8-167.62)*3.3*(40-2*(25-6.5)/(11-6))*(1/3*3.3-1.848))/Z3</f>
        <v>-0.2475331415232617</v>
      </c>
      <c r="AD3" t="s">
        <v>601</v>
      </c>
      <c r="AE3" s="10">
        <f>(68.17*3.3*(40-2*(25-6.5)/(11-6))+0.5*(98.34-68.17)*3.3*32.6)</f>
        <v>8956.5728999999992</v>
      </c>
      <c r="AF3" s="3" t="s">
        <v>89</v>
      </c>
      <c r="AG3" s="27">
        <f>(68.17*3.3*32.6*(0.5*3.3-1.848)+0.5*(98.34-68.17)*3.3*32.6*(1/3*3.3-1.848))/AE3</f>
        <v>-0.29765467539487139</v>
      </c>
      <c r="AI3" t="s">
        <v>606</v>
      </c>
      <c r="AJ3">
        <v>16615.731</v>
      </c>
      <c r="AK3" s="3" t="s">
        <v>89</v>
      </c>
      <c r="AL3" s="27">
        <f>(137.86*3.3*32.6*(0.5*3.3-1.848)+0.5*(171.04-137.86)*3.3*32.6*(1/3*3.3-1.848))/AJ3</f>
        <v>-0.25707737131757868</v>
      </c>
      <c r="AN3" t="s">
        <v>616</v>
      </c>
      <c r="AO3" s="27">
        <f>60.23*2*(40-4*(25-6.5)/(11-6))+0.5*(83.36-60.23)*2*(40-4*(25-6.5)/(11-6))</f>
        <v>3618.4679999999998</v>
      </c>
      <c r="AP3" s="3" t="s">
        <v>89</v>
      </c>
      <c r="AQ3" s="27">
        <f>-(60.23*2*(40-4*(25-6.5)/(11-6))*(3.846-1)+0.5*(83.36-60.23)*2*(40-4*(25-6.5)/(11-6))*(3.846-2/3*2))/AO3</f>
        <v>-2.7923054530259765</v>
      </c>
    </row>
    <row r="4" spans="1:43" x14ac:dyDescent="0.25">
      <c r="E4" t="s">
        <v>493</v>
      </c>
      <c r="F4">
        <v>2</v>
      </c>
      <c r="G4" s="3" t="s">
        <v>19</v>
      </c>
      <c r="I4" t="s">
        <v>386</v>
      </c>
      <c r="J4" s="11">
        <f>160.88*F3</f>
        <v>643.52</v>
      </c>
      <c r="K4" s="3" t="s">
        <v>223</v>
      </c>
      <c r="M4" s="37" t="s">
        <v>429</v>
      </c>
      <c r="N4" s="37">
        <v>23.3</v>
      </c>
      <c r="O4" s="3" t="s">
        <v>14</v>
      </c>
      <c r="P4" s="36"/>
      <c r="R4" s="3"/>
      <c r="U4" t="s">
        <v>386</v>
      </c>
      <c r="V4" s="25">
        <f>-(6+V2)*9.81*1.025*F12</f>
        <v>-402.21</v>
      </c>
      <c r="W4" s="3" t="s">
        <v>223</v>
      </c>
      <c r="Y4" t="s">
        <v>606</v>
      </c>
      <c r="Z4">
        <v>-11801.2</v>
      </c>
      <c r="AA4" s="3" t="s">
        <v>89</v>
      </c>
      <c r="AB4" s="27">
        <f>-((70.39*4*(40-2*(25-6.5)/(11-6))*(0.5*4-1.848)+0.5*(110.61-70.39)*4*(40-2*(25-6.5)/(11-6))*(1/3*4-1.848))/Z4)</f>
        <v>3.8600368324124214E-3</v>
      </c>
      <c r="AD4" t="s">
        <v>603</v>
      </c>
      <c r="AE4" s="10">
        <v>-12639.672</v>
      </c>
      <c r="AF4" s="3" t="s">
        <v>89</v>
      </c>
      <c r="AG4" s="27">
        <f>-((76.82*4*32.6*(0.5*4-1.848)+0.5*(117.04-76.82)*4*32.6*(1/3*4-1.848))/-AE4)</f>
        <v>-1.3687128168093669E-2</v>
      </c>
      <c r="AI4" t="s">
        <v>607</v>
      </c>
      <c r="AJ4" s="10">
        <v>-11801.2</v>
      </c>
      <c r="AK4" s="3" t="s">
        <v>89</v>
      </c>
      <c r="AL4" s="27">
        <f>-((70.39*4*32.6*(0.5*4-1.848)+0.5*(110.61-70.39)*4*32.6*(1/3*4-1.848))/AJ4)</f>
        <v>3.8600368324124214E-3</v>
      </c>
      <c r="AN4" t="s">
        <v>617</v>
      </c>
      <c r="AO4">
        <v>10036</v>
      </c>
      <c r="AP4" s="3" t="s">
        <v>89</v>
      </c>
      <c r="AQ4" s="27">
        <v>0.64500000000000002</v>
      </c>
    </row>
    <row r="5" spans="1:43" x14ac:dyDescent="0.25">
      <c r="E5" t="s">
        <v>7</v>
      </c>
      <c r="F5">
        <v>0.7</v>
      </c>
      <c r="G5" s="3" t="s">
        <v>19</v>
      </c>
      <c r="I5" t="s">
        <v>387</v>
      </c>
      <c r="J5" s="13">
        <f>F3/2-F16</f>
        <v>0.15221100405738075</v>
      </c>
      <c r="K5" s="3" t="s">
        <v>19</v>
      </c>
      <c r="M5" t="s">
        <v>430</v>
      </c>
      <c r="N5">
        <v>3.2</v>
      </c>
      <c r="O5" s="3" t="s">
        <v>14</v>
      </c>
      <c r="R5" s="3"/>
      <c r="U5" t="s">
        <v>388</v>
      </c>
      <c r="V5" s="25">
        <f>-(6+1+V2)*9.81*1.025*F7</f>
        <v>-180.99449999999999</v>
      </c>
      <c r="W5" s="3" t="s">
        <v>223</v>
      </c>
      <c r="Y5" t="s">
        <v>607</v>
      </c>
      <c r="Z5">
        <f>-0.5*48*3*(40-2*(25-6.5)/(11-6))</f>
        <v>-2347.2000000000003</v>
      </c>
      <c r="AA5" s="3" t="s">
        <v>89</v>
      </c>
      <c r="AB5" s="27">
        <f>AB2</f>
        <v>-0.84799999999999998</v>
      </c>
      <c r="AD5" t="s">
        <v>605</v>
      </c>
      <c r="AE5" s="10">
        <f>-Z2</f>
        <v>-636.18900000000008</v>
      </c>
      <c r="AF5" s="3" t="s">
        <v>89</v>
      </c>
      <c r="AG5" s="27">
        <f>AG2</f>
        <v>-0.84799999999999998</v>
      </c>
      <c r="AI5" t="s">
        <v>608</v>
      </c>
      <c r="AJ5" s="10">
        <f>-0.5*48*3*(40-2*(25-6.5)/(11-6))</f>
        <v>-2347.2000000000003</v>
      </c>
      <c r="AK5" s="3" t="s">
        <v>89</v>
      </c>
      <c r="AL5" s="27">
        <f>AL2</f>
        <v>-0.84799999999999998</v>
      </c>
      <c r="AN5" t="s">
        <v>618</v>
      </c>
      <c r="AO5" s="10">
        <f>AJ9</f>
        <v>11120.863983090765</v>
      </c>
      <c r="AP5" s="3" t="s">
        <v>89</v>
      </c>
      <c r="AQ5">
        <v>0</v>
      </c>
    </row>
    <row r="6" spans="1:43" x14ac:dyDescent="0.25">
      <c r="E6" t="s">
        <v>11</v>
      </c>
      <c r="F6" s="13">
        <f>(F3-1-F5)/F7</f>
        <v>1.1499999999999999</v>
      </c>
      <c r="G6" s="3" t="s">
        <v>61</v>
      </c>
      <c r="I6" t="s">
        <v>388</v>
      </c>
      <c r="J6" s="11">
        <f>33.2*1</f>
        <v>33.200000000000003</v>
      </c>
      <c r="K6" s="3" t="s">
        <v>223</v>
      </c>
      <c r="M6" t="s">
        <v>431</v>
      </c>
      <c r="N6">
        <v>1.5</v>
      </c>
      <c r="O6" s="3" t="s">
        <v>14</v>
      </c>
      <c r="R6" s="3"/>
      <c r="U6" t="s">
        <v>390</v>
      </c>
      <c r="V6" s="25">
        <f>-0.5*(F3-F5)*9.81*1.025*F7</f>
        <v>-33.182324999999992</v>
      </c>
      <c r="W6" s="3" t="s">
        <v>223</v>
      </c>
      <c r="Y6" t="s">
        <v>616</v>
      </c>
      <c r="Z6">
        <v>680.4</v>
      </c>
      <c r="AA6" s="3" t="s">
        <v>89</v>
      </c>
      <c r="AB6">
        <v>-2.5099999999999998</v>
      </c>
      <c r="AD6" t="s">
        <v>615</v>
      </c>
      <c r="AE6" s="10">
        <v>680.4</v>
      </c>
      <c r="AF6" s="3" t="s">
        <v>89</v>
      </c>
      <c r="AG6">
        <v>-2.5099999999999998</v>
      </c>
      <c r="AI6" t="s">
        <v>616</v>
      </c>
      <c r="AJ6" s="10">
        <v>680.4</v>
      </c>
      <c r="AK6" s="3" t="s">
        <v>89</v>
      </c>
      <c r="AL6">
        <v>-2.5099999999999998</v>
      </c>
      <c r="AN6" t="s">
        <v>619</v>
      </c>
      <c r="AO6">
        <v>-14048.160000000002</v>
      </c>
      <c r="AP6" s="3" t="s">
        <v>89</v>
      </c>
      <c r="AQ6">
        <v>-0.34599999999999997</v>
      </c>
    </row>
    <row r="7" spans="1:43" x14ac:dyDescent="0.25">
      <c r="E7" t="s">
        <v>494</v>
      </c>
      <c r="F7" s="13">
        <f>F10-F12</f>
        <v>2</v>
      </c>
      <c r="G7" s="3" t="s">
        <v>19</v>
      </c>
      <c r="I7" t="s">
        <v>389</v>
      </c>
      <c r="J7" s="13">
        <f>F3-0.5-F16</f>
        <v>1.6522110040573807</v>
      </c>
      <c r="K7" s="3" t="s">
        <v>19</v>
      </c>
      <c r="M7" t="s">
        <v>450</v>
      </c>
      <c r="N7">
        <v>34000</v>
      </c>
      <c r="O7" s="3" t="s">
        <v>14</v>
      </c>
      <c r="R7" s="3"/>
      <c r="U7" t="s">
        <v>62</v>
      </c>
      <c r="V7" s="25">
        <f>N22</f>
        <v>-381.65434468075296</v>
      </c>
      <c r="W7" s="3" t="s">
        <v>223</v>
      </c>
      <c r="Y7" t="s">
        <v>617</v>
      </c>
      <c r="Z7">
        <v>9030.9240000000009</v>
      </c>
      <c r="AA7" s="3" t="s">
        <v>89</v>
      </c>
      <c r="AB7" s="27">
        <f>-(167.62*2*(40-4*(25-6.5)/(11-6))*(3.846-1)+0.5*(190.75-167.62)*2*(40-4*(25-6.5)/(11-6))*(3.846-2/3*2))/Z7</f>
        <v>-2.8244859223707341</v>
      </c>
      <c r="AD7" t="s">
        <v>616</v>
      </c>
      <c r="AE7" s="10">
        <v>5687.7633333333324</v>
      </c>
      <c r="AF7" s="3" t="s">
        <v>89</v>
      </c>
      <c r="AG7" s="27">
        <f>-(68.17*2*(40-4*(25-6.5)/(11-6))*(3.846-1)+0.5*(91.3-68.17)*2*(40-4*(25-6.5)/(11-6))*(3.846-2/3*2))/AE7</f>
        <v>-1.9766590424238237</v>
      </c>
      <c r="AI7" t="s">
        <v>617</v>
      </c>
      <c r="AJ7">
        <v>7606.8719999999994</v>
      </c>
      <c r="AK7" s="3" t="s">
        <v>89</v>
      </c>
      <c r="AL7" s="27">
        <f>-(130.82*2*(40-4*(25-6.5)/(11-6))*(3.846-1)+0.5*(171.04-130.82)*2*(40-4*(25-6.5)/(11-6))*(3.846-2/3*2))/AJ7</f>
        <v>-2.80158647496632</v>
      </c>
    </row>
    <row r="8" spans="1:43" x14ac:dyDescent="0.25">
      <c r="E8" t="s">
        <v>20</v>
      </c>
      <c r="F8">
        <f>46</f>
        <v>46</v>
      </c>
      <c r="G8" s="3" t="s">
        <v>19</v>
      </c>
      <c r="I8" t="s">
        <v>390</v>
      </c>
      <c r="J8" s="13">
        <f>0.5*0.84*1</f>
        <v>0.42</v>
      </c>
      <c r="K8" s="3" t="s">
        <v>223</v>
      </c>
      <c r="N8" s="38"/>
      <c r="R8" s="3"/>
      <c r="V8" s="3"/>
      <c r="Y8" t="s">
        <v>618</v>
      </c>
      <c r="Z8">
        <v>14078</v>
      </c>
      <c r="AA8" s="3" t="s">
        <v>89</v>
      </c>
      <c r="AB8" s="27">
        <v>0.65400000000000003</v>
      </c>
      <c r="AD8" t="s">
        <v>617</v>
      </c>
      <c r="AE8">
        <v>15364</v>
      </c>
      <c r="AF8" s="3" t="s">
        <v>89</v>
      </c>
      <c r="AG8" s="27">
        <v>0.64500000000000002</v>
      </c>
      <c r="AI8" t="s">
        <v>618</v>
      </c>
      <c r="AJ8">
        <v>14078</v>
      </c>
      <c r="AK8" s="3" t="s">
        <v>89</v>
      </c>
      <c r="AL8" s="27">
        <v>0.64500000000000002</v>
      </c>
    </row>
    <row r="9" spans="1:43" ht="18" x14ac:dyDescent="0.4">
      <c r="I9" t="s">
        <v>391</v>
      </c>
      <c r="J9" s="13">
        <f>F3-1/3-F16</f>
        <v>1.8188776707240473</v>
      </c>
      <c r="K9" s="3" t="s">
        <v>19</v>
      </c>
      <c r="M9" s="1" t="s">
        <v>439</v>
      </c>
      <c r="R9" s="3"/>
      <c r="U9" s="2" t="s">
        <v>538</v>
      </c>
      <c r="V9" s="25">
        <f>SUM(V3:V7)</f>
        <v>-153.40016968075304</v>
      </c>
      <c r="W9" s="3" t="s">
        <v>223</v>
      </c>
      <c r="X9" t="b">
        <f>V9&lt;0</f>
        <v>1</v>
      </c>
      <c r="Y9" t="s">
        <v>619</v>
      </c>
      <c r="Z9">
        <v>11120.863983090765</v>
      </c>
      <c r="AA9" s="3" t="s">
        <v>89</v>
      </c>
      <c r="AB9">
        <v>0</v>
      </c>
      <c r="AD9" t="s">
        <v>618</v>
      </c>
      <c r="AE9" s="10">
        <v>11120.863983090765</v>
      </c>
      <c r="AF9" s="3" t="s">
        <v>89</v>
      </c>
      <c r="AG9">
        <v>0</v>
      </c>
      <c r="AI9" t="s">
        <v>619</v>
      </c>
      <c r="AJ9" s="10">
        <v>11120.863983090765</v>
      </c>
      <c r="AK9" s="3" t="s">
        <v>89</v>
      </c>
      <c r="AL9">
        <v>0</v>
      </c>
    </row>
    <row r="10" spans="1:43" x14ac:dyDescent="0.25">
      <c r="E10" t="s">
        <v>355</v>
      </c>
      <c r="F10">
        <v>7</v>
      </c>
      <c r="G10" s="3" t="s">
        <v>19</v>
      </c>
      <c r="I10" t="s">
        <v>392</v>
      </c>
      <c r="J10" s="11">
        <f>0.5*9*(F3-1)^2*((1+SIN(30/180*PI()))/(1-SIN(30/180*PI())))</f>
        <v>121.5</v>
      </c>
      <c r="K10" s="3" t="s">
        <v>223</v>
      </c>
      <c r="M10" t="s">
        <v>440</v>
      </c>
      <c r="R10" s="3"/>
      <c r="V10" s="3"/>
      <c r="Y10" t="s">
        <v>620</v>
      </c>
      <c r="Z10">
        <v>-27466.362000000001</v>
      </c>
      <c r="AA10" s="3" t="s">
        <v>89</v>
      </c>
      <c r="AB10" s="27">
        <f>(110.61*7*22.2*0.346+0.5*(164-110.61)*7*22.2*1.513)/Z10</f>
        <v>-0.44504825440660828</v>
      </c>
      <c r="AD10" t="s">
        <v>619</v>
      </c>
      <c r="AE10" s="10">
        <v>-16735.026000000002</v>
      </c>
      <c r="AF10" s="3" t="s">
        <v>89</v>
      </c>
      <c r="AG10" s="27">
        <f>(98.34*7*22.2*0.346+0.5*(117.04-98.34)*7*22.2*-0.821)/AE10</f>
        <v>-0.2446772216547497</v>
      </c>
      <c r="AI10" t="s">
        <v>620</v>
      </c>
      <c r="AJ10">
        <v>-21337.197</v>
      </c>
      <c r="AK10" s="3" t="s">
        <v>89</v>
      </c>
      <c r="AL10" s="27">
        <f>(110.61*7*22.2*0.346+0.5*(164-110.61)*7*22.2*1.513)/AJ10</f>
        <v>-0.57288951604093064</v>
      </c>
    </row>
    <row r="11" spans="1:43" x14ac:dyDescent="0.25">
      <c r="I11" t="s">
        <v>510</v>
      </c>
      <c r="J11" s="13">
        <f>J3</f>
        <v>-0.84778899594261925</v>
      </c>
      <c r="K11" s="3" t="s">
        <v>19</v>
      </c>
      <c r="M11" t="s">
        <v>448</v>
      </c>
      <c r="N11">
        <v>1860</v>
      </c>
      <c r="O11" s="3" t="s">
        <v>14</v>
      </c>
      <c r="R11" s="3"/>
      <c r="U11" t="s">
        <v>141</v>
      </c>
      <c r="V11" s="3">
        <f>((F12)*(F3)+0.5*F7*(F3-1))</f>
        <v>23</v>
      </c>
      <c r="W11" s="3" t="s">
        <v>70</v>
      </c>
      <c r="Z11" s="10"/>
    </row>
    <row r="12" spans="1:43" x14ac:dyDescent="0.25">
      <c r="E12" t="s">
        <v>495</v>
      </c>
      <c r="F12">
        <v>5</v>
      </c>
      <c r="G12" s="3" t="s">
        <v>19</v>
      </c>
      <c r="I12" t="s">
        <v>394</v>
      </c>
      <c r="J12" s="11">
        <f>-70.39*F3</f>
        <v>-281.56</v>
      </c>
      <c r="K12" s="3" t="s">
        <v>223</v>
      </c>
      <c r="M12" t="s">
        <v>449</v>
      </c>
      <c r="N12">
        <v>1600</v>
      </c>
      <c r="O12" s="3" t="s">
        <v>14</v>
      </c>
      <c r="R12" s="3"/>
      <c r="U12" t="s">
        <v>539</v>
      </c>
      <c r="V12" s="3">
        <f>V11*10</f>
        <v>230</v>
      </c>
      <c r="W12" s="3" t="s">
        <v>223</v>
      </c>
      <c r="Y12" t="s">
        <v>257</v>
      </c>
      <c r="Z12" s="10">
        <f>(Z2*AB2+Z3*AB3+Z4*AB4+Z5*AB5+Z6*AB6+Z7*AB7+Z8*AB8+Z9*AB9+Z10*AB10)/2</f>
        <v>-4642.3552130333364</v>
      </c>
      <c r="AA12" s="3" t="s">
        <v>57</v>
      </c>
      <c r="AD12" t="s">
        <v>257</v>
      </c>
      <c r="AE12" s="10">
        <f>(AE2*AG2+AE3*AG3+AE4*AG4+AE5*AG5+AE6*AG6+AE7*AG7+AE8*AG8+AE9*AG9+AE10*AG10)/2</f>
        <v>-1445.0077372666685</v>
      </c>
      <c r="AF12" s="3" t="s">
        <v>57</v>
      </c>
      <c r="AI12" t="s">
        <v>257</v>
      </c>
      <c r="AJ12" s="10">
        <f>(AJ2*AL2+AJ3*AL3+AJ4*AL4+AJ5*AL5+AJ6*AL6+AJ7*AL7+AJ8*AL8+AJ9*AL9+AJ10*AL10)/2</f>
        <v>-2290.5457178333345</v>
      </c>
      <c r="AK12" s="3" t="s">
        <v>57</v>
      </c>
      <c r="AN12" t="s">
        <v>257</v>
      </c>
      <c r="AO12" s="10">
        <f>(AO2*AQ2+AO3*AQ3+AO4*AQ4+AO5*AQ5+AO6*AQ6)/2</f>
        <v>-238.89428399999952</v>
      </c>
      <c r="AP12" s="3" t="s">
        <v>57</v>
      </c>
    </row>
    <row r="13" spans="1:43" x14ac:dyDescent="0.25">
      <c r="F13" s="3"/>
      <c r="G13"/>
      <c r="I13" t="s">
        <v>511</v>
      </c>
      <c r="J13" s="13">
        <f>F3/2-F16</f>
        <v>0.15221100405738075</v>
      </c>
      <c r="K13" s="3" t="s">
        <v>19</v>
      </c>
      <c r="M13" t="s">
        <v>456</v>
      </c>
      <c r="N13">
        <f>MIN(0.75*$N$11,0.85*$N$12)</f>
        <v>1360</v>
      </c>
      <c r="O13" s="3" t="s">
        <v>14</v>
      </c>
      <c r="R13" s="3"/>
      <c r="V13" s="3"/>
      <c r="Y13" t="s">
        <v>406</v>
      </c>
      <c r="Z13" s="10">
        <f>(Z2+Z3+Z4+Z5)/33.0425</f>
        <v>190.81791026708018</v>
      </c>
      <c r="AA13" s="3" t="s">
        <v>223</v>
      </c>
      <c r="AD13" t="s">
        <v>406</v>
      </c>
      <c r="AE13" s="10">
        <f>(AE2+AE3+AE4+AE5)/33.0425</f>
        <v>-59.683380494817307</v>
      </c>
      <c r="AF13" s="3" t="s">
        <v>223</v>
      </c>
      <c r="AI13" t="s">
        <v>406</v>
      </c>
      <c r="AJ13" s="10">
        <f>(AJ2+AJ3+AJ4+AJ5)/33.0425</f>
        <v>93.925096466671633</v>
      </c>
      <c r="AK13" s="3" t="s">
        <v>223</v>
      </c>
      <c r="AN13" t="s">
        <v>407</v>
      </c>
      <c r="AO13" s="10">
        <f>(AO2+AO5+AO3+AO4+AO6)/28.438</f>
        <v>401.1383354346566</v>
      </c>
      <c r="AP13" s="3" t="s">
        <v>223</v>
      </c>
    </row>
    <row r="14" spans="1:43" x14ac:dyDescent="0.25">
      <c r="E14" t="s">
        <v>328</v>
      </c>
      <c r="F14" s="9">
        <f>((F3-2*F5)*F5*F5/2+F10*F5*F10/2+F12*F5*F12/2+SQRT((F3-1-F5)^2+F7^2)*F5*(F12+F7/2)+(F10-2*F5-(F4-F5)/F6)*F5*((F10-2*F5-(F4-F5)/F6)/2+F5)+(1-F5)*F5*(F12-F5/2))/((F3-2*F5)*F5+F10*F5+SQRT((F3-1-F5)^2+F7^2)*F5+(F10-2*F5-(F4-F5)/F6)*F5+(1-F5)*F5+F12*F5)</f>
        <v>3.1542257005305894</v>
      </c>
      <c r="G14" s="3" t="s">
        <v>19</v>
      </c>
      <c r="H14" t="s">
        <v>372</v>
      </c>
      <c r="I14" t="s">
        <v>396</v>
      </c>
      <c r="J14" s="11">
        <f>72.5*1</f>
        <v>72.5</v>
      </c>
      <c r="K14" s="3" t="s">
        <v>223</v>
      </c>
      <c r="M14" s="16" t="s">
        <v>104</v>
      </c>
      <c r="N14">
        <f>MIN(0.8*$N$11,0.95*$N$12)</f>
        <v>1488</v>
      </c>
      <c r="O14" s="3" t="s">
        <v>14</v>
      </c>
      <c r="R14" s="3"/>
      <c r="V14" s="3"/>
      <c r="Y14" t="s">
        <v>407</v>
      </c>
      <c r="Z14" s="10">
        <f>(Z6+Z7+Z8+Z9+Z10)/28.438</f>
        <v>261.75631138233217</v>
      </c>
      <c r="AA14" s="3" t="s">
        <v>223</v>
      </c>
      <c r="AD14" t="s">
        <v>407</v>
      </c>
      <c r="AE14" s="10">
        <f>(AE6+AE7+AE8+AE9+AE10)/28.438</f>
        <v>566.77689417062004</v>
      </c>
      <c r="AF14" s="3" t="s">
        <v>223</v>
      </c>
      <c r="AI14" t="s">
        <v>407</v>
      </c>
      <c r="AJ14" s="10">
        <f>(AJ6+AJ7+AJ8+AJ9+AJ10)/28.438</f>
        <v>427.20792541988749</v>
      </c>
      <c r="AK14" s="3" t="s">
        <v>223</v>
      </c>
      <c r="AO14" s="10"/>
    </row>
    <row r="15" spans="1:43" ht="18" x14ac:dyDescent="0.4">
      <c r="F15" s="3"/>
      <c r="G15"/>
      <c r="I15" t="s">
        <v>512</v>
      </c>
      <c r="J15" s="13">
        <f>F3-0.5-F16</f>
        <v>1.6522110040573807</v>
      </c>
      <c r="K15" s="3" t="s">
        <v>19</v>
      </c>
      <c r="Q15" s="16" t="s">
        <v>527</v>
      </c>
      <c r="R15" s="3">
        <v>9</v>
      </c>
      <c r="S15" s="3" t="s">
        <v>528</v>
      </c>
      <c r="V15" s="3"/>
    </row>
    <row r="16" spans="1:43" x14ac:dyDescent="0.25">
      <c r="E16" t="s">
        <v>180</v>
      </c>
      <c r="F16" s="9">
        <f>(F10*F5*F5/2+(F3-2*F5)*F5*F3/2+SQRT((F3-1-F5)^2+F7^2)*F5*((F3-1-F5)/2+F5)+(F10-2*F5-(F4-F5)/F6)*F5*F4+F12*F5*(F3-F5/2)+(1-F5)*F5*(F3-F5-(1-F5)/2))/(F10*F5+(F3-2*F5)*F5+SQRT((F3-1-F5)^2+F7^2)*F5+(F10-2*F5-(F4-F5)/F6)*F5+F12*F5+(1-F5)*F5)</f>
        <v>1.8477889959426193</v>
      </c>
      <c r="G16" s="3" t="s">
        <v>19</v>
      </c>
      <c r="H16" t="s">
        <v>181</v>
      </c>
      <c r="I16" t="s">
        <v>398</v>
      </c>
      <c r="J16" s="11">
        <f>(70.39+9.81*1.025*F3)*F10</f>
        <v>774.27699999999993</v>
      </c>
      <c r="K16" s="3" t="s">
        <v>223</v>
      </c>
      <c r="M16" t="s">
        <v>451</v>
      </c>
      <c r="N16">
        <v>195000</v>
      </c>
      <c r="O16" s="3" t="s">
        <v>14</v>
      </c>
      <c r="R16" s="3"/>
      <c r="V16" s="3"/>
      <c r="Y16" t="s">
        <v>401</v>
      </c>
      <c r="Z16" s="10">
        <f>Z13*33.0425/2</f>
        <v>3152.5503999999983</v>
      </c>
      <c r="AA16" s="3" t="s">
        <v>65</v>
      </c>
      <c r="AD16" t="s">
        <v>401</v>
      </c>
      <c r="AE16" s="10">
        <f>AE13*33.0425/2</f>
        <v>-986.04405000000031</v>
      </c>
      <c r="AF16" s="3" t="s">
        <v>65</v>
      </c>
      <c r="AI16" t="s">
        <v>401</v>
      </c>
      <c r="AJ16" s="10">
        <f>AJ13*33.0425/2</f>
        <v>1551.7599999999986</v>
      </c>
      <c r="AK16" s="3" t="s">
        <v>65</v>
      </c>
      <c r="AN16" t="s">
        <v>402</v>
      </c>
      <c r="AO16" s="10">
        <f>AO13*28.438/2</f>
        <v>5703.7859915453819</v>
      </c>
      <c r="AP16" s="3" t="s">
        <v>65</v>
      </c>
    </row>
    <row r="17" spans="2:42" ht="18" x14ac:dyDescent="0.4">
      <c r="F17" s="3"/>
      <c r="G17"/>
      <c r="I17" t="s">
        <v>399</v>
      </c>
      <c r="J17" s="13">
        <f>F10/2-F14</f>
        <v>0.34577429946941063</v>
      </c>
      <c r="K17" s="3" t="s">
        <v>19</v>
      </c>
      <c r="Q17" t="s">
        <v>525</v>
      </c>
      <c r="R17" s="3">
        <v>0.85</v>
      </c>
      <c r="S17" s="3" t="s">
        <v>522</v>
      </c>
      <c r="V17" s="3"/>
      <c r="Y17" t="s">
        <v>402</v>
      </c>
      <c r="Z17" s="10">
        <f>Z14*28.438/2</f>
        <v>3721.9129915453809</v>
      </c>
      <c r="AA17" s="3" t="s">
        <v>65</v>
      </c>
      <c r="AD17" t="s">
        <v>402</v>
      </c>
      <c r="AE17" s="10">
        <f>AE14*28.438/2</f>
        <v>8059.0006582120459</v>
      </c>
      <c r="AF17" s="3" t="s">
        <v>65</v>
      </c>
      <c r="AI17" t="s">
        <v>402</v>
      </c>
      <c r="AJ17" s="10">
        <f>AJ14*28.438/2</f>
        <v>6074.4694915453802</v>
      </c>
      <c r="AK17" s="3" t="s">
        <v>65</v>
      </c>
      <c r="AO17" s="10"/>
    </row>
    <row r="18" spans="2:42" x14ac:dyDescent="0.25">
      <c r="E18" t="s">
        <v>141</v>
      </c>
      <c r="F18" s="13">
        <f>(F10*F5+(F3-2*F5)*F5+SQRT((F3-1-F5)^2+F7^2)*F5+(F10-2*F5-F4/F6)*F5+F12*F5+(1-F5)*F5)</f>
        <v>15.266173787230118</v>
      </c>
      <c r="G18" s="3" t="s">
        <v>70</v>
      </c>
      <c r="I18" t="s">
        <v>498</v>
      </c>
      <c r="J18" s="11">
        <f>0.5*(160.88-70.39)*F10</f>
        <v>316.71499999999997</v>
      </c>
      <c r="K18" s="3" t="s">
        <v>223</v>
      </c>
      <c r="M18" t="s">
        <v>513</v>
      </c>
      <c r="N18" s="24">
        <f>-(F10-2*F5-(R22-F5)/F6)*(R22-3*F5/2)*R15</f>
        <v>-33.746263673946245</v>
      </c>
      <c r="O18" s="3" t="s">
        <v>517</v>
      </c>
      <c r="P18" s="27">
        <f>(F10-2*F5-(R22-F5)/F6)/2+F5-F17</f>
        <v>2.9922201253531746</v>
      </c>
      <c r="Q18" t="s">
        <v>523</v>
      </c>
      <c r="R18" s="24">
        <f>(F10-2*F5-(F4-F5)/F6)*(F4-3*F5/2)+0.5*(F4-F5)/F6*(F4-3*F5/2)</f>
        <v>4.7830434782608702</v>
      </c>
      <c r="S18" s="3" t="s">
        <v>70</v>
      </c>
      <c r="V18" s="3"/>
      <c r="Y18" t="s">
        <v>403</v>
      </c>
      <c r="Z18" s="10">
        <f>1/8*Z13*33.0425^2</f>
        <v>26042.036647999979</v>
      </c>
      <c r="AA18" s="3" t="s">
        <v>57</v>
      </c>
      <c r="AD18" t="s">
        <v>403</v>
      </c>
      <c r="AE18" s="10">
        <f>1/8*AE13*33.0425^2</f>
        <v>-8145.3401305312509</v>
      </c>
      <c r="AF18" s="3" t="s">
        <v>57</v>
      </c>
      <c r="AI18" t="s">
        <v>403</v>
      </c>
      <c r="AJ18" s="10">
        <f>1/8*AJ13*33.0425^2</f>
        <v>12818.507449999986</v>
      </c>
      <c r="AK18" s="3" t="s">
        <v>57</v>
      </c>
      <c r="AN18" t="s">
        <v>404</v>
      </c>
      <c r="AO18" s="10">
        <f>1/8*AO13*28.438^2</f>
        <v>40551.06650689189</v>
      </c>
      <c r="AP18" s="3" t="s">
        <v>57</v>
      </c>
    </row>
    <row r="19" spans="2:42" x14ac:dyDescent="0.25">
      <c r="B19" s="1" t="s">
        <v>488</v>
      </c>
      <c r="C19" s="30" t="s">
        <v>412</v>
      </c>
      <c r="D19" s="1"/>
      <c r="E19" t="s">
        <v>542</v>
      </c>
      <c r="F19" s="3">
        <f>((F12-F5)*(F3-F5)+0.5*F7*(F3-1-F5/2))</f>
        <v>16.84</v>
      </c>
      <c r="G19" t="s">
        <v>70</v>
      </c>
      <c r="I19" t="s">
        <v>499</v>
      </c>
      <c r="J19" s="11">
        <f>2*F10/3-F14</f>
        <v>1.5124409661360776</v>
      </c>
      <c r="K19" s="3" t="s">
        <v>19</v>
      </c>
      <c r="M19" t="s">
        <v>514</v>
      </c>
      <c r="N19" s="24">
        <f>-0.5*(R22-F5)/F6*(R22-3*F5/2)*R15</f>
        <v>-3.7377896975568468</v>
      </c>
      <c r="O19" s="3" t="s">
        <v>518</v>
      </c>
      <c r="P19" s="27">
        <f>F10-2*F5-(R22-F5)/(3*F6)+F5-F14</f>
        <v>2.8072543830381935</v>
      </c>
      <c r="Q19" t="s">
        <v>213</v>
      </c>
      <c r="R19" s="24">
        <f>(1/(2*F6)-F5/F6)</f>
        <v>-0.17391304347826086</v>
      </c>
      <c r="V19" s="3"/>
      <c r="Y19" t="s">
        <v>404</v>
      </c>
      <c r="Z19" s="10">
        <f>1/8*Z14*28.438^2</f>
        <v>26460.940413391887</v>
      </c>
      <c r="AA19" s="3" t="s">
        <v>57</v>
      </c>
      <c r="AD19" t="s">
        <v>404</v>
      </c>
      <c r="AE19" s="10">
        <f>1/8*AE14*28.438^2</f>
        <v>57295.465179558538</v>
      </c>
      <c r="AF19" s="3" t="s">
        <v>57</v>
      </c>
      <c r="AI19" t="s">
        <v>404</v>
      </c>
      <c r="AJ19" s="10">
        <f>1/8*AJ14*28.438^2</f>
        <v>43186.44085014188</v>
      </c>
      <c r="AK19" s="3" t="s">
        <v>57</v>
      </c>
      <c r="AO19" s="10"/>
    </row>
    <row r="20" spans="2:42" x14ac:dyDescent="0.25">
      <c r="B20" t="s">
        <v>383</v>
      </c>
      <c r="C20" s="3">
        <f>F10*F5/F18</f>
        <v>0.32097106113771362</v>
      </c>
      <c r="D20" s="3"/>
      <c r="E20" t="s">
        <v>182</v>
      </c>
      <c r="F20" s="33">
        <f>(1/12*(F3-2*F5)*F5^3+(F3-2*F5)*F5*(F14-F5/2)^2+1/12*F5*F10^3+F10*F5*(F10/2-F14)^2+1/12*F5*F12^3+F12*F5*(F12/2-F14)^2+1/12*F5*(F10-2*F5-(F4-F5)/F6)^3+(F10-2*F5-(F4-F5)/F6)*F5*((F10-2*F5-(F4-F5)/F6)/2+F5-F14)^2+1/12*(F3-1-F5)*F5^3+SQRT((F3-1-F5)^2+F7^2)*F5*(F12+F7/2-F14)^2+1/12*(1-F5)*F5^3+(1-F5)*F5*(F12-F5/2-F14)^2)*10^12</f>
        <v>66951951686523.484</v>
      </c>
      <c r="G20" s="3" t="s">
        <v>58</v>
      </c>
      <c r="I20" t="s">
        <v>500</v>
      </c>
      <c r="J20" s="11">
        <f>-70.39*F12</f>
        <v>-351.95</v>
      </c>
      <c r="K20" s="3" t="s">
        <v>223</v>
      </c>
      <c r="M20" t="s">
        <v>515</v>
      </c>
      <c r="N20" s="24">
        <f>-R23*(F12-2*F6)*(F3-F4-3*F5/2)*R15</f>
        <v>-19.622250000000005</v>
      </c>
      <c r="O20" s="3" t="s">
        <v>519</v>
      </c>
      <c r="P20" s="27">
        <f>F12/2-F14</f>
        <v>-0.65422570053058937</v>
      </c>
      <c r="Q20" t="s">
        <v>5</v>
      </c>
      <c r="R20" s="3">
        <f>F10-2*F5+3*F5^2/(2*F6)-F5/(2*F6)-3*F5/(4*F6)</f>
        <v>5.4782608695652177</v>
      </c>
      <c r="V20" s="3"/>
    </row>
    <row r="21" spans="2:42" x14ac:dyDescent="0.25">
      <c r="B21" t="s">
        <v>386</v>
      </c>
      <c r="C21" s="3">
        <f>(F3-2*F5)*F5/F18</f>
        <v>0.11921782270829363</v>
      </c>
      <c r="D21" s="3"/>
      <c r="E21" t="s">
        <v>531</v>
      </c>
      <c r="F21" s="55">
        <f>((F3-2*F5)*F5*(F14-F5/2)+F5*F14^2+(F14-F5)*F5*(F14-F5)/2)*10^9</f>
        <v>14176216940.087753</v>
      </c>
      <c r="G21" s="3" t="s">
        <v>263</v>
      </c>
      <c r="I21" t="s">
        <v>501</v>
      </c>
      <c r="J21" s="11">
        <f>F12/2-F14</f>
        <v>-0.65422570053058937</v>
      </c>
      <c r="K21" s="3" t="s">
        <v>19</v>
      </c>
      <c r="M21" t="s">
        <v>516</v>
      </c>
      <c r="N21" s="24">
        <f>IF(R23&gt;0,-0.5*(F7-(F4-F5)/F6)*(F3-F4-1-F5/2)*R15,0)</f>
        <v>-2.543478260869565</v>
      </c>
      <c r="O21" s="3" t="s">
        <v>520</v>
      </c>
      <c r="P21" s="27">
        <f>F7/3-(F4-F5)/(3*F6)+F12-F14</f>
        <v>2.1356293719331783</v>
      </c>
      <c r="Q21" t="s">
        <v>521</v>
      </c>
      <c r="R21" s="24">
        <f>-3*F10*F5/2+3*F5^2+3*F5^2/(4*F6)-R17*R18</f>
        <v>-9.6260217391304366</v>
      </c>
      <c r="V21" s="3"/>
    </row>
    <row r="22" spans="2:42" x14ac:dyDescent="0.25">
      <c r="B22" t="s">
        <v>388</v>
      </c>
      <c r="C22" s="3">
        <f>(SQRT((F3-1-F5)^2+F7^2)*F5+(1-F5)*F5)/F18</f>
        <v>0.15351358658960729</v>
      </c>
      <c r="D22" s="3"/>
      <c r="E22" t="s">
        <v>496</v>
      </c>
      <c r="F22" s="33">
        <f>(1/12*F10*F5^3+F10*F5*(F16-F5/2)^2+1/12*F5*(F3-2*F5)^3+(F3-2*F5)*F5*(F3/2-F16)^2+1/12*F5*(F3-1-F5)^3+SQRT((F3-1-F5)^2+F7^2)*F5*((F3-1-F5)/2+F5-F16)^2+1/12*(F10-2*F5-(F4-F5)/F6)*F5^3+(F10-2*F5-(F4-F5)/F6)*F5*(F4-F16)^2+1/12*F12*F5^3+F12*F5*(F3-F5/2-F16)^2+1/12*F5*(1-F5)^3*(1-F5)*F5*(F3-F5-(1-F5)/2-F16)^2)*10^12</f>
        <v>24681384981404.598</v>
      </c>
      <c r="G22" s="3" t="s">
        <v>58</v>
      </c>
      <c r="I22" t="s">
        <v>502</v>
      </c>
      <c r="J22" s="11">
        <f>72.5*1</f>
        <v>72.5</v>
      </c>
      <c r="K22" s="3" t="s">
        <v>223</v>
      </c>
      <c r="M22" t="s">
        <v>62</v>
      </c>
      <c r="N22" s="11">
        <f>-F18*25</f>
        <v>-381.65434468075296</v>
      </c>
      <c r="O22" s="3" t="s">
        <v>223</v>
      </c>
      <c r="Q22" t="s">
        <v>482</v>
      </c>
      <c r="R22" s="27">
        <f>(-R20+SQRT(R20^2-4*R19*R21))/(2*R19)</f>
        <v>1.867893711687697</v>
      </c>
      <c r="S22" s="3" t="s">
        <v>19</v>
      </c>
    </row>
    <row r="23" spans="2:42" ht="18" x14ac:dyDescent="0.4">
      <c r="B23" t="s">
        <v>390</v>
      </c>
      <c r="C23" s="3">
        <f>(F10-2*F5-F4/F6)*F5/F18</f>
        <v>0.17703248589458986</v>
      </c>
      <c r="D23" s="3"/>
      <c r="E23" t="s">
        <v>532</v>
      </c>
      <c r="F23" s="55">
        <f>(IF(F16&gt;F4,F10*F5*(F16-F5/2)+(F16-F5)*F5*(F16-F5)/F6+SQRT(((F16-F5)/F6)^2+(F16-F5)^2)*F5*(F16-F5)/F6+(F10-2*F5-(F4-F5)/F6)*F5*(F16-F4),F10*F5*(F16-F5/2)+(F16-F5)*F5*(F16-F5)/F6+SQRT(((F16-F5)/F6)^2+(F16-F5)^2)*F5*(F16-F5)/F6))*10^9</f>
        <v>9203758120.8297997</v>
      </c>
      <c r="G23" s="3" t="s">
        <v>263</v>
      </c>
      <c r="I23" t="s">
        <v>503</v>
      </c>
      <c r="J23" s="11">
        <f>F12/2-F14</f>
        <v>-0.65422570053058937</v>
      </c>
      <c r="K23" s="3" t="s">
        <v>19</v>
      </c>
      <c r="M23" t="s">
        <v>257</v>
      </c>
      <c r="N23" s="11">
        <f>(J2*J3+J4*J5+J6*J7+J8*J9+J10*J11+J12*J13+J14*J15+J16*J17+J18*J19+J20*J21+J22*J23+J24*J25+J26*J27+J28*J29+N18*P18+N19*P19+N20*P20+N21*P21)*46/2</f>
        <v>-3926.1325776325334</v>
      </c>
      <c r="O23" s="3" t="s">
        <v>57</v>
      </c>
      <c r="Q23" t="s">
        <v>526</v>
      </c>
      <c r="R23">
        <v>0.85</v>
      </c>
      <c r="S23" s="3" t="s">
        <v>522</v>
      </c>
    </row>
    <row r="24" spans="2:42" x14ac:dyDescent="0.25">
      <c r="B24" t="s">
        <v>392</v>
      </c>
      <c r="C24" s="3">
        <f>F12*F5/F18</f>
        <v>0.22926504366979547</v>
      </c>
      <c r="D24" s="3"/>
      <c r="I24" t="s">
        <v>504</v>
      </c>
      <c r="J24" s="11">
        <f>-170.94*F7</f>
        <v>-341.88</v>
      </c>
      <c r="K24" s="3" t="s">
        <v>223</v>
      </c>
      <c r="M24" t="s">
        <v>406</v>
      </c>
      <c r="N24" s="11">
        <f>J2+J4+J6+J8+J10+J12+J14</f>
        <v>603.07999999999993</v>
      </c>
      <c r="O24" s="3" t="s">
        <v>223</v>
      </c>
      <c r="Q24" t="s">
        <v>524</v>
      </c>
      <c r="R24" s="27">
        <f>(F12-2*F5)*(F3-F4-3*F5/2)+0.5*(F7-(F4-F5)/F6)*(F3-F4-1-F5/2)</f>
        <v>3.7026086956521747</v>
      </c>
      <c r="S24" s="3" t="s">
        <v>70</v>
      </c>
    </row>
    <row r="25" spans="2:42" x14ac:dyDescent="0.25">
      <c r="C25" s="3">
        <f>SUM(C20:C24)</f>
        <v>0.99999999999999989</v>
      </c>
      <c r="D25" s="3"/>
      <c r="E25" t="s">
        <v>349</v>
      </c>
      <c r="F25" s="11">
        <f>F14*10^3</f>
        <v>3154.2257005305892</v>
      </c>
      <c r="G25" s="3" t="s">
        <v>9</v>
      </c>
      <c r="H25" t="s">
        <v>373</v>
      </c>
      <c r="I25" t="s">
        <v>505</v>
      </c>
      <c r="J25" s="9">
        <f>F7/2+F12-F14</f>
        <v>2.8457742994694106</v>
      </c>
      <c r="K25" s="3" t="s">
        <v>19</v>
      </c>
      <c r="M25" t="s">
        <v>407</v>
      </c>
      <c r="N25" s="11">
        <f>J16+J18+J20+J22+J24+J26+J28+N18+N19+N20+N21+N22</f>
        <v>-15.469201313125666</v>
      </c>
      <c r="O25" s="3" t="s">
        <v>223</v>
      </c>
    </row>
    <row r="26" spans="2:42" x14ac:dyDescent="0.25">
      <c r="I26" t="s">
        <v>506</v>
      </c>
      <c r="J26" s="11">
        <f>-0.5*9.81*1.025*(F3-1-F5)*F7</f>
        <v>-23.127074999999998</v>
      </c>
      <c r="K26" s="3" t="s">
        <v>223</v>
      </c>
    </row>
    <row r="27" spans="2:42" x14ac:dyDescent="0.25">
      <c r="E27" t="s">
        <v>350</v>
      </c>
      <c r="F27" s="11">
        <f>($F$10-F14)*10^3</f>
        <v>3845.7742994694108</v>
      </c>
      <c r="G27" s="3" t="s">
        <v>9</v>
      </c>
      <c r="H27" t="s">
        <v>374</v>
      </c>
      <c r="I27" t="s">
        <v>507</v>
      </c>
      <c r="J27" s="11">
        <f>2*F7/3+F12-F14</f>
        <v>3.1791076328027437</v>
      </c>
      <c r="K27" s="3" t="s">
        <v>19</v>
      </c>
      <c r="M27" t="s">
        <v>401</v>
      </c>
      <c r="N27" s="11">
        <f>N24*46/2</f>
        <v>13870.839999999998</v>
      </c>
      <c r="O27" s="3" t="s">
        <v>65</v>
      </c>
    </row>
    <row r="28" spans="2:42" x14ac:dyDescent="0.25">
      <c r="I28" t="s">
        <v>508</v>
      </c>
      <c r="J28" s="11">
        <f>-0.5*9*(F3-1-F5)*F7</f>
        <v>-20.7</v>
      </c>
      <c r="K28" s="3" t="s">
        <v>223</v>
      </c>
      <c r="M28" t="s">
        <v>402</v>
      </c>
      <c r="N28" s="11">
        <f>N25*46/2</f>
        <v>-355.79163020189031</v>
      </c>
      <c r="O28" s="3" t="s">
        <v>65</v>
      </c>
    </row>
    <row r="29" spans="2:42" x14ac:dyDescent="0.25">
      <c r="E29" t="s">
        <v>480</v>
      </c>
      <c r="F29" s="11">
        <f>(F3-F16)*10^3</f>
        <v>2152.2110040573807</v>
      </c>
      <c r="G29" s="3" t="s">
        <v>9</v>
      </c>
      <c r="H29" t="s">
        <v>379</v>
      </c>
      <c r="I29" t="s">
        <v>509</v>
      </c>
      <c r="J29" s="11">
        <f>2*F7/3+F12-F14</f>
        <v>3.1791076328027437</v>
      </c>
      <c r="K29" s="3" t="s">
        <v>19</v>
      </c>
      <c r="M29" t="s">
        <v>403</v>
      </c>
      <c r="N29" s="11">
        <f>1/8*N24*46^2</f>
        <v>159514.65999999997</v>
      </c>
      <c r="O29" s="3" t="s">
        <v>57</v>
      </c>
    </row>
    <row r="30" spans="2:42" x14ac:dyDescent="0.25">
      <c r="M30" t="s">
        <v>404</v>
      </c>
      <c r="N30" s="11">
        <f>1/8*N25*46^2</f>
        <v>-4091.6037473217384</v>
      </c>
      <c r="O30" s="3" t="s">
        <v>57</v>
      </c>
    </row>
    <row r="31" spans="2:42" x14ac:dyDescent="0.25">
      <c r="E31" t="s">
        <v>481</v>
      </c>
      <c r="F31" s="11">
        <f>F16*10^3</f>
        <v>1847.7889959426193</v>
      </c>
      <c r="G31" s="3" t="s">
        <v>9</v>
      </c>
      <c r="H31" t="s">
        <v>380</v>
      </c>
    </row>
    <row r="32" spans="2:42" x14ac:dyDescent="0.25">
      <c r="E32" s="1" t="s">
        <v>412</v>
      </c>
      <c r="I32" s="1" t="s">
        <v>381</v>
      </c>
      <c r="M32" s="1"/>
      <c r="Q32" s="1"/>
    </row>
    <row r="33" spans="4:17" x14ac:dyDescent="0.25">
      <c r="E33" s="1" t="s">
        <v>247</v>
      </c>
      <c r="I33" t="s">
        <v>494</v>
      </c>
      <c r="J33" s="11">
        <v>7000</v>
      </c>
      <c r="K33" s="3" t="s">
        <v>9</v>
      </c>
      <c r="M33" s="1"/>
      <c r="Q33" s="1"/>
    </row>
    <row r="34" spans="4:17" x14ac:dyDescent="0.25">
      <c r="E34" t="s">
        <v>405</v>
      </c>
      <c r="F34" s="11">
        <f>(2*((F12-F5)*(F3-F5)+0.5*F7*(F3-1-F5/2))*N6*1000*F18)/(F3+F12+1+SQRT((F3-1-F5)^2+F7^2)+F5+F10)</f>
        <v>37172.207127344533</v>
      </c>
      <c r="G34" s="3" t="s">
        <v>57</v>
      </c>
      <c r="I34" t="s">
        <v>355</v>
      </c>
      <c r="J34" s="11">
        <v>0</v>
      </c>
      <c r="K34" s="3" t="s">
        <v>9</v>
      </c>
    </row>
    <row r="35" spans="4:17" x14ac:dyDescent="0.25">
      <c r="E35" t="s">
        <v>176</v>
      </c>
      <c r="F35" s="13">
        <f>ABS(N23)/F34</f>
        <v>0.10562010924404865</v>
      </c>
      <c r="G35" s="3" t="s">
        <v>61</v>
      </c>
      <c r="I35" t="s">
        <v>529</v>
      </c>
      <c r="J35" s="7">
        <v>4000</v>
      </c>
      <c r="K35" s="3" t="s">
        <v>9</v>
      </c>
      <c r="M35" s="1"/>
      <c r="Q35" s="1"/>
    </row>
    <row r="36" spans="4:17" x14ac:dyDescent="0.25">
      <c r="I36" t="s">
        <v>530</v>
      </c>
      <c r="J36" s="7">
        <v>0</v>
      </c>
      <c r="K36" s="3" t="s">
        <v>9</v>
      </c>
      <c r="M36" s="1"/>
      <c r="Q36" s="1"/>
    </row>
    <row r="37" spans="4:17" x14ac:dyDescent="0.25">
      <c r="E37" s="1" t="s">
        <v>204</v>
      </c>
      <c r="I37" t="s">
        <v>130</v>
      </c>
      <c r="J37" s="11">
        <f>J33</f>
        <v>7000</v>
      </c>
      <c r="K37" s="3" t="s">
        <v>9</v>
      </c>
      <c r="M37" s="1"/>
      <c r="Q37" s="1"/>
    </row>
    <row r="38" spans="4:17" x14ac:dyDescent="0.25">
      <c r="E38" t="s">
        <v>408</v>
      </c>
      <c r="F38" s="13">
        <f>Z18*10^6*F25/F20</f>
        <v>1.2268867332483628</v>
      </c>
      <c r="G38" s="3" t="s">
        <v>14</v>
      </c>
      <c r="I38" t="s">
        <v>180</v>
      </c>
      <c r="J38" s="11">
        <f>(0.5*J33*J35^2+J34*J36*(J36/2+J35))/(J33*J35+J34*J36)</f>
        <v>2000</v>
      </c>
      <c r="K38" s="3" t="s">
        <v>9</v>
      </c>
    </row>
    <row r="39" spans="4:17" x14ac:dyDescent="0.25">
      <c r="E39" t="s">
        <v>409</v>
      </c>
      <c r="F39" s="13">
        <f>-Z18*10^6*F27/F20</f>
        <v>-1.4958756649192355</v>
      </c>
      <c r="G39" s="3" t="s">
        <v>14</v>
      </c>
      <c r="I39" t="s">
        <v>182</v>
      </c>
      <c r="J39" s="72">
        <f>1/12*J35*J33^3</f>
        <v>114333333333333.33</v>
      </c>
      <c r="K39" s="3" t="s">
        <v>58</v>
      </c>
      <c r="M39" s="1"/>
      <c r="Q39" s="1"/>
    </row>
    <row r="40" spans="4:17" x14ac:dyDescent="0.25">
      <c r="E40" t="s">
        <v>410</v>
      </c>
      <c r="F40" s="13">
        <f>AE19*10^6*F29/F22</f>
        <v>4.9961511776967873</v>
      </c>
      <c r="G40" s="3" t="s">
        <v>14</v>
      </c>
      <c r="I40" t="s">
        <v>531</v>
      </c>
      <c r="J40" s="33">
        <f>1/8*J35*J33^2+1/8*J36*J34^2</f>
        <v>24500000000</v>
      </c>
      <c r="K40" s="3" t="s">
        <v>263</v>
      </c>
      <c r="M40" s="1"/>
      <c r="Q40" s="1"/>
    </row>
    <row r="41" spans="4:17" x14ac:dyDescent="0.25">
      <c r="E41" t="s">
        <v>411</v>
      </c>
      <c r="F41" s="13">
        <f>-AE19*10^6*F31/F22</f>
        <v>-4.2894647182873289</v>
      </c>
      <c r="G41" s="3" t="s">
        <v>14</v>
      </c>
      <c r="I41" t="s">
        <v>496</v>
      </c>
      <c r="J41" s="7">
        <f>1/12*J33*J35^3</f>
        <v>37333333333333.328</v>
      </c>
      <c r="K41" s="3" t="s">
        <v>58</v>
      </c>
    </row>
    <row r="42" spans="4:17" x14ac:dyDescent="0.25">
      <c r="I42" t="s">
        <v>532</v>
      </c>
      <c r="J42" s="33">
        <f>0.5*J33*J38^2</f>
        <v>14000000000</v>
      </c>
      <c r="K42" s="3" t="s">
        <v>263</v>
      </c>
      <c r="M42" s="1"/>
      <c r="Q42" s="1"/>
    </row>
    <row r="43" spans="4:17" x14ac:dyDescent="0.25">
      <c r="E43" s="1" t="s">
        <v>416</v>
      </c>
      <c r="I43" t="s">
        <v>533</v>
      </c>
      <c r="J43" s="11">
        <f>(J33*J35+J34*J36)/(J33+2*J35+2*J36+J34)</f>
        <v>1866.6666666666667</v>
      </c>
      <c r="K43" s="3" t="s">
        <v>9</v>
      </c>
      <c r="M43" s="1"/>
      <c r="Q43" s="1"/>
    </row>
    <row r="44" spans="4:17" x14ac:dyDescent="0.25">
      <c r="E44" t="s">
        <v>417</v>
      </c>
      <c r="F44" s="11">
        <v>0</v>
      </c>
      <c r="G44" s="3" t="s">
        <v>9</v>
      </c>
      <c r="H44" t="s">
        <v>373</v>
      </c>
      <c r="I44" t="s">
        <v>542</v>
      </c>
      <c r="J44" s="73">
        <f>((J33-J43)*(J35-J43)+2*1000*J43)</f>
        <v>14684444.444444442</v>
      </c>
    </row>
    <row r="45" spans="4:17" x14ac:dyDescent="0.25">
      <c r="E45" t="s">
        <v>418</v>
      </c>
      <c r="F45" s="11">
        <v>0</v>
      </c>
      <c r="G45" s="3" t="s">
        <v>9</v>
      </c>
      <c r="H45" t="s">
        <v>380</v>
      </c>
      <c r="I45" s="1"/>
      <c r="M45" s="1"/>
      <c r="Q45" s="1"/>
    </row>
    <row r="46" spans="4:17" x14ac:dyDescent="0.25">
      <c r="I46" s="1"/>
      <c r="M46" s="1"/>
      <c r="Q46" s="1"/>
    </row>
    <row r="48" spans="4:17" x14ac:dyDescent="0.25">
      <c r="D48" t="s">
        <v>408</v>
      </c>
      <c r="E48" t="s">
        <v>421</v>
      </c>
      <c r="F48" s="11">
        <f>(F38/(1/(F18*10^6)+F44*F25/F20))*10^(-3)</f>
        <v>18729.866087016544</v>
      </c>
      <c r="G48" s="3" t="s">
        <v>65</v>
      </c>
      <c r="I48" s="1"/>
      <c r="M48" s="1"/>
      <c r="Q48" s="1"/>
    </row>
    <row r="49" spans="1:17" x14ac:dyDescent="0.25">
      <c r="D49" t="s">
        <v>409</v>
      </c>
      <c r="E49" t="s">
        <v>425</v>
      </c>
      <c r="F49" s="11">
        <f>((0.6*N3+F39)/(1/(F18*10^6)+F44*F27/F20))*10^(-3)</f>
        <v>297753.351667087</v>
      </c>
      <c r="G49" s="3" t="s">
        <v>65</v>
      </c>
      <c r="I49" s="1"/>
      <c r="M49" s="1"/>
      <c r="Q49" s="1"/>
    </row>
    <row r="51" spans="1:17" x14ac:dyDescent="0.25">
      <c r="D51" t="s">
        <v>410</v>
      </c>
      <c r="E51" t="s">
        <v>423</v>
      </c>
      <c r="F51" s="11">
        <f>((0.6*N3+F40)/(1/(F18*10^6)+F45*F29/F22))*10^-3</f>
        <v>396861.76167782606</v>
      </c>
      <c r="G51" s="3" t="s">
        <v>65</v>
      </c>
      <c r="I51" s="1"/>
      <c r="M51" s="1"/>
      <c r="Q51" s="1"/>
    </row>
    <row r="52" spans="1:17" x14ac:dyDescent="0.25">
      <c r="D52" t="s">
        <v>411</v>
      </c>
      <c r="E52" t="s">
        <v>422</v>
      </c>
      <c r="F52" s="11">
        <f>((F41)/(1/(F18*10^6)+F45*F31/F22))*10^-3</f>
        <v>-65483.713843566438</v>
      </c>
      <c r="G52" s="3" t="s">
        <v>65</v>
      </c>
      <c r="I52" s="1"/>
      <c r="M52" s="1"/>
      <c r="Q52" s="1"/>
    </row>
    <row r="54" spans="1:17" x14ac:dyDescent="0.25">
      <c r="A54" s="1" t="s">
        <v>452</v>
      </c>
      <c r="E54" s="1" t="s">
        <v>434</v>
      </c>
    </row>
    <row r="55" spans="1:17" x14ac:dyDescent="0.25">
      <c r="A55" s="1" t="s">
        <v>453</v>
      </c>
      <c r="E55" s="16" t="s">
        <v>435</v>
      </c>
      <c r="F55">
        <v>15.7</v>
      </c>
      <c r="G55" s="3" t="s">
        <v>9</v>
      </c>
    </row>
    <row r="56" spans="1:17" ht="18" x14ac:dyDescent="0.4">
      <c r="A56" s="2" t="s">
        <v>19</v>
      </c>
      <c r="B56">
        <v>0.19</v>
      </c>
      <c r="C56" s="3" t="s">
        <v>61</v>
      </c>
      <c r="E56" s="16" t="s">
        <v>436</v>
      </c>
      <c r="F56">
        <v>55</v>
      </c>
      <c r="G56" s="3" t="s">
        <v>10</v>
      </c>
    </row>
    <row r="57" spans="1:17" x14ac:dyDescent="0.25">
      <c r="A57" s="16" t="s">
        <v>435</v>
      </c>
      <c r="B57">
        <v>0</v>
      </c>
      <c r="C57" s="3" t="s">
        <v>61</v>
      </c>
      <c r="E57" s="16" t="s">
        <v>437</v>
      </c>
      <c r="F57">
        <v>8</v>
      </c>
      <c r="G57" s="3" t="s">
        <v>10</v>
      </c>
    </row>
    <row r="58" spans="1:17" x14ac:dyDescent="0.25">
      <c r="A58" t="s">
        <v>47</v>
      </c>
      <c r="B58">
        <v>0.01</v>
      </c>
      <c r="C58" s="3" t="s">
        <v>48</v>
      </c>
      <c r="E58" s="16" t="s">
        <v>438</v>
      </c>
      <c r="F58" s="11">
        <f>F57*150*F56</f>
        <v>66000</v>
      </c>
      <c r="G58" s="3" t="s">
        <v>346</v>
      </c>
      <c r="I58" t="s">
        <v>463</v>
      </c>
      <c r="J58" s="11">
        <f>B60*F58/1000</f>
        <v>89080.855530863308</v>
      </c>
      <c r="K58" s="3" t="s">
        <v>65</v>
      </c>
    </row>
    <row r="59" spans="1:17" x14ac:dyDescent="0.25">
      <c r="A59" s="16" t="s">
        <v>454</v>
      </c>
      <c r="B59" s="13">
        <f>-(1-EXP(-B56*B58*(46/2)))*(F59*10^3/F58)</f>
        <v>-60.290067714192169</v>
      </c>
      <c r="C59" s="3" t="s">
        <v>14</v>
      </c>
      <c r="E59" t="s">
        <v>462</v>
      </c>
      <c r="F59" s="11">
        <f>F58*F60/1000</f>
        <v>93060</v>
      </c>
      <c r="G59" s="3" t="s">
        <v>65</v>
      </c>
      <c r="I59" t="s">
        <v>433</v>
      </c>
      <c r="J59" s="11">
        <f>B75</f>
        <v>81733.117537944316</v>
      </c>
      <c r="K59" s="3" t="s">
        <v>65</v>
      </c>
    </row>
    <row r="60" spans="1:17" x14ac:dyDescent="0.25">
      <c r="A60" s="16" t="s">
        <v>471</v>
      </c>
      <c r="B60" s="11">
        <f>F59*10^3/F58+B59</f>
        <v>1349.7099322858078</v>
      </c>
      <c r="C60" s="3" t="s">
        <v>14</v>
      </c>
      <c r="D60" s="1"/>
      <c r="E60" s="16" t="s">
        <v>472</v>
      </c>
      <c r="F60">
        <v>1410</v>
      </c>
      <c r="G60" s="3" t="s">
        <v>14</v>
      </c>
      <c r="N60" s="1"/>
    </row>
    <row r="61" spans="1:17" x14ac:dyDescent="0.25">
      <c r="A61" s="1" t="s">
        <v>466</v>
      </c>
      <c r="D61" s="1" t="s">
        <v>474</v>
      </c>
      <c r="E61" t="s">
        <v>408</v>
      </c>
      <c r="F61" s="13">
        <f>$F$38-$J$58*10^3/($F$18*10^6)+$J$58*10^3*$F$44*$F$24/$F$20</f>
        <v>-4.6082921905876715</v>
      </c>
      <c r="G61" s="3" t="s">
        <v>14</v>
      </c>
      <c r="H61" t="b">
        <f>F61&lt;0</f>
        <v>1</v>
      </c>
      <c r="M61" s="1" t="s">
        <v>473</v>
      </c>
      <c r="N61" t="s">
        <v>408</v>
      </c>
      <c r="O61" s="13">
        <f>$F$38-$J$59*10^3/($F$18*10^6)+$J$59*10^3*$F$44*$F$25/$F$20</f>
        <v>-4.1269837700674463</v>
      </c>
      <c r="P61" s="3" t="s">
        <v>14</v>
      </c>
      <c r="Q61" t="b">
        <f>O61&lt;0</f>
        <v>1</v>
      </c>
    </row>
    <row r="62" spans="1:17" x14ac:dyDescent="0.25">
      <c r="A62" s="16" t="s">
        <v>468</v>
      </c>
      <c r="B62">
        <v>5</v>
      </c>
      <c r="C62" s="3" t="s">
        <v>9</v>
      </c>
      <c r="E62" t="s">
        <v>409</v>
      </c>
      <c r="F62" s="13">
        <f>$F$39-$J$58*10^3/($F$18*10^6)-$J$58*10^3*$F$44*$F$27/$F$20</f>
        <v>-7.3310545887552703</v>
      </c>
      <c r="G62" s="3" t="s">
        <v>14</v>
      </c>
      <c r="H62" t="b">
        <f>F62&gt;(-0.6*$N$3)</f>
        <v>1</v>
      </c>
      <c r="N62" t="s">
        <v>409</v>
      </c>
      <c r="O62" s="13">
        <f>$F$39-$J$59*10^3/($F$18*10^6)-$J$59*10^3*$F$45*$F$27/$F$20</f>
        <v>-6.8497461682350451</v>
      </c>
      <c r="P62" s="3" t="s">
        <v>14</v>
      </c>
      <c r="Q62" t="b">
        <f>O62&gt;(-0.6*$N$3)</f>
        <v>1</v>
      </c>
    </row>
    <row r="63" spans="1:17" x14ac:dyDescent="0.25">
      <c r="A63" s="16" t="s">
        <v>467</v>
      </c>
      <c r="B63" s="11">
        <f>SQRT(B62*N16/(-B59/(F8*1000/2)))</f>
        <v>19286.052295106889</v>
      </c>
      <c r="C63" s="3" t="s">
        <v>9</v>
      </c>
      <c r="E63" t="s">
        <v>410</v>
      </c>
      <c r="F63" s="13">
        <f>$F$40-$J$58*10^3/($F$18*10^6)+$J$58*10^3*$F$45*$F$29/$F$22</f>
        <v>-0.83902774613924702</v>
      </c>
      <c r="G63" s="3" t="s">
        <v>14</v>
      </c>
      <c r="H63" t="b">
        <f>F63&lt;0</f>
        <v>1</v>
      </c>
      <c r="N63" t="s">
        <v>410</v>
      </c>
      <c r="O63" s="13">
        <f>$F$40-$J$59*10^3/($F$18*10^6)+$J$59*10^3*$F$45*$F$29/$F$22</f>
        <v>-0.35771932561902187</v>
      </c>
      <c r="P63" s="3" t="s">
        <v>14</v>
      </c>
      <c r="Q63" t="b">
        <f>O63&lt;0</f>
        <v>1</v>
      </c>
    </row>
    <row r="64" spans="1:17" x14ac:dyDescent="0.25">
      <c r="A64" s="16" t="s">
        <v>469</v>
      </c>
      <c r="B64" s="11">
        <f>$F$60+$B$63*$B$59/23000</f>
        <v>1359.4453304864589</v>
      </c>
      <c r="C64" s="3" t="s">
        <v>14</v>
      </c>
      <c r="D64" t="b">
        <f>B64&lt;N13</f>
        <v>1</v>
      </c>
      <c r="E64" t="s">
        <v>411</v>
      </c>
      <c r="F64" s="13">
        <f>$F$41-$J$58*10^3/($F$18*10^6)-$J$58*10^3*$F$45*$F$31/$F$22</f>
        <v>-10.124643642123363</v>
      </c>
      <c r="G64" s="3" t="s">
        <v>14</v>
      </c>
      <c r="H64" t="b">
        <f>F64&gt;(-0.6*$N$3)</f>
        <v>1</v>
      </c>
      <c r="N64" t="s">
        <v>411</v>
      </c>
      <c r="O64" s="13">
        <f>$F$41-$J$59*10^3/($F$18*10^6)-$J$59*10^3*$F$45*$F$31/$F$22</f>
        <v>-9.6433352216031381</v>
      </c>
      <c r="P64" s="3" t="s">
        <v>14</v>
      </c>
      <c r="Q64" t="b">
        <f>O64&gt;(-0.6*$N$3)</f>
        <v>1</v>
      </c>
    </row>
    <row r="65" spans="1:14" x14ac:dyDescent="0.25">
      <c r="A65" s="16" t="s">
        <v>470</v>
      </c>
      <c r="B65" s="11">
        <f>$F$60+2*$B$63*$B$59/23000</f>
        <v>1308.8906609729179</v>
      </c>
      <c r="C65" s="3" t="s">
        <v>14</v>
      </c>
      <c r="D65" t="b">
        <f>B65&lt;N13</f>
        <v>1</v>
      </c>
      <c r="E65" s="1" t="s">
        <v>413</v>
      </c>
      <c r="F65" s="1" t="s">
        <v>130</v>
      </c>
      <c r="G65" s="30" t="s">
        <v>482</v>
      </c>
      <c r="J65" s="1" t="s">
        <v>130</v>
      </c>
      <c r="K65" s="30" t="s">
        <v>482</v>
      </c>
    </row>
    <row r="66" spans="1:14" x14ac:dyDescent="0.25">
      <c r="A66" s="16" t="s">
        <v>478</v>
      </c>
      <c r="B66" s="11">
        <f>B65*F58/1000</f>
        <v>86386.783624212578</v>
      </c>
      <c r="C66" s="3" t="s">
        <v>65</v>
      </c>
      <c r="E66" s="1" t="s">
        <v>476</v>
      </c>
      <c r="F66" s="1"/>
      <c r="G66" s="30"/>
      <c r="I66" s="1" t="s">
        <v>477</v>
      </c>
      <c r="J66" s="1"/>
      <c r="K66" s="30"/>
    </row>
    <row r="67" spans="1:14" x14ac:dyDescent="0.25">
      <c r="A67" s="1" t="s">
        <v>455</v>
      </c>
      <c r="E67" t="s">
        <v>441</v>
      </c>
      <c r="F67" s="11">
        <f>J33-J334</f>
        <v>7000</v>
      </c>
      <c r="G67" s="11">
        <f>J35-J35/4</f>
        <v>3000</v>
      </c>
      <c r="H67" s="3" t="s">
        <v>9</v>
      </c>
      <c r="I67" t="s">
        <v>130</v>
      </c>
      <c r="J67" s="7">
        <v>3000</v>
      </c>
      <c r="K67" s="7">
        <f>J67</f>
        <v>3000</v>
      </c>
      <c r="L67" s="3" t="s">
        <v>19</v>
      </c>
    </row>
    <row r="68" spans="1:14" ht="18" x14ac:dyDescent="0.4">
      <c r="A68" s="16" t="s">
        <v>458</v>
      </c>
      <c r="B68">
        <f>-0.25*10^-3</f>
        <v>-2.5000000000000001E-4</v>
      </c>
      <c r="C68" s="3" t="s">
        <v>61</v>
      </c>
      <c r="E68" t="s">
        <v>47</v>
      </c>
      <c r="F68" s="13">
        <f>MIN(1+SQRT(200/F67),2)</f>
        <v>1.1690308509457032</v>
      </c>
      <c r="G68" s="13">
        <f>MIN(1+SQRT(200/G67),2)</f>
        <v>1.258198889747161</v>
      </c>
      <c r="H68" s="3" t="s">
        <v>61</v>
      </c>
      <c r="I68" t="s">
        <v>441</v>
      </c>
      <c r="J68" s="7">
        <f>(F12+F7/2-F5/2)*1000-F5*1000/2</f>
        <v>5300</v>
      </c>
      <c r="K68" s="7">
        <f>F3*1000-F5*1000/2</f>
        <v>3650</v>
      </c>
      <c r="L68" s="3" t="s">
        <v>9</v>
      </c>
    </row>
    <row r="69" spans="1:14" ht="18" x14ac:dyDescent="0.4">
      <c r="A69" s="16" t="s">
        <v>459</v>
      </c>
      <c r="B69">
        <v>2.5</v>
      </c>
      <c r="C69" s="3" t="s">
        <v>61</v>
      </c>
      <c r="E69" t="s">
        <v>10</v>
      </c>
      <c r="F69" s="10">
        <v>2</v>
      </c>
      <c r="G69" s="10">
        <v>2</v>
      </c>
      <c r="H69" s="3" t="s">
        <v>10</v>
      </c>
      <c r="I69" t="s">
        <v>47</v>
      </c>
      <c r="J69" s="13">
        <f>MIN(1+SQRT(200/J68),2)</f>
        <v>1.1942571724714528</v>
      </c>
      <c r="K69" s="13">
        <f>MIN(1+SQRT(200/K68),2)</f>
        <v>1.2340822943922611</v>
      </c>
      <c r="L69" s="3" t="s">
        <v>61</v>
      </c>
    </row>
    <row r="70" spans="1:14" x14ac:dyDescent="0.25">
      <c r="A70" s="16" t="s">
        <v>460</v>
      </c>
      <c r="B70">
        <v>0</v>
      </c>
      <c r="C70" s="3" t="s">
        <v>9</v>
      </c>
      <c r="E70" s="16" t="s">
        <v>475</v>
      </c>
      <c r="F70" s="10">
        <v>45</v>
      </c>
      <c r="G70" s="10">
        <v>45</v>
      </c>
      <c r="H70" s="3" t="s">
        <v>9</v>
      </c>
      <c r="I70" t="s">
        <v>10</v>
      </c>
      <c r="J70" s="10">
        <v>2</v>
      </c>
      <c r="K70" s="10">
        <v>2</v>
      </c>
      <c r="L70" s="3" t="s">
        <v>10</v>
      </c>
    </row>
    <row r="71" spans="1:14" x14ac:dyDescent="0.25">
      <c r="A71" s="16" t="s">
        <v>457</v>
      </c>
      <c r="B71" s="13">
        <f>(B68*$N$16+0.8*$B$59+$N$16/$N$7*B69*-$F$59/($F$18*10^3))/(1+$N$16/$N$7*$F$58/($F$18*10^6)*(1+0.8*B69))</f>
        <v>-171.61943124326785</v>
      </c>
      <c r="C71" s="3" t="s">
        <v>14</v>
      </c>
      <c r="E71" s="16" t="s">
        <v>442</v>
      </c>
      <c r="F71" s="39">
        <f>F69*1/4*PI()*F70^2/(J33*J35+J34*J36)</f>
        <v>1.1360223434855948E-4</v>
      </c>
      <c r="G71" s="39">
        <f>G69*1/4*PI()*G70^2/(J33*J35+J34*J36)</f>
        <v>1.1360223434855948E-4</v>
      </c>
      <c r="H71" s="3" t="s">
        <v>61</v>
      </c>
      <c r="I71" s="16" t="s">
        <v>475</v>
      </c>
      <c r="J71" s="10">
        <v>45</v>
      </c>
      <c r="K71" s="10">
        <v>45</v>
      </c>
      <c r="L71" s="3" t="s">
        <v>9</v>
      </c>
    </row>
    <row r="72" spans="1:14" x14ac:dyDescent="0.25">
      <c r="E72" t="s">
        <v>443</v>
      </c>
      <c r="F72" s="13">
        <f>MIN(J59*10^3/(J33*J35+J34*J36),0.2*N4)</f>
        <v>2.9190399120694397</v>
      </c>
      <c r="G72" s="13">
        <f>MIN(J59*10^3/(J33*J35+J34*J36),0.2*N4)</f>
        <v>2.9190399120694397</v>
      </c>
      <c r="H72" s="3" t="s">
        <v>483</v>
      </c>
      <c r="I72" s="16" t="s">
        <v>442</v>
      </c>
      <c r="J72" s="39">
        <f>J70*1/4*PI()*J71^2/(F18*10^6)</f>
        <v>2.0836016975127065E-4</v>
      </c>
      <c r="K72" s="39">
        <f>K70*1/4*PI()*K71^2/(F18*10^6)</f>
        <v>2.0836016975127065E-4</v>
      </c>
      <c r="L72" s="3" t="s">
        <v>61</v>
      </c>
    </row>
    <row r="73" spans="1:14" x14ac:dyDescent="0.25">
      <c r="A73" s="1" t="s">
        <v>461</v>
      </c>
      <c r="E73" t="s">
        <v>444</v>
      </c>
      <c r="F73">
        <v>0.15</v>
      </c>
      <c r="G73">
        <v>0.15</v>
      </c>
      <c r="H73" s="3" t="s">
        <v>61</v>
      </c>
      <c r="I73" t="s">
        <v>443</v>
      </c>
      <c r="J73" s="13">
        <f>MIN(J59*10^3/(F18*10^6),0.2*N4)</f>
        <v>4.66</v>
      </c>
      <c r="K73" s="13">
        <f>MIN(J59*10^3/(F18*10^6),0.2*N4)</f>
        <v>4.66</v>
      </c>
      <c r="L73" s="3" t="s">
        <v>483</v>
      </c>
    </row>
    <row r="74" spans="1:14" x14ac:dyDescent="0.25">
      <c r="A74" t="s">
        <v>465</v>
      </c>
      <c r="B74" s="11">
        <f>F60+B71</f>
        <v>1238.3805687567321</v>
      </c>
      <c r="C74" s="3" t="s">
        <v>14</v>
      </c>
      <c r="H74" s="3"/>
      <c r="I74" t="s">
        <v>444</v>
      </c>
      <c r="J74">
        <v>0.15</v>
      </c>
      <c r="K74">
        <v>0.15</v>
      </c>
      <c r="L74" s="3" t="s">
        <v>61</v>
      </c>
    </row>
    <row r="75" spans="1:14" x14ac:dyDescent="0.25">
      <c r="A75" t="s">
        <v>464</v>
      </c>
      <c r="B75" s="11">
        <f>B74*$F$58/1000</f>
        <v>81733.117537944316</v>
      </c>
      <c r="C75" s="3" t="s">
        <v>65</v>
      </c>
      <c r="E75" t="s">
        <v>445</v>
      </c>
      <c r="F75" s="11" t="s">
        <v>484</v>
      </c>
      <c r="G75" s="11" t="s">
        <v>484</v>
      </c>
      <c r="H75" s="3" t="s">
        <v>65</v>
      </c>
      <c r="K75"/>
      <c r="L75" s="3"/>
    </row>
    <row r="76" spans="1:14" x14ac:dyDescent="0.25">
      <c r="E76" t="s">
        <v>446</v>
      </c>
      <c r="F76" s="11">
        <f>(J39*J35/J40*SQRT(N6^2+1*J59*10^3/(J33*J35+J34*J36)*N6))*10^-3</f>
        <v>48059.180816034444</v>
      </c>
      <c r="G76" s="11">
        <f>(J41*J33/J42*SQRT(N6^2+1*J59*10^3/(J33*J35+J34*J36)*N6))*10^-3</f>
        <v>48059.180816034444</v>
      </c>
      <c r="H76" s="3" t="s">
        <v>65</v>
      </c>
      <c r="I76" t="s">
        <v>445</v>
      </c>
      <c r="J76" s="11" t="s">
        <v>484</v>
      </c>
      <c r="K76" s="11" t="s">
        <v>484</v>
      </c>
      <c r="L76" s="3" t="s">
        <v>65</v>
      </c>
    </row>
    <row r="77" spans="1:14" x14ac:dyDescent="0.25">
      <c r="E77" t="s">
        <v>446</v>
      </c>
      <c r="F77" s="11">
        <f>MAX(F75,F76)</f>
        <v>48059.180816034444</v>
      </c>
      <c r="G77" s="11">
        <f>MAX(G75,G76)</f>
        <v>48059.180816034444</v>
      </c>
      <c r="H77" s="3" t="s">
        <v>65</v>
      </c>
      <c r="I77" t="s">
        <v>446</v>
      </c>
      <c r="J77" s="11">
        <f>(F20*3*F5*1000/F21*SQRT($N$6^2+1*$J$59*10^3/($F$18*10^6)*$N$6))*10^-3</f>
        <v>31800.632822265419</v>
      </c>
      <c r="K77" s="11">
        <f>(F22*2*F5*1000/F23*SQRT($N$6^2+1*$J$59*10^3/($F$18*10^6)*$N$6))*10^-3</f>
        <v>12037.767252026137</v>
      </c>
      <c r="L77" s="3" t="s">
        <v>65</v>
      </c>
      <c r="M77" t="s">
        <v>401</v>
      </c>
      <c r="N77" t="s">
        <v>402</v>
      </c>
    </row>
    <row r="78" spans="1:14" x14ac:dyDescent="0.25">
      <c r="E78" t="s">
        <v>176</v>
      </c>
      <c r="F78" s="13">
        <f>Z16/F77</f>
        <v>6.5597256267592954E-2</v>
      </c>
      <c r="G78" s="13">
        <f>ABS(AE17)/G77</f>
        <v>0.16768909751210834</v>
      </c>
      <c r="H78" s="3" t="s">
        <v>61</v>
      </c>
      <c r="I78" t="s">
        <v>446</v>
      </c>
      <c r="J78" s="11">
        <f>MAX(J76,J77)</f>
        <v>31800.632822265419</v>
      </c>
      <c r="K78" s="11">
        <f>MAX(K76,K77)</f>
        <v>12037.767252026137</v>
      </c>
      <c r="L78" s="3" t="s">
        <v>65</v>
      </c>
      <c r="M78">
        <f>Z16/33042.5*(33042.5-J67)</f>
        <v>2866.323534599378</v>
      </c>
      <c r="N78">
        <f>ABS(AE17)/28438*(28438-K67)</f>
        <v>7208.835316956116</v>
      </c>
    </row>
    <row r="79" spans="1:14" x14ac:dyDescent="0.25">
      <c r="H79" s="3"/>
      <c r="I79" t="s">
        <v>176</v>
      </c>
      <c r="J79" s="13">
        <f>Z16/33042.5*(33042.5-J67)/J78</f>
        <v>9.0134166531192522E-2</v>
      </c>
      <c r="K79" s="13">
        <f>ABS(AE17)/28438*(28438-K67)/K78</f>
        <v>0.59885152836318223</v>
      </c>
      <c r="L79" s="3" t="s">
        <v>61</v>
      </c>
    </row>
    <row r="80" spans="1:14" x14ac:dyDescent="0.25">
      <c r="E80" s="1" t="s">
        <v>247</v>
      </c>
      <c r="H80" s="3"/>
      <c r="I80" s="1"/>
      <c r="L80" s="3"/>
      <c r="M80" t="s">
        <v>681</v>
      </c>
      <c r="N80" t="s">
        <v>682</v>
      </c>
    </row>
    <row r="81" spans="5:14" x14ac:dyDescent="0.25">
      <c r="E81" t="s">
        <v>405</v>
      </c>
      <c r="F81" s="11">
        <f>(2*((J33-J43)*(J35-J43)+2*1000*J43)*N6*J43)*10^-6</f>
        <v>82232.888888888876</v>
      </c>
      <c r="G81" s="13">
        <f>F81</f>
        <v>82232.888888888876</v>
      </c>
      <c r="H81" s="3" t="s">
        <v>61</v>
      </c>
      <c r="I81" s="1" t="s">
        <v>447</v>
      </c>
      <c r="L81" s="3"/>
      <c r="M81">
        <f>ABS(Z12)/33042.5*(33042.5-J67)</f>
        <v>4220.8657482803665</v>
      </c>
      <c r="N81">
        <f>ABS(AE12)/28438*(28438-K67)</f>
        <v>1292.5700408112214</v>
      </c>
    </row>
    <row r="82" spans="5:14" x14ac:dyDescent="0.25">
      <c r="E82" t="s">
        <v>176</v>
      </c>
      <c r="F82" s="13">
        <f>ABS(Z12)/F81</f>
        <v>5.6453753185127381E-2</v>
      </c>
      <c r="G82" s="29">
        <f>F82</f>
        <v>5.6453753185127381E-2</v>
      </c>
      <c r="I82" t="s">
        <v>176</v>
      </c>
      <c r="J82" s="13">
        <f>ABS(Z12)/33042.5*(33042.5-J67)/F34+ABS(Z16)/33042.5*(33042.5-J67)/J78</f>
        <v>0.20368313428068682</v>
      </c>
      <c r="K82" s="13">
        <f>ABS(AE12)/28438*(28438-K67)/F34+ABS(AE17)/28438*(28438-K67)/K78</f>
        <v>0.63362401406420976</v>
      </c>
      <c r="L82" s="3"/>
    </row>
    <row r="83" spans="5:14" x14ac:dyDescent="0.25">
      <c r="L83" s="3"/>
    </row>
    <row r="84" spans="5:14" x14ac:dyDescent="0.25">
      <c r="E84" s="1" t="s">
        <v>447</v>
      </c>
      <c r="L84" s="3"/>
    </row>
    <row r="85" spans="5:14" x14ac:dyDescent="0.25">
      <c r="E85" t="s">
        <v>176</v>
      </c>
      <c r="F85" s="13">
        <f>ABS($Z$12)/F81+$Z$16/$F$77</f>
        <v>0.12205100945272034</v>
      </c>
      <c r="G85" s="13">
        <f>ABS($AE$12)/$G$81+ABS($AE$17)/$G$77</f>
        <v>0.18526123630950761</v>
      </c>
      <c r="L85" s="3"/>
    </row>
    <row r="86" spans="5:14" x14ac:dyDescent="0.25">
      <c r="I86" s="1"/>
    </row>
    <row r="87" spans="5:14" x14ac:dyDescent="0.25">
      <c r="I87" s="1"/>
      <c r="L87" s="3" t="s">
        <v>61</v>
      </c>
    </row>
    <row r="88" spans="5:14" x14ac:dyDescent="0.25">
      <c r="J88" s="27"/>
    </row>
    <row r="89" spans="5:14" x14ac:dyDescent="0.25">
      <c r="I89" s="1" t="s">
        <v>242</v>
      </c>
      <c r="J89" s="27"/>
    </row>
    <row r="90" spans="5:14" x14ac:dyDescent="0.25">
      <c r="I90" t="s">
        <v>485</v>
      </c>
      <c r="J90" s="13">
        <f>5/384*AJ13*33042.5^4/(N7*F20)</f>
        <v>0.64042734317284278</v>
      </c>
      <c r="K90" s="3" t="s">
        <v>9</v>
      </c>
      <c r="L90" t="b">
        <f>J90&lt;(46000/200)</f>
        <v>1</v>
      </c>
      <c r="M90" t="s">
        <v>486</v>
      </c>
    </row>
    <row r="91" spans="5:14" x14ac:dyDescent="0.25">
      <c r="I91" t="s">
        <v>487</v>
      </c>
      <c r="J91" s="13">
        <f>5/384*ABS(AJ14)*28438^4/(N7*F22)</f>
        <v>4.3353666974460516</v>
      </c>
      <c r="K91" s="3" t="s">
        <v>9</v>
      </c>
      <c r="L91" t="b">
        <f>J91&lt;(46000/200)</f>
        <v>1</v>
      </c>
      <c r="M91" t="s">
        <v>486</v>
      </c>
    </row>
    <row r="92" spans="5:14" x14ac:dyDescent="0.25">
      <c r="J92" s="27"/>
    </row>
    <row r="93" spans="5:14" x14ac:dyDescent="0.25">
      <c r="J93" s="2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A67BC-4F3A-496C-B504-F97D029D3F13}">
  <dimension ref="A2:V76"/>
  <sheetViews>
    <sheetView topLeftCell="A4" zoomScale="70" zoomScaleNormal="70" workbookViewId="0">
      <selection activeCell="O14" sqref="O14"/>
    </sheetView>
  </sheetViews>
  <sheetFormatPr defaultRowHeight="15" x14ac:dyDescent="0.25"/>
  <cols>
    <col min="3" max="3" width="12.42578125" bestFit="1" customWidth="1"/>
    <col min="4" max="4" width="8.85546875" style="3"/>
    <col min="6" max="6" width="9.5703125" bestFit="1" customWidth="1"/>
    <col min="7" max="7" width="16.7109375" bestFit="1" customWidth="1"/>
    <col min="8" max="8" width="8.85546875" style="3"/>
    <col min="11" max="11" width="16.140625" bestFit="1" customWidth="1"/>
    <col min="12" max="12" width="8.85546875" style="3"/>
    <col min="15" max="15" width="10.5703125" bestFit="1" customWidth="1"/>
    <col min="16" max="16" width="8.85546875" style="3"/>
    <col min="18" max="18" width="10" bestFit="1" customWidth="1"/>
    <col min="19" max="19" width="8.85546875" style="3"/>
    <col min="22" max="22" width="8.85546875" style="3"/>
  </cols>
  <sheetData>
    <row r="2" spans="2:19" x14ac:dyDescent="0.25">
      <c r="B2" s="1" t="s">
        <v>543</v>
      </c>
      <c r="F2" s="1" t="s">
        <v>161</v>
      </c>
      <c r="J2" s="3"/>
      <c r="L2"/>
      <c r="P2"/>
      <c r="S2"/>
    </row>
    <row r="3" spans="2:19" x14ac:dyDescent="0.25">
      <c r="B3" t="s">
        <v>20</v>
      </c>
      <c r="C3">
        <f>'Global Stability &amp; Forces'!B6</f>
        <v>50</v>
      </c>
      <c r="D3" s="3" t="s">
        <v>19</v>
      </c>
      <c r="F3" t="s">
        <v>540</v>
      </c>
      <c r="J3" s="3"/>
      <c r="L3"/>
      <c r="P3"/>
      <c r="S3"/>
    </row>
    <row r="4" spans="2:19" x14ac:dyDescent="0.25">
      <c r="B4" t="s">
        <v>550</v>
      </c>
      <c r="C4">
        <f>'Global Stability &amp; Forces'!B5</f>
        <v>25</v>
      </c>
      <c r="D4" s="3" t="s">
        <v>19</v>
      </c>
      <c r="F4" t="s">
        <v>428</v>
      </c>
      <c r="G4">
        <v>30</v>
      </c>
      <c r="H4" s="3" t="s">
        <v>14</v>
      </c>
      <c r="J4" s="3"/>
      <c r="L4"/>
      <c r="P4"/>
      <c r="S4"/>
    </row>
    <row r="5" spans="2:19" x14ac:dyDescent="0.25">
      <c r="B5" t="s">
        <v>96</v>
      </c>
      <c r="C5">
        <v>2.5</v>
      </c>
      <c r="D5" s="3" t="s">
        <v>19</v>
      </c>
      <c r="F5" s="37" t="s">
        <v>429</v>
      </c>
      <c r="G5" s="37">
        <v>20</v>
      </c>
      <c r="H5" s="3" t="s">
        <v>14</v>
      </c>
      <c r="J5" s="3"/>
      <c r="L5"/>
      <c r="P5"/>
      <c r="S5"/>
    </row>
    <row r="6" spans="2:19" x14ac:dyDescent="0.25">
      <c r="B6" t="s">
        <v>151</v>
      </c>
      <c r="C6">
        <f>-'Global Stability &amp; Forces'!B3-6</f>
        <v>5</v>
      </c>
      <c r="D6" s="3" t="s">
        <v>19</v>
      </c>
      <c r="F6" t="s">
        <v>430</v>
      </c>
      <c r="G6">
        <v>2.9</v>
      </c>
      <c r="H6" s="3" t="s">
        <v>14</v>
      </c>
      <c r="J6" s="3"/>
      <c r="L6"/>
      <c r="P6"/>
      <c r="S6"/>
    </row>
    <row r="7" spans="2:19" x14ac:dyDescent="0.25">
      <c r="B7" t="s">
        <v>544</v>
      </c>
      <c r="C7">
        <v>8</v>
      </c>
      <c r="D7" s="3" t="s">
        <v>10</v>
      </c>
      <c r="F7" t="s">
        <v>431</v>
      </c>
      <c r="G7">
        <v>1.35</v>
      </c>
      <c r="H7" s="3" t="s">
        <v>14</v>
      </c>
      <c r="J7" s="3"/>
      <c r="L7"/>
      <c r="P7"/>
      <c r="S7"/>
    </row>
    <row r="8" spans="2:19" x14ac:dyDescent="0.25">
      <c r="B8" t="s">
        <v>547</v>
      </c>
      <c r="C8">
        <v>1.6</v>
      </c>
      <c r="D8" s="3" t="s">
        <v>19</v>
      </c>
      <c r="F8" t="s">
        <v>450</v>
      </c>
      <c r="G8">
        <v>33000</v>
      </c>
      <c r="H8" s="3" t="s">
        <v>14</v>
      </c>
      <c r="J8" s="3"/>
      <c r="L8"/>
      <c r="P8"/>
      <c r="S8"/>
    </row>
    <row r="9" spans="2:19" x14ac:dyDescent="0.25">
      <c r="B9" t="s">
        <v>177</v>
      </c>
      <c r="C9">
        <v>1</v>
      </c>
      <c r="D9" s="3" t="s">
        <v>19</v>
      </c>
      <c r="G9" s="38"/>
      <c r="J9" s="3"/>
      <c r="L9"/>
      <c r="P9"/>
      <c r="S9"/>
    </row>
    <row r="10" spans="2:19" x14ac:dyDescent="0.25">
      <c r="B10" t="s">
        <v>545</v>
      </c>
      <c r="C10">
        <v>1</v>
      </c>
      <c r="D10" s="3" t="s">
        <v>19</v>
      </c>
      <c r="F10" s="1" t="s">
        <v>439</v>
      </c>
      <c r="J10" s="3"/>
      <c r="L10"/>
      <c r="P10"/>
      <c r="S10"/>
    </row>
    <row r="11" spans="2:19" x14ac:dyDescent="0.25">
      <c r="B11" t="s">
        <v>546</v>
      </c>
      <c r="C11">
        <v>1</v>
      </c>
      <c r="D11" s="3" t="s">
        <v>19</v>
      </c>
      <c r="F11" t="s">
        <v>440</v>
      </c>
      <c r="J11" s="3"/>
      <c r="L11"/>
      <c r="P11"/>
      <c r="S11"/>
    </row>
    <row r="12" spans="2:19" x14ac:dyDescent="0.25">
      <c r="B12" t="s">
        <v>549</v>
      </c>
      <c r="C12">
        <v>1.5</v>
      </c>
      <c r="D12" s="3" t="s">
        <v>19</v>
      </c>
      <c r="F12" t="s">
        <v>448</v>
      </c>
      <c r="G12">
        <v>1860</v>
      </c>
      <c r="H12" s="3" t="s">
        <v>14</v>
      </c>
      <c r="J12" s="3"/>
      <c r="L12"/>
      <c r="P12"/>
      <c r="S12"/>
    </row>
    <row r="13" spans="2:19" x14ac:dyDescent="0.25">
      <c r="B13" t="s">
        <v>551</v>
      </c>
      <c r="C13">
        <v>6.5</v>
      </c>
      <c r="D13" s="3" t="s">
        <v>19</v>
      </c>
      <c r="F13" t="s">
        <v>449</v>
      </c>
      <c r="G13">
        <v>1600</v>
      </c>
      <c r="H13" s="3" t="s">
        <v>14</v>
      </c>
      <c r="J13" s="3"/>
      <c r="L13"/>
      <c r="P13"/>
      <c r="S13"/>
    </row>
    <row r="14" spans="2:19" x14ac:dyDescent="0.25">
      <c r="F14" t="s">
        <v>456</v>
      </c>
      <c r="G14">
        <f>MIN(0.75*G12,0.85*G13)</f>
        <v>1360</v>
      </c>
      <c r="H14" s="3" t="s">
        <v>14</v>
      </c>
      <c r="J14" s="3"/>
      <c r="L14"/>
      <c r="P14"/>
      <c r="S14"/>
    </row>
    <row r="15" spans="2:19" x14ac:dyDescent="0.25">
      <c r="F15" s="16" t="s">
        <v>104</v>
      </c>
      <c r="G15">
        <f>MIN(0.8*G12,0.95*G13)</f>
        <v>1488</v>
      </c>
      <c r="H15" s="3" t="s">
        <v>14</v>
      </c>
      <c r="J15" s="3"/>
      <c r="L15"/>
      <c r="P15"/>
      <c r="S15"/>
    </row>
    <row r="16" spans="2:19" x14ac:dyDescent="0.25">
      <c r="F16" t="s">
        <v>451</v>
      </c>
      <c r="G16">
        <v>195000</v>
      </c>
      <c r="H16" s="3" t="s">
        <v>14</v>
      </c>
      <c r="J16" s="3"/>
      <c r="L16"/>
      <c r="P16"/>
      <c r="S16"/>
    </row>
    <row r="17" spans="1:19" x14ac:dyDescent="0.25">
      <c r="J17" s="3"/>
      <c r="L17"/>
      <c r="P17"/>
      <c r="S17"/>
    </row>
    <row r="18" spans="1:19" x14ac:dyDescent="0.25">
      <c r="B18" s="1" t="s">
        <v>554</v>
      </c>
      <c r="G18" s="3"/>
      <c r="H18"/>
      <c r="J18" s="3"/>
      <c r="L18"/>
      <c r="P18"/>
      <c r="S18"/>
    </row>
    <row r="19" spans="1:19" x14ac:dyDescent="0.25">
      <c r="B19" t="s">
        <v>180</v>
      </c>
      <c r="C19" s="9">
        <f>(C4*0.5*C9^2+C13*C8*(C6-C8/2)+2*SQRT((C6-C8-C9)^2+((C4-C13)/2)^2)*C12*0.5*C6)/(C4*C9+C13*C8+2*SQRT((C6-C8-C9)^2+((C4-C13)/2)^2)*C12)</f>
        <v>1.9955426225081261</v>
      </c>
      <c r="D19" s="3" t="s">
        <v>19</v>
      </c>
      <c r="G19" s="3"/>
      <c r="H19"/>
      <c r="J19" s="3"/>
      <c r="L19"/>
      <c r="P19"/>
      <c r="S19"/>
    </row>
    <row r="20" spans="1:19" x14ac:dyDescent="0.25">
      <c r="B20" t="s">
        <v>496</v>
      </c>
      <c r="C20" s="9">
        <f>(1/12*C4*C9^3+C4*C9*(C19-C9/2)^2+1/12*C13*C8^3+C13*C8*(C6-C8/2-C19)^2+2/12*C12*(C6-C8-C9)^3+2*SQRT((C6-C8-C9)^2+((C4-C13)/2)^2)*C12*(C6/2-C19)^2)</f>
        <v>121.50993755946263</v>
      </c>
      <c r="D20" s="3" t="s">
        <v>555</v>
      </c>
      <c r="G20" s="3"/>
      <c r="H20"/>
      <c r="J20" s="3"/>
      <c r="L20"/>
      <c r="P20"/>
      <c r="S20"/>
    </row>
    <row r="21" spans="1:19" x14ac:dyDescent="0.25">
      <c r="B21" t="s">
        <v>349</v>
      </c>
      <c r="C21" s="13">
        <f>C6-C19</f>
        <v>3.0044573774918737</v>
      </c>
      <c r="D21" s="3" t="s">
        <v>19</v>
      </c>
      <c r="G21" s="3"/>
      <c r="H21"/>
      <c r="J21" s="3"/>
      <c r="L21"/>
      <c r="P21"/>
      <c r="S21"/>
    </row>
    <row r="22" spans="1:19" x14ac:dyDescent="0.25">
      <c r="B22" t="s">
        <v>350</v>
      </c>
      <c r="C22" s="9">
        <f>C19</f>
        <v>1.9955426225081261</v>
      </c>
      <c r="D22" s="3" t="s">
        <v>19</v>
      </c>
      <c r="G22" s="3"/>
      <c r="H22"/>
      <c r="J22" s="3"/>
      <c r="L22"/>
      <c r="P22"/>
      <c r="S22"/>
    </row>
    <row r="23" spans="1:19" x14ac:dyDescent="0.25">
      <c r="B23" t="s">
        <v>532</v>
      </c>
      <c r="C23" s="9">
        <f>(C4*C9*(C19-C9/2)+C13*C8*(C6-C8/2-C19)+2*SQRT((C6-C8-C9)^2+((C4-C13)/2)^2)*C12*(0.5*C6-C19))</f>
        <v>74.777131125406271</v>
      </c>
      <c r="D23" s="3" t="s">
        <v>548</v>
      </c>
      <c r="G23" s="3"/>
      <c r="H23"/>
      <c r="J23" s="3"/>
      <c r="L23"/>
      <c r="P23"/>
      <c r="S23"/>
    </row>
    <row r="24" spans="1:19" x14ac:dyDescent="0.25">
      <c r="B24" t="s">
        <v>141</v>
      </c>
      <c r="C24" s="9">
        <f>C4*C9+C13*C8+2*SQRT((C6-C8-C9)^2+((C4-C13)/2)^2)*C12</f>
        <v>64.068841971729512</v>
      </c>
      <c r="D24" s="3" t="s">
        <v>70</v>
      </c>
      <c r="G24" s="3"/>
      <c r="H24"/>
      <c r="J24" s="3"/>
      <c r="L24"/>
      <c r="P24"/>
      <c r="S24"/>
    </row>
    <row r="25" spans="1:19" x14ac:dyDescent="0.25">
      <c r="A25" s="1"/>
      <c r="B25" t="s">
        <v>552</v>
      </c>
      <c r="C25" s="11">
        <f>C13*C6+(C4-C13)/2*C6-C24</f>
        <v>14.681158028270488</v>
      </c>
      <c r="D25" s="3" t="s">
        <v>70</v>
      </c>
      <c r="G25" s="3"/>
      <c r="H25"/>
      <c r="J25" s="3"/>
      <c r="L25"/>
      <c r="P25"/>
      <c r="S25"/>
    </row>
    <row r="26" spans="1:19" x14ac:dyDescent="0.25">
      <c r="B26" t="s">
        <v>62</v>
      </c>
      <c r="C26" s="11">
        <f>C24*25*1.25</f>
        <v>2002.151311616547</v>
      </c>
      <c r="D26" s="3" t="s">
        <v>149</v>
      </c>
      <c r="G26" s="3"/>
      <c r="H26"/>
      <c r="J26" s="3"/>
      <c r="L26"/>
      <c r="P26"/>
      <c r="S26"/>
    </row>
    <row r="27" spans="1:19" x14ac:dyDescent="0.25">
      <c r="B27" t="s">
        <v>553</v>
      </c>
      <c r="C27" s="11">
        <f>C25*19*1.25*0.85</f>
        <v>296.37587769571047</v>
      </c>
      <c r="D27" s="3" t="s">
        <v>149</v>
      </c>
      <c r="G27" s="3"/>
      <c r="H27"/>
      <c r="J27" s="3"/>
      <c r="L27"/>
      <c r="P27"/>
      <c r="S27"/>
    </row>
    <row r="28" spans="1:19" x14ac:dyDescent="0.25">
      <c r="B28" t="s">
        <v>72</v>
      </c>
      <c r="C28" s="9">
        <f>C26+C27</f>
        <v>2298.5271893122576</v>
      </c>
      <c r="D28" s="3" t="s">
        <v>149</v>
      </c>
      <c r="G28" s="3"/>
      <c r="H28"/>
      <c r="J28" s="3"/>
      <c r="L28"/>
      <c r="P28"/>
      <c r="S28"/>
    </row>
    <row r="29" spans="1:19" x14ac:dyDescent="0.25">
      <c r="A29" s="1"/>
      <c r="B29" s="57"/>
      <c r="G29" s="3"/>
      <c r="H29"/>
      <c r="J29" s="3"/>
      <c r="L29"/>
      <c r="P29"/>
      <c r="S29"/>
    </row>
    <row r="30" spans="1:19" x14ac:dyDescent="0.25">
      <c r="G30" s="3"/>
      <c r="H30"/>
      <c r="J30" s="3"/>
      <c r="L30"/>
      <c r="P30"/>
      <c r="S30"/>
    </row>
    <row r="31" spans="1:19" x14ac:dyDescent="0.25">
      <c r="B31" s="57"/>
      <c r="G31" s="3"/>
      <c r="H31"/>
      <c r="J31" s="3"/>
      <c r="L31"/>
      <c r="P31"/>
      <c r="S31"/>
    </row>
    <row r="32" spans="1:19" x14ac:dyDescent="0.25">
      <c r="G32" s="3"/>
      <c r="H32"/>
      <c r="J32" s="3"/>
      <c r="L32"/>
      <c r="P32"/>
      <c r="S32"/>
    </row>
    <row r="33" spans="2:19" x14ac:dyDescent="0.25">
      <c r="B33" s="57"/>
      <c r="G33" s="3"/>
      <c r="H33"/>
      <c r="J33" s="3"/>
      <c r="L33"/>
      <c r="P33"/>
      <c r="S33"/>
    </row>
    <row r="34" spans="2:19" x14ac:dyDescent="0.25">
      <c r="G34" s="3"/>
      <c r="H34"/>
      <c r="J34" s="3"/>
      <c r="L34"/>
      <c r="P34"/>
      <c r="S34"/>
    </row>
    <row r="35" spans="2:19" x14ac:dyDescent="0.25">
      <c r="B35" s="57"/>
      <c r="G35" s="3"/>
      <c r="H35"/>
      <c r="J35" s="3"/>
      <c r="L35"/>
      <c r="P35"/>
      <c r="S35"/>
    </row>
    <row r="36" spans="2:19" x14ac:dyDescent="0.25">
      <c r="G36" s="3"/>
      <c r="H36"/>
      <c r="J36" s="3"/>
      <c r="L36"/>
      <c r="P36"/>
      <c r="S36"/>
    </row>
    <row r="37" spans="2:19" x14ac:dyDescent="0.25">
      <c r="G37" s="3"/>
      <c r="H37"/>
      <c r="J37" s="3"/>
      <c r="L37"/>
      <c r="P37"/>
      <c r="S37"/>
    </row>
    <row r="38" spans="2:19" x14ac:dyDescent="0.25">
      <c r="G38" s="3"/>
      <c r="H38"/>
      <c r="J38" s="3"/>
      <c r="L38"/>
      <c r="P38"/>
      <c r="S38"/>
    </row>
    <row r="39" spans="2:19" x14ac:dyDescent="0.25">
      <c r="G39" s="3"/>
      <c r="H39"/>
      <c r="J39" s="3"/>
      <c r="L39"/>
      <c r="P39"/>
      <c r="S39"/>
    </row>
    <row r="40" spans="2:19" x14ac:dyDescent="0.25">
      <c r="G40" s="3"/>
      <c r="H40"/>
      <c r="J40" s="3"/>
      <c r="L40"/>
      <c r="P40"/>
      <c r="S40"/>
    </row>
    <row r="41" spans="2:19" x14ac:dyDescent="0.25">
      <c r="G41" s="3"/>
      <c r="H41"/>
      <c r="J41" s="3"/>
      <c r="L41"/>
      <c r="P41"/>
      <c r="S41"/>
    </row>
    <row r="42" spans="2:19" x14ac:dyDescent="0.25">
      <c r="B42" s="1"/>
      <c r="G42" s="3"/>
      <c r="H42"/>
      <c r="J42" s="3"/>
      <c r="L42"/>
      <c r="P42"/>
      <c r="S42"/>
    </row>
    <row r="43" spans="2:19" x14ac:dyDescent="0.25">
      <c r="B43" s="16"/>
      <c r="G43" s="3"/>
      <c r="H43"/>
      <c r="J43" s="3"/>
      <c r="L43"/>
      <c r="P43"/>
      <c r="S43"/>
    </row>
    <row r="44" spans="2:19" x14ac:dyDescent="0.25">
      <c r="B44" s="16"/>
      <c r="G44" s="3"/>
      <c r="H44"/>
      <c r="J44" s="3"/>
      <c r="L44"/>
      <c r="P44"/>
      <c r="S44"/>
    </row>
    <row r="45" spans="2:19" x14ac:dyDescent="0.25">
      <c r="B45" s="16"/>
      <c r="G45" s="3"/>
      <c r="H45"/>
      <c r="J45" s="3"/>
      <c r="L45"/>
      <c r="P45"/>
      <c r="S45"/>
    </row>
    <row r="46" spans="2:19" x14ac:dyDescent="0.25">
      <c r="B46" s="16"/>
      <c r="G46" s="3"/>
      <c r="H46"/>
      <c r="J46" s="3"/>
      <c r="L46"/>
      <c r="P46"/>
      <c r="S46"/>
    </row>
    <row r="47" spans="2:19" x14ac:dyDescent="0.25">
      <c r="G47" s="3"/>
      <c r="H47"/>
      <c r="L47"/>
      <c r="P47"/>
    </row>
    <row r="48" spans="2:19" x14ac:dyDescent="0.25">
      <c r="B48" s="16"/>
      <c r="G48" s="3"/>
      <c r="H48"/>
      <c r="L48"/>
      <c r="P48"/>
      <c r="Q48" s="1"/>
    </row>
    <row r="49" spans="2:17" x14ac:dyDescent="0.25">
      <c r="G49" s="3"/>
      <c r="H49"/>
      <c r="L49"/>
      <c r="P49"/>
      <c r="Q49" s="1"/>
    </row>
    <row r="50" spans="2:17" x14ac:dyDescent="0.25">
      <c r="B50" s="1"/>
      <c r="G50" s="3"/>
      <c r="H50"/>
      <c r="L50"/>
      <c r="P50"/>
    </row>
    <row r="51" spans="2:17" x14ac:dyDescent="0.25">
      <c r="B51" s="16"/>
      <c r="G51" s="3"/>
      <c r="H51"/>
      <c r="L51"/>
      <c r="P51"/>
    </row>
    <row r="52" spans="2:17" x14ac:dyDescent="0.25">
      <c r="B52" s="16"/>
      <c r="G52" s="3"/>
      <c r="H52"/>
      <c r="L52"/>
      <c r="P52"/>
    </row>
    <row r="53" spans="2:17" x14ac:dyDescent="0.25">
      <c r="B53" s="16"/>
      <c r="G53" s="3"/>
      <c r="H53"/>
      <c r="L53"/>
      <c r="P53"/>
    </row>
    <row r="54" spans="2:17" x14ac:dyDescent="0.25">
      <c r="B54" s="16"/>
      <c r="G54" s="3"/>
      <c r="H54"/>
      <c r="L54"/>
      <c r="P54"/>
    </row>
    <row r="55" spans="2:17" x14ac:dyDescent="0.25">
      <c r="G55" s="3"/>
      <c r="H55"/>
      <c r="L55"/>
      <c r="P55"/>
    </row>
    <row r="56" spans="2:17" x14ac:dyDescent="0.25">
      <c r="B56" s="16"/>
      <c r="G56" s="3"/>
      <c r="H56"/>
      <c r="L56"/>
      <c r="P56"/>
    </row>
    <row r="57" spans="2:17" x14ac:dyDescent="0.25">
      <c r="G57" s="3"/>
      <c r="H57"/>
      <c r="L57"/>
      <c r="P57"/>
    </row>
    <row r="58" spans="2:17" x14ac:dyDescent="0.25">
      <c r="B58" s="1"/>
      <c r="G58" s="3"/>
      <c r="H58"/>
      <c r="L58"/>
      <c r="P58"/>
    </row>
    <row r="59" spans="2:17" x14ac:dyDescent="0.25">
      <c r="C59" s="3"/>
      <c r="D59"/>
      <c r="H59"/>
      <c r="L59"/>
      <c r="O59" s="3"/>
      <c r="P59"/>
    </row>
    <row r="60" spans="2:17" x14ac:dyDescent="0.25">
      <c r="C60" s="3"/>
      <c r="D60"/>
      <c r="H60"/>
      <c r="L60"/>
      <c r="O60" s="3"/>
      <c r="P60"/>
    </row>
    <row r="61" spans="2:17" x14ac:dyDescent="0.25">
      <c r="C61" s="3"/>
      <c r="D61"/>
      <c r="H61"/>
      <c r="L61"/>
      <c r="O61" s="3"/>
      <c r="P61"/>
    </row>
    <row r="62" spans="2:17" x14ac:dyDescent="0.25">
      <c r="C62" s="3"/>
      <c r="D62"/>
      <c r="H62"/>
      <c r="L62"/>
      <c r="O62" s="3"/>
      <c r="P62"/>
    </row>
    <row r="63" spans="2:17" x14ac:dyDescent="0.25">
      <c r="C63" s="3"/>
      <c r="D63"/>
      <c r="H63"/>
      <c r="L63"/>
      <c r="O63" s="3"/>
      <c r="P63"/>
    </row>
    <row r="64" spans="2:17" x14ac:dyDescent="0.25">
      <c r="C64" s="3"/>
      <c r="D64"/>
      <c r="H64"/>
      <c r="L64"/>
      <c r="O64" s="3"/>
      <c r="P64"/>
    </row>
    <row r="65" spans="2:16" x14ac:dyDescent="0.25">
      <c r="B65" s="1"/>
      <c r="C65" s="3"/>
      <c r="D65"/>
      <c r="H65"/>
      <c r="L65"/>
      <c r="O65" s="3"/>
      <c r="P65"/>
    </row>
    <row r="66" spans="2:16" x14ac:dyDescent="0.25">
      <c r="C66" s="3"/>
      <c r="D66"/>
      <c r="H66"/>
      <c r="L66"/>
      <c r="O66" s="3"/>
      <c r="P66"/>
    </row>
    <row r="67" spans="2:16" x14ac:dyDescent="0.25">
      <c r="C67" s="3"/>
      <c r="D67"/>
      <c r="H67"/>
      <c r="L67"/>
      <c r="O67" s="3"/>
      <c r="P67"/>
    </row>
    <row r="68" spans="2:16" x14ac:dyDescent="0.25">
      <c r="C68" s="3"/>
      <c r="D68"/>
      <c r="H68"/>
      <c r="L68"/>
      <c r="O68" s="3"/>
      <c r="P68"/>
    </row>
    <row r="69" spans="2:16" x14ac:dyDescent="0.25">
      <c r="C69" s="3"/>
      <c r="D69"/>
      <c r="H69"/>
      <c r="L69"/>
      <c r="O69" s="3"/>
      <c r="P69"/>
    </row>
    <row r="70" spans="2:16" x14ac:dyDescent="0.25">
      <c r="C70" s="3"/>
      <c r="D70"/>
      <c r="H70"/>
      <c r="L70"/>
      <c r="O70" s="3"/>
      <c r="P70"/>
    </row>
    <row r="71" spans="2:16" x14ac:dyDescent="0.25">
      <c r="C71" s="3"/>
      <c r="D71"/>
      <c r="H71"/>
      <c r="L71"/>
      <c r="O71" s="3"/>
      <c r="P71"/>
    </row>
    <row r="72" spans="2:16" x14ac:dyDescent="0.25">
      <c r="C72" s="3"/>
      <c r="D72"/>
      <c r="H72"/>
      <c r="L72"/>
      <c r="O72" s="3"/>
      <c r="P72"/>
    </row>
    <row r="73" spans="2:16" x14ac:dyDescent="0.25">
      <c r="C73" s="3"/>
      <c r="D73"/>
      <c r="H73"/>
      <c r="L73"/>
      <c r="O73" s="3"/>
      <c r="P73"/>
    </row>
    <row r="74" spans="2:16" x14ac:dyDescent="0.25">
      <c r="C74" s="3"/>
      <c r="D74"/>
      <c r="H74"/>
      <c r="L74"/>
      <c r="O74" s="3"/>
      <c r="P74"/>
    </row>
    <row r="75" spans="2:16" x14ac:dyDescent="0.25">
      <c r="C75" s="3"/>
      <c r="D75"/>
      <c r="H75"/>
      <c r="L75"/>
      <c r="O75" s="3"/>
      <c r="P75"/>
    </row>
    <row r="76" spans="2:16" x14ac:dyDescent="0.25">
      <c r="C76" s="3"/>
      <c r="D76"/>
      <c r="H76"/>
      <c r="L76"/>
      <c r="O76" s="3"/>
      <c r="P7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B98F4-4CA0-483E-A21A-B87DF7F26EF1}">
  <dimension ref="A1:AX149"/>
  <sheetViews>
    <sheetView tabSelected="1" zoomScale="70" zoomScaleNormal="70" workbookViewId="0">
      <selection activeCell="AU37" sqref="AU37"/>
    </sheetView>
  </sheetViews>
  <sheetFormatPr defaultRowHeight="15" x14ac:dyDescent="0.25"/>
  <cols>
    <col min="3" max="3" width="8.85546875" style="3"/>
    <col min="6" max="6" width="9" bestFit="1" customWidth="1"/>
    <col min="7" max="10" width="8.85546875" style="3"/>
    <col min="14" max="14" width="9.5703125" bestFit="1" customWidth="1"/>
    <col min="15" max="15" width="8.85546875" style="3"/>
    <col min="18" max="18" width="16.140625" bestFit="1" customWidth="1"/>
    <col min="19" max="19" width="8.85546875" style="3"/>
    <col min="20" max="21" width="9" style="3" bestFit="1" customWidth="1"/>
    <col min="22" max="23" width="9" bestFit="1" customWidth="1"/>
    <col min="24" max="24" width="9.140625" bestFit="1" customWidth="1"/>
    <col min="26" max="26" width="16.28515625" bestFit="1" customWidth="1"/>
    <col min="27" max="27" width="8.85546875" style="3"/>
    <col min="31" max="31" width="16.7109375" bestFit="1" customWidth="1"/>
    <col min="32" max="32" width="8.85546875" style="3"/>
    <col min="35" max="35" width="16.7109375" bestFit="1" customWidth="1"/>
    <col min="39" max="39" width="16.42578125" bestFit="1" customWidth="1"/>
    <col min="43" max="43" width="16.7109375" bestFit="1" customWidth="1"/>
    <col min="47" max="47" width="9" bestFit="1" customWidth="1"/>
  </cols>
  <sheetData>
    <row r="1" spans="1:50" ht="15.75" thickBot="1" x14ac:dyDescent="0.3"/>
    <row r="2" spans="1:50" x14ac:dyDescent="0.25">
      <c r="A2" s="40"/>
      <c r="B2" s="62"/>
      <c r="C2" s="51"/>
      <c r="D2" s="61" t="s">
        <v>556</v>
      </c>
      <c r="E2" s="62"/>
      <c r="F2" s="63" t="s">
        <v>141</v>
      </c>
      <c r="G2" s="42"/>
      <c r="H2" s="69" t="s">
        <v>658</v>
      </c>
      <c r="I2" s="69" t="s">
        <v>659</v>
      </c>
      <c r="J2" s="69" t="s">
        <v>660</v>
      </c>
      <c r="K2" s="69" t="s">
        <v>661</v>
      </c>
      <c r="L2" s="69" t="s">
        <v>669</v>
      </c>
      <c r="M2" s="62"/>
      <c r="N2" s="67" t="s">
        <v>655</v>
      </c>
      <c r="O2" s="42"/>
      <c r="P2" s="62"/>
      <c r="Q2" s="62"/>
      <c r="R2" s="62"/>
      <c r="S2" s="42"/>
      <c r="T2" s="69" t="s">
        <v>658</v>
      </c>
      <c r="U2" s="69" t="s">
        <v>659</v>
      </c>
      <c r="V2" s="69" t="s">
        <v>660</v>
      </c>
      <c r="W2" s="69" t="s">
        <v>661</v>
      </c>
      <c r="X2" s="69" t="s">
        <v>669</v>
      </c>
      <c r="Y2" s="62"/>
      <c r="Z2" s="62"/>
      <c r="AA2" s="51"/>
      <c r="AD2" s="1" t="s">
        <v>656</v>
      </c>
      <c r="AH2" s="1" t="s">
        <v>656</v>
      </c>
      <c r="AL2" s="1" t="s">
        <v>656</v>
      </c>
      <c r="AP2" s="1"/>
      <c r="AQ2" s="1" t="s">
        <v>671</v>
      </c>
      <c r="AT2" s="1"/>
      <c r="AU2" s="1" t="s">
        <v>676</v>
      </c>
    </row>
    <row r="3" spans="1:50" x14ac:dyDescent="0.25">
      <c r="A3" s="44" t="s">
        <v>17</v>
      </c>
      <c r="B3">
        <v>-11</v>
      </c>
      <c r="C3" s="52" t="s">
        <v>8</v>
      </c>
      <c r="D3" s="44" t="s">
        <v>653</v>
      </c>
      <c r="E3" t="s">
        <v>597</v>
      </c>
      <c r="F3">
        <f>29.2*10.4*40+0.5*(39.68-29.2)*10.4*40</f>
        <v>14327.04</v>
      </c>
      <c r="G3" s="3" t="s">
        <v>65</v>
      </c>
      <c r="H3" s="3">
        <v>1</v>
      </c>
      <c r="I3" s="3">
        <v>1</v>
      </c>
      <c r="J3" s="3" t="s">
        <v>61</v>
      </c>
      <c r="K3" s="3">
        <v>1</v>
      </c>
      <c r="L3" s="3" t="s">
        <v>61</v>
      </c>
      <c r="M3" t="s">
        <v>89</v>
      </c>
      <c r="N3" s="27">
        <f>(12147.2*(0.5*10.4+(-$B$3-6.7))+2179.84*(2/3*10.4+(-$B$3-6.7)))/F3</f>
        <v>9.7637243515292305</v>
      </c>
      <c r="O3" s="3" t="s">
        <v>19</v>
      </c>
      <c r="P3" t="s">
        <v>1</v>
      </c>
      <c r="Q3" t="s">
        <v>602</v>
      </c>
      <c r="R3" s="10">
        <f>Gate!BF24</f>
        <v>9526.1136587800102</v>
      </c>
      <c r="S3" s="3" t="s">
        <v>65</v>
      </c>
      <c r="T3" s="3">
        <v>0.95</v>
      </c>
      <c r="U3" s="3">
        <v>1.35</v>
      </c>
      <c r="V3" s="3">
        <v>1.35</v>
      </c>
      <c r="W3" s="3">
        <v>0.95</v>
      </c>
      <c r="X3" s="3">
        <v>0.9</v>
      </c>
      <c r="Y3" t="s">
        <v>89</v>
      </c>
      <c r="Z3">
        <v>-7.47</v>
      </c>
      <c r="AA3" s="52" t="s">
        <v>19</v>
      </c>
      <c r="AD3" s="57" t="s">
        <v>638</v>
      </c>
      <c r="AH3" s="57" t="s">
        <v>667</v>
      </c>
      <c r="AL3" s="57" t="s">
        <v>668</v>
      </c>
      <c r="AP3" s="57"/>
      <c r="AQ3" s="57" t="s">
        <v>675</v>
      </c>
      <c r="AT3" s="57"/>
      <c r="AU3" s="57" t="s">
        <v>677</v>
      </c>
      <c r="AV3" s="57"/>
    </row>
    <row r="4" spans="1:50" x14ac:dyDescent="0.25">
      <c r="A4" s="44"/>
      <c r="B4" s="57" t="s">
        <v>637</v>
      </c>
      <c r="C4" s="52"/>
      <c r="D4" s="44" t="s">
        <v>652</v>
      </c>
      <c r="E4" t="s">
        <v>598</v>
      </c>
      <c r="F4">
        <f>63.05*10.4*40+0.5*(167.62-63.05)*10.4*40</f>
        <v>47979.360000000001</v>
      </c>
      <c r="G4" s="3" t="s">
        <v>65</v>
      </c>
      <c r="H4" s="3">
        <v>1</v>
      </c>
      <c r="I4" s="3">
        <v>1</v>
      </c>
      <c r="J4" s="3" t="s">
        <v>61</v>
      </c>
      <c r="K4" s="3">
        <v>1</v>
      </c>
      <c r="L4" s="3" t="s">
        <v>61</v>
      </c>
      <c r="M4" t="s">
        <v>89</v>
      </c>
      <c r="N4" s="27">
        <f>(26228.8*(0.5*10.4+(-$B$3-6.7))+21750.56*(1/3*10.4+(-$B$3-6.7)))/F4</f>
        <v>8.7142252279591332</v>
      </c>
      <c r="O4" s="3" t="s">
        <v>19</v>
      </c>
      <c r="P4" t="s">
        <v>652</v>
      </c>
      <c r="Q4" t="s">
        <v>604</v>
      </c>
      <c r="R4">
        <v>3319.54</v>
      </c>
      <c r="S4" s="3" t="s">
        <v>65</v>
      </c>
      <c r="T4" s="3">
        <v>1</v>
      </c>
      <c r="U4" s="3">
        <v>1</v>
      </c>
      <c r="V4" s="3">
        <v>1</v>
      </c>
      <c r="W4" s="3">
        <v>1</v>
      </c>
      <c r="X4" s="3">
        <v>1</v>
      </c>
      <c r="Y4" t="s">
        <v>89</v>
      </c>
      <c r="Z4" s="27">
        <f>-((1520.4*3.62+1799.14*2.85)/R4)</f>
        <v>-3.2026717557251909</v>
      </c>
      <c r="AA4" s="52" t="s">
        <v>19</v>
      </c>
      <c r="AD4" t="s">
        <v>164</v>
      </c>
      <c r="AE4">
        <v>0.67</v>
      </c>
      <c r="AF4" s="3" t="s">
        <v>61</v>
      </c>
      <c r="AH4" t="s">
        <v>164</v>
      </c>
      <c r="AI4">
        <v>0.67</v>
      </c>
      <c r="AJ4" s="3" t="s">
        <v>61</v>
      </c>
      <c r="AL4" t="s">
        <v>164</v>
      </c>
      <c r="AM4">
        <v>0.67</v>
      </c>
      <c r="AN4" s="3" t="s">
        <v>61</v>
      </c>
      <c r="AX4" s="3"/>
    </row>
    <row r="5" spans="1:50" ht="18" x14ac:dyDescent="0.4">
      <c r="A5" s="44" t="s">
        <v>665</v>
      </c>
      <c r="B5">
        <v>25</v>
      </c>
      <c r="C5" s="52" t="s">
        <v>19</v>
      </c>
      <c r="D5" s="44" t="s">
        <v>652</v>
      </c>
      <c r="E5" t="s">
        <v>599</v>
      </c>
      <c r="F5">
        <v>-9854.6</v>
      </c>
      <c r="G5" s="3" t="s">
        <v>65</v>
      </c>
      <c r="H5" s="3">
        <v>1</v>
      </c>
      <c r="I5" s="3">
        <v>1</v>
      </c>
      <c r="J5" s="3" t="s">
        <v>61</v>
      </c>
      <c r="K5" s="3">
        <v>1</v>
      </c>
      <c r="L5" s="3" t="s">
        <v>61</v>
      </c>
      <c r="M5" t="s">
        <v>89</v>
      </c>
      <c r="N5" s="27">
        <f>(1/3*7+(-B3-6))</f>
        <v>7.333333333333333</v>
      </c>
      <c r="O5" s="3" t="s">
        <v>19</v>
      </c>
      <c r="P5" t="s">
        <v>31</v>
      </c>
      <c r="Q5" t="s">
        <v>615</v>
      </c>
      <c r="R5" s="27">
        <f>-'Top Beam'!AE18*40+2*'Top Beam'!W26*'Top Beam'!W27*25*3.25+1.512^2*'Top Beam'!W26*25</f>
        <v>25882.506233966538</v>
      </c>
      <c r="S5" s="3" t="s">
        <v>65</v>
      </c>
      <c r="T5" s="3">
        <v>0.95</v>
      </c>
      <c r="U5" s="3">
        <v>1.35</v>
      </c>
      <c r="V5" s="3">
        <v>1.35</v>
      </c>
      <c r="W5" s="3">
        <v>0.95</v>
      </c>
      <c r="X5" s="3">
        <v>0.9</v>
      </c>
      <c r="Y5" t="s">
        <v>89</v>
      </c>
      <c r="Z5">
        <v>-0.51</v>
      </c>
      <c r="AA5" s="52" t="s">
        <v>19</v>
      </c>
      <c r="AD5" s="66" t="s">
        <v>651</v>
      </c>
      <c r="AE5" s="11">
        <f>$R$3*$T$3+$R$4*$T$4+$R$5*$T$5+$R$6*$T$6+$R$7*$T$7+$R$8*$T$8+$R$9*$T$9+$R$10*$T$10+$R$11*$T$11+$R$12*$T$12+$R$13*$T$13+$R$14*$T$14+$R$15*$T$15+$R$16*$T$16+$R$17*$T$17+$R$18*$T$18+$R$19*$T$19+$R$20*$T$20+$R$21*$T$21+$R$22*$T$22+$R$23*$T$23+$R$24*$T$24+$R$25*$T$25+$R$26*$T$26+$R$27*$T$27+$R$28*$T$28+$R$29*$T$29+$R$30*$T$30+$R$31*$T$31+$R$32*$T$32</f>
        <v>140315.9261381395</v>
      </c>
      <c r="AF5" s="3" t="s">
        <v>65</v>
      </c>
      <c r="AH5" s="66" t="s">
        <v>651</v>
      </c>
      <c r="AI5" s="11">
        <f>$R$36*$T$36+$R$37*$T$37+$R$38*$T$38+$R$39*$T$39+$R$40*$T$40+$R$41*$T$41+$R$42*$T$42+$R$43*$T$43+$R$44*$T$44+$R$45*$T$45+$R$46*$T$46+$R$47*$T$47+$R$48*$T$48+$R$49*$T$49+$R$50*$T$50+$R$51*$T$51+$R$52*$T$52+$R$53*$T$53+$R$54*$T$54+$R$55*$T$55+$R$56*$T$56+$R$57*$T$57+$R$58*$T$58+$R$59*$T$59+$R$60*$T$60+$R$61*$T$61+$R$62*$T$62+$R$63*$T$63+$R$64*$T$64+$R$65*$T$65</f>
        <v>144941.83498813951</v>
      </c>
      <c r="AJ5" s="3" t="s">
        <v>65</v>
      </c>
      <c r="AT5" s="66"/>
      <c r="AV5" s="66"/>
      <c r="AW5" s="66"/>
      <c r="AX5" s="3"/>
    </row>
    <row r="6" spans="1:50" ht="18" x14ac:dyDescent="0.4">
      <c r="A6" s="44" t="s">
        <v>20</v>
      </c>
      <c r="B6">
        <v>50</v>
      </c>
      <c r="C6" s="52" t="s">
        <v>19</v>
      </c>
      <c r="D6" s="44" t="s">
        <v>653</v>
      </c>
      <c r="E6" t="s">
        <v>600</v>
      </c>
      <c r="F6">
        <v>11691.91</v>
      </c>
      <c r="G6" s="3" t="s">
        <v>65</v>
      </c>
      <c r="H6" s="3">
        <v>1</v>
      </c>
      <c r="I6" s="3">
        <v>1</v>
      </c>
      <c r="J6" s="3" t="s">
        <v>61</v>
      </c>
      <c r="K6" s="3">
        <v>1</v>
      </c>
      <c r="L6" s="3" t="s">
        <v>61</v>
      </c>
      <c r="M6" t="s">
        <v>89</v>
      </c>
      <c r="N6" s="27">
        <f>(920.08*(0.5*0.53+6.27-B3+3.7)+27.56*(1/3*0.53+6.27-B3+3.7)+9951.74*(0.5*6.27-B3+3.7)+792.53*(2/3*6.27-B3+3.7))/11691.91</f>
        <v>18.181199669971232</v>
      </c>
      <c r="O6" s="3" t="s">
        <v>19</v>
      </c>
      <c r="P6" t="s">
        <v>654</v>
      </c>
      <c r="Q6" t="s">
        <v>616</v>
      </c>
      <c r="R6">
        <f>0.5*27*2*(40-4*(B5-6.5)/(-B3-6))</f>
        <v>680.4</v>
      </c>
      <c r="S6" s="3" t="s">
        <v>65</v>
      </c>
      <c r="T6" s="3">
        <v>0.95</v>
      </c>
      <c r="U6" s="3">
        <v>0.9</v>
      </c>
      <c r="V6" s="3">
        <v>1.35</v>
      </c>
      <c r="W6" s="3">
        <v>0.95</v>
      </c>
      <c r="X6" s="3">
        <v>0.9</v>
      </c>
      <c r="Y6" t="s">
        <v>89</v>
      </c>
      <c r="Z6">
        <v>-5.25</v>
      </c>
      <c r="AA6" s="52" t="s">
        <v>19</v>
      </c>
      <c r="AD6" s="66" t="s">
        <v>650</v>
      </c>
      <c r="AE6" s="11">
        <f>$F$3*$H$3+$F$4*$H$4+$F$5*$H$5+$F$6*$H$6+$F$7*$H$7+$F$8*$H$8+$F$9*$H$9+$F$10*$H$10+$F$11*$H$11+$F$12*$H$12+$F$13*$H$13+$F$14*$H$14+$F$15*$H$15+$F$16*$H$16+$F$17*$H$17+$F$18*$H$18</f>
        <v>84163.828599999993</v>
      </c>
      <c r="AF6" s="3" t="s">
        <v>65</v>
      </c>
      <c r="AH6" s="66" t="s">
        <v>650</v>
      </c>
      <c r="AI6" s="11">
        <f>$F$36*$H$36+$F$37*$H$37+$F$38*$H$38+$F$39*$H$39+$F$40*$H$40+$F$41*$H$41+$F$42*$H$42+$F$43*$H$43+$F$44*$H$44+$F$45*$H$45+$F$46*$H$46+$F$47*$H$47+$F$48*$H$48+$F$49*$H$49+$F$50*$H$50+$F$51*$H$51+$F$52*$H$52</f>
        <v>52158.987799999988</v>
      </c>
      <c r="AJ6" s="3" t="s">
        <v>65</v>
      </c>
      <c r="AT6" s="66"/>
      <c r="AV6" s="66"/>
      <c r="AW6" s="66"/>
      <c r="AX6" s="3"/>
    </row>
    <row r="7" spans="1:50" x14ac:dyDescent="0.25">
      <c r="A7" s="44"/>
      <c r="C7" s="52"/>
      <c r="D7" s="44" t="s">
        <v>652</v>
      </c>
      <c r="E7" t="s">
        <v>601</v>
      </c>
      <c r="F7">
        <v>7906.47</v>
      </c>
      <c r="G7" s="3" t="s">
        <v>65</v>
      </c>
      <c r="H7" s="3">
        <v>1</v>
      </c>
      <c r="I7" s="3">
        <v>1</v>
      </c>
      <c r="J7" s="3" t="s">
        <v>61</v>
      </c>
      <c r="K7" s="3">
        <v>1</v>
      </c>
      <c r="L7" s="3" t="s">
        <v>61</v>
      </c>
      <c r="M7" t="s">
        <v>89</v>
      </c>
      <c r="N7">
        <f>1/3*(9.97-3.7)+3.7-B3</f>
        <v>16.79</v>
      </c>
      <c r="O7" s="3" t="s">
        <v>19</v>
      </c>
      <c r="P7" t="s">
        <v>652</v>
      </c>
      <c r="Q7" t="s">
        <v>617</v>
      </c>
      <c r="R7" s="27">
        <f>167.62*2*(40-4*(B5-6.5)/(-B3-6))+0.5*(190.75-167.62)*2*(40-4*(B5-6.5)/(-B3-6))</f>
        <v>9030.9240000000009</v>
      </c>
      <c r="S7" s="3" t="s">
        <v>65</v>
      </c>
      <c r="T7" s="3">
        <v>1</v>
      </c>
      <c r="U7" s="3">
        <v>1</v>
      </c>
      <c r="V7" s="3">
        <v>1</v>
      </c>
      <c r="W7" s="3">
        <v>1</v>
      </c>
      <c r="X7" s="3">
        <v>1</v>
      </c>
      <c r="Y7" t="s">
        <v>89</v>
      </c>
      <c r="Z7" s="27">
        <f>-(167.62*2*(40-4*(B5-6.5)/(-B3-6))*(4.92)+0.5*(190.75-167.62)*2*(40-4*(B5-6.5)/(-B3-6))*(2/3*2+3.92))/R7</f>
        <v>-4.9415140776292654</v>
      </c>
      <c r="AA7" s="52" t="s">
        <v>19</v>
      </c>
      <c r="AD7" t="s">
        <v>176</v>
      </c>
      <c r="AE7" s="13">
        <f>AE6/(AE4*AE5)</f>
        <v>0.89524872966448887</v>
      </c>
      <c r="AF7" s="3" t="s">
        <v>61</v>
      </c>
      <c r="AH7" t="s">
        <v>176</v>
      </c>
      <c r="AI7" s="13">
        <f>AI6/(AI4*AI5)</f>
        <v>0.53710673339245629</v>
      </c>
      <c r="AJ7" s="3" t="s">
        <v>61</v>
      </c>
      <c r="AX7" s="3"/>
    </row>
    <row r="8" spans="1:50" x14ac:dyDescent="0.25">
      <c r="A8" s="44"/>
      <c r="C8" s="52"/>
      <c r="D8" s="44" t="s">
        <v>654</v>
      </c>
      <c r="E8" t="s">
        <v>603</v>
      </c>
      <c r="F8" s="27">
        <f>0.5*13.01*3*(40-2*(B5-6.5)/(-B3-6))</f>
        <v>636.18900000000008</v>
      </c>
      <c r="G8" s="3" t="s">
        <v>65</v>
      </c>
      <c r="H8" s="3">
        <v>1.05</v>
      </c>
      <c r="I8" s="3">
        <v>1.35</v>
      </c>
      <c r="J8" s="3" t="s">
        <v>61</v>
      </c>
      <c r="K8" s="3">
        <v>1.05</v>
      </c>
      <c r="L8" s="3" t="s">
        <v>61</v>
      </c>
      <c r="M8" t="s">
        <v>89</v>
      </c>
      <c r="N8">
        <f>1/3*3-B3-10</f>
        <v>2</v>
      </c>
      <c r="O8" s="3" t="s">
        <v>19</v>
      </c>
      <c r="P8" t="s">
        <v>652</v>
      </c>
      <c r="Q8" t="s">
        <v>618</v>
      </c>
      <c r="R8">
        <v>14078</v>
      </c>
      <c r="S8" s="3" t="s">
        <v>65</v>
      </c>
      <c r="T8" s="3">
        <v>1</v>
      </c>
      <c r="U8" s="3">
        <v>1</v>
      </c>
      <c r="V8">
        <v>1</v>
      </c>
      <c r="W8">
        <v>1</v>
      </c>
      <c r="X8" s="3">
        <v>1</v>
      </c>
      <c r="Y8" t="s">
        <v>89</v>
      </c>
      <c r="Z8">
        <v>-3.92</v>
      </c>
      <c r="AA8" s="52" t="s">
        <v>19</v>
      </c>
    </row>
    <row r="9" spans="1:50" x14ac:dyDescent="0.25">
      <c r="A9" s="44"/>
      <c r="C9" s="52"/>
      <c r="D9" s="44" t="s">
        <v>652</v>
      </c>
      <c r="E9" t="s">
        <v>605</v>
      </c>
      <c r="F9">
        <f>(167.62*3.3*(40-2*(B5-6.5)/(-B3-6))+0.5*(200.8-167.62)*3.3*(40-2*(B5-6.5)/(-B3-6)))</f>
        <v>19817.311799999999</v>
      </c>
      <c r="G9" s="3" t="s">
        <v>65</v>
      </c>
      <c r="H9" s="3">
        <v>1</v>
      </c>
      <c r="I9" s="3">
        <v>1</v>
      </c>
      <c r="J9" s="3" t="s">
        <v>61</v>
      </c>
      <c r="K9" s="3">
        <v>1</v>
      </c>
      <c r="L9" s="3" t="s">
        <v>61</v>
      </c>
      <c r="M9" t="s">
        <v>89</v>
      </c>
      <c r="N9" s="27">
        <f>(167.62*3.3*(40-2*(B5-6.5)/(-B3-6))*(0.5*3.3-B3-10)+0.5*(200.8-167.62)*3.3*(40-2*(B5-6.5)/(-B3-6))*(1/3*3.3-B3-10))/F9</f>
        <v>2.6004668584767385</v>
      </c>
      <c r="O9" s="3" t="s">
        <v>19</v>
      </c>
      <c r="P9" t="s">
        <v>29</v>
      </c>
      <c r="Q9" t="s">
        <v>619</v>
      </c>
      <c r="R9" s="27">
        <f>-(SUM('Sill Beam'!N18:'Sill Beam'!N22))*(40-4*(B5-6.5)/(-B3-6))</f>
        <v>11120.863983090765</v>
      </c>
      <c r="S9" s="3" t="s">
        <v>65</v>
      </c>
      <c r="T9" s="3">
        <v>0.95</v>
      </c>
      <c r="U9" s="3">
        <v>1.35</v>
      </c>
      <c r="V9" s="3">
        <v>1.35</v>
      </c>
      <c r="W9" s="3">
        <v>0.95</v>
      </c>
      <c r="X9" s="3">
        <v>0.9</v>
      </c>
      <c r="Y9" t="s">
        <v>89</v>
      </c>
      <c r="Z9">
        <v>-2.08</v>
      </c>
      <c r="AA9" s="52" t="s">
        <v>19</v>
      </c>
      <c r="AD9" s="1" t="s">
        <v>126</v>
      </c>
      <c r="AH9" s="1" t="s">
        <v>126</v>
      </c>
      <c r="AL9" s="1" t="s">
        <v>126</v>
      </c>
      <c r="AP9" s="1"/>
    </row>
    <row r="10" spans="1:50" x14ac:dyDescent="0.25">
      <c r="A10" s="44"/>
      <c r="C10" s="52"/>
      <c r="D10" s="44" t="s">
        <v>652</v>
      </c>
      <c r="E10" t="s">
        <v>606</v>
      </c>
      <c r="F10">
        <f>-(70.39*4*(40-2*(B5-6.5)/(-B3-6))+0.5*(110.61-70.39)*4*(40-2*(B5-6.5)/(-B3-6)))</f>
        <v>-11801.2</v>
      </c>
      <c r="G10" s="3" t="s">
        <v>65</v>
      </c>
      <c r="H10" s="3">
        <v>1</v>
      </c>
      <c r="I10" s="3">
        <v>1</v>
      </c>
      <c r="J10" s="3" t="s">
        <v>61</v>
      </c>
      <c r="K10" s="3">
        <v>1</v>
      </c>
      <c r="L10" s="3" t="s">
        <v>61</v>
      </c>
      <c r="M10" t="s">
        <v>89</v>
      </c>
      <c r="N10" s="27">
        <f>-((70.39*4*(40-2*(B5-6.5)/(-B3-6))*(0.5*4-B3-10)+0.5*(110.61-70.39)*4*(40-2*(B5-6.5)/(-B3-6))*(1/3*4-B3-10))/F10)</f>
        <v>2.8518600368324125</v>
      </c>
      <c r="O10" s="3" t="s">
        <v>19</v>
      </c>
      <c r="P10" t="s">
        <v>652</v>
      </c>
      <c r="Q10" t="s">
        <v>620</v>
      </c>
      <c r="R10" s="27">
        <f>-(110.61*7*22.2+0.5*(200.8-110.61)*7*22.2)</f>
        <v>-24196.556999999997</v>
      </c>
      <c r="S10" s="3" t="s">
        <v>65</v>
      </c>
      <c r="T10" s="3">
        <v>1</v>
      </c>
      <c r="U10" s="3">
        <v>1</v>
      </c>
      <c r="V10" s="3">
        <v>1</v>
      </c>
      <c r="W10" s="3">
        <v>1</v>
      </c>
      <c r="X10" s="3">
        <v>1</v>
      </c>
      <c r="Y10" t="s">
        <v>89</v>
      </c>
      <c r="Z10" s="27">
        <f>(110.61*7*22.2*2.08+0.5*(200.8-110.61)*7*22.2*3.59)/R10</f>
        <v>-2.5173234642432809</v>
      </c>
      <c r="AA10" s="52" t="s">
        <v>19</v>
      </c>
      <c r="AD10" s="57" t="s">
        <v>638</v>
      </c>
      <c r="AH10" s="57" t="s">
        <v>667</v>
      </c>
      <c r="AL10" s="57" t="s">
        <v>668</v>
      </c>
      <c r="AP10" s="57"/>
    </row>
    <row r="11" spans="1:50" ht="18" x14ac:dyDescent="0.4">
      <c r="A11" s="44"/>
      <c r="C11" s="52"/>
      <c r="D11" s="44" t="s">
        <v>654</v>
      </c>
      <c r="E11" t="s">
        <v>607</v>
      </c>
      <c r="F11">
        <f>-0.5*177.13*3*(40-2*(B5-6.5)/(-B3-6))</f>
        <v>-8661.6570000000011</v>
      </c>
      <c r="G11" s="3" t="s">
        <v>65</v>
      </c>
      <c r="H11" s="3">
        <v>0.95</v>
      </c>
      <c r="I11" s="3">
        <v>0.9</v>
      </c>
      <c r="J11" s="3" t="s">
        <v>61</v>
      </c>
      <c r="K11" s="3">
        <v>0.95</v>
      </c>
      <c r="L11" s="3" t="s">
        <v>61</v>
      </c>
      <c r="M11" t="s">
        <v>89</v>
      </c>
      <c r="N11">
        <f>(1/3*3-B3-10)</f>
        <v>2</v>
      </c>
      <c r="O11" s="3" t="s">
        <v>19</v>
      </c>
      <c r="P11" t="s">
        <v>639</v>
      </c>
      <c r="Q11" t="s">
        <v>621</v>
      </c>
      <c r="R11">
        <f>'First estimates'!U10</f>
        <v>8230.5</v>
      </c>
      <c r="S11" s="3" t="s">
        <v>65</v>
      </c>
      <c r="T11" s="3">
        <v>0</v>
      </c>
      <c r="U11" s="3">
        <v>1.25</v>
      </c>
      <c r="V11" s="3">
        <v>1.25</v>
      </c>
      <c r="W11" s="3">
        <v>0</v>
      </c>
      <c r="X11" s="3">
        <v>0</v>
      </c>
      <c r="Y11" t="s">
        <v>89</v>
      </c>
      <c r="Z11">
        <v>6.73</v>
      </c>
      <c r="AA11" s="52" t="s">
        <v>19</v>
      </c>
      <c r="AD11" s="66" t="s">
        <v>651</v>
      </c>
      <c r="AE11" s="11">
        <f>$R$3*$U$3+$R$4*$U$4+$R$5*$U$5+$R$6*$U$6+$R$7*$U$7+$R$8*$U$8+$R$9*$U$9+$R$10*$U$10+$R$11*$U$11+$R$12*$U$12+$R$13*$U$13+$R$14*$U$14+$R$15*$U$15+$R$16*$U$16+$R$17*$U$17+$R$18*$U$18+$R$19*$U$19+$R$20*$U$20+$R$21*$U$21+$R$22*$U$22+$R$23*$U$23+$R$24*$U$24+$R$25*$U$25+$R$26*$U$26+$R$27*$U$27+$R$28*$U$28+$R$29*$U$29+$R$30*$U$30+$R$31*$U$31+$R$32*$U$32</f>
        <v>236990.92863051401</v>
      </c>
      <c r="AF11" s="3" t="s">
        <v>65</v>
      </c>
      <c r="AH11" s="66" t="s">
        <v>651</v>
      </c>
      <c r="AI11" s="11">
        <f>$R$36*$U$36+$R$37*$U$37+$R$38*$U$38+$R$39*$U$39+$R$40*$U$40+$R$41*$U$41+$R$42*$U$42+$R$43*$U$43+$R$44*$U$44+$R$45*$U$45+$R$46*$U$46+$R$47*$U$47+$R$48*$U$48+$R$49*$U$49+$R$50*$U$50+$R$51*$U$51+$R$52*$U$52+$R$53*$U$53+$R$54*$U$54+$R$55*$U$55+$R$56*$U$56+$R$57*$U$57+$R$58*$U$58+$R$59*$U$59+$R$60*$U$60+$R$61*$U$61+$R$62*$U$62+$R$63*$U$63+$R$64*$U$64+$R$65*$U$65</f>
        <v>217953.98810742045</v>
      </c>
      <c r="AJ11" s="3" t="s">
        <v>65</v>
      </c>
      <c r="AL11" s="66" t="s">
        <v>651</v>
      </c>
      <c r="AM11" s="11">
        <f>R69*U69+R70*U70+R71*U71+R72*U72+R73*U73+R74*U74+R75*U75+R76*U76+R77*U77+R78*U78+R79*U79+R80*U80+R81*U81+R82*U82+R83*U83+R84*U84+R85*U85+R86*U86+R87*U87+R88*U88+R89*U89+R90*U90+R91*U91+R92*U92+R93*U93+R94*U94+R95*U95+R96*U96+R97*U97</f>
        <v>257393.93700759733</v>
      </c>
      <c r="AN11" s="3" t="s">
        <v>65</v>
      </c>
      <c r="AP11" s="66"/>
    </row>
    <row r="12" spans="1:50" ht="18" x14ac:dyDescent="0.4">
      <c r="A12" s="44"/>
      <c r="C12" s="52"/>
      <c r="D12" s="44" t="s">
        <v>653</v>
      </c>
      <c r="E12" t="s">
        <v>608</v>
      </c>
      <c r="F12">
        <v>4956.5</v>
      </c>
      <c r="G12" s="3" t="s">
        <v>65</v>
      </c>
      <c r="H12" s="3">
        <v>1</v>
      </c>
      <c r="I12" s="3">
        <v>1</v>
      </c>
      <c r="J12" s="3" t="s">
        <v>61</v>
      </c>
      <c r="K12" s="3">
        <v>1</v>
      </c>
      <c r="L12" s="3" t="s">
        <v>61</v>
      </c>
      <c r="M12" t="s">
        <v>89</v>
      </c>
      <c r="N12" s="27">
        <f>(692.37*(0.5*4.33+15.97-B3-6)+303.97*(1/3*4.33+15.97-B3-6)+3124.53*(0.5*15.97-B3-6)+835.63*(2/3*15.97-B3-6))/F12</f>
        <v>15.429800665792394</v>
      </c>
      <c r="O12" s="3" t="s">
        <v>19</v>
      </c>
      <c r="P12" t="s">
        <v>35</v>
      </c>
      <c r="Q12" t="s">
        <v>622</v>
      </c>
      <c r="R12" s="27">
        <f>'First estimates'!U8</f>
        <v>12130.434782608694</v>
      </c>
      <c r="S12" s="3" t="s">
        <v>65</v>
      </c>
      <c r="T12" s="3">
        <v>0.95</v>
      </c>
      <c r="U12" s="3">
        <v>1.35</v>
      </c>
      <c r="V12" s="3">
        <v>1.35</v>
      </c>
      <c r="W12" s="3">
        <v>1.05</v>
      </c>
      <c r="X12" s="3">
        <v>0.9</v>
      </c>
      <c r="Y12" t="s">
        <v>89</v>
      </c>
      <c r="Z12">
        <f>Z11</f>
        <v>6.73</v>
      </c>
      <c r="AA12" s="52" t="s">
        <v>19</v>
      </c>
      <c r="AD12" s="66" t="s">
        <v>650</v>
      </c>
      <c r="AE12" s="11">
        <f>$F$3*$I$3+$F$4*$I$4+$F$5*$I$5+$F$6*$I$6+$F$7*$I$7+$F$8*$I$8+$F$9*$I$9+$F$10*$I$10+$F$11*$I$11+$F$12*$I$12+$F$13*$I$13+$F$14*$I$14+$F$15*$I$15+$F$16*$I$16+$F$17*$I$17+$F$18*$I$18</f>
        <v>85456.828150000001</v>
      </c>
      <c r="AF12" s="3" t="s">
        <v>65</v>
      </c>
      <c r="AH12" s="66" t="s">
        <v>650</v>
      </c>
      <c r="AI12" s="11">
        <f>$F$36*$I$36+$F$37*$I$37+$F$38*$I$38+$F$39*$I$39+$F$40*$I$40+$F$41*$I$41+$F$42*$I$42+$F$43*$I$43+$F$44*$I$44+$F$45*$I$45+$F$46*$I$46+$F$47*$I$47+$F$48*$I$48+$F$49*$I$49+$F$50*$I$50+$F$51*$I$51+$F$52*$I$52</f>
        <v>47034.1685</v>
      </c>
      <c r="AJ12" s="3" t="s">
        <v>65</v>
      </c>
      <c r="AL12" s="66" t="s">
        <v>650</v>
      </c>
      <c r="AM12" s="11">
        <f>$F$36*$I$36+$F$37*$I$37+$F$38*$I$38+$F$39*$I$39+$F$40*$I$40+$F$41*$I$41+$F$42*$I$42+$F$43*$I$43+$F$44*$I$44+$F$45*$I$45+$F$46*$I$46+$F$47*$I$47+$F$48*$I$48+$F$49*$I$49+$F$50*$I$50+$F$51*$I$51+$F$52*$I$52</f>
        <v>47034.1685</v>
      </c>
      <c r="AN12" s="3" t="s">
        <v>65</v>
      </c>
      <c r="AP12" s="66"/>
    </row>
    <row r="13" spans="1:50" ht="18" x14ac:dyDescent="0.4">
      <c r="A13" s="44"/>
      <c r="C13" s="52"/>
      <c r="D13" s="44" t="s">
        <v>652</v>
      </c>
      <c r="E13" t="s">
        <v>609</v>
      </c>
      <c r="F13">
        <v>8334.5</v>
      </c>
      <c r="G13" s="3" t="s">
        <v>65</v>
      </c>
      <c r="H13" s="3">
        <v>1</v>
      </c>
      <c r="I13" s="3">
        <v>1</v>
      </c>
      <c r="J13" s="3" t="s">
        <v>61</v>
      </c>
      <c r="K13" s="3">
        <v>1</v>
      </c>
      <c r="L13" s="3" t="s">
        <v>61</v>
      </c>
      <c r="M13" t="s">
        <v>89</v>
      </c>
      <c r="N13" s="27">
        <f>1/3*15.97-B3-6</f>
        <v>10.323333333333334</v>
      </c>
      <c r="O13" s="3" t="s">
        <v>19</v>
      </c>
      <c r="P13" t="s">
        <v>640</v>
      </c>
      <c r="Q13" t="s">
        <v>623</v>
      </c>
      <c r="R13" s="10">
        <f>'Top Beam'!C10+'Top Beam'!C11+'Top Beam'!C12</f>
        <v>34503.487500000003</v>
      </c>
      <c r="S13" s="3" t="s">
        <v>65</v>
      </c>
      <c r="T13" s="3">
        <v>0.95</v>
      </c>
      <c r="U13" s="3">
        <v>1.35</v>
      </c>
      <c r="V13" s="3">
        <v>1.35</v>
      </c>
      <c r="W13" s="3">
        <v>0.95</v>
      </c>
      <c r="X13" s="3">
        <v>0.9</v>
      </c>
      <c r="Y13" t="s">
        <v>89</v>
      </c>
      <c r="Z13">
        <f>Z3</f>
        <v>-7.47</v>
      </c>
      <c r="AA13" s="52" t="s">
        <v>19</v>
      </c>
      <c r="AD13" s="66" t="s">
        <v>657</v>
      </c>
      <c r="AE13" s="11">
        <f>$R$3*$U$3*$Z$3+$R$4*$U$4*$Z$4+$R$5*$U$5*$Z$5+$R$6*$U$6*$Z$6+$R$7*$U$7*$Z$7+$R$8*$U$8*$Z$8+$R$9*$U$9*$Z$9+$R$10*$U$10*$Z$10+$R$11*$U$11*$Z$11+$R$12*$U$12*$Z$12+$R$13*$U$13*$Z$13+$R$14*$U$14*$Z$14+$R$15*$U$15*$Z$15+$R$16*$U$16*$Z$16+$R$17*$U$17*$Z$17+$R$18*$U$18*$Z$18+$R$19*$U$19*$Z$19+$R$20*$U$20*$Z$20+$R$21*$U$21*$Z$21+$R$22*$U$22*$Z$22+$R$23*$U$23*$Z$23+$R$24*$U$24*$Z$24+$R$25*$U$25*$Z$25+$R$26*$U$26*$Z$26+$R$27*$U$27*$Z$27+$R$28*$U$28*$Z$28+$R$29*$U$29*$Z$29+$R$30*$U$30*$Z$30+$R$31*$U$31*$Z$31+$R$32*$U$32*$Z$32+$F$3*$I$3*$N$3+$F$4*$I$4*$N$4+$F$5*$I$5*$N$5+$F$6*$I$6*$N$6+$F$7*$I$7*$N$7+$F$8*$I$8*$N$8+$F$9*$I$9*$N$9+$F$10*$I$10*$N$10+$F$11*$I$11*$N$11+$F$12*$I$12*$N$12+$F$13*$I$13*$N$13+$F$14*$I$14*$N$14+$F$15*$I$15*$N$15+$F$16*$I$16*$N$16+$F$17*$I$17*$N$17+$F$18*$I$18*$N$18</f>
        <v>668776.51556604868</v>
      </c>
      <c r="AF13" s="3" t="s">
        <v>57</v>
      </c>
      <c r="AH13" s="66" t="s">
        <v>657</v>
      </c>
      <c r="AI13" s="11">
        <f>$R$36*$U$36*$Z$36+$R$37*$U$37*$Z$37+$R$38*$U$38*$Z$38+$R$39*$U$39*$Z$39+$R$40*$U$40*$Z$40+$R$41*$U$41*$Z$41+$R$42*$U$42*$Z$42+$R$43*$U$43*$Z$43+$R$44*$U$44*$Z$44+$R$45*$U$45*$Z$45+$R$46*$U$46*$Z$46+$R$47*$U$47*$Z$47+$R$48*$U$48*$Z$48+$R$49*$U$49*$Z$49+$R$50*$U$50*$Z$50+$R$51*$U$51*$Z$51+$R$52*$U$52*$Z$52+$R$53*$U$53*$Z$53+$R$54*$U$54*$Z$54+$R$55*$U$55*$Z$55+$R$56*$U$56*$Z$56+$R$57*$U$57*$Z$57+$R$58*$U$58*$Z$58+$R$59*$U$59*$Z$59+$R$60*$U$60*$Z$60+$R$61*$U$61*$Z$61+$R$62*$U$62*$Z$62+$R$63*$U$63*$Z$63+$R$64*$U$64*$Z$64+$R$65*$U$65*$Z$65+$F$36*$I$36*$N$36+$F$37*$I$37*$N$37+$F$38*$I$38*$N$38+$F$39*$I$39*$N$39+$F$40*$I$40*$N$40+$F$41*$I$41*$N$41+$F$42*$I$42*$N$42+$F$43*$I$43*$N$43+$F$44*$I$44*$N$44+$F$45*$I$45*$N$45+$F$46*$I$46*$N$46+$F$47*$I$47*$N$47+$F$48*$I$48*$N$48+$F$49*$I$49*$N$49+$F$50*$I$50*$N$50+$F$51*$I$51*$N$51+$F$52*$I$52*$N$52</f>
        <v>338005.94125621027</v>
      </c>
      <c r="AJ13" s="3" t="s">
        <v>57</v>
      </c>
      <c r="AL13" s="66" t="s">
        <v>657</v>
      </c>
      <c r="AM13" s="11">
        <f>$R$36*$U$36*$Z$36+$R$37*$U$37*$Z$37+$R$38*$U$38*$Z$38+$R$39*$U$39*$Z$39+$R$40*$U$40*$Z$40+$R$41*$U$41*$Z$41+$R$42*$U$42*$Z$42+$R$43*$U$43*$Z$43+$R$44*$U$44*$Z$44+$R$45*$U$45*$Z$45+$R$46*$U$46*$Z$46+$R$47*$U$47*$Z$47+$R$48*$U$48*$Z$48+$R$49*$U$49*$Z$49+$R$50*$U$50*$Z$50+$R$51*$U$51*$Z$51+$R$52*$U$52*$Z$52+$R$53*$U$53*$Z$53+$R$54*$U$54*$Z$54+$R$55*$U$55*$Z$55+$R$56*$U$56*$Z$56+$R$57*$U$57*$Z$57+$R$58*$U$58*$Z$58+$R$59*$U$59*$Z$59+$R$60*$U$60*$Z$60+$R$61*$U$61*$Z$61+$R$62*$U$62*$Z$62+$R$63*$U$63*$Z$63+$R$64*$U$64*$Z$64+$R$65*$U$65*$Z$65+$F$36*$I$36*$N$36+$F$37*$I$37*$N$37+$F$38*$I$38*$N$38+$F$39*$I$39*$N$39+$F$40*$I$40*$N$40+$F$41*$I$41*$N$41+$F$42*$I$42*$N$42+$F$43*$I$43*$N$43+$F$44*$I$44*$N$44+$F$45*$I$45*$N$45+$F$46*$I$46*$N$46+$F$47*$I$47*$N$47+$F$48*$I$48*$N$48+$F$49*$I$49*$N$49+$F$50*$I$50*$N$50+$F$51*$I$51*$N$51+$F$52*$I$52*$N$52</f>
        <v>338005.94125621027</v>
      </c>
      <c r="AN13" s="3" t="s">
        <v>57</v>
      </c>
      <c r="AP13" s="66"/>
    </row>
    <row r="14" spans="1:50" ht="18" x14ac:dyDescent="0.4">
      <c r="A14" s="44"/>
      <c r="C14" s="52"/>
      <c r="D14" s="44" t="s">
        <v>654</v>
      </c>
      <c r="E14" t="s">
        <v>610</v>
      </c>
      <c r="F14" s="10">
        <f>0.5*(-B3-7)*16*0.27*(6.5*(-B3-6)+(-B3-6)*((B5-6.5)/2))</f>
        <v>680.40000000000009</v>
      </c>
      <c r="G14" s="3" t="s">
        <v>65</v>
      </c>
      <c r="H14" s="3">
        <v>1.05</v>
      </c>
      <c r="I14" s="3">
        <v>1.35</v>
      </c>
      <c r="J14" s="3" t="s">
        <v>61</v>
      </c>
      <c r="K14" s="3">
        <v>1.05</v>
      </c>
      <c r="L14" s="3" t="s">
        <v>61</v>
      </c>
      <c r="M14" t="s">
        <v>89</v>
      </c>
      <c r="N14" s="27">
        <f>(-B3-7)/3</f>
        <v>1.3333333333333333</v>
      </c>
      <c r="O14" s="3" t="s">
        <v>19</v>
      </c>
      <c r="P14" t="s">
        <v>641</v>
      </c>
      <c r="Q14" t="s">
        <v>624</v>
      </c>
      <c r="R14">
        <f>'Top Beam'!G14*10^(-6)*25*'Top Beam'!G6</f>
        <v>1237.5</v>
      </c>
      <c r="S14" s="3" t="s">
        <v>65</v>
      </c>
      <c r="T14" s="3">
        <v>0.95</v>
      </c>
      <c r="U14" s="3">
        <v>1.35</v>
      </c>
      <c r="V14" s="3">
        <v>1.35</v>
      </c>
      <c r="W14" s="3">
        <v>0.95</v>
      </c>
      <c r="X14" s="3">
        <v>0.9</v>
      </c>
      <c r="Y14" t="s">
        <v>89</v>
      </c>
      <c r="Z14">
        <v>-0.47</v>
      </c>
      <c r="AA14" s="52" t="s">
        <v>19</v>
      </c>
      <c r="AD14" s="2" t="s">
        <v>107</v>
      </c>
      <c r="AE14">
        <v>30</v>
      </c>
      <c r="AF14" s="3" t="s">
        <v>108</v>
      </c>
      <c r="AH14" s="2" t="s">
        <v>107</v>
      </c>
      <c r="AI14">
        <v>30</v>
      </c>
      <c r="AJ14" s="3" t="s">
        <v>108</v>
      </c>
      <c r="AL14" s="2" t="s">
        <v>107</v>
      </c>
      <c r="AM14">
        <v>30</v>
      </c>
      <c r="AN14" s="3" t="s">
        <v>108</v>
      </c>
      <c r="AP14" s="2"/>
    </row>
    <row r="15" spans="1:50" x14ac:dyDescent="0.25">
      <c r="A15" s="44"/>
      <c r="C15" s="52"/>
      <c r="D15" s="44" t="s">
        <v>652</v>
      </c>
      <c r="E15" t="s">
        <v>611</v>
      </c>
      <c r="F15">
        <f>160.58*(6.5*(-B3-6)+(-B3-6)*((B5-6.5)/2))+0.5*(-B3-6)*9.81*1.025*(6.5*(-B3-6)+(-B3-6)*((B5-6.5)/2))</f>
        <v>14625.302343750001</v>
      </c>
      <c r="G15" s="3" t="s">
        <v>65</v>
      </c>
      <c r="H15" s="3">
        <v>1</v>
      </c>
      <c r="I15" s="3">
        <v>1</v>
      </c>
      <c r="J15" s="3" t="s">
        <v>61</v>
      </c>
      <c r="K15" s="3">
        <v>1</v>
      </c>
      <c r="L15" s="3" t="s">
        <v>61</v>
      </c>
      <c r="M15" t="s">
        <v>89</v>
      </c>
      <c r="N15" s="27">
        <f>(160.58*(6.5*(-B3-6)+(-B3-6)*((B5-6.5)/2))*0.5*(-B3-6)+0.5*(-B3-6)*9.81*1.025*(6.5*(-B3-6)+(-B3-6)*((B5-6.5)/2))*(-B3-6)/3)/F15</f>
        <v>2.3872030530138075</v>
      </c>
      <c r="O15" s="3" t="s">
        <v>19</v>
      </c>
      <c r="P15" t="s">
        <v>642</v>
      </c>
      <c r="Q15" t="s">
        <v>625</v>
      </c>
      <c r="R15">
        <f>'Top Beam'!K14*10^(-6)*'Top Beam'!K6*25</f>
        <v>11056.25</v>
      </c>
      <c r="S15" s="3" t="s">
        <v>65</v>
      </c>
      <c r="T15" s="3">
        <v>0.95</v>
      </c>
      <c r="U15" s="3">
        <v>1.35</v>
      </c>
      <c r="V15" s="3">
        <v>1.35</v>
      </c>
      <c r="W15" s="3">
        <v>1.05</v>
      </c>
      <c r="X15" s="3">
        <v>0.9</v>
      </c>
      <c r="Y15" t="s">
        <v>89</v>
      </c>
      <c r="Z15">
        <f>Z12</f>
        <v>6.73</v>
      </c>
      <c r="AA15" s="52" t="s">
        <v>19</v>
      </c>
      <c r="AD15" t="s">
        <v>109</v>
      </c>
      <c r="AE15" s="7">
        <f>(-B3-7)*16</f>
        <v>64</v>
      </c>
      <c r="AF15" s="3" t="s">
        <v>52</v>
      </c>
      <c r="AH15" t="s">
        <v>109</v>
      </c>
      <c r="AI15" s="7">
        <f>(-B3-7)*16</f>
        <v>64</v>
      </c>
      <c r="AJ15" s="3" t="s">
        <v>52</v>
      </c>
      <c r="AL15" t="s">
        <v>109</v>
      </c>
      <c r="AM15" s="7">
        <f>(-B3-7)*16</f>
        <v>64</v>
      </c>
      <c r="AN15" s="3" t="s">
        <v>52</v>
      </c>
    </row>
    <row r="16" spans="1:50" x14ac:dyDescent="0.25">
      <c r="A16" s="44"/>
      <c r="C16" s="52"/>
      <c r="D16" s="44" t="s">
        <v>652</v>
      </c>
      <c r="E16" t="s">
        <v>612</v>
      </c>
      <c r="F16">
        <v>-615.91</v>
      </c>
      <c r="G16" s="3" t="s">
        <v>65</v>
      </c>
      <c r="H16" s="3">
        <v>1</v>
      </c>
      <c r="I16" s="3">
        <v>1</v>
      </c>
      <c r="J16" s="3" t="s">
        <v>61</v>
      </c>
      <c r="K16" s="3">
        <v>1</v>
      </c>
      <c r="L16" s="3" t="s">
        <v>61</v>
      </c>
      <c r="M16" t="s">
        <v>89</v>
      </c>
      <c r="N16" s="27">
        <f>(5/3-B3-6)</f>
        <v>6.6666666666666661</v>
      </c>
      <c r="O16" s="3" t="s">
        <v>19</v>
      </c>
      <c r="P16" t="s">
        <v>643</v>
      </c>
      <c r="Q16" t="s">
        <v>626</v>
      </c>
      <c r="R16" s="27">
        <f>'Pier Foot'!C28/1.25*'Pier Foot'!C3+'Pier Foot'!C69/1.25*'Pier Foot'!C7</f>
        <v>91941.087572490302</v>
      </c>
      <c r="S16" s="3" t="s">
        <v>65</v>
      </c>
      <c r="T16" s="3">
        <v>0.95</v>
      </c>
      <c r="U16" s="3">
        <v>1.35</v>
      </c>
      <c r="V16" s="3">
        <v>1.35</v>
      </c>
      <c r="W16" s="3">
        <v>0.95</v>
      </c>
      <c r="X16" s="3">
        <v>0.9</v>
      </c>
      <c r="Y16" t="s">
        <v>89</v>
      </c>
      <c r="Z16">
        <v>0</v>
      </c>
      <c r="AA16" s="52" t="s">
        <v>19</v>
      </c>
      <c r="AD16" t="s">
        <v>110</v>
      </c>
      <c r="AE16" s="13">
        <f>(1+SIN($AE$14/180*PI()))/(1-SIN($AE$14/180*PI()))*EXP(PI()*TAN(AE14/180*PI()))</f>
        <v>18.401122218708679</v>
      </c>
      <c r="AF16" s="3" t="s">
        <v>61</v>
      </c>
      <c r="AH16" t="s">
        <v>110</v>
      </c>
      <c r="AI16" s="13">
        <f>(1+SIN($AE$14/180*PI()))/(1-SIN($AE$14/180*PI()))*EXP(PI()*TAN(AI14/180*PI()))</f>
        <v>18.401122218708679</v>
      </c>
      <c r="AJ16" s="3" t="s">
        <v>61</v>
      </c>
      <c r="AL16" t="s">
        <v>110</v>
      </c>
      <c r="AM16" s="13">
        <f>(1+SIN($AE$14/180*PI()))/(1-SIN($AE$14/180*PI()))*EXP(PI()*TAN(AM14/180*PI()))</f>
        <v>18.401122218708679</v>
      </c>
      <c r="AN16" s="3" t="s">
        <v>61</v>
      </c>
    </row>
    <row r="17" spans="1:49" x14ac:dyDescent="0.25">
      <c r="A17" s="44"/>
      <c r="C17" s="52"/>
      <c r="D17" s="44" t="s">
        <v>652</v>
      </c>
      <c r="E17" t="s">
        <v>613</v>
      </c>
      <c r="F17" s="27">
        <f>-(70.39*(6.5*(-B3-6)+(-B3-6)*((B5-6.5)/2))+0.5*(-B3-6)*9.81*1.025*(6.5*(-B3-6)+(-B3-6)*((B5-6.5)/2)))</f>
        <v>-7522.83984375</v>
      </c>
      <c r="G17" s="3" t="s">
        <v>65</v>
      </c>
      <c r="H17" s="3">
        <v>1</v>
      </c>
      <c r="I17" s="3">
        <v>1</v>
      </c>
      <c r="J17" s="3" t="s">
        <v>61</v>
      </c>
      <c r="K17" s="3">
        <v>1</v>
      </c>
      <c r="L17" s="3" t="s">
        <v>61</v>
      </c>
      <c r="M17" t="s">
        <v>89</v>
      </c>
      <c r="N17" s="27">
        <f>-((70.39*(6.5*(-B3-6)+(-B3-6)*((B5-6.5)/2))*0.5*(-B3-6)+0.5*(-B3-6)*9.81*1.025*(6.5*(-B3-6)+(-B3-6)*((B5-6.5)/2))*(-B3-6)/3)/F17)</f>
        <v>2.2807092152180313</v>
      </c>
      <c r="O17" s="3" t="s">
        <v>19</v>
      </c>
      <c r="P17" t="s">
        <v>652</v>
      </c>
      <c r="Q17" t="s">
        <v>627</v>
      </c>
      <c r="R17" s="10">
        <f>-((1-B3)*9.81*1.025*B5*B6+(9.97-1)*9.81*1.025*0.5*B5*B6)</f>
        <v>-207200.99531249999</v>
      </c>
      <c r="S17" s="3" t="s">
        <v>65</v>
      </c>
      <c r="T17" s="3">
        <v>1</v>
      </c>
      <c r="U17" s="3">
        <v>1</v>
      </c>
      <c r="V17">
        <v>1</v>
      </c>
      <c r="W17" s="3">
        <v>1</v>
      </c>
      <c r="X17" s="3">
        <v>1</v>
      </c>
      <c r="Y17" t="s">
        <v>89</v>
      </c>
      <c r="Z17" s="27">
        <f>((1-B3)*9.81*1.025*B6*B5*0+(9.97-1)*9.81*1.025*0.5*B6*B5*(B6/2-B6/3))/R17</f>
        <v>-2.2672126175310887</v>
      </c>
      <c r="AA17" s="52" t="s">
        <v>19</v>
      </c>
      <c r="AD17" t="s">
        <v>111</v>
      </c>
      <c r="AE17" s="13">
        <v>1</v>
      </c>
      <c r="AF17" s="3" t="s">
        <v>61</v>
      </c>
      <c r="AH17" t="s">
        <v>111</v>
      </c>
      <c r="AI17" s="13">
        <v>1</v>
      </c>
      <c r="AJ17" s="3" t="s">
        <v>61</v>
      </c>
      <c r="AL17" t="s">
        <v>111</v>
      </c>
      <c r="AM17" s="13">
        <v>1</v>
      </c>
      <c r="AN17" s="3" t="s">
        <v>61</v>
      </c>
    </row>
    <row r="18" spans="1:49" x14ac:dyDescent="0.25">
      <c r="A18" s="44"/>
      <c r="C18" s="52"/>
      <c r="D18" s="44" t="s">
        <v>654</v>
      </c>
      <c r="E18" t="s">
        <v>614</v>
      </c>
      <c r="F18" s="28">
        <f>-0.5*(-B3-7)*16*3.69*(6.5*(-B3-6)+(-B3-6)*((B5-6.5)/2))</f>
        <v>-9298.7999999999993</v>
      </c>
      <c r="G18" s="3" t="s">
        <v>65</v>
      </c>
      <c r="H18" s="3">
        <v>0.95</v>
      </c>
      <c r="I18" s="3">
        <v>0.9</v>
      </c>
      <c r="J18" s="3" t="s">
        <v>61</v>
      </c>
      <c r="K18" s="3">
        <v>0.95</v>
      </c>
      <c r="L18" s="3" t="s">
        <v>61</v>
      </c>
      <c r="M18" t="s">
        <v>89</v>
      </c>
      <c r="N18" s="27">
        <f>(-B3-7)/3</f>
        <v>1.3333333333333333</v>
      </c>
      <c r="O18" s="3" t="s">
        <v>19</v>
      </c>
      <c r="P18" t="s">
        <v>654</v>
      </c>
      <c r="Q18" t="s">
        <v>628</v>
      </c>
      <c r="R18">
        <f>(-B3-8)*16*2.5*B5</f>
        <v>3000</v>
      </c>
      <c r="S18" s="3" t="s">
        <v>65</v>
      </c>
      <c r="T18" s="3">
        <v>0.95</v>
      </c>
      <c r="U18" s="3">
        <v>1.35</v>
      </c>
      <c r="V18" s="3">
        <v>1.35</v>
      </c>
      <c r="W18" s="3">
        <v>0.95</v>
      </c>
      <c r="X18" s="3">
        <v>0.9</v>
      </c>
      <c r="Y18" t="s">
        <v>89</v>
      </c>
      <c r="Z18">
        <f>-2.5/2-B6/2+2.5</f>
        <v>-23.75</v>
      </c>
      <c r="AA18" s="52" t="s">
        <v>19</v>
      </c>
      <c r="AD18" t="s">
        <v>114</v>
      </c>
      <c r="AE18" s="13">
        <v>1</v>
      </c>
      <c r="AF18" s="3" t="s">
        <v>61</v>
      </c>
      <c r="AH18" t="s">
        <v>114</v>
      </c>
      <c r="AI18" s="13">
        <v>1</v>
      </c>
      <c r="AJ18" s="3" t="s">
        <v>61</v>
      </c>
      <c r="AL18" t="s">
        <v>114</v>
      </c>
      <c r="AM18" s="13">
        <v>1</v>
      </c>
      <c r="AN18" s="3" t="s">
        <v>61</v>
      </c>
    </row>
    <row r="19" spans="1:49" ht="18" x14ac:dyDescent="0.4">
      <c r="A19" s="44"/>
      <c r="C19" s="52"/>
      <c r="D19" s="44"/>
      <c r="P19" t="s">
        <v>654</v>
      </c>
      <c r="Q19" t="s">
        <v>629</v>
      </c>
      <c r="R19">
        <f>R18</f>
        <v>3000</v>
      </c>
      <c r="S19" s="3" t="s">
        <v>65</v>
      </c>
      <c r="T19" s="3">
        <v>0.95</v>
      </c>
      <c r="U19" s="3">
        <v>1.35</v>
      </c>
      <c r="V19" s="3">
        <v>1.35</v>
      </c>
      <c r="W19" s="3">
        <v>1.05</v>
      </c>
      <c r="X19" s="3">
        <v>0.9</v>
      </c>
      <c r="Y19" t="s">
        <v>89</v>
      </c>
      <c r="Z19">
        <f>2.5/2+B6/2-2.5</f>
        <v>23.75</v>
      </c>
      <c r="AA19" s="52" t="s">
        <v>19</v>
      </c>
      <c r="AD19" t="s">
        <v>112</v>
      </c>
      <c r="AE19">
        <v>9</v>
      </c>
      <c r="AF19" s="3" t="s">
        <v>52</v>
      </c>
      <c r="AH19" t="s">
        <v>112</v>
      </c>
      <c r="AI19">
        <v>9</v>
      </c>
      <c r="AJ19" s="3" t="s">
        <v>52</v>
      </c>
      <c r="AL19" t="s">
        <v>112</v>
      </c>
      <c r="AM19">
        <v>9</v>
      </c>
      <c r="AN19" s="3" t="s">
        <v>52</v>
      </c>
    </row>
    <row r="20" spans="1:49" x14ac:dyDescent="0.25">
      <c r="A20" s="44"/>
      <c r="C20" s="52"/>
      <c r="D20" s="44"/>
      <c r="P20" t="s">
        <v>652</v>
      </c>
      <c r="Q20" t="s">
        <v>630</v>
      </c>
      <c r="R20" s="27">
        <f>(8.97-B3)*9.81*1.025*2.5*B5</f>
        <v>12550.20890625</v>
      </c>
      <c r="S20" s="3" t="s">
        <v>65</v>
      </c>
      <c r="T20" s="3">
        <v>1</v>
      </c>
      <c r="U20" s="3">
        <v>1</v>
      </c>
      <c r="V20">
        <v>1</v>
      </c>
      <c r="W20" s="3">
        <v>1</v>
      </c>
      <c r="X20" s="3">
        <v>1</v>
      </c>
      <c r="Y20" t="s">
        <v>89</v>
      </c>
      <c r="Z20">
        <f>Z18</f>
        <v>-23.75</v>
      </c>
      <c r="AA20" s="52" t="s">
        <v>19</v>
      </c>
      <c r="AD20" t="s">
        <v>113</v>
      </c>
      <c r="AE20" s="13">
        <f>($AE$16-1)*TAN(1.32*$AE$14/180*PI())</f>
        <v>14.395460239976011</v>
      </c>
      <c r="AF20" s="3" t="s">
        <v>61</v>
      </c>
      <c r="AH20" t="s">
        <v>113</v>
      </c>
      <c r="AI20" s="13">
        <f>($AI$16-1)*TAN(1.32*$AI$14/180*PI())</f>
        <v>14.395460239976011</v>
      </c>
      <c r="AJ20" s="3" t="s">
        <v>61</v>
      </c>
      <c r="AL20" t="s">
        <v>113</v>
      </c>
      <c r="AM20" s="13">
        <f>($AI$16-1)*TAN(1.32*$AI$14/180*PI())</f>
        <v>14.395460239976011</v>
      </c>
      <c r="AN20" s="3" t="s">
        <v>61</v>
      </c>
    </row>
    <row r="21" spans="1:49" x14ac:dyDescent="0.25">
      <c r="A21" s="44"/>
      <c r="C21" s="52"/>
      <c r="D21" s="44"/>
      <c r="P21" t="s">
        <v>652</v>
      </c>
      <c r="Q21" t="s">
        <v>631</v>
      </c>
      <c r="R21" s="27">
        <f>160.58*(B6/2-15.86)*4</f>
        <v>5870.8048000000008</v>
      </c>
      <c r="S21" s="3" t="s">
        <v>65</v>
      </c>
      <c r="T21" s="3">
        <v>1</v>
      </c>
      <c r="U21" s="3">
        <v>1</v>
      </c>
      <c r="V21">
        <v>1</v>
      </c>
      <c r="W21" s="3">
        <v>1</v>
      </c>
      <c r="X21" s="3">
        <v>1</v>
      </c>
      <c r="Y21" t="s">
        <v>89</v>
      </c>
      <c r="Z21">
        <f>-0.5*(B6/2-15.86)-13.36</f>
        <v>-17.93</v>
      </c>
      <c r="AA21" s="52" t="s">
        <v>19</v>
      </c>
      <c r="AD21" t="s">
        <v>115</v>
      </c>
      <c r="AE21" s="13">
        <v>1</v>
      </c>
      <c r="AF21" s="3" t="s">
        <v>61</v>
      </c>
      <c r="AH21" t="s">
        <v>115</v>
      </c>
      <c r="AI21" s="13">
        <v>1</v>
      </c>
      <c r="AJ21" s="3" t="s">
        <v>61</v>
      </c>
      <c r="AL21" t="s">
        <v>115</v>
      </c>
      <c r="AM21" s="13">
        <v>1</v>
      </c>
      <c r="AN21" s="3" t="s">
        <v>61</v>
      </c>
    </row>
    <row r="22" spans="1:49" x14ac:dyDescent="0.25">
      <c r="A22" s="44"/>
      <c r="C22" s="52"/>
      <c r="D22" s="44"/>
      <c r="P22" t="s">
        <v>652</v>
      </c>
      <c r="Q22" t="s">
        <v>632</v>
      </c>
      <c r="R22">
        <v>7087.2</v>
      </c>
      <c r="S22" s="3" t="s">
        <v>65</v>
      </c>
      <c r="T22" s="3">
        <v>1</v>
      </c>
      <c r="U22" s="3">
        <v>1</v>
      </c>
      <c r="V22">
        <v>1</v>
      </c>
      <c r="W22" s="3">
        <v>1</v>
      </c>
      <c r="X22" s="3">
        <v>1</v>
      </c>
      <c r="Y22" t="s">
        <v>89</v>
      </c>
      <c r="Z22">
        <f>Z13</f>
        <v>-7.47</v>
      </c>
      <c r="AA22" s="52" t="s">
        <v>19</v>
      </c>
      <c r="AD22" t="s">
        <v>116</v>
      </c>
      <c r="AE22" s="13">
        <v>1</v>
      </c>
      <c r="AF22" s="3" t="s">
        <v>61</v>
      </c>
      <c r="AH22" t="s">
        <v>116</v>
      </c>
      <c r="AI22" s="13">
        <v>1</v>
      </c>
      <c r="AJ22" s="3" t="s">
        <v>61</v>
      </c>
      <c r="AL22" t="s">
        <v>116</v>
      </c>
      <c r="AM22" s="13">
        <v>1</v>
      </c>
      <c r="AN22" s="3" t="s">
        <v>61</v>
      </c>
    </row>
    <row r="23" spans="1:49" x14ac:dyDescent="0.25">
      <c r="A23" s="44"/>
      <c r="C23" s="52"/>
      <c r="D23" s="44"/>
      <c r="P23" t="s">
        <v>652</v>
      </c>
      <c r="Q23" t="s">
        <v>633</v>
      </c>
      <c r="R23" s="27">
        <f>70.39*(B6/2+1.55)*6.5</f>
        <v>12147.554250000001</v>
      </c>
      <c r="S23" s="3" t="s">
        <v>65</v>
      </c>
      <c r="T23" s="3">
        <v>1</v>
      </c>
      <c r="U23" s="3">
        <v>1</v>
      </c>
      <c r="V23">
        <v>1</v>
      </c>
      <c r="W23" s="3">
        <v>1</v>
      </c>
      <c r="X23" s="3">
        <v>1</v>
      </c>
      <c r="Y23" t="s">
        <v>89</v>
      </c>
      <c r="Z23">
        <f>0.5*(B6/2+1.55)-4.05</f>
        <v>9.2250000000000014</v>
      </c>
      <c r="AA23" s="52" t="s">
        <v>19</v>
      </c>
      <c r="AJ23" s="3"/>
      <c r="AN23" s="3"/>
    </row>
    <row r="24" spans="1:49" x14ac:dyDescent="0.25">
      <c r="A24" s="44"/>
      <c r="C24" s="52"/>
      <c r="D24" s="44"/>
      <c r="P24" t="s">
        <v>652</v>
      </c>
      <c r="Q24" t="s">
        <v>634</v>
      </c>
      <c r="R24" s="27">
        <f>-B3*9.81*1.025*2.5*B5</f>
        <v>6912.9843749999991</v>
      </c>
      <c r="S24" s="3" t="s">
        <v>65</v>
      </c>
      <c r="T24" s="3">
        <v>1</v>
      </c>
      <c r="U24" s="3">
        <v>1</v>
      </c>
      <c r="V24">
        <v>1</v>
      </c>
      <c r="W24" s="3">
        <v>1</v>
      </c>
      <c r="X24" s="3">
        <v>1</v>
      </c>
      <c r="Y24" t="s">
        <v>89</v>
      </c>
      <c r="Z24">
        <f>Z19</f>
        <v>23.75</v>
      </c>
      <c r="AA24" s="52" t="s">
        <v>19</v>
      </c>
      <c r="AD24" t="s">
        <v>53</v>
      </c>
      <c r="AE24" s="13">
        <f>(AE15*AE16*AE17*AE18+0.5*AE19*B6*AE20*AE21*AE22)/1000</f>
        <v>4.4166503759919582</v>
      </c>
      <c r="AF24" s="3" t="s">
        <v>14</v>
      </c>
      <c r="AH24" t="s">
        <v>53</v>
      </c>
      <c r="AI24" s="13">
        <f>(AI15*AI16*AI17*AI18+0.5*AI19*B6*AI20*AI21*AI22)/1000</f>
        <v>4.4166503759919582</v>
      </c>
      <c r="AJ24" s="3" t="s">
        <v>14</v>
      </c>
      <c r="AL24" t="s">
        <v>53</v>
      </c>
      <c r="AM24" s="13">
        <f>(AM15*AM16*AM17*AM18+0.5*AM19*B6*AM20*AM21*AM22)/1000</f>
        <v>4.4166503759919582</v>
      </c>
      <c r="AN24" s="3" t="s">
        <v>14</v>
      </c>
    </row>
    <row r="25" spans="1:49" x14ac:dyDescent="0.25">
      <c r="A25" s="44"/>
      <c r="C25" s="52"/>
      <c r="D25" s="44"/>
      <c r="P25" t="s">
        <v>654</v>
      </c>
      <c r="Q25" t="s">
        <v>635</v>
      </c>
      <c r="R25" s="10">
        <f>0.5*(-B3-8)*16*((B5-6.5)/2*(1-1/(-B3-7)))*(B6/2-8.42)</f>
        <v>2760.5699999999997</v>
      </c>
      <c r="S25" s="3" t="s">
        <v>65</v>
      </c>
      <c r="T25" s="3">
        <v>0.95</v>
      </c>
      <c r="U25" s="3">
        <v>1.35</v>
      </c>
      <c r="V25" s="3">
        <v>1.35</v>
      </c>
      <c r="W25" s="3">
        <v>0.95</v>
      </c>
      <c r="X25" s="3">
        <v>0.9</v>
      </c>
      <c r="Y25" t="s">
        <v>89</v>
      </c>
      <c r="Z25">
        <f>-0.5*(B6/2-8.42)-5.92</f>
        <v>-14.209999999999999</v>
      </c>
      <c r="AA25" s="52" t="s">
        <v>19</v>
      </c>
      <c r="AD25">
        <f>(AE15*AE16*AE17*AE18)/1000</f>
        <v>1.1776718219973554</v>
      </c>
      <c r="AE25">
        <f>(0.5*AE19*B6*AE20*AE21*AE22)/1000</f>
        <v>3.2389785539946025</v>
      </c>
      <c r="AJ25" s="3"/>
      <c r="AN25" s="3"/>
    </row>
    <row r="26" spans="1:49" ht="18" x14ac:dyDescent="0.4">
      <c r="A26" s="44"/>
      <c r="C26" s="52"/>
      <c r="D26" s="44"/>
      <c r="P26" t="s">
        <v>654</v>
      </c>
      <c r="Q26" t="s">
        <v>636</v>
      </c>
      <c r="R26" s="10">
        <f>R25</f>
        <v>2760.5699999999997</v>
      </c>
      <c r="S26" s="3" t="s">
        <v>65</v>
      </c>
      <c r="T26" s="3">
        <v>0.95</v>
      </c>
      <c r="U26" s="3">
        <v>1.35</v>
      </c>
      <c r="V26" s="3">
        <v>1.35</v>
      </c>
      <c r="W26" s="3">
        <v>0.95</v>
      </c>
      <c r="X26" s="3">
        <v>0.9</v>
      </c>
      <c r="Y26" t="s">
        <v>89</v>
      </c>
      <c r="Z26">
        <f>Z25</f>
        <v>-14.209999999999999</v>
      </c>
      <c r="AA26" s="52" t="s">
        <v>19</v>
      </c>
      <c r="AD26" s="2" t="s">
        <v>662</v>
      </c>
      <c r="AE26" s="14">
        <f>AE11*1000/('Pier Foot'!C4*1000*'Pier Foot'!C3*1000)+ABS(AE13*10^6)/(1/6*(B6*1000)^2*B5*1000)</f>
        <v>0.25379528839875187</v>
      </c>
      <c r="AF26" s="3" t="s">
        <v>14</v>
      </c>
      <c r="AH26" s="2" t="s">
        <v>662</v>
      </c>
      <c r="AI26" s="13">
        <f>AI11*1000/('Pier Foot'!C4*1000*'Pier Foot'!C3*1000)+ABS(AI13*10^6)/(1/6*(B6*1000)^2*B5*1000)</f>
        <v>0.20681176084653252</v>
      </c>
      <c r="AJ26" s="3" t="s">
        <v>14</v>
      </c>
      <c r="AL26" s="2" t="s">
        <v>662</v>
      </c>
      <c r="AM26" s="9">
        <f>AM11*1000/('Pier Foot'!C4*1000*'Pier Foot'!C3*1000)+ABS(AM13*10^6)/(1/6*(B6*1000)^2*B5*1000)</f>
        <v>0.23836371996667405</v>
      </c>
      <c r="AN26" s="3" t="s">
        <v>14</v>
      </c>
      <c r="AP26" s="2"/>
    </row>
    <row r="27" spans="1:49" x14ac:dyDescent="0.25">
      <c r="A27" s="44"/>
      <c r="C27" s="52"/>
      <c r="D27" s="44"/>
      <c r="P27" t="s">
        <v>652</v>
      </c>
      <c r="Q27" t="s">
        <v>644</v>
      </c>
      <c r="R27" s="27">
        <f>160.58*((B5-6.5)/2)*16.58+0.5*(-B3-6)*9.81*1.025*((B5-6.5)/2)*(B6/2-8.42)</f>
        <v>28482.660240624999</v>
      </c>
      <c r="S27" s="3" t="s">
        <v>65</v>
      </c>
      <c r="T27" s="3">
        <v>1</v>
      </c>
      <c r="U27" s="3">
        <v>1</v>
      </c>
      <c r="V27">
        <v>1</v>
      </c>
      <c r="W27" s="3">
        <v>1</v>
      </c>
      <c r="X27" s="3">
        <v>1</v>
      </c>
      <c r="Y27" t="s">
        <v>89</v>
      </c>
      <c r="Z27">
        <f>Z26</f>
        <v>-14.209999999999999</v>
      </c>
      <c r="AA27" s="52" t="s">
        <v>19</v>
      </c>
      <c r="AD27" t="s">
        <v>176</v>
      </c>
      <c r="AE27" s="13">
        <f>AE26/AE24</f>
        <v>5.746329611651696E-2</v>
      </c>
      <c r="AF27" s="3" t="s">
        <v>61</v>
      </c>
      <c r="AH27" t="s">
        <v>176</v>
      </c>
      <c r="AI27" s="13">
        <f>AI26/AI24</f>
        <v>4.6825477056259772E-2</v>
      </c>
      <c r="AJ27" s="3" t="s">
        <v>61</v>
      </c>
      <c r="AL27" t="s">
        <v>176</v>
      </c>
      <c r="AM27" s="13">
        <f>AM26/AM24</f>
        <v>5.3969343206872862E-2</v>
      </c>
      <c r="AN27" s="3" t="s">
        <v>61</v>
      </c>
    </row>
    <row r="28" spans="1:49" ht="18" x14ac:dyDescent="0.4">
      <c r="A28" s="44"/>
      <c r="C28" s="52"/>
      <c r="D28" s="44"/>
      <c r="P28" t="s">
        <v>652</v>
      </c>
      <c r="Q28" t="s">
        <v>645</v>
      </c>
      <c r="R28" s="27">
        <f>R27</f>
        <v>28482.660240624999</v>
      </c>
      <c r="S28" s="3" t="s">
        <v>65</v>
      </c>
      <c r="T28" s="3">
        <v>1</v>
      </c>
      <c r="U28" s="3">
        <v>1</v>
      </c>
      <c r="V28">
        <v>1</v>
      </c>
      <c r="W28" s="3">
        <v>1</v>
      </c>
      <c r="X28" s="3">
        <v>1</v>
      </c>
      <c r="Y28" t="s">
        <v>89</v>
      </c>
      <c r="Z28">
        <f>Z27</f>
        <v>-14.209999999999999</v>
      </c>
      <c r="AA28" s="52" t="s">
        <v>19</v>
      </c>
      <c r="AD28" s="2" t="s">
        <v>684</v>
      </c>
      <c r="AE28" s="14">
        <f>AE11*1000/('Pier Foot'!C4*1000*'Pier Foot'!C3*1000)-ABS(AE13*10^6)/(1/6*(B6*1000)^2*B5*1000)</f>
        <v>0.12539019741007054</v>
      </c>
      <c r="AF28" s="3" t="s">
        <v>14</v>
      </c>
      <c r="AL28" s="2" t="s">
        <v>684</v>
      </c>
      <c r="AM28" s="14">
        <f>AM11*1000/('Pier Foot'!C4*1000*'Pier Foot'!C3*1000)-ABS(AM13*10^6)/(1/6*(B6*1000)^2*B5*1000)</f>
        <v>0.1734665792454817</v>
      </c>
      <c r="AN28" s="3" t="s">
        <v>14</v>
      </c>
    </row>
    <row r="29" spans="1:49" x14ac:dyDescent="0.25">
      <c r="A29" s="44"/>
      <c r="C29" s="52"/>
      <c r="D29" s="44"/>
      <c r="P29" t="s">
        <v>654</v>
      </c>
      <c r="Q29" t="s">
        <v>646</v>
      </c>
      <c r="R29" s="10">
        <f>0.5*(-B3-8)*16*((B5-6.5)/2*(1-1/(-B3-7)))*(B6/2-3.58)</f>
        <v>3566.4300000000003</v>
      </c>
      <c r="S29" s="3" t="s">
        <v>65</v>
      </c>
      <c r="T29" s="3">
        <v>0.95</v>
      </c>
      <c r="U29" s="3">
        <v>1.35</v>
      </c>
      <c r="V29" s="3">
        <v>1.35</v>
      </c>
      <c r="W29" s="3">
        <v>1.05</v>
      </c>
      <c r="X29" s="3">
        <v>0.9</v>
      </c>
      <c r="Y29" t="s">
        <v>89</v>
      </c>
      <c r="Z29">
        <f>0.5*(B6/2-3.58)+1.08</f>
        <v>11.790000000000001</v>
      </c>
      <c r="AA29" s="52" t="s">
        <v>19</v>
      </c>
      <c r="AD29" s="1" t="s">
        <v>124</v>
      </c>
      <c r="AH29" s="1" t="s">
        <v>124</v>
      </c>
      <c r="AU29" s="1" t="s">
        <v>124</v>
      </c>
    </row>
    <row r="30" spans="1:49" x14ac:dyDescent="0.25">
      <c r="A30" s="44"/>
      <c r="C30" s="52"/>
      <c r="D30" s="44"/>
      <c r="P30" t="s">
        <v>654</v>
      </c>
      <c r="Q30" t="s">
        <v>647</v>
      </c>
      <c r="R30" s="10">
        <f>R29</f>
        <v>3566.4300000000003</v>
      </c>
      <c r="S30" s="3" t="s">
        <v>65</v>
      </c>
      <c r="T30" s="3">
        <v>0.95</v>
      </c>
      <c r="U30" s="3">
        <v>1.35</v>
      </c>
      <c r="V30" s="3">
        <v>1.35</v>
      </c>
      <c r="W30" s="3">
        <v>1.05</v>
      </c>
      <c r="X30" s="3">
        <v>0.9</v>
      </c>
      <c r="Y30" t="s">
        <v>89</v>
      </c>
      <c r="Z30">
        <f>Z29</f>
        <v>11.790000000000001</v>
      </c>
      <c r="AA30" s="52" t="s">
        <v>19</v>
      </c>
      <c r="AD30" s="57" t="s">
        <v>638</v>
      </c>
      <c r="AH30" s="57" t="s">
        <v>667</v>
      </c>
      <c r="AU30" s="57" t="s">
        <v>676</v>
      </c>
    </row>
    <row r="31" spans="1:49" ht="18" x14ac:dyDescent="0.4">
      <c r="A31" s="44"/>
      <c r="C31" s="52"/>
      <c r="D31" s="44"/>
      <c r="P31" t="s">
        <v>652</v>
      </c>
      <c r="Q31" t="s">
        <v>648</v>
      </c>
      <c r="R31" s="27">
        <f>70.39*((B5-6.5)/2)*21.42+0.5*(-B3-6)*9.81*1.025*((B5-6.5)/2)*(B6/2-3.58)</f>
        <v>18927.465046875001</v>
      </c>
      <c r="S31" s="3" t="s">
        <v>65</v>
      </c>
      <c r="T31" s="3">
        <v>1</v>
      </c>
      <c r="U31" s="3">
        <v>1</v>
      </c>
      <c r="V31" s="3">
        <v>1</v>
      </c>
      <c r="W31" s="3">
        <v>1</v>
      </c>
      <c r="X31" s="3">
        <v>1</v>
      </c>
      <c r="Y31" t="s">
        <v>89</v>
      </c>
      <c r="Z31">
        <f>Z30</f>
        <v>11.790000000000001</v>
      </c>
      <c r="AA31" s="52" t="s">
        <v>19</v>
      </c>
      <c r="AD31" s="66" t="s">
        <v>651</v>
      </c>
      <c r="AE31" s="11">
        <f>$R$3*$V$3+$R$4*$V$4+$R$5*$V$5+$R$6*$V$6+$R$7*$V$7+$R$8*$V$8+$R$9*$V$9+$R$10*$V$10+$R$11*$V$11+$R$12*$V$12+$R$13*$V$13+$R$14*$V$14+$R$15*$V$15+$R$16*$V$16+$R$17*$V$17+$R$18*$V$18+$R$19*$V$19+$R$20*$V$20+$R$21*$V$21+$R$22*$V$22+$R$23*$V$23+$R$24*$V$24+$R$25*$V$25+$R$26*$V$26+$R$27*$V$27+$R$28*$V$28+$R$29*$V$29+$R$30*$V$30+$R$31*$V$31+$R$32*$V$32</f>
        <v>237297.10863051401</v>
      </c>
      <c r="AF31" s="3" t="s">
        <v>65</v>
      </c>
      <c r="AH31" s="66" t="s">
        <v>651</v>
      </c>
      <c r="AI31" s="11">
        <f>$R$36*$V$36+$R$37*$V$37+$R$38*$V$38+$R$39*$V$39+$R$40*$V$40+$R$41*$V$41+$R$42*$V$42+$R$43*$V$43+$R$44*$V$44+$R$45*$V$45+$R$46*$V$46+$R$47*$V$47+$R$48*$V$48+$R$49*$V$49+$R$50*$V$50+$R$51*$V$51+$R$52*$V$52+$R$53*$V$53+$R$54*$V$54+$R$55*$V$55+$R$56*$V$56+$R$57*$V$57+$R$58*$V$58+$R$59*$V$59+$R$60*$V$60+$R$61*$V$61+$R$62*$V$62+$R$63*$V$63+$R$64*$V$64+$R$65*$V$65</f>
        <v>218192.12810742043</v>
      </c>
      <c r="AJ31" s="3" t="s">
        <v>65</v>
      </c>
      <c r="AU31" s="66" t="s">
        <v>651</v>
      </c>
      <c r="AV31" s="11">
        <f>R118*V118+R119*V119+R120*V120+R121*V121+R122*V122+R123*V123+R124*V124+R125*V125+R126*V126+R127*V127+R128*V128+R129*V129+R130*V130+R131*V131+R132*V132+R133*V133+R134*V134+R135*V135+R136*V136+R137*V137+R138*V138+R139*V139+R140*V140+R141*V141+R142*V142+R143*V143+R144*V144+R145*V145+R146*V146</f>
        <v>295569.21540137724</v>
      </c>
      <c r="AW31" s="3" t="s">
        <v>65</v>
      </c>
    </row>
    <row r="32" spans="1:49" x14ac:dyDescent="0.25">
      <c r="A32" s="44"/>
      <c r="C32" s="52"/>
      <c r="D32" s="44"/>
      <c r="P32" t="s">
        <v>652</v>
      </c>
      <c r="Q32" t="s">
        <v>649</v>
      </c>
      <c r="R32" s="27">
        <f>R31</f>
        <v>18927.465046875001</v>
      </c>
      <c r="S32" s="3" t="s">
        <v>65</v>
      </c>
      <c r="T32" s="3">
        <v>1</v>
      </c>
      <c r="U32" s="3">
        <v>1</v>
      </c>
      <c r="V32">
        <v>1</v>
      </c>
      <c r="W32" s="3">
        <v>1</v>
      </c>
      <c r="X32" s="3">
        <v>1</v>
      </c>
      <c r="Y32" t="s">
        <v>89</v>
      </c>
      <c r="Z32">
        <f>Z31</f>
        <v>11.790000000000001</v>
      </c>
      <c r="AA32" s="52" t="s">
        <v>19</v>
      </c>
      <c r="AD32" t="s">
        <v>663</v>
      </c>
      <c r="AE32">
        <v>74</v>
      </c>
      <c r="AF32" s="3" t="s">
        <v>9</v>
      </c>
      <c r="AH32" t="s">
        <v>663</v>
      </c>
      <c r="AJ32" s="3" t="s">
        <v>9</v>
      </c>
      <c r="AU32" t="s">
        <v>663</v>
      </c>
      <c r="AV32">
        <v>97</v>
      </c>
      <c r="AW32" s="3" t="s">
        <v>9</v>
      </c>
    </row>
    <row r="33" spans="1:49" x14ac:dyDescent="0.25">
      <c r="A33" s="44"/>
      <c r="C33" s="52"/>
      <c r="D33" s="44"/>
      <c r="AA33" s="52"/>
      <c r="AD33" t="s">
        <v>176</v>
      </c>
      <c r="AE33" s="13">
        <f>AE32/95</f>
        <v>0.77894736842105261</v>
      </c>
      <c r="AF33" s="3" t="s">
        <v>61</v>
      </c>
      <c r="AH33" t="s">
        <v>176</v>
      </c>
      <c r="AI33" s="13">
        <f>AI32/95</f>
        <v>0</v>
      </c>
      <c r="AJ33" s="3" t="s">
        <v>61</v>
      </c>
      <c r="AU33" t="s">
        <v>176</v>
      </c>
      <c r="AV33" s="13">
        <f>AV32/100</f>
        <v>0.97</v>
      </c>
      <c r="AW33" s="3" t="s">
        <v>61</v>
      </c>
    </row>
    <row r="34" spans="1:49" ht="18.75" thickBot="1" x14ac:dyDescent="0.45">
      <c r="A34" s="46"/>
      <c r="B34" s="64"/>
      <c r="C34" s="54"/>
      <c r="D34" s="46"/>
      <c r="E34" s="68" t="s">
        <v>650</v>
      </c>
      <c r="F34" s="64">
        <f>SUM(F3:F18)</f>
        <v>83199.976299999995</v>
      </c>
      <c r="G34" s="48"/>
      <c r="H34" s="48"/>
      <c r="I34" s="48"/>
      <c r="J34" s="48"/>
      <c r="K34" s="64"/>
      <c r="L34" s="64"/>
      <c r="M34" s="64"/>
      <c r="N34" s="64"/>
      <c r="O34" s="48"/>
      <c r="P34" s="64"/>
      <c r="Q34" s="68" t="s">
        <v>651</v>
      </c>
      <c r="R34" s="65">
        <f>SUM(R3:R32)</f>
        <v>159383.05832468634</v>
      </c>
      <c r="S34" s="48"/>
      <c r="T34" s="48"/>
      <c r="U34" s="48"/>
      <c r="V34" s="64"/>
      <c r="W34" s="64"/>
      <c r="X34" s="64"/>
      <c r="Y34" s="64"/>
      <c r="Z34" s="64"/>
      <c r="AA34" s="54"/>
    </row>
    <row r="35" spans="1:49" x14ac:dyDescent="0.25">
      <c r="D35" s="61" t="s">
        <v>556</v>
      </c>
      <c r="E35" s="62"/>
      <c r="F35" s="63" t="s">
        <v>151</v>
      </c>
      <c r="G35" s="42"/>
      <c r="H35" s="69" t="s">
        <v>658</v>
      </c>
      <c r="I35" s="69" t="s">
        <v>659</v>
      </c>
      <c r="J35" s="69" t="s">
        <v>660</v>
      </c>
      <c r="K35" s="69" t="s">
        <v>661</v>
      </c>
      <c r="L35" s="69"/>
      <c r="M35" s="62"/>
      <c r="N35" s="67" t="s">
        <v>655</v>
      </c>
      <c r="O35" s="42"/>
      <c r="P35" s="62"/>
      <c r="Q35" s="62"/>
      <c r="R35" s="62"/>
      <c r="S35" s="42"/>
      <c r="T35" s="69" t="s">
        <v>658</v>
      </c>
      <c r="U35" s="69" t="s">
        <v>659</v>
      </c>
      <c r="V35" s="69" t="s">
        <v>660</v>
      </c>
      <c r="W35" s="69" t="s">
        <v>661</v>
      </c>
      <c r="X35" s="69"/>
      <c r="Y35" s="62"/>
      <c r="Z35" s="62"/>
      <c r="AA35" s="51"/>
      <c r="AD35" s="1" t="s">
        <v>664</v>
      </c>
      <c r="AH35" s="1" t="s">
        <v>664</v>
      </c>
      <c r="AP35" s="1"/>
      <c r="AT35" s="1"/>
    </row>
    <row r="36" spans="1:49" x14ac:dyDescent="0.25">
      <c r="D36" s="44" t="s">
        <v>588</v>
      </c>
      <c r="E36" t="s">
        <v>597</v>
      </c>
      <c r="F36" s="3">
        <v>5220</v>
      </c>
      <c r="G36" s="3" t="s">
        <v>65</v>
      </c>
      <c r="H36" s="3">
        <v>1</v>
      </c>
      <c r="I36" s="3">
        <v>1</v>
      </c>
      <c r="J36" s="3">
        <v>1</v>
      </c>
      <c r="K36" s="3">
        <v>1</v>
      </c>
      <c r="L36" s="3"/>
      <c r="M36" s="32" t="s">
        <v>89</v>
      </c>
      <c r="N36" s="3">
        <f>-B3-2</f>
        <v>9</v>
      </c>
      <c r="O36" s="3" t="s">
        <v>19</v>
      </c>
      <c r="P36" t="s">
        <v>1</v>
      </c>
      <c r="Q36" t="s">
        <v>602</v>
      </c>
      <c r="R36" s="10">
        <f>Gate!BF24</f>
        <v>9526.1136587800102</v>
      </c>
      <c r="S36" s="3" t="s">
        <v>65</v>
      </c>
      <c r="T36" s="3">
        <v>0.95</v>
      </c>
      <c r="U36" s="3">
        <v>1.25</v>
      </c>
      <c r="V36" s="3">
        <v>1.25</v>
      </c>
      <c r="W36" s="3">
        <v>0.95</v>
      </c>
      <c r="X36" s="3"/>
      <c r="Y36" t="s">
        <v>89</v>
      </c>
      <c r="Z36">
        <v>-7.47</v>
      </c>
      <c r="AA36" s="52" t="s">
        <v>19</v>
      </c>
      <c r="AD36" s="57" t="s">
        <v>638</v>
      </c>
      <c r="AH36" s="57" t="s">
        <v>667</v>
      </c>
      <c r="AP36" s="57"/>
      <c r="AT36" s="57"/>
      <c r="AU36" s="57"/>
    </row>
    <row r="37" spans="1:49" ht="18" x14ac:dyDescent="0.4">
      <c r="D37" s="44" t="s">
        <v>653</v>
      </c>
      <c r="E37" t="s">
        <v>598</v>
      </c>
      <c r="F37">
        <f>19.4*10.4*40+0.5*(29.79-19.4)*10.4*40</f>
        <v>10231.52</v>
      </c>
      <c r="G37" s="3" t="s">
        <v>65</v>
      </c>
      <c r="H37" s="3">
        <v>1</v>
      </c>
      <c r="I37" s="3">
        <v>1</v>
      </c>
      <c r="J37" s="3" t="s">
        <v>61</v>
      </c>
      <c r="K37" s="3">
        <v>1</v>
      </c>
      <c r="L37" s="3"/>
      <c r="M37" t="s">
        <v>89</v>
      </c>
      <c r="N37" s="27">
        <f>(8070.4*(0.5*10.4+(-$B$3-6.7))+2161.12*(2/3*10.4+(-$B$3-6.7)))/F37</f>
        <v>9.8661177746154376</v>
      </c>
      <c r="O37" s="3" t="s">
        <v>19</v>
      </c>
      <c r="P37" t="s">
        <v>652</v>
      </c>
      <c r="Q37" t="s">
        <v>604</v>
      </c>
      <c r="R37">
        <v>1297.92</v>
      </c>
      <c r="S37" s="3" t="s">
        <v>65</v>
      </c>
      <c r="T37" s="3">
        <v>1</v>
      </c>
      <c r="U37" s="3">
        <v>1</v>
      </c>
      <c r="V37" s="3">
        <v>1</v>
      </c>
      <c r="W37" s="3">
        <v>1</v>
      </c>
      <c r="X37" s="3"/>
      <c r="Y37" t="s">
        <v>89</v>
      </c>
      <c r="Z37" s="27">
        <f>-((798.72*3.62+499.2*3.07)/R37)</f>
        <v>-3.4084615384615389</v>
      </c>
      <c r="AA37" s="52" t="s">
        <v>19</v>
      </c>
      <c r="AD37" s="66" t="s">
        <v>651</v>
      </c>
      <c r="AE37" s="11">
        <f>$R$3*$W$3+$R$4*$W$4+$R$5*$W$5+$R$6*$W$6+$R$7*$W$7+$R$8*$W$8+$R$9*$W$9+$R$10*$W$10+$R$11*$W$11+$R$12*$W$12+$R$13*$W$13+$R$14*$W$14+$R$15*$W$15+$R$16*$W$16+$R$17*$W$17+$R$18*$W$18+$R$19*$W$19+$R$20*$W$20+$R$21*$W$21+$R$22*$W$22+$R$23*$W$23+$R$24*$W$24+$R$25*$W$25+$R$26*$W$26+$R$27*$W$27+$R$28*$W$28+$R$29*$W$29+$R$30*$W$30+$R$31*$W$31+$R$32*$W$32</f>
        <v>143647.88061640036</v>
      </c>
      <c r="AF37" s="3" t="s">
        <v>65</v>
      </c>
      <c r="AH37" s="66" t="s">
        <v>651</v>
      </c>
      <c r="AI37" s="11">
        <f>$R$36*$W$36+$R$37*$W$37+$R$38*$W$38+$R$39*$W$39+$R$40*$W$40+$R$41*$W$41+$R$42*$W$42+$R$43*$W$43+$R$44*$W$44+$R$45*$W$45+$R$46*$W$46+$R$47*$W$47+$R$48*$W$48+$R$49*$W$49+$R$50*$W$50+$R$51*$W$51+$R$52*$W$52+$R$53*$W$53+$R$54*$W$54+$R$55*$W$55+$R$56*$W$56+$R$57*$W$57+$R$58*$W$58+$R$59*$W$59+$R$60*$W$60+$R$61*$W$61+$R$62*$W$62+$R$63*$W$63+$R$64*$W$64+$R$65*$W$65</f>
        <v>148273.78946640037</v>
      </c>
      <c r="AJ37" s="3" t="s">
        <v>65</v>
      </c>
      <c r="AP37" s="66"/>
      <c r="AT37" s="66"/>
      <c r="AU37" s="66"/>
      <c r="AV37" s="3"/>
    </row>
    <row r="38" spans="1:49" ht="18" x14ac:dyDescent="0.4">
      <c r="D38" s="44" t="s">
        <v>652</v>
      </c>
      <c r="E38" t="s">
        <v>599</v>
      </c>
      <c r="F38">
        <f>33.28*10.4*40+0.5*(137.86-33.28)*10.4*40</f>
        <v>35597.120000000003</v>
      </c>
      <c r="G38" s="3" t="s">
        <v>65</v>
      </c>
      <c r="H38" s="3">
        <v>1</v>
      </c>
      <c r="I38" s="3">
        <v>1</v>
      </c>
      <c r="J38" s="3" t="s">
        <v>61</v>
      </c>
      <c r="K38" s="3">
        <v>1</v>
      </c>
      <c r="L38" s="3"/>
      <c r="M38" t="s">
        <v>89</v>
      </c>
      <c r="N38" s="27">
        <f>(13844.48*(0.5*10.4+(-$B$3-6.7))+21752.64*(1/3*10.4+(-$B$3-6.7)))/F38</f>
        <v>8.4407970082973005</v>
      </c>
      <c r="O38" s="3" t="s">
        <v>19</v>
      </c>
      <c r="P38" t="s">
        <v>31</v>
      </c>
      <c r="Q38" t="s">
        <v>615</v>
      </c>
      <c r="R38" s="27">
        <f>-'Top Beam'!AE18*40+2*'Top Beam'!W26*'Top Beam'!W27*25*3.25+1.512^2*'Top Beam'!W26*25</f>
        <v>25882.506233966538</v>
      </c>
      <c r="S38" s="3" t="s">
        <v>65</v>
      </c>
      <c r="T38" s="3">
        <v>0.95</v>
      </c>
      <c r="U38" s="3">
        <v>1.25</v>
      </c>
      <c r="V38" s="3">
        <v>1.25</v>
      </c>
      <c r="W38" s="3">
        <v>0.95</v>
      </c>
      <c r="X38" s="3"/>
      <c r="Y38" t="s">
        <v>89</v>
      </c>
      <c r="Z38">
        <v>-0.51</v>
      </c>
      <c r="AA38" s="52" t="s">
        <v>19</v>
      </c>
      <c r="AD38" s="66" t="s">
        <v>657</v>
      </c>
      <c r="AE38" s="11">
        <f>$R$3*$W$3*$Z$3+$R$4*$W$4*$Z$4+$R$5*$W$5*$Z$5+$R$6*$W$6*$Z$6+$R$7*$W$7*$Z$7+$R$8*$W$8*$Z$8+$R$9*$W$9*$Z$9+$R$10*$W$10*$Z$10+$R$11*$W$11*$Z$11+$R$12*$W$12*$Z$12+$R$13*$W$13*$Z$13+$R$14*$W$14*$Z$14+$R$15*$W$15*$Z$15+$R$16*$W$16*$Z$16+$R$17*$W$17*$Z$17+$R$18*$W$18*$Z$18+$R$19*$W$19*$Z$19+$R$20*$W$20*$Z$20+$R$21*$W$21*$Z$21+$R$22*$W$22*$Z$22+$R$23*$W$23*$Z$23+$R$24*$W$24*$Z$24+$R$25*$W$25*$Z$25+$R$26*$W$26*$Z$26+$R$27*$W$27*$Z$27+$R$28*$W$28*$Z$28+$R$29*$W$29*$Z$29+$R$30*$W$30*$Z$30+$R$31*$W$31*$Z$31+$R$32*$W$32*$Z$32+$F$3*$K$3*$N$3+$F$4*$K$4*$N$4+$F$5*$K$5*$N$5+$F$6*$K$6*$N$6+$F$7*$K$7*$N$7+$F$8*$K$8*$N$8+$F$9*$K$9*$N$9+$F$10*$K$10*$N$10+$F$11*$K$11*$N$11+$F$12*$K$12*$N$12+$F$13*$K$13*$N$13+$F$14*$K$14*$N$14+$F$15*$K$15*$N$15+$F$16*$K$16*$N$16+$F$17*$K$17*$N$17+$F$18*$K$18*$N$18</f>
        <v>710008.87594805739</v>
      </c>
      <c r="AF38" s="3" t="s">
        <v>57</v>
      </c>
      <c r="AH38" s="66" t="s">
        <v>657</v>
      </c>
      <c r="AI38" s="11">
        <f>$R$36*$W$36*$Z$36+$R$37*$W$37*$Z$37+$R$38*$W$38*$Z$38+$R$39*$W$39*$Z$39+$R$40*$W$40*$Z$40+$R$41*$W$41*$Z$41+$R$42*$W$42*$Z$42+$R$43*$W$43*$Z$43+$R$44*$W$44*$Z$44+$R$45*$W$45*$Z$45+$R$46*$W$46*$Z$46+$R$47*$W$47*$Z$47+$R$48*$W$48*$Z$48+$R$49*$W$49*$Z$49+$R$50*$W$50*$Z$50+$R$51*$W$51*$Z$51+$R$52*$W$52*$Z$52+$R$53*$W$53*$Z$53+$R$54*$W$54*$Z$54+$R$55*$W$55*$Z$55+$R$56*$W$56*$Z$56+$R$57*$W$57*$Z$57+$R$58*$W$58*$Z$58+$R$59*$W$59*$Z$59+$R$60*$W$60*$Z$60+$R$61*$W$61*$Z$61+$R$62*$W$62*$Z$62+$R$63*$W$63*$Z$63+$R$64*$W$64*$Z$64+$R$65*$W$65*$Z$65+$F$36*$K$36*$N$36+$F$37*$K$37*$N$37+$F$38*$K$38*$N$38+$F$39*$K$39*$N$39+$F$40*$K$40*$N$40+$F$41*$K$41*$N$41+$F$42*$K$42*$N$42+$F$43*$K$43*$N$43+$F$44*$K$44*$N$44+$F$45*$K$45*$N$45+$F$46*$K$46*$N$46+$F$47*$K$47*$N$47+$F$48*$K$48*$N$48+$F$49*$K$49*$N$49+$F$50*$K$50*$N$50+$F$51*$K$51*$N$51+$F$52*$K$52*$N$52</f>
        <v>383293.99435489066</v>
      </c>
      <c r="AJ38" s="3" t="s">
        <v>57</v>
      </c>
      <c r="AP38" s="66"/>
      <c r="AT38" s="66"/>
      <c r="AU38" s="66"/>
      <c r="AV38" s="3"/>
    </row>
    <row r="39" spans="1:49" x14ac:dyDescent="0.25">
      <c r="D39" s="44" t="s">
        <v>652</v>
      </c>
      <c r="E39" t="s">
        <v>600</v>
      </c>
      <c r="F39">
        <v>-9854.6</v>
      </c>
      <c r="G39" s="3" t="s">
        <v>65</v>
      </c>
      <c r="H39" s="3">
        <v>1</v>
      </c>
      <c r="I39" s="3">
        <v>1</v>
      </c>
      <c r="J39" s="3" t="s">
        <v>61</v>
      </c>
      <c r="K39" s="3">
        <v>1</v>
      </c>
      <c r="L39" s="3"/>
      <c r="M39" t="s">
        <v>89</v>
      </c>
      <c r="N39" s="27">
        <f>(1/3*7+(-B3-6))</f>
        <v>7.333333333333333</v>
      </c>
      <c r="O39" s="3" t="s">
        <v>19</v>
      </c>
      <c r="P39" t="s">
        <v>654</v>
      </c>
      <c r="Q39" t="s">
        <v>616</v>
      </c>
      <c r="R39">
        <f>0.5*27*2*(40-4*(B5-6.5)/(-B3-6))</f>
        <v>680.4</v>
      </c>
      <c r="S39" s="3" t="s">
        <v>65</v>
      </c>
      <c r="T39" s="3">
        <v>0.95</v>
      </c>
      <c r="U39" s="3">
        <v>0.9</v>
      </c>
      <c r="V39" s="3">
        <v>1.25</v>
      </c>
      <c r="W39" s="3">
        <v>0.95</v>
      </c>
      <c r="X39" s="3"/>
      <c r="Y39" t="s">
        <v>89</v>
      </c>
      <c r="Z39">
        <v>-5.25</v>
      </c>
      <c r="AA39" s="52" t="s">
        <v>19</v>
      </c>
      <c r="AD39" t="s">
        <v>176</v>
      </c>
      <c r="AE39" s="13">
        <f>6*ABS(AE38)/(B6*ABS(AE37))</f>
        <v>0.59312441470187227</v>
      </c>
      <c r="AF39" s="3" t="s">
        <v>61</v>
      </c>
      <c r="AH39" t="s">
        <v>176</v>
      </c>
      <c r="AI39" s="13">
        <f>6*ABS(AI38)/(B6*ABS(AI37))</f>
        <v>0.3102050570644494</v>
      </c>
      <c r="AJ39" s="3" t="s">
        <v>61</v>
      </c>
      <c r="AV39" s="3"/>
    </row>
    <row r="40" spans="1:49" x14ac:dyDescent="0.25">
      <c r="D40" s="44" t="s">
        <v>653</v>
      </c>
      <c r="E40" t="s">
        <v>601</v>
      </c>
      <c r="F40">
        <v>6937.58</v>
      </c>
      <c r="G40" s="3" t="s">
        <v>65</v>
      </c>
      <c r="H40" s="3">
        <v>1</v>
      </c>
      <c r="I40" s="3">
        <v>1</v>
      </c>
      <c r="J40" s="3" t="s">
        <v>61</v>
      </c>
      <c r="K40" s="3">
        <v>1</v>
      </c>
      <c r="L40" s="3"/>
      <c r="M40" t="s">
        <v>89</v>
      </c>
      <c r="N40" s="27">
        <f>(2303.4*(0.5*3.49+3.31-B3+3.7)+1158.68*(1/3*3.49+3.31-B3+3.7)+2568.56*(0.5*3.31-B3+3.7)+906.94*(2/3*3.31-B3+3.7))/F40</f>
        <v>18.026683070081113</v>
      </c>
      <c r="O40" s="3" t="s">
        <v>19</v>
      </c>
      <c r="P40" t="s">
        <v>652</v>
      </c>
      <c r="Q40" t="s">
        <v>617</v>
      </c>
      <c r="R40" s="27">
        <f>130.82*2*(40-4*(B5-6.5)/(-B3-6))+0.5*(171.04-130.82)*2*(40-4*(B5-6.5)/(-B3-6))</f>
        <v>7606.8719999999994</v>
      </c>
      <c r="S40" s="3" t="s">
        <v>65</v>
      </c>
      <c r="T40" s="3">
        <v>1</v>
      </c>
      <c r="U40" s="3">
        <v>1</v>
      </c>
      <c r="V40" s="3">
        <v>1</v>
      </c>
      <c r="W40" s="3">
        <v>1</v>
      </c>
      <c r="X40" s="3"/>
      <c r="Y40" t="s">
        <v>89</v>
      </c>
      <c r="Z40" s="27">
        <f>-(130.82*2*(40-4*(B5-6.5)/(-B3-6))*(4.92)+0.5*(171.04-130.82)*2*(40-4*(B5-6.5)/(-B3-6))*(2/3*2+3.92))/R40</f>
        <v>-4.9644135250336801</v>
      </c>
      <c r="AA40" s="52" t="s">
        <v>19</v>
      </c>
    </row>
    <row r="41" spans="1:49" x14ac:dyDescent="0.25">
      <c r="D41" s="44" t="s">
        <v>652</v>
      </c>
      <c r="E41" t="s">
        <v>603</v>
      </c>
      <c r="F41">
        <v>2203.14</v>
      </c>
      <c r="G41" s="3" t="s">
        <v>65</v>
      </c>
      <c r="H41" s="3">
        <v>1</v>
      </c>
      <c r="I41" s="3">
        <v>1</v>
      </c>
      <c r="J41" s="3" t="s">
        <v>61</v>
      </c>
      <c r="K41" s="3">
        <v>1</v>
      </c>
      <c r="L41" s="3"/>
      <c r="M41" t="s">
        <v>89</v>
      </c>
      <c r="N41" s="27">
        <f>1/3*(7.01-3.7)+3.7-B3</f>
        <v>15.803333333333333</v>
      </c>
      <c r="O41" s="3" t="s">
        <v>19</v>
      </c>
      <c r="P41" t="s">
        <v>652</v>
      </c>
      <c r="Q41" t="s">
        <v>618</v>
      </c>
      <c r="R41">
        <v>14078</v>
      </c>
      <c r="S41" s="3" t="s">
        <v>65</v>
      </c>
      <c r="T41" s="3">
        <v>1</v>
      </c>
      <c r="U41" s="3">
        <v>1</v>
      </c>
      <c r="V41">
        <v>1</v>
      </c>
      <c r="W41">
        <v>1</v>
      </c>
      <c r="X41" s="3"/>
      <c r="Y41" t="s">
        <v>89</v>
      </c>
      <c r="Z41">
        <v>-3.92</v>
      </c>
      <c r="AA41" s="52" t="s">
        <v>19</v>
      </c>
      <c r="AD41" s="1" t="s">
        <v>670</v>
      </c>
      <c r="AQ41" s="1" t="s">
        <v>670</v>
      </c>
      <c r="AS41" s="3"/>
    </row>
    <row r="42" spans="1:49" x14ac:dyDescent="0.25">
      <c r="D42" s="44" t="s">
        <v>654</v>
      </c>
      <c r="E42" t="s">
        <v>605</v>
      </c>
      <c r="F42" s="27">
        <f>0.5*13.01*3*(40-2*(B5-6.5)/(-B3-6))</f>
        <v>636.18900000000008</v>
      </c>
      <c r="G42" s="3" t="s">
        <v>65</v>
      </c>
      <c r="H42" s="3">
        <v>1.05</v>
      </c>
      <c r="I42" s="3">
        <v>1.25</v>
      </c>
      <c r="J42" s="3" t="s">
        <v>61</v>
      </c>
      <c r="K42" s="3">
        <v>1.05</v>
      </c>
      <c r="L42" s="3"/>
      <c r="M42" t="s">
        <v>89</v>
      </c>
      <c r="N42">
        <f>1/3*3-B3-10</f>
        <v>2</v>
      </c>
      <c r="O42" s="3" t="s">
        <v>19</v>
      </c>
      <c r="P42" t="s">
        <v>29</v>
      </c>
      <c r="Q42" t="s">
        <v>619</v>
      </c>
      <c r="R42" s="27">
        <f>-(SUM('Sill Beam'!N18:'Sill Beam'!N22))*(40-4*(B5-6.5)/(-B3-6))</f>
        <v>11120.863983090765</v>
      </c>
      <c r="S42" s="3" t="s">
        <v>65</v>
      </c>
      <c r="T42" s="3">
        <v>0.95</v>
      </c>
      <c r="U42" s="3">
        <v>1.25</v>
      </c>
      <c r="V42" s="3">
        <v>1.25</v>
      </c>
      <c r="W42" s="3">
        <v>0.95</v>
      </c>
      <c r="X42" s="3"/>
      <c r="Y42" t="s">
        <v>89</v>
      </c>
      <c r="Z42">
        <v>-2.08</v>
      </c>
      <c r="AA42" s="52" t="s">
        <v>19</v>
      </c>
      <c r="AD42" s="57" t="s">
        <v>638</v>
      </c>
      <c r="AQ42" s="57" t="s">
        <v>673</v>
      </c>
      <c r="AS42" s="3"/>
    </row>
    <row r="43" spans="1:49" ht="18" x14ac:dyDescent="0.4">
      <c r="D43" s="44" t="s">
        <v>652</v>
      </c>
      <c r="E43" t="s">
        <v>606</v>
      </c>
      <c r="F43">
        <f>(137.86*3.3*(40-2*(B5-6.5)/(-B3-6))+0.5*(171.04-137.86)*3.3*(40-2*(B5-6.5)/(-B3-6)))</f>
        <v>16615.731</v>
      </c>
      <c r="G43" s="3" t="s">
        <v>65</v>
      </c>
      <c r="H43" s="3">
        <v>1</v>
      </c>
      <c r="I43" s="3">
        <v>1</v>
      </c>
      <c r="J43" s="3" t="s">
        <v>61</v>
      </c>
      <c r="K43" s="3">
        <v>1</v>
      </c>
      <c r="L43" s="3"/>
      <c r="M43" t="s">
        <v>89</v>
      </c>
      <c r="N43" s="27">
        <f>(137.86*3.3*(40-2*(B5-6.5)/(-B3-6))*(0.5*3.3-B3-10)+0.5*(171.04-137.86)*3.3*(40-2*(B5-6.5)/(-B3-6))*(1/3*3.3-B3-10))/F43</f>
        <v>2.5909226286824221</v>
      </c>
      <c r="O43" s="3" t="s">
        <v>19</v>
      </c>
      <c r="P43" t="s">
        <v>652</v>
      </c>
      <c r="Q43" t="s">
        <v>620</v>
      </c>
      <c r="R43" s="27">
        <f>-(110.61*7*22.2+0.5*(164-110.61)*7*22.2)</f>
        <v>-21337.197</v>
      </c>
      <c r="S43" s="3" t="s">
        <v>65</v>
      </c>
      <c r="T43" s="3">
        <v>1</v>
      </c>
      <c r="U43" s="3">
        <v>1</v>
      </c>
      <c r="V43" s="3">
        <v>1</v>
      </c>
      <c r="W43" s="3">
        <v>1</v>
      </c>
      <c r="X43" s="3"/>
      <c r="Y43" t="s">
        <v>89</v>
      </c>
      <c r="Z43" s="27">
        <f>(110.61*7*22.2*2.08+0.5*(164-110.61)*7*22.2*3.59)/R43</f>
        <v>-2.3735759804814101</v>
      </c>
      <c r="AA43" s="52" t="s">
        <v>19</v>
      </c>
      <c r="AD43" s="66" t="s">
        <v>651</v>
      </c>
      <c r="AE43" s="11">
        <f>$R$3*$X$3+$R$4*$X$4+$R$5*$X$5+$R$6*$X$6+$R$7*$X$7+$R$8*$X$8+$R$9*$X$9+$R$10*$X$10+$R$11*$X$11+$R$12*$X$12+$R$13*$X$13+$R$14*$X$14+$R$15*$X$15+$R$16*$X$16+$R$17*$X$17+$R$18*$X$18+$R$19*$X$19+$R$20*$X$20+$R$21*$X$21+$R$22*$X$22+$R$23*$X$23+$R$24*$X$24+$R$25*$X$25+$R$26*$X$26+$R$27*$X$27+$R$28*$X$28+$R$29*$X$29+$R$30*$X$30+$R$31*$X$31+$R$32*$X$32</f>
        <v>129479.29395159271</v>
      </c>
      <c r="AF43" s="3" t="s">
        <v>65</v>
      </c>
      <c r="AQ43" s="66" t="s">
        <v>651</v>
      </c>
      <c r="AR43" s="11">
        <f>R102*X102+R103*X103+R104*X104+R105*X105+R112*X112+R107*X107+R108*X108+R109*X109+R110*X110+R111*X111+R113*X113+R114*X114</f>
        <v>78596.054490048205</v>
      </c>
      <c r="AS43" s="3" t="s">
        <v>65</v>
      </c>
    </row>
    <row r="44" spans="1:49" x14ac:dyDescent="0.25">
      <c r="D44" s="44" t="s">
        <v>652</v>
      </c>
      <c r="E44" t="s">
        <v>607</v>
      </c>
      <c r="F44">
        <f>-(70.39*4*(40-2*(B5-6.5)/(-B3-6))+0.5*(110.61-70.39)*4*(40-2*(B5-6.5)/(-B3-6)))</f>
        <v>-11801.2</v>
      </c>
      <c r="G44" s="3" t="s">
        <v>65</v>
      </c>
      <c r="H44" s="3">
        <v>1</v>
      </c>
      <c r="I44" s="3">
        <v>1</v>
      </c>
      <c r="J44" s="3" t="s">
        <v>61</v>
      </c>
      <c r="K44" s="3">
        <v>1</v>
      </c>
      <c r="L44" s="3"/>
      <c r="M44" t="s">
        <v>89</v>
      </c>
      <c r="N44" s="27">
        <f>-((70.39*4*(40-2*(B5-6.5)/(-B3-6))*(0.5*4-B3-10)+0.5*(110.61-70.39)*4*(40-2*(B5-6.5)/(-B3-6))*(1/3*4-B3-10))/F44)</f>
        <v>2.8518600368324125</v>
      </c>
      <c r="O44" s="3" t="s">
        <v>19</v>
      </c>
      <c r="P44" t="s">
        <v>639</v>
      </c>
      <c r="Q44" t="s">
        <v>621</v>
      </c>
      <c r="R44">
        <f>'First estimates'!U10</f>
        <v>8230.5</v>
      </c>
      <c r="S44" s="3" t="s">
        <v>65</v>
      </c>
      <c r="T44" s="3">
        <v>0</v>
      </c>
      <c r="U44" s="3">
        <v>1</v>
      </c>
      <c r="V44" s="3">
        <v>1</v>
      </c>
      <c r="W44" s="3">
        <v>0</v>
      </c>
      <c r="X44" s="3"/>
      <c r="Y44" t="s">
        <v>89</v>
      </c>
      <c r="Z44">
        <v>6.73</v>
      </c>
      <c r="AA44" s="52" t="s">
        <v>19</v>
      </c>
    </row>
    <row r="45" spans="1:49" x14ac:dyDescent="0.25">
      <c r="D45" s="44" t="s">
        <v>654</v>
      </c>
      <c r="E45" t="s">
        <v>608</v>
      </c>
      <c r="F45">
        <f>-0.5*177.13*3*(40-2*(B5-6.5)/(-B3-6))</f>
        <v>-8661.6570000000011</v>
      </c>
      <c r="G45" s="3" t="s">
        <v>65</v>
      </c>
      <c r="H45" s="3">
        <v>0.95</v>
      </c>
      <c r="I45" s="3">
        <v>1.25</v>
      </c>
      <c r="J45" s="3" t="s">
        <v>61</v>
      </c>
      <c r="K45" s="3">
        <v>0.95</v>
      </c>
      <c r="L45" s="3"/>
      <c r="M45" t="s">
        <v>89</v>
      </c>
      <c r="N45">
        <f>(1/3*3-B3-10)</f>
        <v>2</v>
      </c>
      <c r="O45" s="3" t="s">
        <v>19</v>
      </c>
      <c r="P45" t="s">
        <v>35</v>
      </c>
      <c r="Q45" t="s">
        <v>622</v>
      </c>
      <c r="R45" s="27">
        <f>'First estimates'!U8</f>
        <v>12130.434782608694</v>
      </c>
      <c r="S45" s="3" t="s">
        <v>65</v>
      </c>
      <c r="T45" s="3">
        <v>0.95</v>
      </c>
      <c r="U45" s="3">
        <v>1.25</v>
      </c>
      <c r="V45" s="3">
        <v>1.25</v>
      </c>
      <c r="W45" s="3">
        <v>1.05</v>
      </c>
      <c r="X45" s="3"/>
      <c r="Y45" t="s">
        <v>89</v>
      </c>
      <c r="Z45">
        <f>Z44</f>
        <v>6.73</v>
      </c>
      <c r="AA45" s="52" t="s">
        <v>19</v>
      </c>
    </row>
    <row r="46" spans="1:49" x14ac:dyDescent="0.25">
      <c r="D46" s="44" t="s">
        <v>653</v>
      </c>
      <c r="E46" t="s">
        <v>609</v>
      </c>
      <c r="F46">
        <v>3015.36</v>
      </c>
      <c r="G46" s="3" t="s">
        <v>65</v>
      </c>
      <c r="H46" s="3">
        <v>1</v>
      </c>
      <c r="I46" s="3">
        <v>1</v>
      </c>
      <c r="J46" s="3" t="s">
        <v>61</v>
      </c>
      <c r="K46" s="3">
        <v>1</v>
      </c>
      <c r="L46" s="3"/>
      <c r="M46" t="s">
        <v>89</v>
      </c>
      <c r="N46" s="27">
        <f>(753.25*(1/3*6.96+13.01-B3-6)+1708.21*(0.5*13.01-B3-6)+553.9*(2/3*13.01-B3-6))/F46</f>
        <v>14.10783053543634</v>
      </c>
      <c r="O46" s="3" t="s">
        <v>19</v>
      </c>
      <c r="P46" t="s">
        <v>640</v>
      </c>
      <c r="Q46" t="s">
        <v>623</v>
      </c>
      <c r="R46" s="10">
        <f>'Top Beam'!C10+'Top Beam'!C11+'Top Beam'!C12</f>
        <v>34503.487500000003</v>
      </c>
      <c r="S46" s="3" t="s">
        <v>65</v>
      </c>
      <c r="T46" s="3">
        <v>0.95</v>
      </c>
      <c r="U46" s="3">
        <v>1.25</v>
      </c>
      <c r="V46" s="3">
        <v>1.25</v>
      </c>
      <c r="W46" s="3">
        <v>0.95</v>
      </c>
      <c r="X46" s="3"/>
      <c r="Y46" t="s">
        <v>89</v>
      </c>
      <c r="Z46">
        <f>Z36</f>
        <v>-7.47</v>
      </c>
      <c r="AA46" s="52" t="s">
        <v>19</v>
      </c>
    </row>
    <row r="47" spans="1:49" x14ac:dyDescent="0.25">
      <c r="D47" s="44" t="s">
        <v>652</v>
      </c>
      <c r="E47" t="s">
        <v>610</v>
      </c>
      <c r="F47">
        <v>5531.4</v>
      </c>
      <c r="G47" s="3" t="s">
        <v>65</v>
      </c>
      <c r="H47" s="3">
        <v>1</v>
      </c>
      <c r="I47" s="3">
        <v>1</v>
      </c>
      <c r="J47" s="3" t="s">
        <v>61</v>
      </c>
      <c r="K47" s="3">
        <v>1</v>
      </c>
      <c r="L47" s="3"/>
      <c r="M47" t="s">
        <v>89</v>
      </c>
      <c r="N47" s="27">
        <f>1/3*13.01-B3-6</f>
        <v>9.336666666666666</v>
      </c>
      <c r="O47" s="3" t="s">
        <v>19</v>
      </c>
      <c r="P47" t="s">
        <v>641</v>
      </c>
      <c r="Q47" t="s">
        <v>624</v>
      </c>
      <c r="R47">
        <f>'Top Beam'!G14*10^(-6)*25*'Top Beam'!G6</f>
        <v>1237.5</v>
      </c>
      <c r="S47" s="3" t="s">
        <v>65</v>
      </c>
      <c r="T47" s="3">
        <v>0.95</v>
      </c>
      <c r="U47" s="3">
        <v>1.25</v>
      </c>
      <c r="V47" s="3">
        <v>1.25</v>
      </c>
      <c r="W47" s="3">
        <v>0.95</v>
      </c>
      <c r="X47" s="3"/>
      <c r="Y47" t="s">
        <v>89</v>
      </c>
      <c r="Z47">
        <v>-0.47</v>
      </c>
      <c r="AA47" s="52" t="s">
        <v>19</v>
      </c>
    </row>
    <row r="48" spans="1:49" x14ac:dyDescent="0.25">
      <c r="D48" s="44" t="s">
        <v>654</v>
      </c>
      <c r="E48" t="s">
        <v>611</v>
      </c>
      <c r="F48" s="10">
        <f>0.5*(-B3-7)*16*0.27*(6.5*(-B3-6)+(-B3-6)*((B5-6.5)/2))</f>
        <v>680.40000000000009</v>
      </c>
      <c r="G48" s="3" t="s">
        <v>65</v>
      </c>
      <c r="H48" s="3">
        <v>1.05</v>
      </c>
      <c r="I48" s="3">
        <v>1.25</v>
      </c>
      <c r="J48" s="3" t="s">
        <v>61</v>
      </c>
      <c r="K48" s="3">
        <v>1.05</v>
      </c>
      <c r="L48" s="3"/>
      <c r="M48" t="s">
        <v>89</v>
      </c>
      <c r="N48" s="27">
        <f>(-B3-7)/3</f>
        <v>1.3333333333333333</v>
      </c>
      <c r="O48" s="3" t="s">
        <v>19</v>
      </c>
      <c r="P48" t="s">
        <v>642</v>
      </c>
      <c r="Q48" t="s">
        <v>625</v>
      </c>
      <c r="R48">
        <f>'Top Beam'!K14*10^(-6)*'Top Beam'!K6*25</f>
        <v>11056.25</v>
      </c>
      <c r="S48" s="3" t="s">
        <v>65</v>
      </c>
      <c r="T48" s="3">
        <v>0.95</v>
      </c>
      <c r="U48" s="3">
        <v>1.25</v>
      </c>
      <c r="V48" s="3">
        <v>1.25</v>
      </c>
      <c r="W48" s="3">
        <v>1.05</v>
      </c>
      <c r="X48" s="3"/>
      <c r="Y48" t="s">
        <v>89</v>
      </c>
      <c r="Z48">
        <f>Z45</f>
        <v>6.73</v>
      </c>
      <c r="AA48" s="52" t="s">
        <v>19</v>
      </c>
    </row>
    <row r="49" spans="4:27" x14ac:dyDescent="0.25">
      <c r="D49" s="44" t="s">
        <v>652</v>
      </c>
      <c r="E49" t="s">
        <v>612</v>
      </c>
      <c r="F49">
        <f>130.82*(6.5*(-B3-6)+(-B3-6)*((B5-6.5)/2))+0.5*(-B3-6)*9.81*1.025*(6.5*(-B3-6)+(-B3-6)*((B5-6.5)/2))</f>
        <v>12281.702343749999</v>
      </c>
      <c r="G49" s="3" t="s">
        <v>65</v>
      </c>
      <c r="H49" s="3">
        <v>1</v>
      </c>
      <c r="I49" s="3">
        <v>1</v>
      </c>
      <c r="J49" s="3" t="s">
        <v>61</v>
      </c>
      <c r="K49" s="3">
        <v>1</v>
      </c>
      <c r="L49" s="3"/>
      <c r="M49" t="s">
        <v>89</v>
      </c>
      <c r="N49" s="27">
        <f>(130.82*(6.5*(-B3-6)+(-B3-6)*((B5-6.5)/2))*0.5*(-B3-6)+0.5*(-B3-6)*9.81*1.025*(6.5*(-B3-6)+(-B3-6)*((B5-6.5)/2))*(-B3-6)/3)/F49</f>
        <v>2.3656790885373877</v>
      </c>
      <c r="O49" s="3" t="s">
        <v>19</v>
      </c>
      <c r="P49" t="s">
        <v>643</v>
      </c>
      <c r="Q49" t="s">
        <v>626</v>
      </c>
      <c r="R49" s="27">
        <f>'Pier Foot'!C28/1.25*'Pier Foot'!C3+'Pier Foot'!C69/1.25*'Pier Foot'!C7</f>
        <v>91941.087572490302</v>
      </c>
      <c r="S49" s="3" t="s">
        <v>65</v>
      </c>
      <c r="T49" s="3">
        <v>0.95</v>
      </c>
      <c r="U49" s="3">
        <v>1.25</v>
      </c>
      <c r="V49" s="3">
        <v>1.25</v>
      </c>
      <c r="W49" s="3">
        <v>0.95</v>
      </c>
      <c r="X49" s="3"/>
      <c r="Y49" t="s">
        <v>89</v>
      </c>
      <c r="Z49">
        <v>0</v>
      </c>
      <c r="AA49" s="52" t="s">
        <v>19</v>
      </c>
    </row>
    <row r="50" spans="4:27" x14ac:dyDescent="0.25">
      <c r="D50" s="44" t="s">
        <v>652</v>
      </c>
      <c r="E50" t="s">
        <v>613</v>
      </c>
      <c r="F50">
        <v>-615.91</v>
      </c>
      <c r="G50" s="3" t="s">
        <v>65</v>
      </c>
      <c r="H50" s="3">
        <v>1</v>
      </c>
      <c r="I50" s="3">
        <v>1</v>
      </c>
      <c r="J50" s="3" t="s">
        <v>61</v>
      </c>
      <c r="K50" s="3">
        <v>1</v>
      </c>
      <c r="L50" s="3"/>
      <c r="M50" t="s">
        <v>89</v>
      </c>
      <c r="N50" s="27">
        <f>(5/3-B3-6)</f>
        <v>6.6666666666666661</v>
      </c>
      <c r="O50" s="3" t="s">
        <v>19</v>
      </c>
      <c r="P50" t="s">
        <v>652</v>
      </c>
      <c r="Q50" t="s">
        <v>627</v>
      </c>
      <c r="R50" s="10">
        <f>-((1-B3)*9.81*1.025*B5*B6+(7.01-1)*9.81*1.025*0.5*B5*B6)</f>
        <v>-188598.78281249997</v>
      </c>
      <c r="S50" s="3" t="s">
        <v>65</v>
      </c>
      <c r="T50" s="3">
        <v>1</v>
      </c>
      <c r="U50" s="3">
        <v>1</v>
      </c>
      <c r="V50">
        <v>1</v>
      </c>
      <c r="W50" s="3">
        <v>1</v>
      </c>
      <c r="X50" s="3"/>
      <c r="Y50" t="s">
        <v>89</v>
      </c>
      <c r="Z50" s="27">
        <f>((1-B3)*9.81*1.025*B6*B5*0+(7.01-1)*9.81*1.025*0.5*B6*B5*(B6/2-B6/3))/R50</f>
        <v>-1.6688881483949793</v>
      </c>
      <c r="AA50" s="52" t="s">
        <v>19</v>
      </c>
    </row>
    <row r="51" spans="4:27" x14ac:dyDescent="0.25">
      <c r="D51" s="44" t="s">
        <v>652</v>
      </c>
      <c r="E51" t="s">
        <v>614</v>
      </c>
      <c r="F51" s="27">
        <f>-(70.39*(6.5*(-B3-6)+(-B3-6)*((B5-6.5)/2))+0.5*(-B3-6)*9.81*1.025*(6.5*(-B3-6)+(-B3-6)*((B5-6.5)/2)))</f>
        <v>-7522.83984375</v>
      </c>
      <c r="G51" s="3" t="s">
        <v>65</v>
      </c>
      <c r="H51" s="3">
        <v>1</v>
      </c>
      <c r="I51" s="3">
        <v>1</v>
      </c>
      <c r="J51" s="3" t="s">
        <v>61</v>
      </c>
      <c r="K51" s="3">
        <v>1</v>
      </c>
      <c r="L51" s="3"/>
      <c r="M51" t="s">
        <v>89</v>
      </c>
      <c r="N51" s="27">
        <f>-((70.39*(6.5*(-B3-6)+(-B3-6)*((B5-6.5)/2))*0.5*(-B3-6)+0.5*(-B3-6)*9.81*1.025*(6.5*(-B3-6)+(-B3-6)*((B5-6.5)/2))*(-B3-6)/3)/F51)</f>
        <v>2.2807092152180313</v>
      </c>
      <c r="O51" s="3" t="s">
        <v>19</v>
      </c>
      <c r="P51" t="s">
        <v>654</v>
      </c>
      <c r="Q51" t="s">
        <v>628</v>
      </c>
      <c r="R51">
        <f>(-B3-8)*16*2.5*B5</f>
        <v>3000</v>
      </c>
      <c r="S51" s="3" t="s">
        <v>65</v>
      </c>
      <c r="T51" s="3">
        <v>0.95</v>
      </c>
      <c r="U51" s="3">
        <v>1.25</v>
      </c>
      <c r="V51" s="3">
        <v>1.25</v>
      </c>
      <c r="W51" s="3">
        <v>0.95</v>
      </c>
      <c r="X51" s="3"/>
      <c r="Y51" t="s">
        <v>89</v>
      </c>
      <c r="Z51">
        <f>-2.5/2-B6/2+2.5</f>
        <v>-23.75</v>
      </c>
      <c r="AA51" s="52" t="s">
        <v>19</v>
      </c>
    </row>
    <row r="52" spans="4:27" x14ac:dyDescent="0.25">
      <c r="D52" s="44" t="s">
        <v>654</v>
      </c>
      <c r="E52" t="s">
        <v>666</v>
      </c>
      <c r="F52" s="28">
        <f>-0.5*(-B3-7)*16*3.69*(6.5*(-B3-6)+(-B3-6)*((B5-6.5)/2))</f>
        <v>-9298.7999999999993</v>
      </c>
      <c r="G52" s="3" t="s">
        <v>65</v>
      </c>
      <c r="H52" s="3">
        <v>0.95</v>
      </c>
      <c r="I52" s="3">
        <v>1.25</v>
      </c>
      <c r="J52" s="3" t="s">
        <v>61</v>
      </c>
      <c r="K52" s="3">
        <v>0.95</v>
      </c>
      <c r="L52" s="3"/>
      <c r="M52" t="s">
        <v>89</v>
      </c>
      <c r="N52" s="27">
        <f>(-B3-7)/3</f>
        <v>1.3333333333333333</v>
      </c>
      <c r="O52" s="3" t="s">
        <v>19</v>
      </c>
      <c r="P52" t="s">
        <v>654</v>
      </c>
      <c r="Q52" t="s">
        <v>629</v>
      </c>
      <c r="R52">
        <f>R51</f>
        <v>3000</v>
      </c>
      <c r="S52" s="3" t="s">
        <v>65</v>
      </c>
      <c r="T52" s="3">
        <v>0.95</v>
      </c>
      <c r="U52" s="3">
        <v>1.25</v>
      </c>
      <c r="V52" s="3">
        <v>1.25</v>
      </c>
      <c r="W52" s="3">
        <v>1.05</v>
      </c>
      <c r="X52" s="3"/>
      <c r="Y52" t="s">
        <v>89</v>
      </c>
      <c r="Z52">
        <f>-Z51</f>
        <v>23.75</v>
      </c>
      <c r="AA52" s="52" t="s">
        <v>19</v>
      </c>
    </row>
    <row r="53" spans="4:27" x14ac:dyDescent="0.25">
      <c r="D53" s="44"/>
      <c r="P53" t="s">
        <v>652</v>
      </c>
      <c r="Q53" t="s">
        <v>630</v>
      </c>
      <c r="R53" s="27">
        <f>(6.01-B3)*9.81*1.025*2.5*B5</f>
        <v>10689.987656249998</v>
      </c>
      <c r="S53" s="3" t="s">
        <v>65</v>
      </c>
      <c r="T53" s="3">
        <v>1</v>
      </c>
      <c r="U53" s="3">
        <v>1</v>
      </c>
      <c r="V53">
        <v>1</v>
      </c>
      <c r="W53" s="3">
        <v>1</v>
      </c>
      <c r="X53" s="3"/>
      <c r="Y53" t="s">
        <v>89</v>
      </c>
      <c r="Z53">
        <f>Z51</f>
        <v>-23.75</v>
      </c>
      <c r="AA53" s="52" t="s">
        <v>19</v>
      </c>
    </row>
    <row r="54" spans="4:27" x14ac:dyDescent="0.25">
      <c r="D54" s="44"/>
      <c r="P54" t="s">
        <v>652</v>
      </c>
      <c r="Q54" t="s">
        <v>631</v>
      </c>
      <c r="R54" s="27">
        <f>130.82*(B6/2-15.86)*4</f>
        <v>4782.7791999999999</v>
      </c>
      <c r="S54" s="3" t="s">
        <v>65</v>
      </c>
      <c r="T54" s="3">
        <v>1</v>
      </c>
      <c r="U54" s="3">
        <v>1</v>
      </c>
      <c r="V54">
        <v>1</v>
      </c>
      <c r="W54" s="3">
        <v>1</v>
      </c>
      <c r="X54" s="3"/>
      <c r="Y54" t="s">
        <v>89</v>
      </c>
      <c r="Z54">
        <f>-0.5*(B6/2-15.86)-13.36</f>
        <v>-17.93</v>
      </c>
      <c r="AA54" s="52" t="s">
        <v>19</v>
      </c>
    </row>
    <row r="55" spans="4:27" x14ac:dyDescent="0.25">
      <c r="D55" s="44"/>
      <c r="P55" t="s">
        <v>652</v>
      </c>
      <c r="Q55" t="s">
        <v>632</v>
      </c>
      <c r="R55">
        <v>5773.74</v>
      </c>
      <c r="S55" s="3" t="s">
        <v>65</v>
      </c>
      <c r="T55" s="3">
        <v>1</v>
      </c>
      <c r="U55" s="3">
        <v>1</v>
      </c>
      <c r="V55">
        <v>1</v>
      </c>
      <c r="W55" s="3">
        <v>1</v>
      </c>
      <c r="X55" s="3"/>
      <c r="Y55" t="s">
        <v>89</v>
      </c>
      <c r="Z55">
        <f>Z46</f>
        <v>-7.47</v>
      </c>
      <c r="AA55" s="52" t="s">
        <v>19</v>
      </c>
    </row>
    <row r="56" spans="4:27" x14ac:dyDescent="0.25">
      <c r="D56" s="44"/>
      <c r="P56" t="s">
        <v>652</v>
      </c>
      <c r="Q56" t="s">
        <v>633</v>
      </c>
      <c r="R56" s="27">
        <f>70.39*(B6/2+1.55)*6.5</f>
        <v>12147.554250000001</v>
      </c>
      <c r="S56" s="3" t="s">
        <v>65</v>
      </c>
      <c r="T56" s="3">
        <v>1</v>
      </c>
      <c r="U56" s="3">
        <v>1</v>
      </c>
      <c r="V56">
        <v>1</v>
      </c>
      <c r="W56" s="3">
        <v>1</v>
      </c>
      <c r="X56" s="3"/>
      <c r="Y56" t="s">
        <v>89</v>
      </c>
      <c r="Z56">
        <f>0.5*(B6/2+1.55)-4.05</f>
        <v>9.2250000000000014</v>
      </c>
      <c r="AA56" s="52" t="s">
        <v>19</v>
      </c>
    </row>
    <row r="57" spans="4:27" x14ac:dyDescent="0.25">
      <c r="D57" s="44"/>
      <c r="P57" t="s">
        <v>652</v>
      </c>
      <c r="Q57" t="s">
        <v>634</v>
      </c>
      <c r="R57" s="27">
        <f>-B3*9.81*1.025*2.5*B5</f>
        <v>6912.9843749999991</v>
      </c>
      <c r="S57" s="3" t="s">
        <v>65</v>
      </c>
      <c r="T57" s="3">
        <v>1</v>
      </c>
      <c r="U57" s="3">
        <v>1</v>
      </c>
      <c r="V57">
        <v>1</v>
      </c>
      <c r="W57" s="3">
        <v>1</v>
      </c>
      <c r="X57" s="3"/>
      <c r="Y57" t="s">
        <v>89</v>
      </c>
      <c r="Z57">
        <f>Z52</f>
        <v>23.75</v>
      </c>
      <c r="AA57" s="52" t="s">
        <v>19</v>
      </c>
    </row>
    <row r="58" spans="4:27" x14ac:dyDescent="0.25">
      <c r="D58" s="44"/>
      <c r="P58" t="s">
        <v>654</v>
      </c>
      <c r="Q58" t="s">
        <v>635</v>
      </c>
      <c r="R58" s="10">
        <f>0.5*(-B3-8)*16*((B5-6.5)/2*(1-1/(-B3-7)))*(B6/2-8.42)</f>
        <v>2760.5699999999997</v>
      </c>
      <c r="S58" s="3" t="s">
        <v>65</v>
      </c>
      <c r="T58" s="3">
        <v>0.95</v>
      </c>
      <c r="U58" s="3">
        <v>1.25</v>
      </c>
      <c r="V58" s="3">
        <v>1.25</v>
      </c>
      <c r="W58" s="3">
        <v>0.95</v>
      </c>
      <c r="X58" s="3"/>
      <c r="Y58" t="s">
        <v>89</v>
      </c>
      <c r="Z58">
        <f>-0.5*(B6/2-8.42)-5.92</f>
        <v>-14.209999999999999</v>
      </c>
      <c r="AA58" s="52" t="s">
        <v>19</v>
      </c>
    </row>
    <row r="59" spans="4:27" x14ac:dyDescent="0.25">
      <c r="D59" s="44"/>
      <c r="P59" t="s">
        <v>654</v>
      </c>
      <c r="Q59" t="s">
        <v>636</v>
      </c>
      <c r="R59" s="10">
        <f>R58</f>
        <v>2760.5699999999997</v>
      </c>
      <c r="S59" s="3" t="s">
        <v>65</v>
      </c>
      <c r="T59" s="3">
        <v>0.95</v>
      </c>
      <c r="U59" s="3">
        <v>1.25</v>
      </c>
      <c r="V59" s="3">
        <v>1.25</v>
      </c>
      <c r="W59" s="3">
        <v>0.95</v>
      </c>
      <c r="X59" s="3"/>
      <c r="Y59" t="s">
        <v>89</v>
      </c>
      <c r="Z59">
        <f>Z58</f>
        <v>-14.209999999999999</v>
      </c>
      <c r="AA59" s="52" t="s">
        <v>19</v>
      </c>
    </row>
    <row r="60" spans="4:27" x14ac:dyDescent="0.25">
      <c r="D60" s="44"/>
      <c r="P60" t="s">
        <v>652</v>
      </c>
      <c r="Q60" t="s">
        <v>644</v>
      </c>
      <c r="R60" s="27">
        <f>130.82*((B5-6.5)/2)*16.58+0.5*(-B3-6)*9.81*1.025*((B5-6.5)/2)*(B6/2-8.42)</f>
        <v>23918.517840624998</v>
      </c>
      <c r="S60" s="3" t="s">
        <v>65</v>
      </c>
      <c r="T60" s="3">
        <v>1</v>
      </c>
      <c r="U60" s="3">
        <v>1</v>
      </c>
      <c r="V60">
        <v>1</v>
      </c>
      <c r="W60" s="3">
        <v>1</v>
      </c>
      <c r="X60" s="3"/>
      <c r="Y60" t="s">
        <v>89</v>
      </c>
      <c r="Z60">
        <f>Z59</f>
        <v>-14.209999999999999</v>
      </c>
      <c r="AA60" s="52" t="s">
        <v>19</v>
      </c>
    </row>
    <row r="61" spans="4:27" x14ac:dyDescent="0.25">
      <c r="D61" s="44"/>
      <c r="P61" t="s">
        <v>652</v>
      </c>
      <c r="Q61" t="s">
        <v>645</v>
      </c>
      <c r="R61" s="27">
        <f>R60</f>
        <v>23918.517840624998</v>
      </c>
      <c r="S61" s="3" t="s">
        <v>65</v>
      </c>
      <c r="T61" s="3">
        <v>1</v>
      </c>
      <c r="U61" s="3">
        <v>1</v>
      </c>
      <c r="V61">
        <v>1</v>
      </c>
      <c r="W61" s="3">
        <v>1</v>
      </c>
      <c r="X61" s="3"/>
      <c r="Y61" t="s">
        <v>89</v>
      </c>
      <c r="Z61">
        <f>Z60</f>
        <v>-14.209999999999999</v>
      </c>
      <c r="AA61" s="52" t="s">
        <v>19</v>
      </c>
    </row>
    <row r="62" spans="4:27" x14ac:dyDescent="0.25">
      <c r="D62" s="44"/>
      <c r="P62" t="s">
        <v>654</v>
      </c>
      <c r="Q62" t="s">
        <v>646</v>
      </c>
      <c r="R62" s="10">
        <f>0.5*(-B3-8)*16*((B5-6.5)/2*(1-1/(-B3-7)))*(B6/2-3.58)</f>
        <v>3566.4300000000003</v>
      </c>
      <c r="S62" s="3" t="s">
        <v>65</v>
      </c>
      <c r="T62" s="3">
        <v>0.95</v>
      </c>
      <c r="U62" s="3">
        <v>1.25</v>
      </c>
      <c r="V62" s="3">
        <v>1.25</v>
      </c>
      <c r="W62" s="3">
        <v>1.05</v>
      </c>
      <c r="X62" s="3"/>
      <c r="Y62" t="s">
        <v>89</v>
      </c>
      <c r="Z62">
        <f>0.5*(B6/2-3.58)+1.08</f>
        <v>11.790000000000001</v>
      </c>
      <c r="AA62" s="52" t="s">
        <v>19</v>
      </c>
    </row>
    <row r="63" spans="4:27" x14ac:dyDescent="0.25">
      <c r="D63" s="44"/>
      <c r="P63" t="s">
        <v>654</v>
      </c>
      <c r="Q63" t="s">
        <v>647</v>
      </c>
      <c r="R63" s="10">
        <f>R62</f>
        <v>3566.4300000000003</v>
      </c>
      <c r="S63" s="3" t="s">
        <v>65</v>
      </c>
      <c r="T63" s="3">
        <v>0.95</v>
      </c>
      <c r="U63" s="3">
        <v>1.25</v>
      </c>
      <c r="V63" s="3">
        <v>1.25</v>
      </c>
      <c r="W63" s="3">
        <v>1.05</v>
      </c>
      <c r="X63" s="3"/>
      <c r="Y63" t="s">
        <v>89</v>
      </c>
      <c r="Z63">
        <f>Z62</f>
        <v>11.790000000000001</v>
      </c>
      <c r="AA63" s="52" t="s">
        <v>19</v>
      </c>
    </row>
    <row r="64" spans="4:27" x14ac:dyDescent="0.25">
      <c r="D64" s="44"/>
      <c r="P64" t="s">
        <v>652</v>
      </c>
      <c r="Q64" t="s">
        <v>648</v>
      </c>
      <c r="R64" s="27">
        <f>70.39*((B5-6.5)/2)*21.42+0.5*(-B3-6)*9.81*1.025*((B5-6.5)/2)*(B6/2-3.58)</f>
        <v>18927.465046875001</v>
      </c>
      <c r="S64" s="3" t="s">
        <v>65</v>
      </c>
      <c r="T64" s="3">
        <v>1</v>
      </c>
      <c r="U64" s="3">
        <v>1</v>
      </c>
      <c r="V64" s="3">
        <v>1</v>
      </c>
      <c r="W64" s="3">
        <v>1</v>
      </c>
      <c r="X64" s="3"/>
      <c r="Y64" t="s">
        <v>89</v>
      </c>
      <c r="Z64">
        <f>Z63</f>
        <v>11.790000000000001</v>
      </c>
      <c r="AA64" s="52" t="s">
        <v>19</v>
      </c>
    </row>
    <row r="65" spans="4:27" x14ac:dyDescent="0.25">
      <c r="D65" s="44"/>
      <c r="P65" t="s">
        <v>652</v>
      </c>
      <c r="Q65" t="s">
        <v>649</v>
      </c>
      <c r="R65" s="27">
        <f>R64</f>
        <v>18927.465046875001</v>
      </c>
      <c r="S65" s="3" t="s">
        <v>65</v>
      </c>
      <c r="T65" s="3">
        <v>1</v>
      </c>
      <c r="U65" s="3">
        <v>1</v>
      </c>
      <c r="V65">
        <v>1</v>
      </c>
      <c r="W65" s="3">
        <v>1</v>
      </c>
      <c r="X65" s="3"/>
      <c r="Y65" t="s">
        <v>89</v>
      </c>
      <c r="Z65">
        <f>Z64</f>
        <v>11.790000000000001</v>
      </c>
      <c r="AA65" s="52" t="s">
        <v>19</v>
      </c>
    </row>
    <row r="66" spans="4:27" x14ac:dyDescent="0.25">
      <c r="D66" s="44"/>
      <c r="AA66" s="52"/>
    </row>
    <row r="67" spans="4:27" ht="18.75" thickBot="1" x14ac:dyDescent="0.45">
      <c r="D67" s="46"/>
      <c r="E67" s="68" t="s">
        <v>650</v>
      </c>
      <c r="F67" s="64">
        <f>SUM(F36:F52)</f>
        <v>51195.135499999989</v>
      </c>
      <c r="G67" s="48"/>
      <c r="H67" s="48"/>
      <c r="I67" s="48"/>
      <c r="J67" s="48"/>
      <c r="K67" s="64"/>
      <c r="L67" s="64"/>
      <c r="M67" s="64"/>
      <c r="N67" s="64"/>
      <c r="O67" s="48"/>
      <c r="P67" s="64"/>
      <c r="Q67" s="68" t="s">
        <v>651</v>
      </c>
      <c r="R67" s="65">
        <f>SUM(R36:R65)</f>
        <v>164008.96717468632</v>
      </c>
      <c r="S67" s="48"/>
      <c r="T67" s="48"/>
      <c r="U67" s="48"/>
      <c r="V67" s="64"/>
      <c r="W67" s="64"/>
      <c r="X67" s="64"/>
      <c r="Y67" s="64"/>
      <c r="Z67" s="64"/>
      <c r="AA67" s="54"/>
    </row>
    <row r="68" spans="4:27" x14ac:dyDescent="0.25">
      <c r="D68" s="61" t="s">
        <v>556</v>
      </c>
      <c r="E68" s="62"/>
      <c r="F68" s="63" t="s">
        <v>665</v>
      </c>
      <c r="G68" s="42"/>
      <c r="H68" s="69" t="s">
        <v>658</v>
      </c>
      <c r="I68" s="69" t="s">
        <v>659</v>
      </c>
      <c r="J68" s="69" t="s">
        <v>660</v>
      </c>
      <c r="K68" s="69" t="s">
        <v>661</v>
      </c>
      <c r="L68" s="69"/>
      <c r="M68" s="62"/>
      <c r="N68" s="67" t="s">
        <v>655</v>
      </c>
      <c r="O68" s="42"/>
      <c r="P68" s="62"/>
      <c r="Q68" s="62"/>
      <c r="R68" s="62"/>
      <c r="S68" s="42"/>
      <c r="T68" s="69" t="s">
        <v>658</v>
      </c>
      <c r="U68" s="69" t="s">
        <v>659</v>
      </c>
      <c r="V68" s="69" t="s">
        <v>660</v>
      </c>
      <c r="W68" s="69" t="s">
        <v>661</v>
      </c>
      <c r="X68" s="69"/>
      <c r="Y68" s="62"/>
      <c r="Z68" s="62"/>
      <c r="AA68" s="51"/>
    </row>
    <row r="69" spans="4:27" x14ac:dyDescent="0.25">
      <c r="D69" s="44" t="s">
        <v>652</v>
      </c>
      <c r="E69" t="s">
        <v>597</v>
      </c>
      <c r="F69">
        <f>0.5*58.12*6.48*40</f>
        <v>7532.3519999999999</v>
      </c>
      <c r="G69" s="3" t="s">
        <v>65</v>
      </c>
      <c r="H69" s="3">
        <v>1.5</v>
      </c>
      <c r="I69" s="3">
        <v>1.5</v>
      </c>
      <c r="J69" s="3" t="s">
        <v>61</v>
      </c>
      <c r="K69" s="3">
        <v>1.5</v>
      </c>
      <c r="L69" s="3"/>
      <c r="M69" t="s">
        <v>89</v>
      </c>
      <c r="N69" s="27">
        <f>6.48/3-B3-6.7</f>
        <v>6.46</v>
      </c>
      <c r="O69" s="3" t="s">
        <v>19</v>
      </c>
      <c r="P69" t="s">
        <v>1</v>
      </c>
      <c r="Q69" t="s">
        <v>602</v>
      </c>
      <c r="R69" s="10">
        <f>Gate!BF24</f>
        <v>9526.1136587800102</v>
      </c>
      <c r="S69" s="3" t="s">
        <v>65</v>
      </c>
      <c r="T69" s="3">
        <v>0.95</v>
      </c>
      <c r="U69" s="3">
        <v>1.35</v>
      </c>
      <c r="V69" s="3">
        <v>1.35</v>
      </c>
      <c r="W69" s="3">
        <v>0.95</v>
      </c>
      <c r="X69" s="3">
        <v>0.9</v>
      </c>
      <c r="Y69" t="s">
        <v>89</v>
      </c>
      <c r="Z69">
        <v>-7.47</v>
      </c>
      <c r="AA69" s="52" t="s">
        <v>19</v>
      </c>
    </row>
    <row r="70" spans="4:27" x14ac:dyDescent="0.25">
      <c r="D70" s="44" t="s">
        <v>652</v>
      </c>
      <c r="E70" t="s">
        <v>598</v>
      </c>
      <c r="F70">
        <v>-11738.1</v>
      </c>
      <c r="G70" s="3" t="s">
        <v>65</v>
      </c>
      <c r="H70" s="3">
        <v>1.5</v>
      </c>
      <c r="I70" s="3">
        <v>1.5</v>
      </c>
      <c r="J70" s="3" t="s">
        <v>61</v>
      </c>
      <c r="K70" s="3">
        <v>1.5</v>
      </c>
      <c r="L70" s="3"/>
      <c r="M70" t="s">
        <v>89</v>
      </c>
      <c r="N70" s="27">
        <f>7.64/3-B3-6</f>
        <v>7.5466666666666669</v>
      </c>
      <c r="O70" s="3" t="s">
        <v>19</v>
      </c>
      <c r="P70" t="s">
        <v>31</v>
      </c>
      <c r="Q70" t="s">
        <v>604</v>
      </c>
      <c r="R70" s="27">
        <f>-'Top Beam'!AE18*40+2*'Top Beam'!W26*'Top Beam'!W27*25*3.25+1.512^2*'Top Beam'!W26*25</f>
        <v>25882.506233966538</v>
      </c>
      <c r="S70" s="3" t="s">
        <v>65</v>
      </c>
      <c r="T70" s="3">
        <v>0.95</v>
      </c>
      <c r="U70" s="3">
        <v>1.35</v>
      </c>
      <c r="V70" s="3">
        <v>1.35</v>
      </c>
      <c r="W70" s="3">
        <v>0.95</v>
      </c>
      <c r="X70" s="3">
        <v>0.9</v>
      </c>
      <c r="Y70" t="s">
        <v>89</v>
      </c>
      <c r="Z70">
        <v>-0.51</v>
      </c>
      <c r="AA70" s="52" t="s">
        <v>19</v>
      </c>
    </row>
    <row r="71" spans="4:27" x14ac:dyDescent="0.25">
      <c r="D71" s="44" t="s">
        <v>653</v>
      </c>
      <c r="E71" t="s">
        <v>599</v>
      </c>
      <c r="F71">
        <f>-(0.5*15.6*3.83*40+4.3*7.64*40+0.5*(15.6-4.3)*7.64*40)</f>
        <v>-4235.68</v>
      </c>
      <c r="G71" s="3" t="s">
        <v>65</v>
      </c>
      <c r="H71" s="3">
        <v>1.5</v>
      </c>
      <c r="I71" s="3">
        <v>1.5</v>
      </c>
      <c r="J71" s="3" t="s">
        <v>61</v>
      </c>
      <c r="K71" s="3">
        <v>1.5</v>
      </c>
      <c r="L71" s="3"/>
      <c r="M71" t="s">
        <v>89</v>
      </c>
      <c r="N71" s="27">
        <f>(0.5*15.6*3.83*40*(3.83/3+7.64+(-B3-6))+4.3*7.64*40*(0.5*7.64+(-B3-6))+0.5*(15.6-4.3)*7.64*40*(2*7.64/3+(-B3-6)))/-F71</f>
        <v>10.776923343280574</v>
      </c>
      <c r="O71" s="3" t="s">
        <v>19</v>
      </c>
      <c r="P71" t="s">
        <v>654</v>
      </c>
      <c r="Q71" t="s">
        <v>615</v>
      </c>
      <c r="R71">
        <f>0.5*27*2*(40-4*(B5-6.5)/(-B3-6))</f>
        <v>680.4</v>
      </c>
      <c r="S71" s="3" t="s">
        <v>65</v>
      </c>
      <c r="T71" s="3">
        <v>0.95</v>
      </c>
      <c r="U71" s="3">
        <v>0.9</v>
      </c>
      <c r="V71" s="3">
        <v>1.35</v>
      </c>
      <c r="W71" s="3">
        <v>0.95</v>
      </c>
      <c r="X71" s="3">
        <v>0.9</v>
      </c>
      <c r="Y71" t="s">
        <v>89</v>
      </c>
      <c r="Z71">
        <v>-5.25</v>
      </c>
      <c r="AA71" s="52" t="s">
        <v>19</v>
      </c>
    </row>
    <row r="72" spans="4:27" x14ac:dyDescent="0.25">
      <c r="D72" s="44" t="s">
        <v>654</v>
      </c>
      <c r="E72" t="s">
        <v>600</v>
      </c>
      <c r="F72" s="27">
        <f>-F11</f>
        <v>8661.6570000000011</v>
      </c>
      <c r="G72" s="3" t="s">
        <v>65</v>
      </c>
      <c r="H72" s="3">
        <v>1.05</v>
      </c>
      <c r="I72" s="3">
        <v>1.25</v>
      </c>
      <c r="J72" s="3" t="s">
        <v>61</v>
      </c>
      <c r="K72" s="3">
        <v>1.05</v>
      </c>
      <c r="L72" s="3"/>
      <c r="M72" t="s">
        <v>89</v>
      </c>
      <c r="N72">
        <f>N8</f>
        <v>2</v>
      </c>
      <c r="O72" s="3" t="s">
        <v>19</v>
      </c>
      <c r="P72" t="s">
        <v>652</v>
      </c>
      <c r="Q72" t="s">
        <v>616</v>
      </c>
      <c r="R72" s="27">
        <f>68.17*2*(40-4*(B38-6.5)/(-B36-6))+0.5*(91.3-68.17)*2*(40-4*(B38-6.5)/(-B36-6))</f>
        <v>5687.7633333333324</v>
      </c>
      <c r="S72" s="3" t="s">
        <v>65</v>
      </c>
      <c r="T72" s="3">
        <v>1</v>
      </c>
      <c r="U72" s="3">
        <v>1</v>
      </c>
      <c r="V72" s="3">
        <v>1</v>
      </c>
      <c r="W72" s="3">
        <v>1</v>
      </c>
      <c r="X72" s="3">
        <v>1</v>
      </c>
      <c r="Y72" t="s">
        <v>89</v>
      </c>
      <c r="Z72" s="27">
        <f>-(68.17*2*(40-4*(B5-6.5)/(-B3-6))*(4.92)+0.5*(91.3-68.17)*2*(40-4*(B5-6.5)/(-B3-6))*(2/3*2+3.92))/R72</f>
        <v>-3.5103465650528127</v>
      </c>
      <c r="AA72" s="52" t="s">
        <v>19</v>
      </c>
    </row>
    <row r="73" spans="4:27" x14ac:dyDescent="0.25">
      <c r="D73" s="44" t="s">
        <v>652</v>
      </c>
      <c r="E73" t="s">
        <v>601</v>
      </c>
      <c r="F73">
        <f>(68.17*3.3*(40-2*(B5-6.5)/(-B3-6))+0.5*(98.34-68.17)*3.3*(40-2*(B5-6.5)/(-B3-6)))</f>
        <v>8956.5728999999992</v>
      </c>
      <c r="G73" s="3" t="s">
        <v>65</v>
      </c>
      <c r="H73" s="3">
        <v>1.5</v>
      </c>
      <c r="I73" s="3">
        <v>1.5</v>
      </c>
      <c r="J73" s="3" t="s">
        <v>61</v>
      </c>
      <c r="K73" s="3">
        <v>1.5</v>
      </c>
      <c r="L73" s="3"/>
      <c r="M73" t="s">
        <v>89</v>
      </c>
      <c r="N73" s="27">
        <f>(68.17*3.3*(40-2*(B5-6.5)/(-B3-6))*(0.5*3.3-B3-10)+0.5*(98.34-68.17)*3.3*(40-2*(B5-6.5)/(-B3-6))*(1/3*3.3-B3-10))/F73</f>
        <v>2.5503453246051295</v>
      </c>
      <c r="O73" s="3" t="s">
        <v>19</v>
      </c>
      <c r="P73" t="s">
        <v>652</v>
      </c>
      <c r="Q73" t="s">
        <v>617</v>
      </c>
      <c r="R73">
        <v>15364</v>
      </c>
      <c r="S73" s="3" t="s">
        <v>65</v>
      </c>
      <c r="T73" s="3">
        <v>1</v>
      </c>
      <c r="U73" s="3">
        <v>1</v>
      </c>
      <c r="V73">
        <v>1</v>
      </c>
      <c r="W73">
        <v>1</v>
      </c>
      <c r="X73" s="3">
        <v>1</v>
      </c>
      <c r="Y73" t="s">
        <v>89</v>
      </c>
      <c r="Z73">
        <v>-3.92</v>
      </c>
      <c r="AA73" s="52" t="s">
        <v>19</v>
      </c>
    </row>
    <row r="74" spans="4:27" x14ac:dyDescent="0.25">
      <c r="D74" s="44" t="s">
        <v>652</v>
      </c>
      <c r="E74" t="s">
        <v>603</v>
      </c>
      <c r="F74">
        <f>-(76.82*4*(40-2*(B5-6.5)/(-B3-6))+0.5*(117.04-76.82)*4*(40-2*(B5-6.5)/(-B3-6)))</f>
        <v>-12639.672</v>
      </c>
      <c r="G74" s="3" t="s">
        <v>65</v>
      </c>
      <c r="H74" s="3">
        <v>1.5</v>
      </c>
      <c r="I74" s="3">
        <v>1.5</v>
      </c>
      <c r="J74" s="3" t="s">
        <v>61</v>
      </c>
      <c r="K74" s="3">
        <v>1.5</v>
      </c>
      <c r="L74" s="3"/>
      <c r="M74" t="s">
        <v>89</v>
      </c>
      <c r="N74" s="27">
        <f>-((76.82*4*(40-2*(B38-6.5)/(-B36-6))*(0.5*4-B36-10)+0.5*(117.04-76.82)*4*(40-2*(B38-6.5)/(-B36-6))*(1/3*4-B36-10))/-F74)</f>
        <v>9.4447700506433669</v>
      </c>
      <c r="O74" s="3" t="s">
        <v>19</v>
      </c>
      <c r="P74" t="s">
        <v>29</v>
      </c>
      <c r="Q74" t="s">
        <v>618</v>
      </c>
      <c r="R74" s="27">
        <f>-(SUM('Sill Beam'!N18:'Sill Beam'!N22))*(40-4*(B5-6.5)/(-B3-6))</f>
        <v>11120.863983090765</v>
      </c>
      <c r="S74" s="3" t="s">
        <v>65</v>
      </c>
      <c r="T74" s="3">
        <v>0.95</v>
      </c>
      <c r="U74" s="3">
        <v>1.35</v>
      </c>
      <c r="V74" s="3">
        <v>1.35</v>
      </c>
      <c r="W74" s="3">
        <v>0.95</v>
      </c>
      <c r="X74" s="3">
        <v>0.9</v>
      </c>
      <c r="Y74" t="s">
        <v>89</v>
      </c>
      <c r="Z74">
        <v>-2.08</v>
      </c>
      <c r="AA74" s="52" t="s">
        <v>19</v>
      </c>
    </row>
    <row r="75" spans="4:27" x14ac:dyDescent="0.25">
      <c r="D75" s="44" t="s">
        <v>654</v>
      </c>
      <c r="E75" t="s">
        <v>605</v>
      </c>
      <c r="F75" s="27">
        <f>-F8</f>
        <v>-636.18900000000008</v>
      </c>
      <c r="G75" s="3" t="s">
        <v>65</v>
      </c>
      <c r="H75" s="3">
        <v>0.95</v>
      </c>
      <c r="I75" s="3">
        <v>1.25</v>
      </c>
      <c r="J75" s="3" t="s">
        <v>61</v>
      </c>
      <c r="K75" s="3">
        <v>0.95</v>
      </c>
      <c r="L75" s="3"/>
      <c r="M75" t="s">
        <v>89</v>
      </c>
      <c r="N75">
        <f>N8</f>
        <v>2</v>
      </c>
      <c r="O75" s="3" t="s">
        <v>19</v>
      </c>
      <c r="P75" t="s">
        <v>652</v>
      </c>
      <c r="Q75" t="s">
        <v>619</v>
      </c>
      <c r="R75" s="27">
        <f>-(98.34*7*22.2+0.5*(117.04-98.34)*7*22.2)</f>
        <v>-16735.026000000002</v>
      </c>
      <c r="S75" s="3" t="s">
        <v>65</v>
      </c>
      <c r="T75" s="3">
        <v>1</v>
      </c>
      <c r="U75" s="3">
        <v>1</v>
      </c>
      <c r="V75" s="3">
        <v>1</v>
      </c>
      <c r="W75" s="3">
        <v>1</v>
      </c>
      <c r="X75" s="3">
        <v>1</v>
      </c>
      <c r="Y75" t="s">
        <v>89</v>
      </c>
      <c r="Z75" s="27">
        <f>(98.34*7*22.2*2.08+0.5*(117.04-98.34)*7*22.2*3.59)/R75</f>
        <v>-2.2111031664964247</v>
      </c>
      <c r="AA75" s="52" t="s">
        <v>19</v>
      </c>
    </row>
    <row r="76" spans="4:27" x14ac:dyDescent="0.25">
      <c r="D76" s="44" t="s">
        <v>652</v>
      </c>
      <c r="E76" t="s">
        <v>606</v>
      </c>
      <c r="F76">
        <v>1224.01</v>
      </c>
      <c r="G76" s="3" t="s">
        <v>65</v>
      </c>
      <c r="H76" s="3">
        <v>1.5</v>
      </c>
      <c r="I76" s="3">
        <v>1.5</v>
      </c>
      <c r="J76" s="3" t="s">
        <v>61</v>
      </c>
      <c r="K76" s="3">
        <v>1.5</v>
      </c>
      <c r="L76" s="3"/>
      <c r="M76" t="s">
        <v>89</v>
      </c>
      <c r="N76" s="27">
        <f>6.48/3-B3-6.7</f>
        <v>6.46</v>
      </c>
      <c r="O76" s="3" t="s">
        <v>19</v>
      </c>
      <c r="P76" t="s">
        <v>639</v>
      </c>
      <c r="Q76" t="s">
        <v>620</v>
      </c>
      <c r="R76">
        <f>'First estimates'!U10</f>
        <v>8230.5</v>
      </c>
      <c r="S76" s="3" t="s">
        <v>65</v>
      </c>
      <c r="T76" s="3">
        <v>0</v>
      </c>
      <c r="U76" s="3">
        <v>1.25</v>
      </c>
      <c r="V76" s="3">
        <v>1.25</v>
      </c>
      <c r="W76" s="3">
        <v>0</v>
      </c>
      <c r="X76" s="3">
        <v>0</v>
      </c>
      <c r="Y76" t="s">
        <v>89</v>
      </c>
      <c r="Z76">
        <v>6.73</v>
      </c>
      <c r="AA76" s="52" t="s">
        <v>19</v>
      </c>
    </row>
    <row r="77" spans="4:27" x14ac:dyDescent="0.25">
      <c r="D77" s="44" t="s">
        <v>654</v>
      </c>
      <c r="E77" t="s">
        <v>607</v>
      </c>
      <c r="F77" s="28">
        <f>-F52</f>
        <v>9298.7999999999993</v>
      </c>
      <c r="G77" s="3" t="s">
        <v>65</v>
      </c>
      <c r="H77" s="3">
        <v>1.05</v>
      </c>
      <c r="I77" s="3">
        <v>1.25</v>
      </c>
      <c r="J77" s="3" t="s">
        <v>61</v>
      </c>
      <c r="K77" s="3">
        <v>1.05</v>
      </c>
      <c r="L77" s="3"/>
      <c r="M77" t="s">
        <v>89</v>
      </c>
      <c r="N77" s="27">
        <f>N52</f>
        <v>1.3333333333333333</v>
      </c>
      <c r="O77" s="3" t="s">
        <v>19</v>
      </c>
      <c r="P77" t="s">
        <v>35</v>
      </c>
      <c r="Q77" t="s">
        <v>621</v>
      </c>
      <c r="R77" s="27">
        <f>'First estimates'!U8</f>
        <v>12130.434782608694</v>
      </c>
      <c r="S77" s="3" t="s">
        <v>65</v>
      </c>
      <c r="T77" s="3">
        <v>0.95</v>
      </c>
      <c r="U77" s="3">
        <v>1.35</v>
      </c>
      <c r="V77" s="3">
        <v>1.35</v>
      </c>
      <c r="W77" s="3">
        <v>1.05</v>
      </c>
      <c r="X77" s="3">
        <v>0.9</v>
      </c>
      <c r="Y77" t="s">
        <v>89</v>
      </c>
      <c r="Z77">
        <f>Z76</f>
        <v>6.73</v>
      </c>
      <c r="AA77" s="52" t="s">
        <v>19</v>
      </c>
    </row>
    <row r="78" spans="4:27" x14ac:dyDescent="0.25">
      <c r="D78" s="44" t="s">
        <v>652</v>
      </c>
      <c r="E78" t="s">
        <v>608</v>
      </c>
      <c r="F78" s="10">
        <f>58.12*(6.5*(-B3-6)+(-B3-6)*((B5-6.5)/2))+0.5*(-B3-6)*9.81*1.025*(6.5*(-B3-6)+(-B3-6)*((B5-6.5)/2))</f>
        <v>6556.5773437499993</v>
      </c>
      <c r="G78" s="3" t="s">
        <v>65</v>
      </c>
      <c r="H78" s="3">
        <v>1.5</v>
      </c>
      <c r="I78" s="3">
        <v>1.5</v>
      </c>
      <c r="J78" s="3" t="s">
        <v>61</v>
      </c>
      <c r="K78" s="3">
        <v>1.5</v>
      </c>
      <c r="L78" s="3"/>
      <c r="M78" t="s">
        <v>89</v>
      </c>
      <c r="N78" s="27">
        <f>(58.12*(6.5*(-B3-6)+(-B3-6)*((B5-6.5)/2))*0.5*(-B3-6)+0.5*(-B3-6)*9.81*1.025*(6.5*(-B3-6)+(-B3-6)*((B5-6.5)/2))*(-B3-6)/3)/F78</f>
        <v>2.2483916734853207</v>
      </c>
      <c r="O78" s="3" t="s">
        <v>19</v>
      </c>
      <c r="P78" t="s">
        <v>640</v>
      </c>
      <c r="Q78" t="s">
        <v>622</v>
      </c>
      <c r="R78" s="10">
        <f>'Top Beam'!C10+'Top Beam'!C11+'Top Beam'!C12</f>
        <v>34503.487500000003</v>
      </c>
      <c r="S78" s="3" t="s">
        <v>65</v>
      </c>
      <c r="T78" s="3">
        <v>0.95</v>
      </c>
      <c r="U78" s="3">
        <v>1.35</v>
      </c>
      <c r="V78" s="3">
        <v>1.35</v>
      </c>
      <c r="W78" s="3">
        <v>0.95</v>
      </c>
      <c r="X78" s="3">
        <v>0.9</v>
      </c>
      <c r="Y78" t="s">
        <v>89</v>
      </c>
      <c r="Z78">
        <f>Z69</f>
        <v>-7.47</v>
      </c>
      <c r="AA78" s="52" t="s">
        <v>19</v>
      </c>
    </row>
    <row r="79" spans="4:27" x14ac:dyDescent="0.25">
      <c r="D79" s="44" t="s">
        <v>652</v>
      </c>
      <c r="E79" t="s">
        <v>609</v>
      </c>
      <c r="F79">
        <v>-733.63</v>
      </c>
      <c r="G79" s="3" t="s">
        <v>65</v>
      </c>
      <c r="H79" s="3">
        <v>1.5</v>
      </c>
      <c r="I79" s="3">
        <v>1.5</v>
      </c>
      <c r="J79" s="3" t="s">
        <v>61</v>
      </c>
      <c r="K79" s="3">
        <v>1.5</v>
      </c>
      <c r="L79" s="3"/>
      <c r="M79" t="s">
        <v>89</v>
      </c>
      <c r="N79" s="27">
        <f>7.64/3-B3-6</f>
        <v>7.5466666666666669</v>
      </c>
      <c r="O79" s="3" t="s">
        <v>19</v>
      </c>
      <c r="P79" t="s">
        <v>641</v>
      </c>
      <c r="Q79" t="s">
        <v>623</v>
      </c>
      <c r="R79">
        <f>'Top Beam'!G14*10^(-6)*25*'Top Beam'!G6</f>
        <v>1237.5</v>
      </c>
      <c r="S79" s="3" t="s">
        <v>65</v>
      </c>
      <c r="T79" s="3">
        <v>0.95</v>
      </c>
      <c r="U79" s="3">
        <v>1.35</v>
      </c>
      <c r="V79" s="3">
        <v>1.35</v>
      </c>
      <c r="W79" s="3">
        <v>0.95</v>
      </c>
      <c r="X79" s="3">
        <v>0.9</v>
      </c>
      <c r="Y79" t="s">
        <v>89</v>
      </c>
      <c r="Z79">
        <v>-0.47</v>
      </c>
      <c r="AA79" s="52" t="s">
        <v>19</v>
      </c>
    </row>
    <row r="80" spans="4:27" x14ac:dyDescent="0.25">
      <c r="D80" s="44" t="s">
        <v>653</v>
      </c>
      <c r="E80" t="s">
        <v>610</v>
      </c>
      <c r="F80">
        <v>-264.73</v>
      </c>
      <c r="G80" s="3" t="s">
        <v>65</v>
      </c>
      <c r="H80" s="3">
        <v>1.5</v>
      </c>
      <c r="I80" s="3">
        <v>1.5</v>
      </c>
      <c r="J80" s="3" t="s">
        <v>61</v>
      </c>
      <c r="K80" s="3">
        <v>1.5</v>
      </c>
      <c r="L80" s="3"/>
      <c r="M80" t="s">
        <v>89</v>
      </c>
      <c r="N80" s="27">
        <f>N71</f>
        <v>10.776923343280574</v>
      </c>
      <c r="O80" s="3" t="s">
        <v>19</v>
      </c>
      <c r="P80" t="s">
        <v>642</v>
      </c>
      <c r="Q80" t="s">
        <v>624</v>
      </c>
      <c r="R80">
        <f>'Top Beam'!K14*10^(-6)*'Top Beam'!K6*25</f>
        <v>11056.25</v>
      </c>
      <c r="S80" s="3" t="s">
        <v>65</v>
      </c>
      <c r="T80" s="3">
        <v>0.95</v>
      </c>
      <c r="U80" s="3">
        <v>1.35</v>
      </c>
      <c r="V80" s="3">
        <v>1.35</v>
      </c>
      <c r="W80" s="3">
        <v>1.05</v>
      </c>
      <c r="X80" s="3">
        <v>0.9</v>
      </c>
      <c r="Y80" t="s">
        <v>89</v>
      </c>
      <c r="Z80">
        <f>Z77</f>
        <v>6.73</v>
      </c>
      <c r="AA80" s="52" t="s">
        <v>19</v>
      </c>
    </row>
    <row r="81" spans="4:27" x14ac:dyDescent="0.25">
      <c r="D81" s="44" t="s">
        <v>652</v>
      </c>
      <c r="E81" t="s">
        <v>611</v>
      </c>
      <c r="F81" s="27">
        <f>-(76.82*(6.5*(-B3-6)+(-B3-6)*((B5-6.5)/2))+0.5*(-B3-6)*9.81*1.025*(6.5*(-B3-6)+(-B3-6)*((B5-6.5)/2)))</f>
        <v>-8029.2023437499993</v>
      </c>
      <c r="G81" s="3" t="s">
        <v>65</v>
      </c>
      <c r="H81" s="3">
        <v>1.5</v>
      </c>
      <c r="I81" s="3">
        <v>1.5</v>
      </c>
      <c r="J81" s="3" t="s">
        <v>61</v>
      </c>
      <c r="K81" s="3">
        <v>1.5</v>
      </c>
      <c r="L81" s="3"/>
      <c r="M81" t="s">
        <v>89</v>
      </c>
      <c r="N81" s="27">
        <f>-((76.82*(6.5*(-B3-6)+(-B3-6)*((B5-6.5)/2))*0.5*(-B3-6)+0.5*(-B3-6)*9.81*1.025*(6.5*(-B3-6)+(-B3-6)*((B5-6.5)/2))*(-B3-6)/3)/F81)</f>
        <v>2.2945388118896854</v>
      </c>
      <c r="O81" s="3" t="s">
        <v>19</v>
      </c>
      <c r="P81" t="s">
        <v>643</v>
      </c>
      <c r="Q81" t="s">
        <v>625</v>
      </c>
      <c r="R81" s="27">
        <f>'Pier Foot'!C28/1.25*'Pier Foot'!C3+'Pier Foot'!C69/1.25*'Pier Foot'!C7</f>
        <v>91941.087572490302</v>
      </c>
      <c r="S81" s="3" t="s">
        <v>65</v>
      </c>
      <c r="T81" s="3">
        <v>0.95</v>
      </c>
      <c r="U81" s="3">
        <v>1.35</v>
      </c>
      <c r="V81" s="3">
        <v>1.35</v>
      </c>
      <c r="W81" s="3">
        <v>0.95</v>
      </c>
      <c r="X81" s="3">
        <v>0.9</v>
      </c>
      <c r="Y81" t="s">
        <v>89</v>
      </c>
      <c r="Z81">
        <v>0</v>
      </c>
      <c r="AA81" s="52" t="s">
        <v>19</v>
      </c>
    </row>
    <row r="82" spans="4:27" x14ac:dyDescent="0.25">
      <c r="D82" s="44" t="s">
        <v>654</v>
      </c>
      <c r="E82" t="s">
        <v>612</v>
      </c>
      <c r="F82" s="28">
        <f>-F48</f>
        <v>-680.40000000000009</v>
      </c>
      <c r="G82" s="3" t="s">
        <v>65</v>
      </c>
      <c r="H82" s="3">
        <v>0.95</v>
      </c>
      <c r="I82" s="3">
        <v>1.25</v>
      </c>
      <c r="J82" s="3" t="s">
        <v>61</v>
      </c>
      <c r="K82" s="3">
        <v>0.95</v>
      </c>
      <c r="L82" s="3"/>
      <c r="M82" t="s">
        <v>89</v>
      </c>
      <c r="N82" s="27">
        <f>(-B3-7)/3</f>
        <v>1.3333333333333333</v>
      </c>
      <c r="O82" s="3" t="s">
        <v>19</v>
      </c>
      <c r="P82" t="s">
        <v>652</v>
      </c>
      <c r="Q82" t="s">
        <v>626</v>
      </c>
      <c r="R82" s="10">
        <f>-((-0.22-B3)*9.81*1.025*B5*B6+(1.64+0.22)*9.81*1.025*0.5*B5*B6)</f>
        <v>-147183.72187499999</v>
      </c>
      <c r="S82" s="3" t="s">
        <v>65</v>
      </c>
      <c r="T82" s="3">
        <v>1</v>
      </c>
      <c r="U82" s="3">
        <v>1</v>
      </c>
      <c r="V82">
        <v>1</v>
      </c>
      <c r="W82" s="3">
        <v>1</v>
      </c>
      <c r="X82" s="3">
        <v>1</v>
      </c>
      <c r="Y82" t="s">
        <v>89</v>
      </c>
      <c r="Z82" s="27">
        <f>((-0.22-B3)*9.81*1.025*B6*B5*0-(1.64+0.22)*9.81*1.025*0.5*B6*B5*(B6/2-B6/3))/R82</f>
        <v>0.66182749786507256</v>
      </c>
      <c r="AA82" s="52" t="s">
        <v>19</v>
      </c>
    </row>
    <row r="83" spans="4:27" x14ac:dyDescent="0.25">
      <c r="D83" s="44"/>
      <c r="P83" t="s">
        <v>654</v>
      </c>
      <c r="Q83" t="s">
        <v>627</v>
      </c>
      <c r="R83">
        <f>(-B3-8)*16*2.5*B5</f>
        <v>3000</v>
      </c>
      <c r="S83" s="3" t="s">
        <v>65</v>
      </c>
      <c r="T83" s="3">
        <v>0.95</v>
      </c>
      <c r="U83" s="3">
        <v>1.35</v>
      </c>
      <c r="V83" s="3">
        <v>1.35</v>
      </c>
      <c r="W83" s="3">
        <v>0.95</v>
      </c>
      <c r="X83" s="3">
        <v>0.9</v>
      </c>
      <c r="Y83" t="s">
        <v>89</v>
      </c>
      <c r="Z83">
        <f>-2.5/2-B6/2+2.5</f>
        <v>-23.75</v>
      </c>
      <c r="AA83" s="52" t="s">
        <v>19</v>
      </c>
    </row>
    <row r="84" spans="4:27" x14ac:dyDescent="0.25">
      <c r="D84" s="44"/>
      <c r="P84" t="s">
        <v>654</v>
      </c>
      <c r="Q84" t="s">
        <v>628</v>
      </c>
      <c r="R84">
        <f>R83</f>
        <v>3000</v>
      </c>
      <c r="S84" s="3" t="s">
        <v>65</v>
      </c>
      <c r="T84" s="3">
        <v>0.95</v>
      </c>
      <c r="U84" s="3">
        <v>1.35</v>
      </c>
      <c r="V84" s="3">
        <v>1.35</v>
      </c>
      <c r="W84" s="3">
        <v>1.05</v>
      </c>
      <c r="X84" s="3">
        <v>0.9</v>
      </c>
      <c r="Y84" t="s">
        <v>89</v>
      </c>
      <c r="Z84">
        <f>-Z83</f>
        <v>23.75</v>
      </c>
      <c r="AA84" s="52" t="s">
        <v>19</v>
      </c>
    </row>
    <row r="85" spans="4:27" x14ac:dyDescent="0.25">
      <c r="D85" s="44"/>
      <c r="P85" t="s">
        <v>652</v>
      </c>
      <c r="Q85" t="s">
        <v>629</v>
      </c>
      <c r="R85" s="27">
        <f>(-1.22-B3)*9.81*1.025*2.5*B5</f>
        <v>6146.2715625000001</v>
      </c>
      <c r="S85" s="3" t="s">
        <v>65</v>
      </c>
      <c r="T85" s="3">
        <v>1</v>
      </c>
      <c r="U85" s="3">
        <v>1</v>
      </c>
      <c r="V85">
        <v>1</v>
      </c>
      <c r="W85" s="3">
        <v>1</v>
      </c>
      <c r="X85" s="3">
        <v>1</v>
      </c>
      <c r="Y85" t="s">
        <v>89</v>
      </c>
      <c r="Z85">
        <f>Z83</f>
        <v>-23.75</v>
      </c>
      <c r="AA85" s="52" t="s">
        <v>19</v>
      </c>
    </row>
    <row r="86" spans="4:27" x14ac:dyDescent="0.25">
      <c r="D86" s="44"/>
      <c r="P86" t="s">
        <v>652</v>
      </c>
      <c r="Q86" t="s">
        <v>630</v>
      </c>
      <c r="R86" s="27">
        <f>58.12*(B6/2-15.86)*6.5</f>
        <v>3452.9092000000001</v>
      </c>
      <c r="S86" s="3" t="s">
        <v>65</v>
      </c>
      <c r="T86" s="3">
        <v>1</v>
      </c>
      <c r="U86" s="3">
        <v>1</v>
      </c>
      <c r="V86">
        <v>1</v>
      </c>
      <c r="W86" s="3">
        <v>1</v>
      </c>
      <c r="X86" s="3">
        <v>1</v>
      </c>
      <c r="Y86" t="s">
        <v>89</v>
      </c>
      <c r="Z86">
        <f>-0.5*(B6/2-15.86)-13.36</f>
        <v>-17.93</v>
      </c>
      <c r="AA86" s="52" t="s">
        <v>19</v>
      </c>
    </row>
    <row r="87" spans="4:27" x14ac:dyDescent="0.25">
      <c r="D87" s="44"/>
      <c r="P87" t="s">
        <v>652</v>
      </c>
      <c r="Q87" t="s">
        <v>631</v>
      </c>
      <c r="R87">
        <v>1577.61</v>
      </c>
      <c r="S87" s="3" t="s">
        <v>65</v>
      </c>
      <c r="T87" s="3">
        <v>1</v>
      </c>
      <c r="U87" s="3">
        <v>1</v>
      </c>
      <c r="V87">
        <v>1</v>
      </c>
      <c r="W87" s="3">
        <v>1</v>
      </c>
      <c r="X87" s="3">
        <v>1</v>
      </c>
      <c r="Y87" t="s">
        <v>89</v>
      </c>
      <c r="Z87">
        <f>Z78</f>
        <v>-7.47</v>
      </c>
      <c r="AA87" s="52" t="s">
        <v>19</v>
      </c>
    </row>
    <row r="88" spans="4:27" x14ac:dyDescent="0.25">
      <c r="D88" s="44"/>
      <c r="P88" t="s">
        <v>652</v>
      </c>
      <c r="Q88" t="s">
        <v>632</v>
      </c>
      <c r="R88" s="27">
        <f>76.82*(B6/2+1.55)*6.5</f>
        <v>13257.211499999999</v>
      </c>
      <c r="S88" s="3" t="s">
        <v>65</v>
      </c>
      <c r="T88" s="3">
        <v>1</v>
      </c>
      <c r="U88" s="3">
        <v>1</v>
      </c>
      <c r="V88">
        <v>1</v>
      </c>
      <c r="W88" s="3">
        <v>1</v>
      </c>
      <c r="X88" s="3">
        <v>1</v>
      </c>
      <c r="Y88" t="s">
        <v>89</v>
      </c>
      <c r="Z88">
        <f>0.5*(B39/2+1.55)-4.05</f>
        <v>-3.2749999999999999</v>
      </c>
      <c r="AA88" s="52" t="s">
        <v>19</v>
      </c>
    </row>
    <row r="89" spans="4:27" x14ac:dyDescent="0.25">
      <c r="D89" s="44"/>
      <c r="P89" t="s">
        <v>652</v>
      </c>
      <c r="Q89" t="s">
        <v>633</v>
      </c>
      <c r="R89" s="27">
        <f>(0.64-B3)*9.81*1.025*2.5*B5</f>
        <v>7315.1943750000019</v>
      </c>
      <c r="S89" s="3" t="s">
        <v>65</v>
      </c>
      <c r="T89" s="3">
        <v>1</v>
      </c>
      <c r="U89" s="3">
        <v>1</v>
      </c>
      <c r="V89">
        <v>1</v>
      </c>
      <c r="W89" s="3">
        <v>1</v>
      </c>
      <c r="X89" s="3">
        <v>1</v>
      </c>
      <c r="Y89" t="s">
        <v>89</v>
      </c>
      <c r="Z89">
        <f>Z84</f>
        <v>23.75</v>
      </c>
      <c r="AA89" s="52" t="s">
        <v>19</v>
      </c>
    </row>
    <row r="90" spans="4:27" x14ac:dyDescent="0.25">
      <c r="D90" s="44"/>
      <c r="P90" t="s">
        <v>654</v>
      </c>
      <c r="Q90" t="s">
        <v>634</v>
      </c>
      <c r="R90" s="10">
        <f>0.5*(-B3-8)*16*((B5-6.5)/2*(1-1/(-B3-7)))*(B6/2-8.42)</f>
        <v>2760.5699999999997</v>
      </c>
      <c r="S90" s="3" t="s">
        <v>65</v>
      </c>
      <c r="T90" s="3">
        <v>0.95</v>
      </c>
      <c r="U90" s="3">
        <v>1.35</v>
      </c>
      <c r="V90" s="3">
        <v>1.35</v>
      </c>
      <c r="W90" s="3">
        <v>0.95</v>
      </c>
      <c r="X90" s="3">
        <v>0.9</v>
      </c>
      <c r="Y90" t="s">
        <v>89</v>
      </c>
      <c r="Z90">
        <f>-0.5*(B6/2-8.42)-5.92</f>
        <v>-14.209999999999999</v>
      </c>
      <c r="AA90" s="52" t="s">
        <v>19</v>
      </c>
    </row>
    <row r="91" spans="4:27" x14ac:dyDescent="0.25">
      <c r="D91" s="44"/>
      <c r="P91" t="s">
        <v>654</v>
      </c>
      <c r="Q91" t="s">
        <v>635</v>
      </c>
      <c r="R91" s="10">
        <f>R90</f>
        <v>2760.5699999999997</v>
      </c>
      <c r="S91" s="3" t="s">
        <v>65</v>
      </c>
      <c r="T91" s="3">
        <v>0.95</v>
      </c>
      <c r="U91" s="3">
        <v>1.35</v>
      </c>
      <c r="V91" s="3">
        <v>1.35</v>
      </c>
      <c r="W91" s="3">
        <v>0.95</v>
      </c>
      <c r="X91" s="3">
        <v>0.9</v>
      </c>
      <c r="Y91" t="s">
        <v>89</v>
      </c>
      <c r="Z91">
        <f>Z90</f>
        <v>-14.209999999999999</v>
      </c>
      <c r="AA91" s="52" t="s">
        <v>19</v>
      </c>
    </row>
    <row r="92" spans="4:27" x14ac:dyDescent="0.25">
      <c r="D92" s="44"/>
      <c r="P92" t="s">
        <v>652</v>
      </c>
      <c r="Q92" t="s">
        <v>636</v>
      </c>
      <c r="R92" s="27">
        <f>58.12*((B5-6.5)/2)*16.58+0.5*(-B3-6)*9.81*1.025*((B5-6.5)/2)*(B6/2-8.42)</f>
        <v>12768.882340624999</v>
      </c>
      <c r="S92" s="3" t="s">
        <v>65</v>
      </c>
      <c r="T92" s="3">
        <v>1</v>
      </c>
      <c r="U92" s="3">
        <v>1</v>
      </c>
      <c r="V92">
        <v>1</v>
      </c>
      <c r="W92" s="3">
        <v>1</v>
      </c>
      <c r="X92" s="3">
        <v>1</v>
      </c>
      <c r="Y92" t="s">
        <v>89</v>
      </c>
      <c r="Z92">
        <f>Z91</f>
        <v>-14.209999999999999</v>
      </c>
      <c r="AA92" s="52" t="s">
        <v>19</v>
      </c>
    </row>
    <row r="93" spans="4:27" x14ac:dyDescent="0.25">
      <c r="D93" s="44"/>
      <c r="P93" t="s">
        <v>652</v>
      </c>
      <c r="Q93" t="s">
        <v>644</v>
      </c>
      <c r="R93" s="27">
        <f>R92</f>
        <v>12768.882340624999</v>
      </c>
      <c r="S93" s="3" t="s">
        <v>65</v>
      </c>
      <c r="T93" s="3">
        <v>1</v>
      </c>
      <c r="U93" s="3">
        <v>1</v>
      </c>
      <c r="V93">
        <v>1</v>
      </c>
      <c r="W93" s="3">
        <v>1</v>
      </c>
      <c r="X93" s="3">
        <v>1</v>
      </c>
      <c r="Y93" t="s">
        <v>89</v>
      </c>
      <c r="Z93">
        <f>Z92</f>
        <v>-14.209999999999999</v>
      </c>
      <c r="AA93" s="52" t="s">
        <v>19</v>
      </c>
    </row>
    <row r="94" spans="4:27" x14ac:dyDescent="0.25">
      <c r="D94" s="44"/>
      <c r="P94" t="s">
        <v>654</v>
      </c>
      <c r="Q94" t="s">
        <v>645</v>
      </c>
      <c r="R94" s="10">
        <f>0.5*(-B3-8)*16*((B5-6.5)/2*(1-1/(-B3-7)))*(B6/2-3.58)</f>
        <v>3566.4300000000003</v>
      </c>
      <c r="S94" s="3" t="s">
        <v>65</v>
      </c>
      <c r="T94" s="3">
        <v>0.95</v>
      </c>
      <c r="U94" s="3">
        <v>1.35</v>
      </c>
      <c r="V94" s="3">
        <v>1.35</v>
      </c>
      <c r="W94" s="3">
        <v>1.05</v>
      </c>
      <c r="X94" s="3">
        <v>0.9</v>
      </c>
      <c r="Y94" t="s">
        <v>89</v>
      </c>
      <c r="Z94">
        <f>0.5*(B6/2-3.58)+1.08</f>
        <v>11.790000000000001</v>
      </c>
      <c r="AA94" s="52" t="s">
        <v>19</v>
      </c>
    </row>
    <row r="95" spans="4:27" x14ac:dyDescent="0.25">
      <c r="D95" s="44"/>
      <c r="P95" t="s">
        <v>654</v>
      </c>
      <c r="Q95" t="s">
        <v>646</v>
      </c>
      <c r="R95" s="10">
        <f>R94</f>
        <v>3566.4300000000003</v>
      </c>
      <c r="S95" s="3" t="s">
        <v>65</v>
      </c>
      <c r="T95" s="3">
        <v>0.95</v>
      </c>
      <c r="U95" s="3">
        <v>1.35</v>
      </c>
      <c r="V95" s="3">
        <v>1.35</v>
      </c>
      <c r="W95" s="3">
        <v>1.05</v>
      </c>
      <c r="X95" s="3">
        <v>0.9</v>
      </c>
      <c r="Y95" t="s">
        <v>89</v>
      </c>
      <c r="Z95">
        <f>Z94</f>
        <v>11.790000000000001</v>
      </c>
      <c r="AA95" s="52" t="s">
        <v>19</v>
      </c>
    </row>
    <row r="96" spans="4:27" x14ac:dyDescent="0.25">
      <c r="D96" s="44"/>
      <c r="P96" t="s">
        <v>652</v>
      </c>
      <c r="Q96" t="s">
        <v>647</v>
      </c>
      <c r="R96" s="27">
        <f>76.82*((B5-6.5)/2)*21.42+0.5*(-B3-6)*9.81*1.025*((B5-6.5)/2)*(B6/2-3.58)</f>
        <v>20201.473096875001</v>
      </c>
      <c r="S96" s="3" t="s">
        <v>65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t="s">
        <v>89</v>
      </c>
      <c r="Z96">
        <f>Z95</f>
        <v>11.790000000000001</v>
      </c>
      <c r="AA96" s="52" t="s">
        <v>19</v>
      </c>
    </row>
    <row r="97" spans="4:27" x14ac:dyDescent="0.25">
      <c r="D97" s="44"/>
      <c r="P97" t="s">
        <v>652</v>
      </c>
      <c r="Q97" t="s">
        <v>648</v>
      </c>
      <c r="R97" s="27">
        <f>R96</f>
        <v>20201.473096875001</v>
      </c>
      <c r="S97" s="3" t="s">
        <v>65</v>
      </c>
      <c r="T97" s="3">
        <v>1</v>
      </c>
      <c r="U97" s="3">
        <v>1</v>
      </c>
      <c r="V97">
        <v>1</v>
      </c>
      <c r="W97" s="3">
        <v>1</v>
      </c>
      <c r="X97" s="3">
        <v>1</v>
      </c>
      <c r="Y97" t="s">
        <v>89</v>
      </c>
      <c r="Z97">
        <f>Z96</f>
        <v>11.790000000000001</v>
      </c>
      <c r="AA97" s="52" t="s">
        <v>19</v>
      </c>
    </row>
    <row r="98" spans="4:27" x14ac:dyDescent="0.25">
      <c r="D98" s="44"/>
      <c r="AA98" s="52"/>
    </row>
    <row r="99" spans="4:27" x14ac:dyDescent="0.25">
      <c r="D99" s="44"/>
      <c r="AA99" s="52"/>
    </row>
    <row r="100" spans="4:27" ht="18.75" thickBot="1" x14ac:dyDescent="0.45">
      <c r="D100" s="46"/>
      <c r="E100" s="68" t="s">
        <v>650</v>
      </c>
      <c r="F100" s="64">
        <f>SUM(F69:F82)</f>
        <v>3272.3659000000002</v>
      </c>
      <c r="G100" s="48"/>
      <c r="H100" s="48"/>
      <c r="I100" s="48"/>
      <c r="J100" s="48"/>
      <c r="K100" s="64"/>
      <c r="L100" s="64"/>
      <c r="M100" s="64"/>
      <c r="N100" s="64"/>
      <c r="O100" s="48"/>
      <c r="P100" s="64"/>
      <c r="Q100" s="68" t="s">
        <v>651</v>
      </c>
      <c r="R100" s="65">
        <f>SUM(R69:R97)</f>
        <v>179786.06670176965</v>
      </c>
      <c r="S100" s="48"/>
      <c r="T100" s="48"/>
      <c r="U100" s="48"/>
      <c r="V100" s="64"/>
      <c r="W100" s="64"/>
      <c r="X100" s="64"/>
      <c r="Y100" s="64"/>
      <c r="Z100" s="64"/>
      <c r="AA100" s="54"/>
    </row>
    <row r="101" spans="4:27" x14ac:dyDescent="0.25">
      <c r="D101" s="70" t="s">
        <v>672</v>
      </c>
      <c r="E101" s="62"/>
      <c r="F101" s="62"/>
      <c r="G101" s="42"/>
      <c r="H101" s="69"/>
      <c r="I101" s="69"/>
      <c r="J101" s="69"/>
      <c r="K101" s="69"/>
      <c r="L101" s="69"/>
      <c r="M101" s="62"/>
      <c r="N101" s="67"/>
      <c r="O101" s="42"/>
      <c r="P101" s="62"/>
      <c r="Q101" s="62"/>
      <c r="R101" s="62"/>
      <c r="S101" s="42"/>
      <c r="T101" s="69"/>
      <c r="U101" s="69"/>
      <c r="V101" s="69" t="s">
        <v>660</v>
      </c>
      <c r="W101" s="69"/>
      <c r="X101" s="69" t="s">
        <v>669</v>
      </c>
      <c r="Y101" s="62"/>
      <c r="Z101" s="67" t="s">
        <v>655</v>
      </c>
      <c r="AA101" s="51"/>
    </row>
    <row r="102" spans="4:27" x14ac:dyDescent="0.25">
      <c r="D102" s="44"/>
      <c r="K102" s="3"/>
      <c r="L102" s="3"/>
      <c r="N102" s="27"/>
      <c r="P102" t="s">
        <v>674</v>
      </c>
      <c r="Q102" t="s">
        <v>602</v>
      </c>
      <c r="R102" s="10">
        <f>'Top Beam'!C10</f>
        <v>25103.487500000003</v>
      </c>
      <c r="S102" s="3" t="s">
        <v>65</v>
      </c>
      <c r="V102" s="3">
        <v>1.25</v>
      </c>
      <c r="W102" s="3"/>
      <c r="X102" s="3">
        <v>0.9</v>
      </c>
      <c r="AA102" s="52"/>
    </row>
    <row r="103" spans="4:27" x14ac:dyDescent="0.25">
      <c r="D103" s="44"/>
      <c r="K103" s="3"/>
      <c r="L103" s="3"/>
      <c r="N103" s="27"/>
      <c r="P103" t="s">
        <v>641</v>
      </c>
      <c r="Q103" t="s">
        <v>604</v>
      </c>
      <c r="R103">
        <f>'Top Beam'!G14*10^(-6)*25*'Top Beam'!G6</f>
        <v>1237.5</v>
      </c>
      <c r="S103" s="3" t="s">
        <v>65</v>
      </c>
      <c r="V103" s="3">
        <v>1.25</v>
      </c>
      <c r="W103" s="3"/>
      <c r="X103" s="3">
        <v>0.9</v>
      </c>
      <c r="AA103" s="52"/>
    </row>
    <row r="104" spans="4:27" x14ac:dyDescent="0.25">
      <c r="D104" s="44"/>
      <c r="F104" s="10"/>
      <c r="K104" s="3"/>
      <c r="L104" s="3"/>
      <c r="N104" s="27"/>
      <c r="P104" t="s">
        <v>642</v>
      </c>
      <c r="Q104" t="s">
        <v>615</v>
      </c>
      <c r="R104">
        <f>'Top Beam'!K14*10^(-6)*'Top Beam'!K6*25</f>
        <v>11056.25</v>
      </c>
      <c r="S104" s="3" t="s">
        <v>65</v>
      </c>
      <c r="V104" s="3">
        <v>1.25</v>
      </c>
      <c r="W104" s="3"/>
      <c r="X104" s="3">
        <v>0.9</v>
      </c>
      <c r="AA104" s="52"/>
    </row>
    <row r="105" spans="4:27" x14ac:dyDescent="0.25">
      <c r="D105" s="44"/>
      <c r="K105" s="3"/>
      <c r="L105" s="3"/>
      <c r="N105" s="27"/>
      <c r="P105" t="s">
        <v>643</v>
      </c>
      <c r="Q105" t="s">
        <v>616</v>
      </c>
      <c r="R105" s="27">
        <f>'Pier Foot'!C26/1.25*'Pier Foot'!C3</f>
        <v>80086.052464661887</v>
      </c>
      <c r="S105" s="3" t="s">
        <v>65</v>
      </c>
      <c r="V105" s="3">
        <v>1.25</v>
      </c>
      <c r="W105" s="3"/>
      <c r="X105" s="3">
        <v>0.9</v>
      </c>
      <c r="AA105" s="52"/>
    </row>
    <row r="106" spans="4:27" x14ac:dyDescent="0.25">
      <c r="D106" s="44"/>
      <c r="K106" s="3"/>
      <c r="L106" s="3"/>
      <c r="N106" s="27"/>
      <c r="P106" t="s">
        <v>652</v>
      </c>
      <c r="Q106" t="s">
        <v>617</v>
      </c>
      <c r="R106" s="27">
        <f>35.09*2.2*2.5</f>
        <v>192.995</v>
      </c>
      <c r="S106" s="3" t="s">
        <v>65</v>
      </c>
      <c r="V106" s="3">
        <v>1</v>
      </c>
      <c r="W106" s="3"/>
      <c r="X106" s="3">
        <v>1</v>
      </c>
      <c r="AA106" s="52"/>
    </row>
    <row r="107" spans="4:27" x14ac:dyDescent="0.25">
      <c r="D107" s="44"/>
      <c r="P107" t="s">
        <v>652</v>
      </c>
      <c r="Q107" t="s">
        <v>618</v>
      </c>
      <c r="R107" s="27">
        <f>(5.49-B3)*9.81*1.025*2.5*B5</f>
        <v>10363.192031250001</v>
      </c>
      <c r="S107" s="3" t="s">
        <v>65</v>
      </c>
      <c r="V107">
        <v>1</v>
      </c>
      <c r="W107" s="3"/>
      <c r="X107" s="3">
        <v>1</v>
      </c>
      <c r="AA107" s="52"/>
    </row>
    <row r="108" spans="4:27" x14ac:dyDescent="0.25">
      <c r="D108" s="44"/>
      <c r="P108" t="s">
        <v>652</v>
      </c>
      <c r="Q108" t="s">
        <v>619</v>
      </c>
      <c r="R108" s="27">
        <f>(6.49+6)*9.81*1.025*(B6/2-15.86)*6.5</f>
        <v>7461.3062072250013</v>
      </c>
      <c r="S108" s="3" t="s">
        <v>65</v>
      </c>
      <c r="V108">
        <v>1</v>
      </c>
      <c r="W108" s="3"/>
      <c r="X108" s="3">
        <v>1</v>
      </c>
      <c r="AA108" s="52"/>
    </row>
    <row r="109" spans="4:27" x14ac:dyDescent="0.25">
      <c r="D109" s="44"/>
      <c r="P109" t="s">
        <v>652</v>
      </c>
      <c r="Q109" t="s">
        <v>620</v>
      </c>
      <c r="R109" s="27">
        <f>(6.49+6)*9.81*1.025*6.786*4</f>
        <v>3409.0169279399997</v>
      </c>
      <c r="S109" s="3" t="s">
        <v>65</v>
      </c>
      <c r="V109">
        <v>1</v>
      </c>
      <c r="W109" s="3"/>
      <c r="X109" s="3">
        <v>1</v>
      </c>
      <c r="AA109" s="52"/>
    </row>
    <row r="110" spans="4:27" x14ac:dyDescent="0.25">
      <c r="D110" s="44"/>
      <c r="P110" t="s">
        <v>652</v>
      </c>
      <c r="Q110" t="s">
        <v>621</v>
      </c>
      <c r="R110" s="27">
        <f>(6.49+6)*9.81*1.025*(B6/2+1.55)*6.5</f>
        <v>21673.706761687503</v>
      </c>
      <c r="S110" s="3" t="s">
        <v>65</v>
      </c>
      <c r="V110">
        <v>1</v>
      </c>
      <c r="W110" s="3"/>
      <c r="X110" s="3">
        <v>1</v>
      </c>
      <c r="AA110" s="52"/>
    </row>
    <row r="111" spans="4:27" x14ac:dyDescent="0.25">
      <c r="D111" s="44"/>
      <c r="P111" t="s">
        <v>652</v>
      </c>
      <c r="Q111" t="s">
        <v>622</v>
      </c>
      <c r="R111" s="27">
        <f>R107</f>
        <v>10363.192031250001</v>
      </c>
      <c r="S111" s="3" t="s">
        <v>65</v>
      </c>
      <c r="V111">
        <v>1</v>
      </c>
      <c r="W111" s="3"/>
      <c r="X111" s="3">
        <v>1</v>
      </c>
      <c r="AA111" s="52"/>
    </row>
    <row r="112" spans="4:27" x14ac:dyDescent="0.25">
      <c r="D112" s="44"/>
      <c r="K112" s="3"/>
      <c r="L112" s="3"/>
      <c r="N112" s="27"/>
      <c r="P112" t="s">
        <v>652</v>
      </c>
      <c r="Q112" t="s">
        <v>623</v>
      </c>
      <c r="R112" s="10">
        <f>-((6.49-B3)*9.81*1.025*B5*B6)</f>
        <v>-219832.90312499998</v>
      </c>
      <c r="S112" s="3" t="s">
        <v>65</v>
      </c>
      <c r="V112">
        <v>1</v>
      </c>
      <c r="W112" s="3"/>
      <c r="X112" s="3">
        <v>1</v>
      </c>
      <c r="Z112" s="27"/>
      <c r="AA112" s="52"/>
    </row>
    <row r="113" spans="4:27" x14ac:dyDescent="0.25">
      <c r="D113" s="44"/>
      <c r="P113" t="s">
        <v>652</v>
      </c>
      <c r="Q113" t="s">
        <v>624</v>
      </c>
      <c r="R113" s="27">
        <f>(6.49+6)*9.81*1.025*((B5-6.5)/2)*(B6)+0.5*(-B3-6)*9.81*1.025*((B5-6.5)/2)*(B6)</f>
        <v>69711.791343749996</v>
      </c>
      <c r="S113" s="3" t="s">
        <v>65</v>
      </c>
      <c r="V113">
        <v>1</v>
      </c>
      <c r="W113" s="3"/>
      <c r="X113" s="3">
        <v>1</v>
      </c>
      <c r="AA113" s="52"/>
    </row>
    <row r="114" spans="4:27" x14ac:dyDescent="0.25">
      <c r="D114" s="44"/>
      <c r="P114" t="s">
        <v>652</v>
      </c>
      <c r="Q114" t="s">
        <v>625</v>
      </c>
      <c r="R114" s="27">
        <f>R113</f>
        <v>69711.791343749996</v>
      </c>
      <c r="S114" s="3" t="s">
        <v>65</v>
      </c>
      <c r="V114">
        <v>1</v>
      </c>
      <c r="W114" s="3"/>
      <c r="X114" s="3">
        <v>1</v>
      </c>
      <c r="AA114" s="52"/>
    </row>
    <row r="115" spans="4:27" x14ac:dyDescent="0.25">
      <c r="D115" s="44"/>
      <c r="AA115" s="52"/>
    </row>
    <row r="116" spans="4:27" ht="18.75" thickBot="1" x14ac:dyDescent="0.45">
      <c r="D116" s="46"/>
      <c r="E116" s="68"/>
      <c r="F116" s="64"/>
      <c r="G116" s="48"/>
      <c r="H116" s="48"/>
      <c r="I116" s="48"/>
      <c r="J116" s="48"/>
      <c r="K116" s="64"/>
      <c r="L116" s="64"/>
      <c r="M116" s="64"/>
      <c r="N116" s="64"/>
      <c r="O116" s="48"/>
      <c r="P116" s="64"/>
      <c r="Q116" s="68" t="s">
        <v>651</v>
      </c>
      <c r="R116" s="65">
        <f>SUM(R102:R114)</f>
        <v>90537.378486514412</v>
      </c>
      <c r="S116" s="48"/>
      <c r="T116" s="48"/>
      <c r="U116" s="48"/>
      <c r="V116" s="64"/>
      <c r="W116" s="64"/>
      <c r="X116" s="64"/>
      <c r="Y116" s="64"/>
      <c r="Z116" s="64"/>
      <c r="AA116" s="54"/>
    </row>
    <row r="117" spans="4:27" x14ac:dyDescent="0.25">
      <c r="D117" s="61" t="s">
        <v>676</v>
      </c>
      <c r="E117" s="62"/>
      <c r="F117" s="62"/>
      <c r="G117" s="42"/>
      <c r="H117" s="42"/>
      <c r="I117" s="42"/>
      <c r="J117" s="42"/>
      <c r="K117" s="62"/>
      <c r="L117" s="62"/>
      <c r="M117" s="62"/>
      <c r="N117" s="62"/>
      <c r="O117" s="42"/>
      <c r="P117" s="62"/>
      <c r="Q117" s="62"/>
      <c r="R117" s="62"/>
      <c r="S117" s="42"/>
      <c r="T117" s="69"/>
      <c r="U117" s="69"/>
      <c r="V117" s="69" t="s">
        <v>660</v>
      </c>
      <c r="W117" s="69"/>
      <c r="X117" s="69"/>
      <c r="Y117" s="62"/>
      <c r="Z117" s="62"/>
      <c r="AA117" s="51"/>
    </row>
    <row r="118" spans="4:27" x14ac:dyDescent="0.25">
      <c r="D118" s="44"/>
      <c r="P118" t="s">
        <v>1</v>
      </c>
      <c r="Q118" t="s">
        <v>602</v>
      </c>
      <c r="R118" s="10">
        <f>Gate!BF23</f>
        <v>10956.775417058328</v>
      </c>
      <c r="S118" s="3" t="s">
        <v>65</v>
      </c>
      <c r="V118" s="3">
        <v>1.35</v>
      </c>
      <c r="W118" s="3"/>
      <c r="X118" s="3"/>
      <c r="AA118" s="52"/>
    </row>
    <row r="119" spans="4:27" x14ac:dyDescent="0.25">
      <c r="D119" s="44"/>
      <c r="P119" t="s">
        <v>31</v>
      </c>
      <c r="Q119" t="s">
        <v>604</v>
      </c>
      <c r="R119" s="27">
        <f>-'Top Beam'!AE18*40+2*'Top Beam'!W26*'Top Beam'!W27*25*3.25+1.512^2*'Top Beam'!W26*25</f>
        <v>25882.506233966538</v>
      </c>
      <c r="S119" s="3" t="s">
        <v>65</v>
      </c>
      <c r="V119" s="3">
        <v>1.35</v>
      </c>
      <c r="W119" s="3"/>
      <c r="X119" s="3"/>
      <c r="AA119" s="52"/>
    </row>
    <row r="120" spans="4:27" x14ac:dyDescent="0.25">
      <c r="D120" s="44"/>
      <c r="P120" t="s">
        <v>654</v>
      </c>
      <c r="Q120" t="s">
        <v>615</v>
      </c>
      <c r="R120">
        <f>0.5*27*2*(40-4*(B5-6.5)/(-B3-6))</f>
        <v>680.4</v>
      </c>
      <c r="S120" s="3" t="s">
        <v>65</v>
      </c>
      <c r="V120" s="3">
        <v>1.35</v>
      </c>
      <c r="W120" s="3"/>
      <c r="X120" s="3"/>
      <c r="AA120" s="52"/>
    </row>
    <row r="121" spans="4:27" x14ac:dyDescent="0.25">
      <c r="D121" s="44"/>
      <c r="P121" t="s">
        <v>652</v>
      </c>
      <c r="Q121" t="s">
        <v>616</v>
      </c>
      <c r="R121" s="27">
        <f>60.23*2*(40-4*(B5-6.5)/(-B3-6))+0.5*(83.36-60.23)*2*(40-4*(B5-6.5)/(-B3-6))</f>
        <v>3618.4679999999998</v>
      </c>
      <c r="S121" s="3" t="s">
        <v>65</v>
      </c>
      <c r="V121" s="3">
        <v>1.35</v>
      </c>
      <c r="W121" s="3"/>
      <c r="X121" s="3"/>
      <c r="Z121" s="27"/>
      <c r="AA121" s="52"/>
    </row>
    <row r="122" spans="4:27" x14ac:dyDescent="0.25">
      <c r="D122" s="44"/>
      <c r="P122" t="s">
        <v>652</v>
      </c>
      <c r="Q122" t="s">
        <v>617</v>
      </c>
      <c r="R122">
        <v>10036</v>
      </c>
      <c r="S122" s="3" t="s">
        <v>65</v>
      </c>
      <c r="V122" s="3">
        <v>1.35</v>
      </c>
      <c r="X122" s="3"/>
      <c r="AA122" s="52"/>
    </row>
    <row r="123" spans="4:27" x14ac:dyDescent="0.25">
      <c r="D123" s="44"/>
      <c r="P123" t="s">
        <v>29</v>
      </c>
      <c r="Q123" t="s">
        <v>618</v>
      </c>
      <c r="R123" s="27">
        <f>-(SUM('Sill Beam'!N18:'Sill Beam'!N22))*(40-4*(B5-6.5)/(-B3-6))</f>
        <v>11120.863983090765</v>
      </c>
      <c r="S123" s="3" t="s">
        <v>65</v>
      </c>
      <c r="V123" s="3">
        <v>1.35</v>
      </c>
      <c r="W123" s="3"/>
      <c r="X123" s="3"/>
      <c r="AA123" s="52"/>
    </row>
    <row r="124" spans="4:27" x14ac:dyDescent="0.25">
      <c r="D124" s="44"/>
      <c r="P124" t="s">
        <v>652</v>
      </c>
      <c r="Q124" t="s">
        <v>619</v>
      </c>
      <c r="R124" s="27">
        <f>-(90.4*7*22.2)</f>
        <v>-14048.160000000002</v>
      </c>
      <c r="S124" s="3" t="s">
        <v>65</v>
      </c>
      <c r="V124" s="3">
        <v>0.95</v>
      </c>
      <c r="W124" s="3"/>
      <c r="X124" s="3"/>
      <c r="Z124" s="27"/>
      <c r="AA124" s="52"/>
    </row>
    <row r="125" spans="4:27" x14ac:dyDescent="0.25">
      <c r="D125" s="44"/>
      <c r="P125" t="s">
        <v>639</v>
      </c>
      <c r="Q125" t="s">
        <v>620</v>
      </c>
      <c r="R125">
        <f>'First estimates'!U10</f>
        <v>8230.5</v>
      </c>
      <c r="S125" s="3" t="s">
        <v>65</v>
      </c>
      <c r="V125" s="3">
        <v>1.25</v>
      </c>
      <c r="W125" s="3"/>
      <c r="X125" s="3"/>
      <c r="AA125" s="52"/>
    </row>
    <row r="126" spans="4:27" x14ac:dyDescent="0.25">
      <c r="D126" s="44"/>
      <c r="P126" t="s">
        <v>35</v>
      </c>
      <c r="Q126" t="s">
        <v>621</v>
      </c>
      <c r="R126" s="27">
        <f>'First estimates'!U8</f>
        <v>12130.434782608694</v>
      </c>
      <c r="S126" s="3" t="s">
        <v>65</v>
      </c>
      <c r="V126" s="3">
        <v>1.35</v>
      </c>
      <c r="W126" s="3"/>
      <c r="X126" s="3"/>
      <c r="AA126" s="52"/>
    </row>
    <row r="127" spans="4:27" x14ac:dyDescent="0.25">
      <c r="D127" s="44"/>
      <c r="P127" t="s">
        <v>640</v>
      </c>
      <c r="Q127" t="s">
        <v>622</v>
      </c>
      <c r="R127" s="10">
        <f>'Top Beam'!C10+'Top Beam'!C11+'Top Beam'!C12</f>
        <v>34503.487500000003</v>
      </c>
      <c r="S127" s="3" t="s">
        <v>65</v>
      </c>
      <c r="V127" s="3">
        <v>1.35</v>
      </c>
      <c r="W127" s="3"/>
      <c r="X127" s="3"/>
      <c r="AA127" s="52"/>
    </row>
    <row r="128" spans="4:27" x14ac:dyDescent="0.25">
      <c r="D128" s="44"/>
      <c r="P128" t="s">
        <v>641</v>
      </c>
      <c r="Q128" t="s">
        <v>623</v>
      </c>
      <c r="R128">
        <f>'Top Beam'!G14*10^(-6)*25*'Top Beam'!G6</f>
        <v>1237.5</v>
      </c>
      <c r="S128" s="3" t="s">
        <v>65</v>
      </c>
      <c r="V128" s="3">
        <v>1.35</v>
      </c>
      <c r="W128" s="3"/>
      <c r="X128" s="3"/>
      <c r="AA128" s="52"/>
    </row>
    <row r="129" spans="4:27" x14ac:dyDescent="0.25">
      <c r="D129" s="44"/>
      <c r="P129" t="s">
        <v>642</v>
      </c>
      <c r="Q129" t="s">
        <v>624</v>
      </c>
      <c r="R129">
        <f>'Top Beam'!K14*10^(-6)*'Top Beam'!K6*25</f>
        <v>11056.25</v>
      </c>
      <c r="S129" s="3" t="s">
        <v>65</v>
      </c>
      <c r="V129" s="3">
        <v>1.35</v>
      </c>
      <c r="W129" s="3"/>
      <c r="X129" s="3"/>
      <c r="AA129" s="52"/>
    </row>
    <row r="130" spans="4:27" x14ac:dyDescent="0.25">
      <c r="D130" s="44"/>
      <c r="P130" t="s">
        <v>643</v>
      </c>
      <c r="Q130" t="s">
        <v>625</v>
      </c>
      <c r="R130" s="27">
        <f>'Pier Foot'!C28/1.25*'Pier Foot'!C3+'Pier Foot'!C69/1.25*'Pier Foot'!C7</f>
        <v>91941.087572490302</v>
      </c>
      <c r="S130" s="3" t="s">
        <v>65</v>
      </c>
      <c r="V130" s="3">
        <v>1.35</v>
      </c>
      <c r="W130" s="3"/>
      <c r="X130" s="3"/>
      <c r="AA130" s="52"/>
    </row>
    <row r="131" spans="4:27" x14ac:dyDescent="0.25">
      <c r="D131" s="44"/>
      <c r="P131" t="s">
        <v>652</v>
      </c>
      <c r="Q131" t="s">
        <v>626</v>
      </c>
      <c r="R131" s="10">
        <f>-((-1.01-B3)*9.81*1.025*B5*B6)</f>
        <v>-125564.93437500001</v>
      </c>
      <c r="S131" s="3" t="s">
        <v>65</v>
      </c>
      <c r="V131" s="3">
        <v>0.95</v>
      </c>
      <c r="W131" s="3"/>
      <c r="X131" s="3"/>
      <c r="Z131" s="27"/>
      <c r="AA131" s="52"/>
    </row>
    <row r="132" spans="4:27" x14ac:dyDescent="0.25">
      <c r="D132" s="44"/>
      <c r="P132" t="s">
        <v>654</v>
      </c>
      <c r="Q132" t="s">
        <v>627</v>
      </c>
      <c r="R132">
        <f>(-B3-8)*16*2.5*B5</f>
        <v>3000</v>
      </c>
      <c r="S132" s="3" t="s">
        <v>65</v>
      </c>
      <c r="V132" s="3">
        <v>1.35</v>
      </c>
      <c r="W132" s="3"/>
      <c r="X132" s="3"/>
      <c r="AA132" s="52"/>
    </row>
    <row r="133" spans="4:27" x14ac:dyDescent="0.25">
      <c r="D133" s="44"/>
      <c r="P133" t="s">
        <v>654</v>
      </c>
      <c r="Q133" t="s">
        <v>628</v>
      </c>
      <c r="R133">
        <f>R132</f>
        <v>3000</v>
      </c>
      <c r="S133" s="3" t="s">
        <v>65</v>
      </c>
      <c r="V133" s="3">
        <v>1.35</v>
      </c>
      <c r="W133" s="3"/>
      <c r="X133" s="3"/>
      <c r="AA133" s="52"/>
    </row>
    <row r="134" spans="4:27" x14ac:dyDescent="0.25">
      <c r="D134" s="44"/>
      <c r="P134" t="s">
        <v>652</v>
      </c>
      <c r="Q134" t="s">
        <v>629</v>
      </c>
      <c r="R134" s="27">
        <f>(-1.22-B3)*9.81*1.025*2.5*B5</f>
        <v>6146.2715625000001</v>
      </c>
      <c r="S134" s="3" t="s">
        <v>65</v>
      </c>
      <c r="V134" s="3">
        <v>1.35</v>
      </c>
      <c r="W134" s="3"/>
      <c r="X134" s="3"/>
      <c r="AA134" s="52"/>
    </row>
    <row r="135" spans="4:27" x14ac:dyDescent="0.25">
      <c r="D135" s="44"/>
      <c r="P135" t="s">
        <v>652</v>
      </c>
      <c r="Q135" t="s">
        <v>630</v>
      </c>
      <c r="R135" s="27">
        <f>50.18*(B6/2-15.86)*6.5</f>
        <v>2981.1938000000005</v>
      </c>
      <c r="S135" s="3" t="s">
        <v>65</v>
      </c>
      <c r="V135" s="3">
        <v>1.35</v>
      </c>
      <c r="W135" s="3"/>
      <c r="X135" s="3"/>
      <c r="AA135" s="52"/>
    </row>
    <row r="136" spans="4:27" x14ac:dyDescent="0.25">
      <c r="D136" s="44"/>
      <c r="P136" t="s">
        <v>652</v>
      </c>
      <c r="Q136" t="s">
        <v>631</v>
      </c>
      <c r="R136">
        <v>1362.09</v>
      </c>
      <c r="S136" s="3" t="s">
        <v>65</v>
      </c>
      <c r="V136" s="3">
        <v>1.35</v>
      </c>
      <c r="W136" s="3"/>
      <c r="X136" s="3"/>
      <c r="AA136" s="52"/>
    </row>
    <row r="137" spans="4:27" x14ac:dyDescent="0.25">
      <c r="D137" s="44"/>
      <c r="P137" t="s">
        <v>652</v>
      </c>
      <c r="Q137" t="s">
        <v>632</v>
      </c>
      <c r="R137" s="27">
        <f>50.18*(B6/2+1.55)*6.5</f>
        <v>8659.8135000000002</v>
      </c>
      <c r="S137" s="3" t="s">
        <v>65</v>
      </c>
      <c r="V137" s="3">
        <v>1.35</v>
      </c>
      <c r="W137" s="3"/>
      <c r="X137" s="3"/>
      <c r="AA137" s="52"/>
    </row>
    <row r="138" spans="4:27" x14ac:dyDescent="0.25">
      <c r="D138" s="44"/>
      <c r="P138" t="s">
        <v>652</v>
      </c>
      <c r="Q138" t="s">
        <v>633</v>
      </c>
      <c r="R138" s="27">
        <f>(-2.01-B3)*9.81*1.025*2.5*B5</f>
        <v>5649.7935937500006</v>
      </c>
      <c r="S138" s="3" t="s">
        <v>65</v>
      </c>
      <c r="V138" s="3">
        <v>1.35</v>
      </c>
      <c r="W138" s="3"/>
      <c r="X138" s="3"/>
      <c r="AA138" s="52"/>
    </row>
    <row r="139" spans="4:27" x14ac:dyDescent="0.25">
      <c r="D139" s="44"/>
      <c r="P139" t="s">
        <v>654</v>
      </c>
      <c r="Q139" t="s">
        <v>634</v>
      </c>
      <c r="R139" s="10">
        <f>0.5*(-B3-8)*16*((B5-6.5)/2*(1-1/(-B3-7)))*(B6/2-8.42)</f>
        <v>2760.5699999999997</v>
      </c>
      <c r="S139" s="3" t="s">
        <v>65</v>
      </c>
      <c r="V139" s="3">
        <v>1.35</v>
      </c>
      <c r="W139" s="3"/>
      <c r="X139" s="3"/>
      <c r="AA139" s="52"/>
    </row>
    <row r="140" spans="4:27" x14ac:dyDescent="0.25">
      <c r="D140" s="44"/>
      <c r="P140" t="s">
        <v>654</v>
      </c>
      <c r="Q140" t="s">
        <v>635</v>
      </c>
      <c r="R140" s="10">
        <f>R139</f>
        <v>2760.5699999999997</v>
      </c>
      <c r="S140" s="3" t="s">
        <v>65</v>
      </c>
      <c r="V140" s="3">
        <v>1.35</v>
      </c>
      <c r="W140" s="3"/>
      <c r="X140" s="3"/>
      <c r="AA140" s="52"/>
    </row>
    <row r="141" spans="4:27" x14ac:dyDescent="0.25">
      <c r="D141" s="44"/>
      <c r="P141" t="s">
        <v>652</v>
      </c>
      <c r="Q141" t="s">
        <v>636</v>
      </c>
      <c r="R141" s="27">
        <f>50.18*((B5-6.5)/2)*16.58+0.5*(-B3-6)*9.81*1.025*((B5-6.5)/2)*(B6/2-8.42)</f>
        <v>11551.164240624999</v>
      </c>
      <c r="S141" s="3" t="s">
        <v>65</v>
      </c>
      <c r="V141" s="3">
        <v>1.35</v>
      </c>
      <c r="W141" s="3"/>
      <c r="X141" s="3"/>
      <c r="AA141" s="52"/>
    </row>
    <row r="142" spans="4:27" x14ac:dyDescent="0.25">
      <c r="D142" s="44"/>
      <c r="P142" t="s">
        <v>652</v>
      </c>
      <c r="Q142" t="s">
        <v>644</v>
      </c>
      <c r="R142" s="27">
        <f>R141</f>
        <v>11551.164240624999</v>
      </c>
      <c r="S142" s="3" t="s">
        <v>65</v>
      </c>
      <c r="V142" s="3">
        <v>1.35</v>
      </c>
      <c r="W142" s="3"/>
      <c r="X142" s="3"/>
      <c r="AA142" s="52"/>
    </row>
    <row r="143" spans="4:27" x14ac:dyDescent="0.25">
      <c r="D143" s="44"/>
      <c r="P143" t="s">
        <v>654</v>
      </c>
      <c r="Q143" t="s">
        <v>645</v>
      </c>
      <c r="R143" s="10">
        <f>0.5*(-B3-8)*16*((B5-6.5)/2*(1-1/(-B3-7)))*(B6/2-3.58)</f>
        <v>3566.4300000000003</v>
      </c>
      <c r="S143" s="3" t="s">
        <v>65</v>
      </c>
      <c r="V143" s="3">
        <v>1.35</v>
      </c>
      <c r="W143" s="3"/>
      <c r="X143" s="3"/>
      <c r="AA143" s="52"/>
    </row>
    <row r="144" spans="4:27" x14ac:dyDescent="0.25">
      <c r="D144" s="44"/>
      <c r="P144" t="s">
        <v>654</v>
      </c>
      <c r="Q144" t="s">
        <v>646</v>
      </c>
      <c r="R144" s="10">
        <f>R143</f>
        <v>3566.4300000000003</v>
      </c>
      <c r="S144" s="3" t="s">
        <v>65</v>
      </c>
      <c r="V144" s="3">
        <v>1.35</v>
      </c>
      <c r="W144" s="3"/>
      <c r="X144" s="3"/>
      <c r="AA144" s="52"/>
    </row>
    <row r="145" spans="4:27" x14ac:dyDescent="0.25">
      <c r="D145" s="44"/>
      <c r="P145" t="s">
        <v>652</v>
      </c>
      <c r="Q145" t="s">
        <v>647</v>
      </c>
      <c r="R145" s="27">
        <f>50.18*((B5-6.5)/2)*21.42+0.5*(-B3-6)*9.81*1.025*((B5-6.5)/2)*(B6/2-3.58)</f>
        <v>14923.156696875001</v>
      </c>
      <c r="S145" s="3" t="s">
        <v>65</v>
      </c>
      <c r="V145" s="3">
        <v>1.35</v>
      </c>
      <c r="W145" s="3"/>
      <c r="X145" s="3"/>
      <c r="AA145" s="52"/>
    </row>
    <row r="146" spans="4:27" x14ac:dyDescent="0.25">
      <c r="D146" s="44"/>
      <c r="P146" t="s">
        <v>652</v>
      </c>
      <c r="Q146" t="s">
        <v>648</v>
      </c>
      <c r="R146" s="27">
        <f>R145</f>
        <v>14923.156696875001</v>
      </c>
      <c r="S146" s="3" t="s">
        <v>65</v>
      </c>
      <c r="V146" s="3">
        <v>1.35</v>
      </c>
      <c r="W146" s="3"/>
      <c r="X146" s="3"/>
      <c r="AA146" s="52"/>
    </row>
    <row r="147" spans="4:27" x14ac:dyDescent="0.25">
      <c r="D147" s="44"/>
      <c r="AA147" s="52"/>
    </row>
    <row r="148" spans="4:27" x14ac:dyDescent="0.25">
      <c r="D148" s="44"/>
      <c r="AA148" s="52"/>
    </row>
    <row r="149" spans="4:27" ht="18.75" thickBot="1" x14ac:dyDescent="0.45">
      <c r="D149" s="46"/>
      <c r="E149" s="64"/>
      <c r="F149" s="64"/>
      <c r="G149" s="48"/>
      <c r="H149" s="48"/>
      <c r="I149" s="48"/>
      <c r="J149" s="48"/>
      <c r="K149" s="64"/>
      <c r="L149" s="64"/>
      <c r="M149" s="64"/>
      <c r="N149" s="64"/>
      <c r="O149" s="48"/>
      <c r="P149" s="64"/>
      <c r="Q149" s="68" t="s">
        <v>651</v>
      </c>
      <c r="R149" s="65">
        <f>SUM(R118:R146)</f>
        <v>178182.9834454646</v>
      </c>
      <c r="S149" s="48"/>
      <c r="T149" s="48"/>
      <c r="U149" s="48"/>
      <c r="V149" s="64"/>
      <c r="W149" s="64"/>
      <c r="X149" s="64"/>
      <c r="Y149" s="64"/>
      <c r="Z149" s="64"/>
      <c r="AA149" s="54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First estimates</vt:lpstr>
      <vt:lpstr>Gate</vt:lpstr>
      <vt:lpstr>Top Beam</vt:lpstr>
      <vt:lpstr>Sill Beam</vt:lpstr>
      <vt:lpstr>Pier Foot</vt:lpstr>
      <vt:lpstr>Global Stability &amp; Forces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Verschoor</dc:creator>
  <cp:lastModifiedBy>Bob Verschoor</cp:lastModifiedBy>
  <dcterms:created xsi:type="dcterms:W3CDTF">2022-08-05T11:20:24Z</dcterms:created>
  <dcterms:modified xsi:type="dcterms:W3CDTF">2023-02-03T22:10:27Z</dcterms:modified>
</cp:coreProperties>
</file>