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chartsheets/sheet2.xml" ContentType="application/vnd.openxmlformats-officedocument.spreadsheetml.chart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drawings/drawing3.xml" ContentType="application/vnd.openxmlformats-officedocument.drawing+xml"/>
  <Override PartName="/xl/charts/chart8.xml" ContentType="application/vnd.openxmlformats-officedocument.drawingml.chart+xml"/>
  <Override PartName="/xl/drawings/drawing4.xml" ContentType="application/vnd.openxmlformats-officedocument.drawing+xml"/>
  <Override PartName="/xl/charts/chart9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240" windowWidth="24240" windowHeight="13620" activeTab="2"/>
  </bookViews>
  <sheets>
    <sheet name="Resulaten voor Matlab" sheetId="10" r:id="rId1"/>
    <sheet name="Grafiek1" sheetId="4" r:id="rId2"/>
    <sheet name="Resultaten" sheetId="1" r:id="rId3"/>
    <sheet name="Resulaten Michiel" sheetId="5" r:id="rId4"/>
    <sheet name="Histogram gewichtsverdeling 1" sheetId="7" r:id="rId5"/>
    <sheet name="Grafiek2" sheetId="9" r:id="rId6"/>
    <sheet name="Histogram gewichtsverdeling 2" sheetId="8" r:id="rId7"/>
    <sheet name="Gewichtsverdeling onderlaag" sheetId="2" r:id="rId8"/>
    <sheet name="Blad3" sheetId="3" r:id="rId9"/>
    <sheet name="Blad2" sheetId="11" r:id="rId10"/>
  </sheets>
  <definedNames>
    <definedName name="D">'Resulaten Michiel'!$B$1</definedName>
    <definedName name="Dy">'Resulaten Michiel'!$B$2</definedName>
    <definedName name="N">'Resulaten Michiel'!$B$4</definedName>
    <definedName name="W">'Resulaten Michiel'!$B$3</definedName>
  </definedNames>
  <calcPr calcId="145621"/>
</workbook>
</file>

<file path=xl/calcChain.xml><?xml version="1.0" encoding="utf-8"?>
<calcChain xmlns="http://schemas.openxmlformats.org/spreadsheetml/2006/main">
  <c r="C134" i="1" l="1"/>
  <c r="D134" i="1"/>
  <c r="E134" i="1"/>
  <c r="F134" i="1"/>
  <c r="G134" i="1"/>
  <c r="H134" i="1"/>
  <c r="I134" i="1"/>
  <c r="J134" i="1"/>
  <c r="K134" i="1"/>
  <c r="L134" i="1"/>
  <c r="M134" i="1"/>
  <c r="N134" i="1"/>
  <c r="O134" i="1"/>
  <c r="P134" i="1"/>
  <c r="Q134" i="1"/>
  <c r="R134" i="1"/>
  <c r="S134" i="1"/>
  <c r="T134" i="1"/>
  <c r="U134" i="1"/>
  <c r="B134" i="1"/>
  <c r="B133" i="1"/>
  <c r="Y21" i="10" l="1"/>
  <c r="Y19" i="10"/>
  <c r="Y17" i="10"/>
  <c r="Y2" i="10"/>
  <c r="Y3" i="10"/>
  <c r="Y4" i="10"/>
  <c r="Y5" i="10"/>
  <c r="Y6" i="10"/>
  <c r="Y7" i="10"/>
  <c r="Y8" i="10"/>
  <c r="Y9" i="10"/>
  <c r="Y10" i="10"/>
  <c r="Y11" i="10"/>
  <c r="Y12" i="10"/>
  <c r="Y13" i="10"/>
  <c r="Y14" i="10"/>
  <c r="Y15" i="10"/>
  <c r="Y1" i="10"/>
  <c r="AA132" i="1"/>
  <c r="B132" i="1" l="1"/>
  <c r="C132" i="1"/>
  <c r="D132" i="1"/>
  <c r="D133" i="1" s="1"/>
  <c r="E132" i="1"/>
  <c r="F133" i="1" s="1"/>
  <c r="F132" i="1"/>
  <c r="G132" i="1"/>
  <c r="H132" i="1"/>
  <c r="H133" i="1" s="1"/>
  <c r="I132" i="1"/>
  <c r="J133" i="1" s="1"/>
  <c r="J132" i="1"/>
  <c r="K132" i="1"/>
  <c r="L132" i="1"/>
  <c r="L133" i="1" s="1"/>
  <c r="M132" i="1"/>
  <c r="N133" i="1" s="1"/>
  <c r="N132" i="1"/>
  <c r="O132" i="1"/>
  <c r="P132" i="1"/>
  <c r="P133" i="1" s="1"/>
  <c r="Q132" i="1"/>
  <c r="R133" i="1" s="1"/>
  <c r="R132" i="1"/>
  <c r="S132" i="1"/>
  <c r="T132" i="1"/>
  <c r="T133" i="1" s="1"/>
  <c r="U132" i="1"/>
  <c r="U133" i="1" s="1"/>
  <c r="G133" i="1"/>
  <c r="K133" i="1"/>
  <c r="O133" i="1"/>
  <c r="S133" i="1"/>
  <c r="C133" i="1"/>
  <c r="U124" i="1"/>
  <c r="U125" i="1"/>
  <c r="B6" i="1"/>
  <c r="Q133" i="1" l="1"/>
  <c r="M133" i="1"/>
  <c r="I133" i="1"/>
  <c r="E133" i="1"/>
  <c r="T18" i="10"/>
  <c r="T17" i="10"/>
  <c r="I16" i="10"/>
  <c r="H16" i="10"/>
  <c r="G16" i="10"/>
  <c r="F16" i="10"/>
  <c r="E16" i="10"/>
  <c r="D16" i="10"/>
  <c r="C16" i="10"/>
  <c r="B16" i="10"/>
  <c r="T16" i="10"/>
  <c r="A16" i="10"/>
  <c r="U126" i="1" l="1"/>
  <c r="T124" i="1"/>
  <c r="S124" i="1"/>
  <c r="R124" i="1"/>
  <c r="Q124" i="1"/>
  <c r="P124" i="1"/>
  <c r="O124" i="1"/>
  <c r="N124" i="1"/>
  <c r="M124" i="1"/>
  <c r="L124" i="1"/>
  <c r="K124" i="1"/>
  <c r="J124" i="1"/>
  <c r="I124" i="1"/>
  <c r="H124" i="1"/>
  <c r="G124" i="1"/>
  <c r="F124" i="1"/>
  <c r="E124" i="1"/>
  <c r="D124" i="1"/>
  <c r="C124" i="1"/>
  <c r="B124" i="1"/>
  <c r="U119" i="1"/>
  <c r="U120" i="1"/>
  <c r="U118" i="1"/>
  <c r="T118" i="1"/>
  <c r="S118" i="1"/>
  <c r="R118" i="1"/>
  <c r="Q118" i="1"/>
  <c r="P118" i="1"/>
  <c r="O118" i="1"/>
  <c r="N118" i="1"/>
  <c r="M118" i="1"/>
  <c r="L118" i="1"/>
  <c r="K118" i="1"/>
  <c r="J118" i="1"/>
  <c r="I118" i="1"/>
  <c r="H118" i="1"/>
  <c r="G118" i="1"/>
  <c r="F118" i="1"/>
  <c r="E118" i="1"/>
  <c r="D118" i="1"/>
  <c r="C118" i="1"/>
  <c r="B118" i="1"/>
  <c r="U112" i="1"/>
  <c r="U113" i="1"/>
  <c r="U111" i="1"/>
  <c r="T111" i="1"/>
  <c r="S111" i="1"/>
  <c r="R111" i="1"/>
  <c r="Q111" i="1"/>
  <c r="P111" i="1"/>
  <c r="O111" i="1"/>
  <c r="N111" i="1"/>
  <c r="M111" i="1"/>
  <c r="L111" i="1"/>
  <c r="K111" i="1"/>
  <c r="J111" i="1"/>
  <c r="I111" i="1"/>
  <c r="H111" i="1"/>
  <c r="G111" i="1"/>
  <c r="F111" i="1"/>
  <c r="E111" i="1"/>
  <c r="D111" i="1"/>
  <c r="C111" i="1"/>
  <c r="B111" i="1"/>
  <c r="U105" i="1" l="1"/>
  <c r="U104" i="1"/>
  <c r="T104" i="1"/>
  <c r="S104" i="1"/>
  <c r="R104" i="1"/>
  <c r="Q104" i="1"/>
  <c r="P104" i="1"/>
  <c r="O104" i="1"/>
  <c r="N104" i="1"/>
  <c r="M104" i="1"/>
  <c r="L104" i="1"/>
  <c r="K104" i="1"/>
  <c r="J104" i="1"/>
  <c r="I104" i="1"/>
  <c r="H104" i="1"/>
  <c r="G104" i="1"/>
  <c r="F104" i="1"/>
  <c r="E104" i="1"/>
  <c r="D104" i="1"/>
  <c r="C104" i="1"/>
  <c r="B104" i="1"/>
  <c r="U98" i="1" l="1"/>
  <c r="U97" i="1"/>
  <c r="T97" i="1"/>
  <c r="S97" i="1"/>
  <c r="R97" i="1"/>
  <c r="Q97" i="1"/>
  <c r="P97" i="1"/>
  <c r="O97" i="1"/>
  <c r="N97" i="1"/>
  <c r="M97" i="1"/>
  <c r="L97" i="1"/>
  <c r="K97" i="1"/>
  <c r="J97" i="1"/>
  <c r="I97" i="1"/>
  <c r="H97" i="1"/>
  <c r="G97" i="1"/>
  <c r="F97" i="1"/>
  <c r="E97" i="1"/>
  <c r="D97" i="1"/>
  <c r="C97" i="1"/>
  <c r="B97" i="1"/>
  <c r="U91" i="1"/>
  <c r="U90" i="1"/>
  <c r="T90" i="1"/>
  <c r="S90" i="1"/>
  <c r="R90" i="1"/>
  <c r="Q90" i="1"/>
  <c r="P90" i="1"/>
  <c r="O90" i="1"/>
  <c r="N90" i="1"/>
  <c r="M90" i="1"/>
  <c r="L90" i="1"/>
  <c r="K90" i="1"/>
  <c r="J90" i="1"/>
  <c r="I90" i="1"/>
  <c r="H90" i="1"/>
  <c r="G90" i="1"/>
  <c r="F90" i="1"/>
  <c r="E90" i="1"/>
  <c r="D90" i="1"/>
  <c r="C90" i="1"/>
  <c r="B90" i="1"/>
  <c r="U83" i="1"/>
  <c r="T83" i="1"/>
  <c r="S83" i="1"/>
  <c r="R83" i="1"/>
  <c r="Q83" i="1"/>
  <c r="P83" i="1"/>
  <c r="O83" i="1"/>
  <c r="N83" i="1"/>
  <c r="M83" i="1"/>
  <c r="L83" i="1"/>
  <c r="K83" i="1"/>
  <c r="J83" i="1"/>
  <c r="I83" i="1"/>
  <c r="H83" i="1"/>
  <c r="G83" i="1"/>
  <c r="F83" i="1"/>
  <c r="E83" i="1"/>
  <c r="D83" i="1"/>
  <c r="C83" i="1"/>
  <c r="B83" i="1"/>
  <c r="O78" i="5"/>
  <c r="D78" i="5"/>
  <c r="E78" i="5" s="1"/>
  <c r="D75" i="5"/>
  <c r="D74" i="5"/>
  <c r="E74" i="5" s="1"/>
  <c r="D73" i="5"/>
  <c r="D72" i="5"/>
  <c r="E72" i="5" s="1"/>
  <c r="D71" i="5"/>
  <c r="D70" i="5"/>
  <c r="E70" i="5" s="1"/>
  <c r="D69" i="5"/>
  <c r="D68" i="5"/>
  <c r="E68" i="5" s="1"/>
  <c r="O63" i="5"/>
  <c r="I63" i="5"/>
  <c r="D63" i="5"/>
  <c r="I60" i="5"/>
  <c r="D60" i="5"/>
  <c r="I59" i="5"/>
  <c r="D59" i="5"/>
  <c r="E59" i="5" s="1"/>
  <c r="I58" i="5"/>
  <c r="D58" i="5"/>
  <c r="I57" i="5"/>
  <c r="D57" i="5"/>
  <c r="E57" i="5" s="1"/>
  <c r="I56" i="5"/>
  <c r="D56" i="5"/>
  <c r="I55" i="5"/>
  <c r="D55" i="5"/>
  <c r="E55" i="5" s="1"/>
  <c r="I54" i="5"/>
  <c r="D54" i="5"/>
  <c r="I53" i="5"/>
  <c r="D53" i="5"/>
  <c r="E53" i="5" s="1"/>
  <c r="D49" i="5"/>
  <c r="E49" i="5" s="1"/>
  <c r="O48" i="5"/>
  <c r="I48" i="5"/>
  <c r="D48" i="5"/>
  <c r="I46" i="5"/>
  <c r="D46" i="5"/>
  <c r="I45" i="5"/>
  <c r="D45" i="5"/>
  <c r="E45" i="5" s="1"/>
  <c r="I44" i="5"/>
  <c r="D44" i="5"/>
  <c r="I43" i="5"/>
  <c r="D43" i="5"/>
  <c r="E43" i="5" s="1"/>
  <c r="I42" i="5"/>
  <c r="D42" i="5"/>
  <c r="I41" i="5"/>
  <c r="D41" i="5"/>
  <c r="E41" i="5" s="1"/>
  <c r="I40" i="5"/>
  <c r="D40" i="5"/>
  <c r="I39" i="5"/>
  <c r="D39" i="5"/>
  <c r="E39" i="5" s="1"/>
  <c r="I38" i="5"/>
  <c r="D38" i="5"/>
  <c r="E38" i="5" s="1"/>
  <c r="O33" i="5"/>
  <c r="D31" i="5"/>
  <c r="I31" i="5" s="1"/>
  <c r="D30" i="5"/>
  <c r="I30" i="5" s="1"/>
  <c r="D29" i="5"/>
  <c r="I29" i="5" s="1"/>
  <c r="D28" i="5"/>
  <c r="I28" i="5" s="1"/>
  <c r="D27" i="5"/>
  <c r="I27" i="5" s="1"/>
  <c r="D26" i="5"/>
  <c r="I26" i="5" s="1"/>
  <c r="D25" i="5"/>
  <c r="D24" i="5"/>
  <c r="D23" i="5"/>
  <c r="I23" i="5" s="1"/>
  <c r="M23" i="5" s="1"/>
  <c r="A22" i="5"/>
  <c r="O18" i="5"/>
  <c r="D18" i="5"/>
  <c r="D16" i="5"/>
  <c r="D15" i="5"/>
  <c r="E15" i="5" s="1"/>
  <c r="D14" i="5"/>
  <c r="D13" i="5"/>
  <c r="D12" i="5"/>
  <c r="D11" i="5"/>
  <c r="E11" i="5" s="1"/>
  <c r="D10" i="5"/>
  <c r="D9" i="5"/>
  <c r="E9" i="5" s="1"/>
  <c r="I8" i="5"/>
  <c r="M8" i="5" s="1"/>
  <c r="D8" i="5"/>
  <c r="E8" i="5" s="1"/>
  <c r="B3" i="5"/>
  <c r="B2" i="5"/>
  <c r="U47" i="1"/>
  <c r="H1" i="1"/>
  <c r="K1" i="1"/>
  <c r="U106" i="1" s="1"/>
  <c r="L1" i="1"/>
  <c r="U76" i="1"/>
  <c r="T76" i="1"/>
  <c r="S76" i="1"/>
  <c r="R76" i="1"/>
  <c r="Q76" i="1"/>
  <c r="P76" i="1"/>
  <c r="O76" i="1"/>
  <c r="N76" i="1"/>
  <c r="M76" i="1"/>
  <c r="L76" i="1"/>
  <c r="K76" i="1"/>
  <c r="J76" i="1"/>
  <c r="I76" i="1"/>
  <c r="H76" i="1"/>
  <c r="G76" i="1"/>
  <c r="F76" i="1"/>
  <c r="E76" i="1"/>
  <c r="D76" i="1"/>
  <c r="C76" i="1"/>
  <c r="B76" i="1"/>
  <c r="U69" i="1"/>
  <c r="T69" i="1"/>
  <c r="S69" i="1"/>
  <c r="R69" i="1"/>
  <c r="Q69" i="1"/>
  <c r="P69" i="1"/>
  <c r="O69" i="1"/>
  <c r="N69" i="1"/>
  <c r="M69" i="1"/>
  <c r="L69" i="1"/>
  <c r="K69" i="1"/>
  <c r="J69" i="1"/>
  <c r="I69" i="1"/>
  <c r="H69" i="1"/>
  <c r="G69" i="1"/>
  <c r="F69" i="1"/>
  <c r="E69" i="1"/>
  <c r="D69" i="1"/>
  <c r="C69" i="1"/>
  <c r="B69" i="1"/>
  <c r="L22" i="1"/>
  <c r="G22" i="1"/>
  <c r="C45" i="1"/>
  <c r="D45" i="1"/>
  <c r="E45" i="1"/>
  <c r="F45" i="1"/>
  <c r="G45" i="1"/>
  <c r="H45" i="1"/>
  <c r="I45" i="1"/>
  <c r="J45" i="1"/>
  <c r="K45" i="1"/>
  <c r="L45" i="1"/>
  <c r="M45" i="1"/>
  <c r="N45" i="1"/>
  <c r="O45" i="1"/>
  <c r="P45" i="1"/>
  <c r="Q45" i="1"/>
  <c r="R45" i="1"/>
  <c r="S45" i="1"/>
  <c r="T45" i="1"/>
  <c r="U45" i="1"/>
  <c r="B45" i="1"/>
  <c r="U63" i="1"/>
  <c r="U62" i="1"/>
  <c r="T62" i="1"/>
  <c r="S62" i="1"/>
  <c r="R62" i="1"/>
  <c r="Q62" i="1"/>
  <c r="P62" i="1"/>
  <c r="O62" i="1"/>
  <c r="N62" i="1"/>
  <c r="M62" i="1"/>
  <c r="L62" i="1"/>
  <c r="K62" i="1"/>
  <c r="J62" i="1"/>
  <c r="I62" i="1"/>
  <c r="H62" i="1"/>
  <c r="G62" i="1"/>
  <c r="F62" i="1"/>
  <c r="E62" i="1"/>
  <c r="D62" i="1"/>
  <c r="C62" i="1"/>
  <c r="B62" i="1"/>
  <c r="U56" i="1"/>
  <c r="U55" i="1"/>
  <c r="T55" i="1"/>
  <c r="S55" i="1"/>
  <c r="R55" i="1"/>
  <c r="Q55" i="1"/>
  <c r="P55" i="1"/>
  <c r="O55" i="1"/>
  <c r="N55" i="1"/>
  <c r="M55" i="1"/>
  <c r="L55" i="1"/>
  <c r="K55" i="1"/>
  <c r="J55" i="1"/>
  <c r="I55" i="1"/>
  <c r="H55" i="1"/>
  <c r="G55" i="1"/>
  <c r="F55" i="1"/>
  <c r="E55" i="1"/>
  <c r="D55" i="1"/>
  <c r="C55" i="1"/>
  <c r="B55" i="1"/>
  <c r="E12" i="5" l="1"/>
  <c r="I9" i="5"/>
  <c r="M9" i="5" s="1"/>
  <c r="E13" i="5"/>
  <c r="E24" i="5"/>
  <c r="J24" i="5" s="1"/>
  <c r="U92" i="1"/>
  <c r="E10" i="5"/>
  <c r="E14" i="5"/>
  <c r="F14" i="5" s="1"/>
  <c r="K14" i="5" s="1"/>
  <c r="I24" i="5"/>
  <c r="E27" i="5"/>
  <c r="E29" i="5"/>
  <c r="E31" i="5"/>
  <c r="E69" i="5"/>
  <c r="E73" i="5"/>
  <c r="I78" i="5"/>
  <c r="U99" i="1"/>
  <c r="E28" i="5"/>
  <c r="E30" i="5"/>
  <c r="E40" i="5"/>
  <c r="E42" i="5"/>
  <c r="J42" i="5" s="1"/>
  <c r="E44" i="5"/>
  <c r="E46" i="5"/>
  <c r="E54" i="5"/>
  <c r="E56" i="5"/>
  <c r="J56" i="5" s="1"/>
  <c r="E58" i="5"/>
  <c r="E60" i="5"/>
  <c r="E71" i="5"/>
  <c r="E75" i="5"/>
  <c r="F75" i="5" s="1"/>
  <c r="K75" i="5" s="1"/>
  <c r="U85" i="1"/>
  <c r="J11" i="5"/>
  <c r="F11" i="5"/>
  <c r="K11" i="5" s="1"/>
  <c r="J15" i="5"/>
  <c r="F15" i="5"/>
  <c r="K15" i="5" s="1"/>
  <c r="J9" i="5"/>
  <c r="F9" i="5"/>
  <c r="K9" i="5" s="1"/>
  <c r="J12" i="5"/>
  <c r="F12" i="5"/>
  <c r="K12" i="5" s="1"/>
  <c r="J13" i="5"/>
  <c r="F13" i="5"/>
  <c r="K13" i="5" s="1"/>
  <c r="J8" i="5"/>
  <c r="F8" i="5"/>
  <c r="K8" i="5" s="1"/>
  <c r="J10" i="5"/>
  <c r="F10" i="5"/>
  <c r="K10" i="5" s="1"/>
  <c r="J14" i="5"/>
  <c r="Q31" i="5"/>
  <c r="R31" i="5" s="1"/>
  <c r="W18" i="5" s="1"/>
  <c r="Q30" i="5"/>
  <c r="Q29" i="5"/>
  <c r="Q28" i="5"/>
  <c r="Q27" i="5"/>
  <c r="Q26" i="5"/>
  <c r="Q23" i="5"/>
  <c r="Q16" i="5"/>
  <c r="R16" i="5" s="1"/>
  <c r="W17" i="5" s="1"/>
  <c r="Q60" i="5"/>
  <c r="Q59" i="5"/>
  <c r="Q58" i="5"/>
  <c r="Q57" i="5"/>
  <c r="Q56" i="5"/>
  <c r="Q55" i="5"/>
  <c r="Q54" i="5"/>
  <c r="Q53" i="5"/>
  <c r="Q46" i="5"/>
  <c r="Q45" i="5"/>
  <c r="Q44" i="5"/>
  <c r="Q43" i="5"/>
  <c r="Q42" i="5"/>
  <c r="Q41" i="5"/>
  <c r="Q40" i="5"/>
  <c r="Q39" i="5"/>
  <c r="Q38" i="5"/>
  <c r="Q75" i="5"/>
  <c r="Q74" i="5"/>
  <c r="Q73" i="5"/>
  <c r="Q72" i="5"/>
  <c r="Q71" i="5"/>
  <c r="Q70" i="5"/>
  <c r="Q69" i="5"/>
  <c r="Q68" i="5"/>
  <c r="Q25" i="5"/>
  <c r="Q15" i="5"/>
  <c r="M28" i="5"/>
  <c r="F29" i="5"/>
  <c r="K29" i="5" s="1"/>
  <c r="J29" i="5"/>
  <c r="J38" i="5"/>
  <c r="F38" i="5"/>
  <c r="K38" i="5" s="1"/>
  <c r="J40" i="5"/>
  <c r="F40" i="5"/>
  <c r="K40" i="5" s="1"/>
  <c r="J44" i="5"/>
  <c r="F44" i="5"/>
  <c r="K44" i="5" s="1"/>
  <c r="J46" i="5"/>
  <c r="F46" i="5"/>
  <c r="K46" i="5" s="1"/>
  <c r="J54" i="5"/>
  <c r="F54" i="5"/>
  <c r="K54" i="5" s="1"/>
  <c r="J58" i="5"/>
  <c r="F58" i="5"/>
  <c r="K58" i="5" s="1"/>
  <c r="J60" i="5"/>
  <c r="F60" i="5"/>
  <c r="K60" i="5" s="1"/>
  <c r="F71" i="5"/>
  <c r="K71" i="5" s="1"/>
  <c r="J71" i="5"/>
  <c r="M63" i="5"/>
  <c r="V23" i="5" s="1"/>
  <c r="M48" i="5"/>
  <c r="V20" i="5" s="1"/>
  <c r="X20" i="5" s="1"/>
  <c r="Q8" i="5"/>
  <c r="Q9" i="5"/>
  <c r="I10" i="5"/>
  <c r="M10" i="5" s="1"/>
  <c r="Q10" i="5"/>
  <c r="I11" i="5"/>
  <c r="M11" i="5" s="1"/>
  <c r="Q11" i="5"/>
  <c r="I12" i="5"/>
  <c r="M12" i="5" s="1"/>
  <c r="Q12" i="5"/>
  <c r="I13" i="5"/>
  <c r="M13" i="5" s="1"/>
  <c r="Q13" i="5"/>
  <c r="I14" i="5"/>
  <c r="M14" i="5" s="1"/>
  <c r="Q14" i="5"/>
  <c r="I15" i="5"/>
  <c r="M15" i="5" s="1"/>
  <c r="I16" i="5"/>
  <c r="M16" i="5" s="1"/>
  <c r="E16" i="5"/>
  <c r="M24" i="5"/>
  <c r="M27" i="5"/>
  <c r="F28" i="5"/>
  <c r="K28" i="5" s="1"/>
  <c r="J28" i="5"/>
  <c r="M31" i="5"/>
  <c r="V18" i="5" s="1"/>
  <c r="X18" i="5" s="1"/>
  <c r="M38" i="5"/>
  <c r="M40" i="5"/>
  <c r="M42" i="5"/>
  <c r="M44" i="5"/>
  <c r="M46" i="5"/>
  <c r="V19" i="5" s="1"/>
  <c r="X19" i="5" s="1"/>
  <c r="F49" i="5"/>
  <c r="K49" i="5" s="1"/>
  <c r="J49" i="5"/>
  <c r="M54" i="5"/>
  <c r="M56" i="5"/>
  <c r="M58" i="5"/>
  <c r="M60" i="5"/>
  <c r="V22" i="5" s="1"/>
  <c r="X22" i="5" s="1"/>
  <c r="F68" i="5"/>
  <c r="K68" i="5" s="1"/>
  <c r="J68" i="5"/>
  <c r="F72" i="5"/>
  <c r="K72" i="5" s="1"/>
  <c r="J72" i="5"/>
  <c r="J78" i="5"/>
  <c r="F78" i="5"/>
  <c r="K78" i="5" s="1"/>
  <c r="Q24" i="5"/>
  <c r="M26" i="5"/>
  <c r="F27" i="5"/>
  <c r="K27" i="5" s="1"/>
  <c r="J27" i="5"/>
  <c r="M30" i="5"/>
  <c r="F31" i="5"/>
  <c r="K31" i="5" s="1"/>
  <c r="J39" i="5"/>
  <c r="F39" i="5"/>
  <c r="K39" i="5" s="1"/>
  <c r="J41" i="5"/>
  <c r="F41" i="5"/>
  <c r="K41" i="5" s="1"/>
  <c r="J43" i="5"/>
  <c r="F43" i="5"/>
  <c r="K43" i="5" s="1"/>
  <c r="J45" i="5"/>
  <c r="F45" i="5"/>
  <c r="K45" i="5" s="1"/>
  <c r="J53" i="5"/>
  <c r="F53" i="5"/>
  <c r="K53" i="5" s="1"/>
  <c r="J55" i="5"/>
  <c r="F55" i="5"/>
  <c r="K55" i="5" s="1"/>
  <c r="J57" i="5"/>
  <c r="F57" i="5"/>
  <c r="K57" i="5" s="1"/>
  <c r="J59" i="5"/>
  <c r="F59" i="5"/>
  <c r="K59" i="5" s="1"/>
  <c r="F69" i="5"/>
  <c r="K69" i="5" s="1"/>
  <c r="J69" i="5"/>
  <c r="F73" i="5"/>
  <c r="K73" i="5" s="1"/>
  <c r="J73" i="5"/>
  <c r="M78" i="5"/>
  <c r="V25" i="5" s="1"/>
  <c r="X25" i="5" s="1"/>
  <c r="I18" i="5"/>
  <c r="M18" i="5" s="1"/>
  <c r="V17" i="5" s="1"/>
  <c r="X17" i="5" s="1"/>
  <c r="E18" i="5"/>
  <c r="X23" i="5"/>
  <c r="E25" i="5"/>
  <c r="I25" i="5"/>
  <c r="M25" i="5" s="1"/>
  <c r="E26" i="5"/>
  <c r="M29" i="5"/>
  <c r="F30" i="5"/>
  <c r="K30" i="5" s="1"/>
  <c r="J30" i="5"/>
  <c r="M39" i="5"/>
  <c r="M41" i="5"/>
  <c r="M43" i="5"/>
  <c r="M45" i="5"/>
  <c r="M53" i="5"/>
  <c r="M55" i="5"/>
  <c r="M57" i="5"/>
  <c r="M59" i="5"/>
  <c r="F70" i="5"/>
  <c r="K70" i="5" s="1"/>
  <c r="J70" i="5"/>
  <c r="F74" i="5"/>
  <c r="K74" i="5" s="1"/>
  <c r="J74" i="5"/>
  <c r="E23" i="5"/>
  <c r="J31" i="5"/>
  <c r="E48" i="5"/>
  <c r="I49" i="5"/>
  <c r="M49" i="5" s="1"/>
  <c r="V21" i="5" s="1"/>
  <c r="X21" i="5" s="1"/>
  <c r="E63" i="5"/>
  <c r="I68" i="5"/>
  <c r="M68" i="5" s="1"/>
  <c r="I69" i="5"/>
  <c r="M69" i="5" s="1"/>
  <c r="I70" i="5"/>
  <c r="M70" i="5" s="1"/>
  <c r="I71" i="5"/>
  <c r="M71" i="5" s="1"/>
  <c r="I72" i="5"/>
  <c r="M72" i="5" s="1"/>
  <c r="I73" i="5"/>
  <c r="M73" i="5" s="1"/>
  <c r="I74" i="5"/>
  <c r="M74" i="5" s="1"/>
  <c r="I75" i="5"/>
  <c r="M75" i="5" s="1"/>
  <c r="V24" i="5" s="1"/>
  <c r="X24" i="5" s="1"/>
  <c r="U78" i="1"/>
  <c r="U71" i="1"/>
  <c r="U57" i="1"/>
  <c r="U64" i="1"/>
  <c r="T6" i="1"/>
  <c r="U6" i="1"/>
  <c r="C6" i="1"/>
  <c r="D6" i="1"/>
  <c r="E6" i="1"/>
  <c r="F6" i="1"/>
  <c r="G6" i="1"/>
  <c r="H6" i="1"/>
  <c r="I6" i="1"/>
  <c r="J6" i="1"/>
  <c r="K6" i="1"/>
  <c r="L6" i="1"/>
  <c r="M6" i="1"/>
  <c r="N6" i="1"/>
  <c r="O6" i="1"/>
  <c r="P6" i="1"/>
  <c r="Q6" i="1"/>
  <c r="R6" i="1"/>
  <c r="S6" i="1"/>
  <c r="U35" i="1"/>
  <c r="T35" i="1"/>
  <c r="S35" i="1"/>
  <c r="R35" i="1"/>
  <c r="Q35" i="1"/>
  <c r="P35" i="1"/>
  <c r="O35" i="1"/>
  <c r="N35" i="1"/>
  <c r="M35" i="1"/>
  <c r="L35" i="1"/>
  <c r="K35" i="1"/>
  <c r="J35" i="1"/>
  <c r="I35" i="1"/>
  <c r="H35" i="1"/>
  <c r="G35" i="1"/>
  <c r="F35" i="1"/>
  <c r="E35" i="1"/>
  <c r="D35" i="1"/>
  <c r="C35" i="1"/>
  <c r="B35" i="1"/>
  <c r="C28" i="1"/>
  <c r="G28" i="1"/>
  <c r="K28" i="1"/>
  <c r="O28" i="1"/>
  <c r="S28" i="1"/>
  <c r="U27" i="1"/>
  <c r="U28" i="1" s="1"/>
  <c r="T27" i="1"/>
  <c r="T28" i="1" s="1"/>
  <c r="S27" i="1"/>
  <c r="R27" i="1"/>
  <c r="R28" i="1" s="1"/>
  <c r="Q27" i="1"/>
  <c r="Q28" i="1" s="1"/>
  <c r="P27" i="1"/>
  <c r="P28" i="1" s="1"/>
  <c r="O27" i="1"/>
  <c r="N27" i="1"/>
  <c r="N28" i="1" s="1"/>
  <c r="M27" i="1"/>
  <c r="M28" i="1" s="1"/>
  <c r="L27" i="1"/>
  <c r="L28" i="1" s="1"/>
  <c r="K27" i="1"/>
  <c r="J27" i="1"/>
  <c r="J28" i="1" s="1"/>
  <c r="I27" i="1"/>
  <c r="I28" i="1" s="1"/>
  <c r="H27" i="1"/>
  <c r="H28" i="1" s="1"/>
  <c r="G27" i="1"/>
  <c r="F27" i="1"/>
  <c r="F28" i="1" s="1"/>
  <c r="E27" i="1"/>
  <c r="E28" i="1" s="1"/>
  <c r="D27" i="1"/>
  <c r="D28" i="1" s="1"/>
  <c r="C27" i="1"/>
  <c r="B27" i="1"/>
  <c r="B28" i="1" s="1"/>
  <c r="U20" i="1"/>
  <c r="T20" i="1"/>
  <c r="S20" i="1"/>
  <c r="R20" i="1"/>
  <c r="Q20" i="1"/>
  <c r="P20" i="1"/>
  <c r="O20" i="1"/>
  <c r="N20" i="1"/>
  <c r="M20" i="1"/>
  <c r="L20" i="1"/>
  <c r="K20" i="1"/>
  <c r="J20" i="1"/>
  <c r="I20" i="1"/>
  <c r="H20" i="1"/>
  <c r="G20" i="1"/>
  <c r="F20" i="1"/>
  <c r="E20" i="1"/>
  <c r="D20" i="1"/>
  <c r="C20" i="1"/>
  <c r="B20" i="1"/>
  <c r="U13" i="1"/>
  <c r="C13" i="1"/>
  <c r="D13" i="1"/>
  <c r="E13" i="1"/>
  <c r="F13" i="1"/>
  <c r="G13" i="1"/>
  <c r="H13" i="1"/>
  <c r="I13" i="1"/>
  <c r="J13" i="1"/>
  <c r="K13" i="1"/>
  <c r="L13" i="1"/>
  <c r="M13" i="1"/>
  <c r="N13" i="1"/>
  <c r="O13" i="1"/>
  <c r="P13" i="1"/>
  <c r="Q13" i="1"/>
  <c r="R13" i="1"/>
  <c r="S13" i="1"/>
  <c r="T13" i="1"/>
  <c r="B13" i="1"/>
  <c r="J75" i="5" l="1"/>
  <c r="F56" i="5"/>
  <c r="K56" i="5" s="1"/>
  <c r="F42" i="5"/>
  <c r="K42" i="5" s="1"/>
  <c r="F24" i="5"/>
  <c r="K24" i="5" s="1"/>
  <c r="J48" i="5"/>
  <c r="F48" i="5"/>
  <c r="K48" i="5" s="1"/>
  <c r="F25" i="5"/>
  <c r="K25" i="5" s="1"/>
  <c r="J25" i="5"/>
  <c r="Q78" i="5"/>
  <c r="R78" i="5" s="1"/>
  <c r="W25" i="5" s="1"/>
  <c r="R75" i="5"/>
  <c r="W24" i="5" s="1"/>
  <c r="J63" i="5"/>
  <c r="F63" i="5"/>
  <c r="K63" i="5" s="1"/>
  <c r="J23" i="5"/>
  <c r="F23" i="5"/>
  <c r="K23" i="5" s="1"/>
  <c r="F26" i="5"/>
  <c r="K26" i="5" s="1"/>
  <c r="J26" i="5"/>
  <c r="J18" i="5"/>
  <c r="F18" i="5"/>
  <c r="K18" i="5" s="1"/>
  <c r="J16" i="5"/>
  <c r="F16" i="5"/>
  <c r="K16" i="5" s="1"/>
  <c r="Q48" i="5"/>
  <c r="R48" i="5" s="1"/>
  <c r="W20" i="5" s="1"/>
  <c r="R46" i="5"/>
  <c r="W19" i="5" s="1"/>
  <c r="Q49" i="5"/>
  <c r="R49" i="5" s="1"/>
  <c r="W21" i="5" s="1"/>
  <c r="Q63" i="5"/>
  <c r="R63" i="5" s="1"/>
  <c r="W23" i="5" s="1"/>
  <c r="R60" i="5"/>
  <c r="W22" i="5" s="1"/>
  <c r="U36" i="1"/>
  <c r="U37" i="1" s="1"/>
  <c r="U29" i="1"/>
  <c r="U30" i="1" s="1"/>
  <c r="Z21" i="1"/>
  <c r="Y21" i="1"/>
  <c r="X21" i="1"/>
  <c r="W21" i="1"/>
  <c r="U21" i="1"/>
  <c r="U22" i="1" s="1"/>
  <c r="Y14" i="1"/>
  <c r="X14" i="1"/>
  <c r="W14" i="1"/>
  <c r="U14" i="1"/>
  <c r="U15" i="1" s="1"/>
  <c r="Y7" i="1"/>
  <c r="X7" i="1"/>
  <c r="W7" i="1"/>
  <c r="U7" i="1"/>
  <c r="U8" i="1" s="1"/>
  <c r="N1" i="1" l="1"/>
  <c r="K2" i="1" s="1"/>
  <c r="Y8" i="1" s="1"/>
  <c r="W22" i="1" l="1"/>
  <c r="F8" i="1"/>
  <c r="Y22" i="1"/>
  <c r="Z22" i="1"/>
  <c r="X8" i="1"/>
  <c r="X22" i="1"/>
  <c r="W8" i="1"/>
  <c r="X15" i="1"/>
  <c r="W15" i="1"/>
  <c r="K8" i="1"/>
  <c r="Q1" i="1"/>
  <c r="Y15" i="1"/>
  <c r="P8" i="1"/>
</calcChain>
</file>

<file path=xl/comments1.xml><?xml version="1.0" encoding="utf-8"?>
<comments xmlns="http://schemas.openxmlformats.org/spreadsheetml/2006/main">
  <authors>
    <author>Koppel, Michael van der</author>
  </authors>
  <commentList>
    <comment ref="Q116" authorId="0">
      <text>
        <r>
          <rPr>
            <b/>
            <sz val="9"/>
            <color indexed="81"/>
            <rFont val="Tahoma"/>
            <family val="2"/>
          </rPr>
          <t>Koppel, Michael van der:</t>
        </r>
        <r>
          <rPr>
            <sz val="9"/>
            <color indexed="81"/>
            <rFont val="Tahoma"/>
            <family val="2"/>
          </rPr>
          <t xml:space="preserve">
fout gemaakt in slope</t>
        </r>
      </text>
    </comment>
  </commentList>
</comments>
</file>

<file path=xl/sharedStrings.xml><?xml version="1.0" encoding="utf-8"?>
<sst xmlns="http://schemas.openxmlformats.org/spreadsheetml/2006/main" count="304" uniqueCount="109">
  <si>
    <t>Experiment</t>
  </si>
  <si>
    <t>Rijen</t>
  </si>
  <si>
    <t>Kracht totaal [N]</t>
  </si>
  <si>
    <t>D:</t>
  </si>
  <si>
    <t>dx:</t>
  </si>
  <si>
    <t xml:space="preserve">dy: </t>
  </si>
  <si>
    <t>hoh_y:</t>
  </si>
  <si>
    <t xml:space="preserve">hoh_x: </t>
  </si>
  <si>
    <t>Nx:</t>
  </si>
  <si>
    <t>Ny:</t>
  </si>
  <si>
    <t>Lx:</t>
  </si>
  <si>
    <t>RPD:</t>
  </si>
  <si>
    <t>((Nx-1)(Ny-1)*dy*dx*D*D)/(Lx*Ly)</t>
  </si>
  <si>
    <t>Ly</t>
  </si>
  <si>
    <t>RPD</t>
  </si>
  <si>
    <t>???</t>
  </si>
  <si>
    <t>Kracht / Fxbloc [-]</t>
  </si>
  <si>
    <t>Reductie</t>
  </si>
  <si>
    <t>95,9% reductie</t>
  </si>
  <si>
    <t>rijen</t>
  </si>
  <si>
    <t>Kracht totaal</t>
  </si>
  <si>
    <t>D</t>
  </si>
  <si>
    <t>m</t>
  </si>
  <si>
    <t>Dy</t>
  </si>
  <si>
    <t>Weight</t>
  </si>
  <si>
    <t>N</t>
  </si>
  <si>
    <t>No bottom units</t>
  </si>
  <si>
    <t>[-]</t>
  </si>
  <si>
    <t>test 1</t>
  </si>
  <si>
    <t>rij</t>
  </si>
  <si>
    <t>L [N]</t>
  </si>
  <si>
    <t>R [N]</t>
  </si>
  <si>
    <t>som [N]</t>
  </si>
  <si>
    <t>delta per row
[N]</t>
  </si>
  <si>
    <t>delta per row
[N/N]</t>
  </si>
  <si>
    <t>som per bottom unit
[N]</t>
  </si>
  <si>
    <t>Delta per bottom Unit
[N]</t>
  </si>
  <si>
    <t>Delta per bottom Unit
[N/N]</t>
  </si>
  <si>
    <t>som per bottom unit/weight</t>
  </si>
  <si>
    <t>units/row</t>
  </si>
  <si>
    <t>Slope (Y)
[m]</t>
  </si>
  <si>
    <t>Slope 
theoretical</t>
  </si>
  <si>
    <t>packing density</t>
  </si>
  <si>
    <t>Packing density</t>
  </si>
  <si>
    <t>friction coefficient</t>
  </si>
  <si>
    <t>9 verdicht</t>
  </si>
  <si>
    <t>test 2</t>
  </si>
  <si>
    <t>Test 3</t>
  </si>
  <si>
    <t>test 3a</t>
  </si>
  <si>
    <t>test 3b</t>
  </si>
  <si>
    <t>L</t>
  </si>
  <si>
    <t>R</t>
  </si>
  <si>
    <t>Delta per bottom Unit</t>
  </si>
  <si>
    <t>test 4</t>
  </si>
  <si>
    <t>test 5</t>
  </si>
  <si>
    <t>test 5a</t>
  </si>
  <si>
    <t>test 3</t>
  </si>
  <si>
    <t>8 verdicht</t>
  </si>
  <si>
    <t>Regelmatig</t>
  </si>
  <si>
    <t>in grammen</t>
  </si>
  <si>
    <t>Meer</t>
  </si>
  <si>
    <t>Frequentie</t>
  </si>
  <si>
    <t>stapgrootes</t>
  </si>
  <si>
    <t>10</t>
  </si>
  <si>
    <t>Muilwijk 1</t>
  </si>
  <si>
    <t>Muilwijk 2</t>
  </si>
  <si>
    <t>Muilwijk 3</t>
  </si>
  <si>
    <t>Muilwijk 4</t>
  </si>
  <si>
    <t>Muilwijk 5</t>
  </si>
  <si>
    <t>Load test 1 [-]</t>
  </si>
  <si>
    <t xml:space="preserve"> Row 1</t>
  </si>
  <si>
    <t xml:space="preserve"> Row 2</t>
  </si>
  <si>
    <t xml:space="preserve"> Row 3</t>
  </si>
  <si>
    <t>Row 4</t>
  </si>
  <si>
    <t>Row 5</t>
  </si>
  <si>
    <t>Row 6</t>
  </si>
  <si>
    <t>Row 7</t>
  </si>
  <si>
    <t>Row 8</t>
  </si>
  <si>
    <t>Row 9</t>
  </si>
  <si>
    <t>Row 10</t>
  </si>
  <si>
    <t>Row 11</t>
  </si>
  <si>
    <t>Row 12</t>
  </si>
  <si>
    <t>Row 13</t>
  </si>
  <si>
    <t>Row 14</t>
  </si>
  <si>
    <t>Row 15</t>
  </si>
  <si>
    <t>Row 16</t>
  </si>
  <si>
    <t>Row 17</t>
  </si>
  <si>
    <t>Row 18</t>
  </si>
  <si>
    <t>Row 19</t>
  </si>
  <si>
    <t>Row 20</t>
  </si>
  <si>
    <t>Load test 2 [-]</t>
  </si>
  <si>
    <t>Load test 3 [-]</t>
  </si>
  <si>
    <t>Load test 4 [-]</t>
  </si>
  <si>
    <t>Load test 5 [-]</t>
  </si>
  <si>
    <t>Load test 6 [-]</t>
  </si>
  <si>
    <t>Load test 7 [-]</t>
  </si>
  <si>
    <t>Load test 8 [-]</t>
  </si>
  <si>
    <t>Load test 9 [-]</t>
  </si>
  <si>
    <t>Load test 10 [-]</t>
  </si>
  <si>
    <t>Load test 11 [-]</t>
  </si>
  <si>
    <t>Load test 12 [-]</t>
  </si>
  <si>
    <t>Load test 13 [-]</t>
  </si>
  <si>
    <t>Load test 14 [-]</t>
  </si>
  <si>
    <t>Load test 15 [-]</t>
  </si>
  <si>
    <t>Gemiddelde's</t>
  </si>
  <si>
    <t>Gemiddelde eindwaarde (100%)</t>
  </si>
  <si>
    <t>Variantie</t>
  </si>
  <si>
    <t>Variance</t>
  </si>
  <si>
    <t>standard eviation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</si>
</sst>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%"/>
    <numFmt numFmtId="165" formatCode="_-* #,##0.00_-;_-* #,##0.00\-;_-* &quot;-&quot;??_-;_-@_-"/>
    <numFmt numFmtId="166" formatCode="_-* #,##0_-;_-* #,##0\-;_-* &quot;-&quot;??_-;_-@_-"/>
    <numFmt numFmtId="167" formatCode="0.000"/>
  </numFmts>
  <fonts count="10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1"/>
      <color rgb="FF00B050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i/>
      <sz val="11"/>
      <color theme="1"/>
      <name val="Calibri"/>
      <family val="2"/>
      <scheme val="minor"/>
    </font>
    <font>
      <sz val="8"/>
      <color rgb="FF000000"/>
      <name val="Calibri"/>
      <family val="2"/>
    </font>
    <font>
      <sz val="11"/>
      <name val="Calibri"/>
      <family val="2"/>
      <scheme val="minor"/>
    </font>
    <font>
      <sz val="11"/>
      <color theme="0" tint="-0.499984740745262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165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5">
    <xf numFmtId="0" fontId="0" fillId="0" borderId="0" xfId="0"/>
    <xf numFmtId="22" fontId="0" fillId="0" borderId="0" xfId="0" applyNumberFormat="1"/>
    <xf numFmtId="2" fontId="0" fillId="0" borderId="0" xfId="0" applyNumberFormat="1"/>
    <xf numFmtId="3" fontId="0" fillId="0" borderId="0" xfId="0" applyNumberFormat="1"/>
    <xf numFmtId="164" fontId="0" fillId="0" borderId="0" xfId="0" applyNumberFormat="1"/>
    <xf numFmtId="0" fontId="1" fillId="0" borderId="0" xfId="1"/>
    <xf numFmtId="165" fontId="0" fillId="0" borderId="0" xfId="2" applyFont="1"/>
    <xf numFmtId="0" fontId="2" fillId="0" borderId="0" xfId="1" applyFont="1"/>
    <xf numFmtId="0" fontId="2" fillId="0" borderId="0" xfId="1" applyFont="1" applyAlignment="1">
      <alignment wrapText="1"/>
    </xf>
    <xf numFmtId="165" fontId="2" fillId="0" borderId="0" xfId="2" applyFont="1" applyAlignment="1">
      <alignment wrapText="1"/>
    </xf>
    <xf numFmtId="165" fontId="1" fillId="0" borderId="0" xfId="1" applyNumberFormat="1"/>
    <xf numFmtId="166" fontId="0" fillId="0" borderId="0" xfId="2" applyNumberFormat="1" applyFont="1"/>
    <xf numFmtId="166" fontId="1" fillId="0" borderId="0" xfId="1" applyNumberFormat="1"/>
    <xf numFmtId="9" fontId="0" fillId="0" borderId="0" xfId="3" applyFont="1"/>
    <xf numFmtId="9" fontId="1" fillId="0" borderId="0" xfId="1" applyNumberFormat="1"/>
    <xf numFmtId="165" fontId="2" fillId="0" borderId="0" xfId="2" applyFont="1"/>
    <xf numFmtId="0" fontId="1" fillId="0" borderId="0" xfId="1" applyFont="1"/>
    <xf numFmtId="165" fontId="1" fillId="0" borderId="0" xfId="1" applyNumberFormat="1" applyFont="1"/>
    <xf numFmtId="9" fontId="1" fillId="0" borderId="0" xfId="1" applyNumberFormat="1" applyFont="1"/>
    <xf numFmtId="0" fontId="3" fillId="0" borderId="0" xfId="0" applyFont="1"/>
    <xf numFmtId="22" fontId="3" fillId="0" borderId="0" xfId="0" applyNumberFormat="1" applyFont="1"/>
    <xf numFmtId="0" fontId="0" fillId="0" borderId="0" xfId="0" applyFill="1" applyBorder="1" applyAlignment="1"/>
    <xf numFmtId="0" fontId="0" fillId="0" borderId="1" xfId="0" applyFill="1" applyBorder="1" applyAlignment="1"/>
    <xf numFmtId="0" fontId="6" fillId="0" borderId="2" xfId="0" applyFont="1" applyFill="1" applyBorder="1" applyAlignment="1">
      <alignment horizontal="center"/>
    </xf>
    <xf numFmtId="0" fontId="0" fillId="0" borderId="0" xfId="0" applyNumberFormat="1" applyFill="1" applyBorder="1" applyAlignment="1"/>
    <xf numFmtId="2" fontId="3" fillId="0" borderId="0" xfId="0" applyNumberFormat="1" applyFont="1"/>
    <xf numFmtId="0" fontId="7" fillId="0" borderId="3" xfId="0" applyFont="1" applyBorder="1" applyAlignment="1">
      <alignment horizontal="right" vertical="center" wrapText="1"/>
    </xf>
    <xf numFmtId="0" fontId="7" fillId="0" borderId="4" xfId="0" applyFont="1" applyBorder="1" applyAlignment="1">
      <alignment horizontal="right" vertical="center"/>
    </xf>
    <xf numFmtId="0" fontId="7" fillId="0" borderId="5" xfId="0" applyFont="1" applyBorder="1" applyAlignment="1">
      <alignment horizontal="right" vertical="center" wrapText="1"/>
    </xf>
    <xf numFmtId="0" fontId="7" fillId="0" borderId="6" xfId="0" applyFont="1" applyBorder="1" applyAlignment="1">
      <alignment horizontal="right" vertical="center"/>
    </xf>
    <xf numFmtId="10" fontId="7" fillId="0" borderId="6" xfId="0" applyNumberFormat="1" applyFont="1" applyBorder="1" applyAlignment="1">
      <alignment horizontal="right" vertical="center"/>
    </xf>
    <xf numFmtId="22" fontId="8" fillId="0" borderId="0" xfId="0" applyNumberFormat="1" applyFont="1"/>
    <xf numFmtId="167" fontId="0" fillId="0" borderId="0" xfId="0" applyNumberFormat="1"/>
    <xf numFmtId="167" fontId="9" fillId="0" borderId="0" xfId="0" applyNumberFormat="1" applyFont="1"/>
    <xf numFmtId="9" fontId="0" fillId="0" borderId="0" xfId="0" applyNumberFormat="1"/>
  </cellXfs>
  <cellStyles count="4">
    <cellStyle name="Komma 2" xfId="2"/>
    <cellStyle name="Procent 2" xfId="3"/>
    <cellStyle name="Standaard" xfId="0" builtinId="0"/>
    <cellStyle name="Standaard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6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2.xml"/><Relationship Id="rId7" Type="http://schemas.openxmlformats.org/officeDocument/2006/relationships/worksheet" Target="worksheets/sheet5.xml"/><Relationship Id="rId12" Type="http://schemas.openxmlformats.org/officeDocument/2006/relationships/styles" Target="styles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hartsheet" Target="chartsheets/sheet2.xml"/><Relationship Id="rId11" Type="http://schemas.openxmlformats.org/officeDocument/2006/relationships/theme" Target="theme/theme1.xml"/><Relationship Id="rId5" Type="http://schemas.openxmlformats.org/officeDocument/2006/relationships/worksheet" Target="worksheets/sheet4.xml"/><Relationship Id="rId10" Type="http://schemas.openxmlformats.org/officeDocument/2006/relationships/worksheet" Target="worksheets/sheet8.xml"/><Relationship Id="rId4" Type="http://schemas.openxmlformats.org/officeDocument/2006/relationships/worksheet" Target="worksheets/sheet3.xml"/><Relationship Id="rId9" Type="http://schemas.openxmlformats.org/officeDocument/2006/relationships/worksheet" Target="worksheets/sheet7.xml"/><Relationship Id="rId14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Static Load on first row of armour units</a:t>
            </a: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5"/>
          <c:order val="0"/>
          <c:tx>
            <c:v>Michiel 1</c:v>
          </c:tx>
          <c:spPr>
            <a:ln w="25400" cap="flat" cmpd="sng" algn="ctr">
              <a:solidFill>
                <a:schemeClr val="bg1">
                  <a:lumMod val="75000"/>
                </a:schemeClr>
              </a:solidFill>
              <a:prstDash val="solid"/>
            </a:ln>
            <a:effectLst/>
          </c:spPr>
          <c:marker>
            <c:spPr>
              <a:solidFill>
                <a:schemeClr val="bg1">
                  <a:lumMod val="75000"/>
                </a:schemeClr>
              </a:solidFill>
              <a:ln w="25400" cap="flat" cmpd="sng" algn="ctr">
                <a:solidFill>
                  <a:schemeClr val="bg1">
                    <a:lumMod val="75000"/>
                  </a:schemeClr>
                </a:solidFill>
                <a:prstDash val="solid"/>
              </a:ln>
              <a:effectLst/>
            </c:spPr>
          </c:marker>
          <c:val>
            <c:numRef>
              <c:f>'Resulaten Michiel'!$M$8:$M$16</c:f>
              <c:numCache>
                <c:formatCode>General</c:formatCode>
                <c:ptCount val="9"/>
                <c:pt idx="0">
                  <c:v>0.27342422697927282</c:v>
                </c:pt>
                <c:pt idx="1">
                  <c:v>0.41411824668705399</c:v>
                </c:pt>
                <c:pt idx="2">
                  <c:v>0.45659191301393137</c:v>
                </c:pt>
                <c:pt idx="3">
                  <c:v>0.58666751613999324</c:v>
                </c:pt>
                <c:pt idx="4">
                  <c:v>0.63975959904858981</c:v>
                </c:pt>
                <c:pt idx="5">
                  <c:v>0.64506880733944949</c:v>
                </c:pt>
                <c:pt idx="6">
                  <c:v>0.65303261977573901</c:v>
                </c:pt>
                <c:pt idx="7">
                  <c:v>0.67957866123003741</c:v>
                </c:pt>
                <c:pt idx="8">
                  <c:v>0.66365103635745837</c:v>
                </c:pt>
              </c:numCache>
            </c:numRef>
          </c:val>
          <c:smooth val="0"/>
        </c:ser>
        <c:ser>
          <c:idx val="8"/>
          <c:order val="1"/>
          <c:tx>
            <c:v>Michiel 2</c:v>
          </c:tx>
          <c:spPr>
            <a:ln w="25400" cap="flat" cmpd="sng" algn="ctr">
              <a:solidFill>
                <a:schemeClr val="bg1">
                  <a:lumMod val="75000"/>
                </a:schemeClr>
              </a:solidFill>
              <a:prstDash val="solid"/>
            </a:ln>
            <a:effectLst/>
          </c:spPr>
          <c:marker>
            <c:spPr>
              <a:solidFill>
                <a:schemeClr val="lt1"/>
              </a:solidFill>
              <a:ln w="25400" cap="flat" cmpd="sng" algn="ctr">
                <a:solidFill>
                  <a:schemeClr val="bg1">
                    <a:lumMod val="75000"/>
                  </a:schemeClr>
                </a:solidFill>
                <a:prstDash val="solid"/>
              </a:ln>
              <a:effectLst/>
            </c:spPr>
          </c:marker>
          <c:val>
            <c:numRef>
              <c:f>'Resulaten Michiel'!$M$23:$M$31</c:f>
              <c:numCache>
                <c:formatCode>General</c:formatCode>
                <c:ptCount val="9"/>
                <c:pt idx="0">
                  <c:v>0.33182551817872918</c:v>
                </c:pt>
                <c:pt idx="1">
                  <c:v>0.41942745497791367</c:v>
                </c:pt>
                <c:pt idx="2">
                  <c:v>0.51764780835881752</c:v>
                </c:pt>
                <c:pt idx="3">
                  <c:v>0.56012147468569484</c:v>
                </c:pt>
                <c:pt idx="4">
                  <c:v>0.56012147468569484</c:v>
                </c:pt>
                <c:pt idx="5">
                  <c:v>0.57604909955827388</c:v>
                </c:pt>
                <c:pt idx="6">
                  <c:v>0.5840129119945634</c:v>
                </c:pt>
                <c:pt idx="7">
                  <c:v>0.60524974515800201</c:v>
                </c:pt>
                <c:pt idx="8">
                  <c:v>0.60790434930343185</c:v>
                </c:pt>
              </c:numCache>
            </c:numRef>
          </c:val>
          <c:smooth val="0"/>
        </c:ser>
        <c:ser>
          <c:idx val="10"/>
          <c:order val="2"/>
          <c:tx>
            <c:v>Michiel 3</c:v>
          </c:tx>
          <c:spPr>
            <a:ln w="25400" cap="flat" cmpd="sng" algn="ctr">
              <a:solidFill>
                <a:schemeClr val="bg1">
                  <a:lumMod val="75000"/>
                </a:schemeClr>
              </a:solidFill>
              <a:prstDash val="solid"/>
            </a:ln>
            <a:effectLst/>
          </c:spPr>
          <c:marker>
            <c:spPr>
              <a:solidFill>
                <a:schemeClr val="bg1">
                  <a:lumMod val="75000"/>
                </a:schemeClr>
              </a:solidFill>
              <a:ln w="25400" cap="flat" cmpd="sng" algn="ctr">
                <a:solidFill>
                  <a:schemeClr val="bg1">
                    <a:lumMod val="75000"/>
                  </a:schemeClr>
                </a:solidFill>
                <a:prstDash val="solid"/>
              </a:ln>
              <a:effectLst/>
            </c:spPr>
          </c:marker>
          <c:val>
            <c:numRef>
              <c:f>'Resulaten Michiel'!$M$38:$M$46</c:f>
              <c:numCache>
                <c:formatCode>General</c:formatCode>
                <c:ptCount val="9"/>
                <c:pt idx="0">
                  <c:v>0.32917091403329934</c:v>
                </c:pt>
                <c:pt idx="1">
                  <c:v>0.55481226639483516</c:v>
                </c:pt>
                <c:pt idx="2">
                  <c:v>0.64506880733944949</c:v>
                </c:pt>
                <c:pt idx="3">
                  <c:v>0.68223326537546725</c:v>
                </c:pt>
                <c:pt idx="4">
                  <c:v>0.68754247366632681</c:v>
                </c:pt>
                <c:pt idx="5">
                  <c:v>0.66896024464831805</c:v>
                </c:pt>
                <c:pt idx="6">
                  <c:v>0.69019707781175665</c:v>
                </c:pt>
                <c:pt idx="7">
                  <c:v>0.70612470268433569</c:v>
                </c:pt>
                <c:pt idx="8">
                  <c:v>0.70081549439347601</c:v>
                </c:pt>
              </c:numCache>
            </c:numRef>
          </c:val>
          <c:smooth val="0"/>
        </c:ser>
        <c:ser>
          <c:idx val="12"/>
          <c:order val="3"/>
          <c:tx>
            <c:v>Michiel 4</c:v>
          </c:tx>
          <c:spPr>
            <a:ln w="25400" cap="flat" cmpd="sng" algn="ctr">
              <a:solidFill>
                <a:schemeClr val="bg1">
                  <a:lumMod val="75000"/>
                </a:schemeClr>
              </a:solidFill>
              <a:prstDash val="solid"/>
            </a:ln>
            <a:effectLst/>
          </c:spPr>
          <c:marker>
            <c:spPr>
              <a:solidFill>
                <a:schemeClr val="lt1"/>
              </a:solidFill>
              <a:ln w="25400" cap="flat" cmpd="sng" algn="ctr">
                <a:solidFill>
                  <a:schemeClr val="bg1">
                    <a:lumMod val="75000"/>
                  </a:schemeClr>
                </a:solidFill>
                <a:prstDash val="solid"/>
              </a:ln>
              <a:effectLst/>
            </c:spPr>
          </c:marker>
          <c:val>
            <c:numRef>
              <c:f>'Resulaten Michiel'!$M$53:$M$60</c:f>
              <c:numCache>
                <c:formatCode>General</c:formatCode>
                <c:ptCount val="8"/>
                <c:pt idx="0">
                  <c:v>0.41411824668705399</c:v>
                </c:pt>
                <c:pt idx="1">
                  <c:v>0.65834182806659869</c:v>
                </c:pt>
                <c:pt idx="2">
                  <c:v>0.79638124362895002</c:v>
                </c:pt>
                <c:pt idx="3">
                  <c:v>0.96362130479102959</c:v>
                </c:pt>
                <c:pt idx="4">
                  <c:v>1.1282067618076792</c:v>
                </c:pt>
                <c:pt idx="5">
                  <c:v>1.2290817193340129</c:v>
                </c:pt>
                <c:pt idx="6">
                  <c:v>1.2715553856608903</c:v>
                </c:pt>
                <c:pt idx="7">
                  <c:v>1.306065239551478</c:v>
                </c:pt>
              </c:numCache>
            </c:numRef>
          </c:val>
          <c:smooth val="0"/>
        </c:ser>
        <c:ser>
          <c:idx val="13"/>
          <c:order val="4"/>
          <c:tx>
            <c:v>Michiel 5</c:v>
          </c:tx>
          <c:spPr>
            <a:ln w="25400" cap="flat" cmpd="sng" algn="ctr">
              <a:solidFill>
                <a:schemeClr val="bg1">
                  <a:lumMod val="75000"/>
                </a:schemeClr>
              </a:solidFill>
              <a:prstDash val="solid"/>
            </a:ln>
            <a:effectLst/>
          </c:spPr>
          <c:marker>
            <c:spPr>
              <a:solidFill>
                <a:schemeClr val="lt1"/>
              </a:solidFill>
              <a:ln w="25400" cap="flat" cmpd="sng" algn="ctr">
                <a:solidFill>
                  <a:schemeClr val="bg1">
                    <a:lumMod val="75000"/>
                  </a:schemeClr>
                </a:solidFill>
                <a:prstDash val="solid"/>
              </a:ln>
              <a:effectLst/>
            </c:spPr>
          </c:marker>
          <c:val>
            <c:numRef>
              <c:f>'Resulaten Michiel'!$M$68:$M$75</c:f>
              <c:numCache>
                <c:formatCode>General</c:formatCode>
                <c:ptCount val="8"/>
                <c:pt idx="0">
                  <c:v>0.45393730886850153</c:v>
                </c:pt>
                <c:pt idx="1">
                  <c:v>0.7406345565749235</c:v>
                </c:pt>
                <c:pt idx="2">
                  <c:v>0.88398318042813451</c:v>
                </c:pt>
                <c:pt idx="3">
                  <c:v>1.1122791369351002</c:v>
                </c:pt>
                <c:pt idx="4">
                  <c:v>1.1627166156982671</c:v>
                </c:pt>
                <c:pt idx="5">
                  <c:v>1.2211179068977234</c:v>
                </c:pt>
                <c:pt idx="6">
                  <c:v>1.2742099898063202</c:v>
                </c:pt>
                <c:pt idx="7">
                  <c:v>1.2635915732246008</c:v>
                </c:pt>
              </c:numCache>
            </c:numRef>
          </c:val>
          <c:smooth val="0"/>
        </c:ser>
        <c:ser>
          <c:idx val="0"/>
          <c:order val="5"/>
          <c:tx>
            <c:strRef>
              <c:f>Resultaten!$U$8</c:f>
              <c:strCache>
                <c:ptCount val="1"/>
                <c:pt idx="0">
                  <c:v>92.9%</c:v>
                </c:pt>
              </c:strCache>
            </c:strRef>
          </c:tx>
          <c:spPr>
            <a:ln w="25400" cap="flat" cmpd="sng" algn="ctr">
              <a:solidFill>
                <a:schemeClr val="accent3"/>
              </a:solidFill>
              <a:prstDash val="solid"/>
            </a:ln>
            <a:effectLst/>
          </c:spPr>
          <c:marker>
            <c:spPr>
              <a:solidFill>
                <a:schemeClr val="lt1"/>
              </a:solidFill>
              <a:ln w="25400" cap="flat" cmpd="sng" algn="ctr">
                <a:solidFill>
                  <a:schemeClr val="accent3"/>
                </a:solidFill>
                <a:prstDash val="solid"/>
              </a:ln>
              <a:effectLst/>
            </c:spPr>
          </c:marker>
          <c:val>
            <c:numRef>
              <c:f>Resultaten!$B$6:$U$6</c:f>
              <c:numCache>
                <c:formatCode>General</c:formatCode>
                <c:ptCount val="20"/>
                <c:pt idx="0">
                  <c:v>0.33421901371969048</c:v>
                </c:pt>
                <c:pt idx="1">
                  <c:v>0.48740272834121534</c:v>
                </c:pt>
                <c:pt idx="2">
                  <c:v>0.64058644296274014</c:v>
                </c:pt>
                <c:pt idx="3">
                  <c:v>0.71021540415434226</c:v>
                </c:pt>
                <c:pt idx="4">
                  <c:v>0.73806698863098319</c:v>
                </c:pt>
                <c:pt idx="5">
                  <c:v>0.75199278086930366</c:v>
                </c:pt>
                <c:pt idx="6">
                  <c:v>0.82162174206090577</c:v>
                </c:pt>
                <c:pt idx="7">
                  <c:v>0.83554753429922624</c:v>
                </c:pt>
                <c:pt idx="8">
                  <c:v>0.8494733265375467</c:v>
                </c:pt>
                <c:pt idx="9">
                  <c:v>0.8494733265375467</c:v>
                </c:pt>
                <c:pt idx="10">
                  <c:v>0.86339911877586706</c:v>
                </c:pt>
                <c:pt idx="11">
                  <c:v>0.87732491101418764</c:v>
                </c:pt>
                <c:pt idx="12">
                  <c:v>0.87732491101418764</c:v>
                </c:pt>
                <c:pt idx="13">
                  <c:v>0.87732491101418764</c:v>
                </c:pt>
                <c:pt idx="14">
                  <c:v>0.89125070325250788</c:v>
                </c:pt>
                <c:pt idx="15">
                  <c:v>0.89125070325250788</c:v>
                </c:pt>
                <c:pt idx="16">
                  <c:v>0.90517649549082846</c:v>
                </c:pt>
                <c:pt idx="17">
                  <c:v>0.91910228772914881</c:v>
                </c:pt>
                <c:pt idx="18">
                  <c:v>0.91910228772914881</c:v>
                </c:pt>
                <c:pt idx="19">
                  <c:v>0.91910228772914881</c:v>
                </c:pt>
              </c:numCache>
            </c:numRef>
          </c:val>
          <c:smooth val="0"/>
        </c:ser>
        <c:ser>
          <c:idx val="1"/>
          <c:order val="6"/>
          <c:tx>
            <c:strRef>
              <c:f>Resultaten!$U$15</c:f>
              <c:strCache>
                <c:ptCount val="1"/>
                <c:pt idx="0">
                  <c:v>92.9%</c:v>
                </c:pt>
              </c:strCache>
            </c:strRef>
          </c:tx>
          <c:spPr>
            <a:ln w="25400" cap="flat" cmpd="sng" algn="ctr">
              <a:solidFill>
                <a:schemeClr val="accent3"/>
              </a:solidFill>
              <a:prstDash val="solid"/>
            </a:ln>
            <a:effectLst/>
          </c:spPr>
          <c:marker>
            <c:spPr>
              <a:solidFill>
                <a:schemeClr val="lt1"/>
              </a:solidFill>
              <a:ln w="25400" cap="flat" cmpd="sng" algn="ctr">
                <a:solidFill>
                  <a:schemeClr val="accent3"/>
                </a:solidFill>
                <a:prstDash val="solid"/>
              </a:ln>
              <a:effectLst/>
            </c:spPr>
          </c:marker>
          <c:val>
            <c:numRef>
              <c:f>Resultaten!$B$13:$U$13</c:f>
              <c:numCache>
                <c:formatCode>General</c:formatCode>
                <c:ptCount val="20"/>
                <c:pt idx="0">
                  <c:v>0.38992218267297224</c:v>
                </c:pt>
                <c:pt idx="1">
                  <c:v>0.52918010505617663</c:v>
                </c:pt>
                <c:pt idx="2">
                  <c:v>0.64058644296274014</c:v>
                </c:pt>
                <c:pt idx="3">
                  <c:v>0.66843802743938097</c:v>
                </c:pt>
                <c:pt idx="4">
                  <c:v>0.73806698863098319</c:v>
                </c:pt>
                <c:pt idx="5">
                  <c:v>0.77984436534594448</c:v>
                </c:pt>
                <c:pt idx="6">
                  <c:v>0.79377015758426483</c:v>
                </c:pt>
                <c:pt idx="7">
                  <c:v>0.8494733265375467</c:v>
                </c:pt>
                <c:pt idx="8">
                  <c:v>0.89125070325250788</c:v>
                </c:pt>
                <c:pt idx="9">
                  <c:v>0.90517649549082846</c:v>
                </c:pt>
                <c:pt idx="10">
                  <c:v>0.93302807996746928</c:v>
                </c:pt>
                <c:pt idx="11">
                  <c:v>0.94695387220578975</c:v>
                </c:pt>
                <c:pt idx="12">
                  <c:v>0.94695387220578975</c:v>
                </c:pt>
                <c:pt idx="13">
                  <c:v>0.97480545668243068</c:v>
                </c:pt>
                <c:pt idx="14">
                  <c:v>0.97480545668243068</c:v>
                </c:pt>
                <c:pt idx="15">
                  <c:v>1.0026570411590714</c:v>
                </c:pt>
                <c:pt idx="16">
                  <c:v>1.0026570411590714</c:v>
                </c:pt>
                <c:pt idx="17">
                  <c:v>1.0165828333973921</c:v>
                </c:pt>
                <c:pt idx="18">
                  <c:v>1.0165828333973921</c:v>
                </c:pt>
                <c:pt idx="19">
                  <c:v>1.0305086256357123</c:v>
                </c:pt>
              </c:numCache>
            </c:numRef>
          </c:val>
          <c:smooth val="0"/>
        </c:ser>
        <c:ser>
          <c:idx val="2"/>
          <c:order val="7"/>
          <c:tx>
            <c:strRef>
              <c:f>Resultaten!$U$22</c:f>
              <c:strCache>
                <c:ptCount val="1"/>
                <c:pt idx="0">
                  <c:v>94.4%</c:v>
                </c:pt>
              </c:strCache>
            </c:strRef>
          </c:tx>
          <c:spPr>
            <a:ln w="25400" cap="flat" cmpd="sng" algn="ctr">
              <a:solidFill>
                <a:schemeClr val="accent3"/>
              </a:solidFill>
              <a:prstDash val="solid"/>
            </a:ln>
            <a:effectLst/>
          </c:spPr>
          <c:marker>
            <c:spPr>
              <a:solidFill>
                <a:schemeClr val="lt1"/>
              </a:solidFill>
              <a:ln w="25400" cap="flat" cmpd="sng" algn="ctr">
                <a:solidFill>
                  <a:schemeClr val="accent3"/>
                </a:solidFill>
                <a:prstDash val="solid"/>
              </a:ln>
              <a:effectLst/>
            </c:spPr>
          </c:marker>
          <c:val>
            <c:numRef>
              <c:f>Resultaten!$B$20:$U$20</c:f>
              <c:numCache>
                <c:formatCode>General</c:formatCode>
                <c:ptCount val="20"/>
                <c:pt idx="0">
                  <c:v>0.36207059819633136</c:v>
                </c:pt>
                <c:pt idx="1">
                  <c:v>0.5013285205795357</c:v>
                </c:pt>
                <c:pt idx="2">
                  <c:v>0.58488327400945839</c:v>
                </c:pt>
                <c:pt idx="3">
                  <c:v>0.62666065072441968</c:v>
                </c:pt>
                <c:pt idx="4">
                  <c:v>0.64058644296274014</c:v>
                </c:pt>
                <c:pt idx="5">
                  <c:v>0.66843802743938097</c:v>
                </c:pt>
                <c:pt idx="6">
                  <c:v>0.66843802743938097</c:v>
                </c:pt>
                <c:pt idx="7">
                  <c:v>0.69628961191602179</c:v>
                </c:pt>
                <c:pt idx="8">
                  <c:v>0.69628961191602179</c:v>
                </c:pt>
                <c:pt idx="9">
                  <c:v>0.73806698863098319</c:v>
                </c:pt>
                <c:pt idx="10">
                  <c:v>0.75199278086930366</c:v>
                </c:pt>
                <c:pt idx="11">
                  <c:v>0.75199278086930366</c:v>
                </c:pt>
                <c:pt idx="12">
                  <c:v>0.76591857310762401</c:v>
                </c:pt>
                <c:pt idx="13">
                  <c:v>0.75199278086930366</c:v>
                </c:pt>
                <c:pt idx="14">
                  <c:v>0.76591857310762401</c:v>
                </c:pt>
                <c:pt idx="15">
                  <c:v>0.77984436534594448</c:v>
                </c:pt>
                <c:pt idx="16">
                  <c:v>0.77984436534594448</c:v>
                </c:pt>
                <c:pt idx="17">
                  <c:v>0.77984436534594448</c:v>
                </c:pt>
                <c:pt idx="18">
                  <c:v>0.77984436534594448</c:v>
                </c:pt>
                <c:pt idx="19">
                  <c:v>0.77984436534594448</c:v>
                </c:pt>
              </c:numCache>
            </c:numRef>
          </c:val>
          <c:smooth val="0"/>
        </c:ser>
        <c:ser>
          <c:idx val="3"/>
          <c:order val="8"/>
          <c:tx>
            <c:strRef>
              <c:f>Resultaten!$U$30</c:f>
              <c:strCache>
                <c:ptCount val="1"/>
                <c:pt idx="0">
                  <c:v>96.4%</c:v>
                </c:pt>
              </c:strCache>
            </c:strRef>
          </c:tx>
          <c:spPr>
            <a:ln w="25400" cap="flat" cmpd="sng" algn="ctr">
              <a:solidFill>
                <a:schemeClr val="accent3"/>
              </a:solidFill>
              <a:prstDash val="solid"/>
            </a:ln>
            <a:effectLst/>
          </c:spPr>
          <c:marker>
            <c:spPr>
              <a:solidFill>
                <a:schemeClr val="lt1"/>
              </a:solidFill>
              <a:ln w="25400" cap="flat" cmpd="sng" algn="ctr">
                <a:solidFill>
                  <a:schemeClr val="accent3"/>
                </a:solidFill>
                <a:prstDash val="solid"/>
              </a:ln>
              <a:effectLst/>
            </c:spPr>
          </c:marker>
          <c:val>
            <c:numRef>
              <c:f>Resultaten!$B$27:$U$27</c:f>
              <c:numCache>
                <c:formatCode>General</c:formatCode>
                <c:ptCount val="20"/>
                <c:pt idx="0">
                  <c:v>0.47347693610289487</c:v>
                </c:pt>
                <c:pt idx="1">
                  <c:v>0.58488327400945839</c:v>
                </c:pt>
                <c:pt idx="2">
                  <c:v>0.69628961191602179</c:v>
                </c:pt>
                <c:pt idx="3">
                  <c:v>0.76591857310762401</c:v>
                </c:pt>
                <c:pt idx="4">
                  <c:v>0.8494733265375467</c:v>
                </c:pt>
                <c:pt idx="5">
                  <c:v>0.90517649549082846</c:v>
                </c:pt>
                <c:pt idx="6">
                  <c:v>0.93302807996746928</c:v>
                </c:pt>
                <c:pt idx="7">
                  <c:v>0.97480545668243068</c:v>
                </c:pt>
                <c:pt idx="8">
                  <c:v>1.0026570411590714</c:v>
                </c:pt>
                <c:pt idx="9">
                  <c:v>1.0305086256357123</c:v>
                </c:pt>
                <c:pt idx="10">
                  <c:v>1.1140633790656351</c:v>
                </c:pt>
                <c:pt idx="11">
                  <c:v>1.1279891713039554</c:v>
                </c:pt>
                <c:pt idx="12">
                  <c:v>1.1419149635422758</c:v>
                </c:pt>
                <c:pt idx="13">
                  <c:v>1.1558407557805963</c:v>
                </c:pt>
                <c:pt idx="14">
                  <c:v>1.1558407557805963</c:v>
                </c:pt>
                <c:pt idx="15">
                  <c:v>1.1836923402572372</c:v>
                </c:pt>
                <c:pt idx="16">
                  <c:v>1.1836923402572372</c:v>
                </c:pt>
                <c:pt idx="17">
                  <c:v>1.2115439247338782</c:v>
                </c:pt>
                <c:pt idx="18">
                  <c:v>1.2254697169721984</c:v>
                </c:pt>
                <c:pt idx="19">
                  <c:v>1.2393955092105189</c:v>
                </c:pt>
              </c:numCache>
            </c:numRef>
          </c:val>
          <c:smooth val="0"/>
        </c:ser>
        <c:ser>
          <c:idx val="11"/>
          <c:order val="9"/>
          <c:tx>
            <c:strRef>
              <c:f>Resultaten!$U$71</c:f>
              <c:strCache>
                <c:ptCount val="1"/>
                <c:pt idx="0">
                  <c:v>96.5%</c:v>
                </c:pt>
              </c:strCache>
            </c:strRef>
          </c:tx>
          <c:spPr>
            <a:ln w="25400" cap="flat" cmpd="sng" algn="ctr">
              <a:solidFill>
                <a:schemeClr val="accent3"/>
              </a:solidFill>
              <a:prstDash val="solid"/>
            </a:ln>
            <a:effectLst/>
          </c:spPr>
          <c:marker>
            <c:spPr>
              <a:solidFill>
                <a:schemeClr val="lt1"/>
              </a:solidFill>
              <a:ln w="25400" cap="flat" cmpd="sng" algn="ctr">
                <a:solidFill>
                  <a:schemeClr val="accent3"/>
                </a:solidFill>
                <a:prstDash val="solid"/>
              </a:ln>
              <a:effectLst/>
            </c:spPr>
          </c:marker>
          <c:val>
            <c:numRef>
              <c:f>Resultaten!$B$69:$U$69</c:f>
              <c:numCache>
                <c:formatCode>General</c:formatCode>
                <c:ptCount val="20"/>
                <c:pt idx="0">
                  <c:v>0.36207059819633136</c:v>
                </c:pt>
                <c:pt idx="1">
                  <c:v>0.65451223520106061</c:v>
                </c:pt>
                <c:pt idx="2">
                  <c:v>0.73806698863098319</c:v>
                </c:pt>
                <c:pt idx="3">
                  <c:v>0.75199278086930366</c:v>
                </c:pt>
                <c:pt idx="4">
                  <c:v>0.90517649549082846</c:v>
                </c:pt>
                <c:pt idx="5">
                  <c:v>0.91910228772914881</c:v>
                </c:pt>
                <c:pt idx="6">
                  <c:v>0.91910228772914881</c:v>
                </c:pt>
                <c:pt idx="7">
                  <c:v>0.91910228772914881</c:v>
                </c:pt>
                <c:pt idx="8">
                  <c:v>0.91910228772914881</c:v>
                </c:pt>
                <c:pt idx="9">
                  <c:v>0.93302807996746928</c:v>
                </c:pt>
                <c:pt idx="10">
                  <c:v>0.91910228772914881</c:v>
                </c:pt>
                <c:pt idx="11">
                  <c:v>0.94695387220578975</c:v>
                </c:pt>
                <c:pt idx="12">
                  <c:v>0.9608796644441101</c:v>
                </c:pt>
                <c:pt idx="13">
                  <c:v>0.9608796644441101</c:v>
                </c:pt>
                <c:pt idx="14">
                  <c:v>0.97480545668243068</c:v>
                </c:pt>
                <c:pt idx="15">
                  <c:v>0.97480545668243068</c:v>
                </c:pt>
                <c:pt idx="16">
                  <c:v>0.98873124892075093</c:v>
                </c:pt>
                <c:pt idx="17">
                  <c:v>0.98873124892075093</c:v>
                </c:pt>
                <c:pt idx="18">
                  <c:v>1.0026570411590714</c:v>
                </c:pt>
                <c:pt idx="19">
                  <c:v>1.0026570411590714</c:v>
                </c:pt>
              </c:numCache>
            </c:numRef>
          </c:val>
          <c:smooth val="0"/>
        </c:ser>
        <c:ser>
          <c:idx val="4"/>
          <c:order val="10"/>
          <c:tx>
            <c:strRef>
              <c:f>Resultaten!$U$37</c:f>
              <c:strCache>
                <c:ptCount val="1"/>
                <c:pt idx="0">
                  <c:v>99.1%</c:v>
                </c:pt>
              </c:strCache>
            </c:strRef>
          </c:tx>
          <c:spPr>
            <a:ln w="25400" cap="flat" cmpd="sng" algn="ctr">
              <a:solidFill>
                <a:schemeClr val="accent6"/>
              </a:solidFill>
              <a:prstDash val="solid"/>
            </a:ln>
            <a:effectLst/>
          </c:spPr>
          <c:marker>
            <c:spPr>
              <a:solidFill>
                <a:schemeClr val="lt1"/>
              </a:solidFill>
              <a:ln w="25400" cap="flat" cmpd="sng" algn="ctr">
                <a:solidFill>
                  <a:schemeClr val="accent6"/>
                </a:solidFill>
                <a:prstDash val="solid"/>
              </a:ln>
              <a:effectLst/>
            </c:spPr>
          </c:marker>
          <c:val>
            <c:numRef>
              <c:f>Resultaten!$B$35:$U$35</c:f>
              <c:numCache>
                <c:formatCode>General</c:formatCode>
                <c:ptCount val="20"/>
                <c:pt idx="0">
                  <c:v>0.33421901371969048</c:v>
                </c:pt>
                <c:pt idx="1">
                  <c:v>0.44562535162625394</c:v>
                </c:pt>
                <c:pt idx="2">
                  <c:v>0.51525431281785616</c:v>
                </c:pt>
                <c:pt idx="3">
                  <c:v>0.61273485848609921</c:v>
                </c:pt>
                <c:pt idx="4">
                  <c:v>0.68236381967770143</c:v>
                </c:pt>
                <c:pt idx="5">
                  <c:v>0.72414119639266272</c:v>
                </c:pt>
                <c:pt idx="6">
                  <c:v>0.76591857310762401</c:v>
                </c:pt>
                <c:pt idx="7">
                  <c:v>0.77984436534594448</c:v>
                </c:pt>
                <c:pt idx="8">
                  <c:v>0.80769594982258541</c:v>
                </c:pt>
                <c:pt idx="9">
                  <c:v>0.83554753429922624</c:v>
                </c:pt>
                <c:pt idx="10">
                  <c:v>0.83554753429922624</c:v>
                </c:pt>
                <c:pt idx="11">
                  <c:v>0.8494733265375467</c:v>
                </c:pt>
                <c:pt idx="12">
                  <c:v>0.8494733265375467</c:v>
                </c:pt>
                <c:pt idx="13">
                  <c:v>0.86339911877586706</c:v>
                </c:pt>
                <c:pt idx="14">
                  <c:v>0.86339911877586706</c:v>
                </c:pt>
                <c:pt idx="15">
                  <c:v>0.89125070325250788</c:v>
                </c:pt>
                <c:pt idx="16">
                  <c:v>0.89125070325250788</c:v>
                </c:pt>
                <c:pt idx="17">
                  <c:v>0.89125070325250788</c:v>
                </c:pt>
                <c:pt idx="18">
                  <c:v>0.89125070325250788</c:v>
                </c:pt>
                <c:pt idx="19">
                  <c:v>0.90517649549082846</c:v>
                </c:pt>
              </c:numCache>
            </c:numRef>
          </c:val>
          <c:smooth val="0"/>
        </c:ser>
        <c:ser>
          <c:idx val="7"/>
          <c:order val="11"/>
          <c:tx>
            <c:strRef>
              <c:f>Resultaten!$U$57</c:f>
              <c:strCache>
                <c:ptCount val="1"/>
                <c:pt idx="0">
                  <c:v>99.1%</c:v>
                </c:pt>
              </c:strCache>
            </c:strRef>
          </c:tx>
          <c:spPr>
            <a:ln w="25400" cap="flat" cmpd="sng" algn="ctr">
              <a:solidFill>
                <a:schemeClr val="accent6"/>
              </a:solidFill>
              <a:prstDash val="solid"/>
            </a:ln>
            <a:effectLst/>
          </c:spPr>
          <c:marker>
            <c:spPr>
              <a:solidFill>
                <a:schemeClr val="lt1"/>
              </a:solidFill>
              <a:ln w="25400" cap="flat" cmpd="sng" algn="ctr">
                <a:solidFill>
                  <a:schemeClr val="accent6"/>
                </a:solidFill>
                <a:prstDash val="solid"/>
              </a:ln>
              <a:effectLst/>
            </c:spPr>
          </c:marker>
          <c:val>
            <c:numRef>
              <c:f>Resultaten!$B$55:$U$55</c:f>
              <c:numCache>
                <c:formatCode>General</c:formatCode>
                <c:ptCount val="20"/>
                <c:pt idx="0">
                  <c:v>0.43169955938793353</c:v>
                </c:pt>
                <c:pt idx="1">
                  <c:v>0.62666065072441968</c:v>
                </c:pt>
                <c:pt idx="2">
                  <c:v>0.75199278086930366</c:v>
                </c:pt>
                <c:pt idx="3">
                  <c:v>0.83554753429922624</c:v>
                </c:pt>
                <c:pt idx="4">
                  <c:v>0.94695387220578975</c:v>
                </c:pt>
                <c:pt idx="5">
                  <c:v>0.98873124892075093</c:v>
                </c:pt>
                <c:pt idx="6">
                  <c:v>1.0305086256357123</c:v>
                </c:pt>
                <c:pt idx="7">
                  <c:v>1.1001375868273144</c:v>
                </c:pt>
                <c:pt idx="8">
                  <c:v>1.1140633790656351</c:v>
                </c:pt>
                <c:pt idx="9">
                  <c:v>1.1140633790656351</c:v>
                </c:pt>
                <c:pt idx="10">
                  <c:v>1.1558407557805963</c:v>
                </c:pt>
                <c:pt idx="11">
                  <c:v>1.2115439247338782</c:v>
                </c:pt>
                <c:pt idx="12">
                  <c:v>1.2115439247338782</c:v>
                </c:pt>
                <c:pt idx="13">
                  <c:v>1.2254697169721984</c:v>
                </c:pt>
                <c:pt idx="14">
                  <c:v>1.2393955092105189</c:v>
                </c:pt>
                <c:pt idx="15">
                  <c:v>1.2393955092105189</c:v>
                </c:pt>
                <c:pt idx="16">
                  <c:v>1.2393955092105189</c:v>
                </c:pt>
                <c:pt idx="17">
                  <c:v>1.2393955092105189</c:v>
                </c:pt>
                <c:pt idx="18">
                  <c:v>1.2533213014488394</c:v>
                </c:pt>
                <c:pt idx="19">
                  <c:v>1.2672470936871598</c:v>
                </c:pt>
              </c:numCache>
            </c:numRef>
          </c:val>
          <c:smooth val="0"/>
        </c:ser>
        <c:ser>
          <c:idx val="9"/>
          <c:order val="12"/>
          <c:tx>
            <c:strRef>
              <c:f>Resultaten!$U$64</c:f>
              <c:strCache>
                <c:ptCount val="1"/>
                <c:pt idx="0">
                  <c:v>99.1%</c:v>
                </c:pt>
              </c:strCache>
            </c:strRef>
          </c:tx>
          <c:spPr>
            <a:ln w="25400" cap="flat" cmpd="sng" algn="ctr">
              <a:solidFill>
                <a:schemeClr val="accent6"/>
              </a:solidFill>
              <a:prstDash val="solid"/>
            </a:ln>
            <a:effectLst/>
          </c:spPr>
          <c:marker>
            <c:spPr>
              <a:solidFill>
                <a:schemeClr val="lt1"/>
              </a:solidFill>
              <a:ln w="25400" cap="flat" cmpd="sng" algn="ctr">
                <a:solidFill>
                  <a:schemeClr val="accent6"/>
                </a:solidFill>
                <a:prstDash val="solid"/>
              </a:ln>
              <a:effectLst/>
            </c:spPr>
          </c:marker>
          <c:val>
            <c:numRef>
              <c:f>Resultaten!$B$62:$U$62</c:f>
              <c:numCache>
                <c:formatCode>General</c:formatCode>
                <c:ptCount val="20"/>
                <c:pt idx="0">
                  <c:v>0.41777376714961312</c:v>
                </c:pt>
                <c:pt idx="1">
                  <c:v>0.57095748177113792</c:v>
                </c:pt>
                <c:pt idx="2">
                  <c:v>0.72414119639266272</c:v>
                </c:pt>
                <c:pt idx="3">
                  <c:v>0.80769594982258541</c:v>
                </c:pt>
                <c:pt idx="4">
                  <c:v>0.87732491101418764</c:v>
                </c:pt>
                <c:pt idx="5">
                  <c:v>0.89125070325250788</c:v>
                </c:pt>
                <c:pt idx="6">
                  <c:v>0.90517649549082846</c:v>
                </c:pt>
                <c:pt idx="7">
                  <c:v>0.90517649549082846</c:v>
                </c:pt>
                <c:pt idx="8">
                  <c:v>0.91910228772914881</c:v>
                </c:pt>
                <c:pt idx="9">
                  <c:v>0.91910228772914881</c:v>
                </c:pt>
                <c:pt idx="10">
                  <c:v>0.93302807996746928</c:v>
                </c:pt>
                <c:pt idx="11">
                  <c:v>0.94695387220578975</c:v>
                </c:pt>
                <c:pt idx="12">
                  <c:v>0.97480545668243068</c:v>
                </c:pt>
                <c:pt idx="13">
                  <c:v>0.97480545668243068</c:v>
                </c:pt>
                <c:pt idx="14">
                  <c:v>0.97480545668243068</c:v>
                </c:pt>
                <c:pt idx="15">
                  <c:v>0.98873124892075093</c:v>
                </c:pt>
                <c:pt idx="16">
                  <c:v>0.98873124892075093</c:v>
                </c:pt>
                <c:pt idx="17">
                  <c:v>1.0026570411590714</c:v>
                </c:pt>
                <c:pt idx="18">
                  <c:v>1.0026570411590714</c:v>
                </c:pt>
                <c:pt idx="19">
                  <c:v>1.0026570411590714</c:v>
                </c:pt>
              </c:numCache>
            </c:numRef>
          </c:val>
          <c:smooth val="0"/>
        </c:ser>
        <c:ser>
          <c:idx val="6"/>
          <c:order val="13"/>
          <c:tx>
            <c:strRef>
              <c:f>Resultaten!$U$47</c:f>
              <c:strCache>
                <c:ptCount val="1"/>
                <c:pt idx="0">
                  <c:v>100.2%</c:v>
                </c:pt>
              </c:strCache>
            </c:strRef>
          </c:tx>
          <c:spPr>
            <a:ln w="25400" cap="flat" cmpd="sng" algn="ctr">
              <a:solidFill>
                <a:schemeClr val="accent6"/>
              </a:solidFill>
              <a:prstDash val="solid"/>
            </a:ln>
            <a:effectLst/>
          </c:spPr>
          <c:marker>
            <c:spPr>
              <a:solidFill>
                <a:schemeClr val="lt1"/>
              </a:solidFill>
              <a:ln w="25400" cap="flat" cmpd="sng" algn="ctr">
                <a:solidFill>
                  <a:schemeClr val="accent6"/>
                </a:solidFill>
                <a:prstDash val="solid"/>
              </a:ln>
              <a:effectLst/>
            </c:spPr>
          </c:marker>
          <c:val>
            <c:numRef>
              <c:f>Resultaten!$B$45:$U$45</c:f>
              <c:numCache>
                <c:formatCode>General</c:formatCode>
                <c:ptCount val="20"/>
                <c:pt idx="0">
                  <c:v>0.32029322148137007</c:v>
                </c:pt>
                <c:pt idx="1">
                  <c:v>0.48740272834121534</c:v>
                </c:pt>
                <c:pt idx="2">
                  <c:v>0.58488327400945839</c:v>
                </c:pt>
                <c:pt idx="3">
                  <c:v>0.65451223520106061</c:v>
                </c:pt>
                <c:pt idx="4">
                  <c:v>0.73806698863098319</c:v>
                </c:pt>
                <c:pt idx="5">
                  <c:v>0.80769594982258541</c:v>
                </c:pt>
                <c:pt idx="6">
                  <c:v>0.87732491101418764</c:v>
                </c:pt>
                <c:pt idx="7">
                  <c:v>1.0026570411590714</c:v>
                </c:pt>
                <c:pt idx="8">
                  <c:v>1.0444344178740328</c:v>
                </c:pt>
                <c:pt idx="9">
                  <c:v>1.0722860023506737</c:v>
                </c:pt>
                <c:pt idx="10">
                  <c:v>1.1140633790656351</c:v>
                </c:pt>
                <c:pt idx="11">
                  <c:v>1.1697665480189168</c:v>
                </c:pt>
                <c:pt idx="12">
                  <c:v>1.1697665480189168</c:v>
                </c:pt>
                <c:pt idx="13">
                  <c:v>1.1836923402572372</c:v>
                </c:pt>
                <c:pt idx="14">
                  <c:v>1.2115439247338782</c:v>
                </c:pt>
                <c:pt idx="15">
                  <c:v>1.2254697169721984</c:v>
                </c:pt>
                <c:pt idx="16">
                  <c:v>1.2533213014488394</c:v>
                </c:pt>
                <c:pt idx="17">
                  <c:v>1.2672470936871598</c:v>
                </c:pt>
                <c:pt idx="18">
                  <c:v>1.2672470936871598</c:v>
                </c:pt>
                <c:pt idx="19">
                  <c:v>1.2811728859254803</c:v>
                </c:pt>
              </c:numCache>
            </c:numRef>
          </c:val>
          <c:smooth val="0"/>
        </c:ser>
        <c:ser>
          <c:idx val="14"/>
          <c:order val="14"/>
          <c:tx>
            <c:strRef>
              <c:f>Resultaten!$U$78</c:f>
              <c:strCache>
                <c:ptCount val="1"/>
                <c:pt idx="0">
                  <c:v>100.7%</c:v>
                </c:pt>
              </c:strCache>
            </c:strRef>
          </c:tx>
          <c:spPr>
            <a:ln w="25400" cap="flat" cmpd="sng" algn="ctr">
              <a:solidFill>
                <a:schemeClr val="accent6"/>
              </a:solidFill>
              <a:prstDash val="solid"/>
            </a:ln>
            <a:effectLst/>
          </c:spPr>
          <c:marker>
            <c:spPr>
              <a:solidFill>
                <a:schemeClr val="lt1"/>
              </a:solidFill>
              <a:ln w="25400" cap="flat" cmpd="sng" algn="ctr">
                <a:solidFill>
                  <a:schemeClr val="accent6"/>
                </a:solidFill>
                <a:prstDash val="solid"/>
              </a:ln>
              <a:effectLst/>
            </c:spPr>
          </c:marker>
          <c:val>
            <c:numRef>
              <c:f>Resultaten!$B$76:$U$76</c:f>
              <c:numCache>
                <c:formatCode>General</c:formatCode>
                <c:ptCount val="20"/>
                <c:pt idx="0">
                  <c:v>0.29244163700472919</c:v>
                </c:pt>
                <c:pt idx="1">
                  <c:v>0.52918010505617663</c:v>
                </c:pt>
                <c:pt idx="2">
                  <c:v>0.61273485848609921</c:v>
                </c:pt>
                <c:pt idx="3">
                  <c:v>0.68236381967770143</c:v>
                </c:pt>
                <c:pt idx="4">
                  <c:v>0.77984436534594448</c:v>
                </c:pt>
                <c:pt idx="5">
                  <c:v>0.86339911877586706</c:v>
                </c:pt>
                <c:pt idx="6">
                  <c:v>0.91910228772914881</c:v>
                </c:pt>
                <c:pt idx="7">
                  <c:v>0.9608796644441101</c:v>
                </c:pt>
                <c:pt idx="8">
                  <c:v>0.98873124892075093</c:v>
                </c:pt>
                <c:pt idx="9">
                  <c:v>1.0165828333973921</c:v>
                </c:pt>
                <c:pt idx="10">
                  <c:v>1.0444344178740328</c:v>
                </c:pt>
                <c:pt idx="11">
                  <c:v>1.0583602101123533</c:v>
                </c:pt>
                <c:pt idx="12">
                  <c:v>1.0583602101123533</c:v>
                </c:pt>
                <c:pt idx="13">
                  <c:v>1.0722860023506737</c:v>
                </c:pt>
                <c:pt idx="14">
                  <c:v>1.086211794588994</c:v>
                </c:pt>
                <c:pt idx="15">
                  <c:v>1.1140633790656351</c:v>
                </c:pt>
                <c:pt idx="16">
                  <c:v>1.1279891713039554</c:v>
                </c:pt>
                <c:pt idx="17">
                  <c:v>1.1419149635422758</c:v>
                </c:pt>
                <c:pt idx="18">
                  <c:v>1.1419149635422758</c:v>
                </c:pt>
                <c:pt idx="19">
                  <c:v>1.1558407557805963</c:v>
                </c:pt>
              </c:numCache>
            </c:numRef>
          </c:val>
          <c:smooth val="0"/>
        </c:ser>
        <c:ser>
          <c:idx val="19"/>
          <c:order val="15"/>
          <c:tx>
            <c:strRef>
              <c:f>Resultaten!$U$120</c:f>
              <c:strCache>
                <c:ptCount val="1"/>
                <c:pt idx="0">
                  <c:v>101.6%</c:v>
                </c:pt>
              </c:strCache>
            </c:strRef>
          </c:tx>
          <c:spPr>
            <a:ln w="25400" cap="flat" cmpd="sng" algn="ctr">
              <a:solidFill>
                <a:schemeClr val="accent2"/>
              </a:solidFill>
              <a:prstDash val="solid"/>
            </a:ln>
            <a:effectLst/>
          </c:spPr>
          <c:marker>
            <c:spPr>
              <a:solidFill>
                <a:schemeClr val="lt1"/>
              </a:solidFill>
              <a:ln w="25400" cap="flat" cmpd="sng" algn="ctr">
                <a:solidFill>
                  <a:schemeClr val="accent2"/>
                </a:solidFill>
                <a:prstDash val="solid"/>
              </a:ln>
              <a:effectLst/>
            </c:spPr>
          </c:marker>
          <c:val>
            <c:numRef>
              <c:f>Resultaten!$B$118:$U$118</c:f>
              <c:numCache>
                <c:formatCode>General</c:formatCode>
                <c:ptCount val="20"/>
                <c:pt idx="0">
                  <c:v>0.41777376714961312</c:v>
                </c:pt>
                <c:pt idx="1">
                  <c:v>0.58488327400945839</c:v>
                </c:pt>
                <c:pt idx="2">
                  <c:v>0.75199278086930366</c:v>
                </c:pt>
                <c:pt idx="3">
                  <c:v>0.8494733265375467</c:v>
                </c:pt>
                <c:pt idx="4">
                  <c:v>0.90517649549082846</c:v>
                </c:pt>
                <c:pt idx="5">
                  <c:v>0.9608796644441101</c:v>
                </c:pt>
                <c:pt idx="6">
                  <c:v>1.0444344178740328</c:v>
                </c:pt>
                <c:pt idx="7">
                  <c:v>1.0583602101123533</c:v>
                </c:pt>
                <c:pt idx="8">
                  <c:v>1.1001375868273144</c:v>
                </c:pt>
                <c:pt idx="9">
                  <c:v>1.1140633790656351</c:v>
                </c:pt>
                <c:pt idx="10">
                  <c:v>1.1279891713039554</c:v>
                </c:pt>
                <c:pt idx="11">
                  <c:v>1.1279891713039554</c:v>
                </c:pt>
                <c:pt idx="12">
                  <c:v>1.1419149635422758</c:v>
                </c:pt>
                <c:pt idx="13">
                  <c:v>1.1558407557805963</c:v>
                </c:pt>
                <c:pt idx="14">
                  <c:v>1.1697665480189168</c:v>
                </c:pt>
                <c:pt idx="15">
                  <c:v>1.2672470936871598</c:v>
                </c:pt>
                <c:pt idx="16">
                  <c:v>1.2950986781638005</c:v>
                </c:pt>
                <c:pt idx="17">
                  <c:v>1.2950986781638005</c:v>
                </c:pt>
                <c:pt idx="18">
                  <c:v>1.3090244704021212</c:v>
                </c:pt>
                <c:pt idx="19">
                  <c:v>1.2811728859254803</c:v>
                </c:pt>
              </c:numCache>
            </c:numRef>
          </c:val>
          <c:smooth val="0"/>
        </c:ser>
        <c:ser>
          <c:idx val="18"/>
          <c:order val="16"/>
          <c:tx>
            <c:strRef>
              <c:f>Resultaten!$U$126</c:f>
              <c:strCache>
                <c:ptCount val="1"/>
                <c:pt idx="0">
                  <c:v>102.6%</c:v>
                </c:pt>
              </c:strCache>
            </c:strRef>
          </c:tx>
          <c:spPr>
            <a:ln w="25400" cap="flat" cmpd="sng" algn="ctr">
              <a:solidFill>
                <a:schemeClr val="accent2"/>
              </a:solidFill>
              <a:prstDash val="solid"/>
            </a:ln>
            <a:effectLst/>
          </c:spPr>
          <c:marker>
            <c:spPr>
              <a:solidFill>
                <a:schemeClr val="lt1"/>
              </a:solidFill>
              <a:ln w="25400" cap="flat" cmpd="sng" algn="ctr">
                <a:solidFill>
                  <a:schemeClr val="accent2"/>
                </a:solidFill>
                <a:prstDash val="solid"/>
              </a:ln>
              <a:effectLst/>
            </c:spPr>
          </c:marker>
          <c:val>
            <c:numRef>
              <c:f>Resultaten!$B$124:$U$124</c:f>
              <c:numCache>
                <c:formatCode>General</c:formatCode>
                <c:ptCount val="20"/>
                <c:pt idx="0">
                  <c:v>0.36207059819633136</c:v>
                </c:pt>
                <c:pt idx="1">
                  <c:v>0.5013285205795357</c:v>
                </c:pt>
                <c:pt idx="2">
                  <c:v>0.64058644296274014</c:v>
                </c:pt>
                <c:pt idx="3">
                  <c:v>0.75199278086930366</c:v>
                </c:pt>
                <c:pt idx="4">
                  <c:v>0.82162174206090577</c:v>
                </c:pt>
                <c:pt idx="5">
                  <c:v>0.89125070325250788</c:v>
                </c:pt>
                <c:pt idx="6">
                  <c:v>0.9608796644441101</c:v>
                </c:pt>
                <c:pt idx="7">
                  <c:v>0.97480545668243068</c:v>
                </c:pt>
                <c:pt idx="8">
                  <c:v>1.0026570411590714</c:v>
                </c:pt>
                <c:pt idx="9">
                  <c:v>1.0165828333973921</c:v>
                </c:pt>
                <c:pt idx="10">
                  <c:v>1.0444344178740328</c:v>
                </c:pt>
                <c:pt idx="11">
                  <c:v>1.0583602101123533</c:v>
                </c:pt>
                <c:pt idx="12">
                  <c:v>1.0722860023506737</c:v>
                </c:pt>
                <c:pt idx="13">
                  <c:v>1.0722860023506737</c:v>
                </c:pt>
                <c:pt idx="14">
                  <c:v>1.0722860023506737</c:v>
                </c:pt>
                <c:pt idx="15">
                  <c:v>1.086211794588994</c:v>
                </c:pt>
                <c:pt idx="16">
                  <c:v>1.0722860023506737</c:v>
                </c:pt>
                <c:pt idx="17">
                  <c:v>1.086211794588994</c:v>
                </c:pt>
                <c:pt idx="18">
                  <c:v>1.086211794588994</c:v>
                </c:pt>
                <c:pt idx="19">
                  <c:v>1.1001375868273144</c:v>
                </c:pt>
              </c:numCache>
            </c:numRef>
          </c:val>
          <c:smooth val="0"/>
        </c:ser>
        <c:ser>
          <c:idx val="15"/>
          <c:order val="17"/>
          <c:tx>
            <c:strRef>
              <c:f>Resultaten!$U$85</c:f>
              <c:strCache>
                <c:ptCount val="1"/>
                <c:pt idx="0">
                  <c:v>102.8%</c:v>
                </c:pt>
              </c:strCache>
            </c:strRef>
          </c:tx>
          <c:spPr>
            <a:ln w="25400" cap="flat" cmpd="sng" algn="ctr">
              <a:solidFill>
                <a:schemeClr val="accent2"/>
              </a:solidFill>
              <a:prstDash val="solid"/>
            </a:ln>
            <a:effectLst/>
          </c:spPr>
          <c:marker>
            <c:spPr>
              <a:solidFill>
                <a:schemeClr val="lt1"/>
              </a:solidFill>
              <a:ln w="25400" cap="flat" cmpd="sng" algn="ctr">
                <a:solidFill>
                  <a:schemeClr val="accent2"/>
                </a:solidFill>
                <a:prstDash val="solid"/>
              </a:ln>
              <a:effectLst/>
            </c:spPr>
          </c:marker>
          <c:val>
            <c:numRef>
              <c:f>Resultaten!$B$83:$U$83</c:f>
              <c:numCache>
                <c:formatCode>General</c:formatCode>
                <c:ptCount val="20"/>
                <c:pt idx="0">
                  <c:v>0.45955114386457441</c:v>
                </c:pt>
                <c:pt idx="1">
                  <c:v>0.55703168953281756</c:v>
                </c:pt>
                <c:pt idx="2">
                  <c:v>0.64058644296274014</c:v>
                </c:pt>
                <c:pt idx="3">
                  <c:v>0.71021540415434226</c:v>
                </c:pt>
                <c:pt idx="4">
                  <c:v>0.80769594982258541</c:v>
                </c:pt>
                <c:pt idx="5">
                  <c:v>0.90517649549082846</c:v>
                </c:pt>
                <c:pt idx="6">
                  <c:v>1.0165828333973921</c:v>
                </c:pt>
                <c:pt idx="7">
                  <c:v>1.0583602101123533</c:v>
                </c:pt>
                <c:pt idx="8">
                  <c:v>1.086211794588994</c:v>
                </c:pt>
                <c:pt idx="9">
                  <c:v>1.1279891713039554</c:v>
                </c:pt>
                <c:pt idx="10">
                  <c:v>1.1279891713039554</c:v>
                </c:pt>
                <c:pt idx="11">
                  <c:v>1.1419149635422758</c:v>
                </c:pt>
                <c:pt idx="12">
                  <c:v>1.1697665480189168</c:v>
                </c:pt>
                <c:pt idx="13">
                  <c:v>1.1836923402572372</c:v>
                </c:pt>
                <c:pt idx="14">
                  <c:v>1.1976181324955575</c:v>
                </c:pt>
                <c:pt idx="15">
                  <c:v>1.2115439247338782</c:v>
                </c:pt>
                <c:pt idx="16">
                  <c:v>1.2393955092105189</c:v>
                </c:pt>
                <c:pt idx="17">
                  <c:v>1.2672470936871598</c:v>
                </c:pt>
                <c:pt idx="18">
                  <c:v>1.2811728859254803</c:v>
                </c:pt>
                <c:pt idx="19">
                  <c:v>1.2811728859254803</c:v>
                </c:pt>
              </c:numCache>
            </c:numRef>
          </c:val>
          <c:smooth val="0"/>
        </c:ser>
        <c:ser>
          <c:idx val="17"/>
          <c:order val="18"/>
          <c:tx>
            <c:strRef>
              <c:f>Resultaten!$U$99</c:f>
              <c:strCache>
                <c:ptCount val="1"/>
                <c:pt idx="0">
                  <c:v>102.8%</c:v>
                </c:pt>
              </c:strCache>
            </c:strRef>
          </c:tx>
          <c:spPr>
            <a:ln w="25400" cap="flat" cmpd="sng" algn="ctr">
              <a:solidFill>
                <a:schemeClr val="accent2"/>
              </a:solidFill>
              <a:prstDash val="solid"/>
            </a:ln>
            <a:effectLst/>
          </c:spPr>
          <c:marker>
            <c:spPr>
              <a:solidFill>
                <a:schemeClr val="lt1"/>
              </a:solidFill>
              <a:ln w="25400" cap="flat" cmpd="sng" algn="ctr">
                <a:solidFill>
                  <a:schemeClr val="accent2"/>
                </a:solidFill>
                <a:prstDash val="solid"/>
              </a:ln>
              <a:effectLst/>
            </c:spPr>
          </c:marker>
          <c:val>
            <c:numRef>
              <c:f>Resultaten!$B$97:$U$97</c:f>
              <c:numCache>
                <c:formatCode>General</c:formatCode>
                <c:ptCount val="20"/>
                <c:pt idx="0">
                  <c:v>0.36207059819633136</c:v>
                </c:pt>
                <c:pt idx="1">
                  <c:v>0.5013285205795357</c:v>
                </c:pt>
                <c:pt idx="2">
                  <c:v>0.58488327400945839</c:v>
                </c:pt>
                <c:pt idx="3">
                  <c:v>0.68236381967770143</c:v>
                </c:pt>
                <c:pt idx="4">
                  <c:v>0.77984436534594448</c:v>
                </c:pt>
                <c:pt idx="5">
                  <c:v>0.86339911877586706</c:v>
                </c:pt>
                <c:pt idx="6">
                  <c:v>0.93302807996746928</c:v>
                </c:pt>
                <c:pt idx="7">
                  <c:v>1.0165828333973921</c:v>
                </c:pt>
                <c:pt idx="8">
                  <c:v>1.0444344178740328</c:v>
                </c:pt>
                <c:pt idx="9">
                  <c:v>1.0444344178740328</c:v>
                </c:pt>
                <c:pt idx="10">
                  <c:v>1.0722860023506737</c:v>
                </c:pt>
                <c:pt idx="11">
                  <c:v>1.086211794588994</c:v>
                </c:pt>
                <c:pt idx="12">
                  <c:v>1.1001375868273144</c:v>
                </c:pt>
                <c:pt idx="13">
                  <c:v>1.1279891713039554</c:v>
                </c:pt>
                <c:pt idx="14">
                  <c:v>1.1419149635422758</c:v>
                </c:pt>
                <c:pt idx="15">
                  <c:v>1.1558407557805963</c:v>
                </c:pt>
                <c:pt idx="16">
                  <c:v>1.1558407557805963</c:v>
                </c:pt>
                <c:pt idx="17">
                  <c:v>1.1697665480189168</c:v>
                </c:pt>
                <c:pt idx="18">
                  <c:v>1.1697665480189168</c:v>
                </c:pt>
                <c:pt idx="19">
                  <c:v>1.1836923402572372</c:v>
                </c:pt>
              </c:numCache>
            </c:numRef>
          </c:val>
          <c:smooth val="0"/>
        </c:ser>
        <c:ser>
          <c:idx val="16"/>
          <c:order val="19"/>
          <c:tx>
            <c:strRef>
              <c:f>Resultaten!$U$92</c:f>
              <c:strCache>
                <c:ptCount val="1"/>
                <c:pt idx="0">
                  <c:v>103.1%</c:v>
                </c:pt>
              </c:strCache>
            </c:strRef>
          </c:tx>
          <c:spPr>
            <a:ln w="25400" cap="flat" cmpd="sng" algn="ctr">
              <a:solidFill>
                <a:schemeClr val="accent2"/>
              </a:solidFill>
              <a:prstDash val="solid"/>
            </a:ln>
            <a:effectLst/>
          </c:spPr>
          <c:marker>
            <c:spPr>
              <a:solidFill>
                <a:schemeClr val="lt1"/>
              </a:solidFill>
              <a:ln w="25400" cap="flat" cmpd="sng" algn="ctr">
                <a:solidFill>
                  <a:schemeClr val="accent2"/>
                </a:solidFill>
                <a:prstDash val="solid"/>
              </a:ln>
              <a:effectLst/>
            </c:spPr>
          </c:marker>
          <c:val>
            <c:numRef>
              <c:f>Resultaten!$B$90:$U$90</c:f>
              <c:numCache>
                <c:formatCode>General</c:formatCode>
                <c:ptCount val="20"/>
                <c:pt idx="0">
                  <c:v>0.38992218267297224</c:v>
                </c:pt>
                <c:pt idx="1">
                  <c:v>0.54310589729449699</c:v>
                </c:pt>
                <c:pt idx="2">
                  <c:v>0.73806698863098319</c:v>
                </c:pt>
                <c:pt idx="3">
                  <c:v>0.93302807996746928</c:v>
                </c:pt>
                <c:pt idx="4">
                  <c:v>1.0165828333973921</c:v>
                </c:pt>
                <c:pt idx="5">
                  <c:v>1.0583602101123533</c:v>
                </c:pt>
                <c:pt idx="6">
                  <c:v>1.086211794588994</c:v>
                </c:pt>
                <c:pt idx="7">
                  <c:v>1.1697665480189168</c:v>
                </c:pt>
                <c:pt idx="8">
                  <c:v>1.1976181324955575</c:v>
                </c:pt>
                <c:pt idx="9">
                  <c:v>1.1976181324955575</c:v>
                </c:pt>
                <c:pt idx="10">
                  <c:v>1.2254697169721984</c:v>
                </c:pt>
                <c:pt idx="11">
                  <c:v>1.2533213014488394</c:v>
                </c:pt>
                <c:pt idx="12">
                  <c:v>1.2393955092105189</c:v>
                </c:pt>
                <c:pt idx="13">
                  <c:v>1.2533213014488394</c:v>
                </c:pt>
                <c:pt idx="14">
                  <c:v>1.2533213014488394</c:v>
                </c:pt>
                <c:pt idx="15">
                  <c:v>1.2672470936871598</c:v>
                </c:pt>
                <c:pt idx="16">
                  <c:v>1.2672470936871598</c:v>
                </c:pt>
                <c:pt idx="17">
                  <c:v>1.2672470936871598</c:v>
                </c:pt>
                <c:pt idx="18">
                  <c:v>1.2811728859254803</c:v>
                </c:pt>
                <c:pt idx="19">
                  <c:v>1.2950986781638005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5179776"/>
        <c:axId val="125194240"/>
      </c:lineChart>
      <c:catAx>
        <c:axId val="1251797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Number of rows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25194240"/>
        <c:crosses val="autoZero"/>
        <c:auto val="1"/>
        <c:lblAlgn val="ctr"/>
        <c:lblOffset val="100"/>
        <c:noMultiLvlLbl val="0"/>
      </c:catAx>
      <c:valAx>
        <c:axId val="12519424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avarge load on a single armour unit at the first row 
[ F / (Weight Xbloc * number of units in a row)]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2517977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nl-NL"/>
              <a:t>Total force per row on bottom unit</a:t>
            </a:r>
          </a:p>
        </c:rich>
      </c:tx>
      <c:layout>
        <c:manualLayout>
          <c:xMode val="edge"/>
          <c:yMode val="edge"/>
          <c:x val="0.3647713982122528"/>
          <c:y val="3.266331658291457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402226184760062"/>
          <c:y val="0.15829145728643215"/>
          <c:w val="0.86269129158943447"/>
          <c:h val="0.68592964824120606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'Resulaten Michiel'!$A$6</c:f>
              <c:strCache>
                <c:ptCount val="1"/>
                <c:pt idx="0">
                  <c:v>test 1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yVal>
            <c:numRef>
              <c:f>'Resulaten Michiel'!$M$8:$M$16</c:f>
              <c:numCache>
                <c:formatCode>General</c:formatCode>
                <c:ptCount val="9"/>
                <c:pt idx="0">
                  <c:v>0.27342422697927282</c:v>
                </c:pt>
                <c:pt idx="1">
                  <c:v>0.41411824668705399</c:v>
                </c:pt>
                <c:pt idx="2">
                  <c:v>0.45659191301393137</c:v>
                </c:pt>
                <c:pt idx="3">
                  <c:v>0.58666751613999324</c:v>
                </c:pt>
                <c:pt idx="4">
                  <c:v>0.63975959904858981</c:v>
                </c:pt>
                <c:pt idx="5">
                  <c:v>0.64506880733944949</c:v>
                </c:pt>
                <c:pt idx="6">
                  <c:v>0.65303261977573901</c:v>
                </c:pt>
                <c:pt idx="7">
                  <c:v>0.67957866123003741</c:v>
                </c:pt>
                <c:pt idx="8">
                  <c:v>0.66365103635745837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'Resulaten Michiel'!$A$21</c:f>
              <c:strCache>
                <c:ptCount val="1"/>
                <c:pt idx="0">
                  <c:v>test 2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yVal>
            <c:numRef>
              <c:f>'Resulaten Michiel'!$M$23:$M$31</c:f>
              <c:numCache>
                <c:formatCode>General</c:formatCode>
                <c:ptCount val="9"/>
                <c:pt idx="0">
                  <c:v>0.33182551817872918</c:v>
                </c:pt>
                <c:pt idx="1">
                  <c:v>0.41942745497791367</c:v>
                </c:pt>
                <c:pt idx="2">
                  <c:v>0.51764780835881752</c:v>
                </c:pt>
                <c:pt idx="3">
                  <c:v>0.56012147468569484</c:v>
                </c:pt>
                <c:pt idx="4">
                  <c:v>0.56012147468569484</c:v>
                </c:pt>
                <c:pt idx="5">
                  <c:v>0.57604909955827388</c:v>
                </c:pt>
                <c:pt idx="6">
                  <c:v>0.5840129119945634</c:v>
                </c:pt>
                <c:pt idx="7">
                  <c:v>0.60524974515800201</c:v>
                </c:pt>
                <c:pt idx="8">
                  <c:v>0.60790434930343185</c:v>
                </c:pt>
              </c:numCache>
            </c:numRef>
          </c:yVal>
          <c:smooth val="1"/>
        </c:ser>
        <c:ser>
          <c:idx val="2"/>
          <c:order val="2"/>
          <c:tx>
            <c:strRef>
              <c:f>'Resulaten Michiel'!$A$36</c:f>
              <c:strCache>
                <c:ptCount val="1"/>
                <c:pt idx="0">
                  <c:v>test 3</c:v>
                </c:pt>
              </c:strCache>
            </c:strRef>
          </c:tx>
          <c:spPr>
            <a:ln w="12700">
              <a:solidFill>
                <a:srgbClr val="FFFF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00"/>
              </a:solidFill>
              <a:ln>
                <a:solidFill>
                  <a:srgbClr val="FFFF00"/>
                </a:solidFill>
                <a:prstDash val="solid"/>
              </a:ln>
            </c:spPr>
          </c:marker>
          <c:yVal>
            <c:numRef>
              <c:f>'Resulaten Michiel'!$M$38:$M$46</c:f>
              <c:numCache>
                <c:formatCode>General</c:formatCode>
                <c:ptCount val="9"/>
                <c:pt idx="0">
                  <c:v>0.32917091403329934</c:v>
                </c:pt>
                <c:pt idx="1">
                  <c:v>0.55481226639483516</c:v>
                </c:pt>
                <c:pt idx="2">
                  <c:v>0.64506880733944949</c:v>
                </c:pt>
                <c:pt idx="3">
                  <c:v>0.68223326537546725</c:v>
                </c:pt>
                <c:pt idx="4">
                  <c:v>0.68754247366632681</c:v>
                </c:pt>
                <c:pt idx="5">
                  <c:v>0.66896024464831805</c:v>
                </c:pt>
                <c:pt idx="6">
                  <c:v>0.69019707781175665</c:v>
                </c:pt>
                <c:pt idx="7">
                  <c:v>0.70612470268433569</c:v>
                </c:pt>
                <c:pt idx="8">
                  <c:v>0.70081549439347601</c:v>
                </c:pt>
              </c:numCache>
            </c:numRef>
          </c:yVal>
          <c:smooth val="1"/>
        </c:ser>
        <c:ser>
          <c:idx val="3"/>
          <c:order val="3"/>
          <c:tx>
            <c:strRef>
              <c:f>'Resulaten Michiel'!$A$51</c:f>
              <c:strCache>
                <c:ptCount val="1"/>
                <c:pt idx="0">
                  <c:v>test 4</c:v>
                </c:pt>
              </c:strCache>
            </c:strRef>
          </c:tx>
          <c:spPr>
            <a:ln w="12700">
              <a:solidFill>
                <a:srgbClr val="00FFFF"/>
              </a:solidFill>
              <a:prstDash val="solid"/>
            </a:ln>
          </c:spPr>
          <c:marker>
            <c:symbol val="x"/>
            <c:size val="5"/>
            <c:spPr>
              <a:noFill/>
              <a:ln>
                <a:solidFill>
                  <a:srgbClr val="00FFFF"/>
                </a:solidFill>
                <a:prstDash val="solid"/>
              </a:ln>
            </c:spPr>
          </c:marker>
          <c:yVal>
            <c:numRef>
              <c:f>'Resulaten Michiel'!$M$53:$M$60</c:f>
              <c:numCache>
                <c:formatCode>General</c:formatCode>
                <c:ptCount val="8"/>
                <c:pt idx="0">
                  <c:v>0.41411824668705399</c:v>
                </c:pt>
                <c:pt idx="1">
                  <c:v>0.65834182806659869</c:v>
                </c:pt>
                <c:pt idx="2">
                  <c:v>0.79638124362895002</c:v>
                </c:pt>
                <c:pt idx="3">
                  <c:v>0.96362130479102959</c:v>
                </c:pt>
                <c:pt idx="4">
                  <c:v>1.1282067618076792</c:v>
                </c:pt>
                <c:pt idx="5">
                  <c:v>1.2290817193340129</c:v>
                </c:pt>
                <c:pt idx="6">
                  <c:v>1.2715553856608903</c:v>
                </c:pt>
                <c:pt idx="7">
                  <c:v>1.306065239551478</c:v>
                </c:pt>
              </c:numCache>
            </c:numRef>
          </c:yVal>
          <c:smooth val="1"/>
        </c:ser>
        <c:ser>
          <c:idx val="4"/>
          <c:order val="4"/>
          <c:tx>
            <c:strRef>
              <c:f>'Resulaten Michiel'!$A$66</c:f>
              <c:strCache>
                <c:ptCount val="1"/>
                <c:pt idx="0">
                  <c:v>test 5</c:v>
                </c:pt>
              </c:strCache>
            </c:strRef>
          </c:tx>
          <c:spPr>
            <a:ln w="12700">
              <a:solidFill>
                <a:srgbClr val="800080"/>
              </a:solidFill>
              <a:prstDash val="solid"/>
            </a:ln>
          </c:spPr>
          <c:marker>
            <c:symbol val="star"/>
            <c:size val="5"/>
            <c:spPr>
              <a:noFill/>
              <a:ln>
                <a:solidFill>
                  <a:srgbClr val="800080"/>
                </a:solidFill>
                <a:prstDash val="solid"/>
              </a:ln>
            </c:spPr>
          </c:marker>
          <c:yVal>
            <c:numRef>
              <c:f>'Resulaten Michiel'!$M$68:$M$75</c:f>
              <c:numCache>
                <c:formatCode>General</c:formatCode>
                <c:ptCount val="8"/>
                <c:pt idx="0">
                  <c:v>0.45393730886850153</c:v>
                </c:pt>
                <c:pt idx="1">
                  <c:v>0.7406345565749235</c:v>
                </c:pt>
                <c:pt idx="2">
                  <c:v>0.88398318042813451</c:v>
                </c:pt>
                <c:pt idx="3">
                  <c:v>1.1122791369351002</c:v>
                </c:pt>
                <c:pt idx="4">
                  <c:v>1.1627166156982671</c:v>
                </c:pt>
                <c:pt idx="5">
                  <c:v>1.2211179068977234</c:v>
                </c:pt>
                <c:pt idx="6">
                  <c:v>1.2742099898063202</c:v>
                </c:pt>
                <c:pt idx="7">
                  <c:v>1.2635915732246008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5414784"/>
        <c:axId val="125417344"/>
      </c:scatterChart>
      <c:valAx>
        <c:axId val="1254147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nl-NL"/>
                  <a:t>number of rows</a:t>
                </a:r>
              </a:p>
            </c:rich>
          </c:tx>
          <c:layout>
            <c:manualLayout>
              <c:xMode val="edge"/>
              <c:yMode val="edge"/>
              <c:x val="0.47018062355115475"/>
              <c:y val="0.912060301507537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5417344"/>
        <c:crosses val="autoZero"/>
        <c:crossBetween val="midCat"/>
      </c:valAx>
      <c:valAx>
        <c:axId val="12541734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nl-NL"/>
                  <a:t>relative force (force/weight) [-]</a:t>
                </a:r>
              </a:p>
            </c:rich>
          </c:tx>
          <c:layout>
            <c:manualLayout>
              <c:xMode val="edge"/>
              <c:yMode val="edge"/>
              <c:x val="2.0804452369520124E-2"/>
              <c:y val="0.2839195979899497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5414784"/>
        <c:crosses val="autoZero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6144295672443651"/>
          <c:y val="0.1407035175879397"/>
          <c:w val="9.0152626934587199E-2"/>
          <c:h val="0.24120603015075376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paperSize="9" orientation="landscape" verticalDpi="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nl-NL"/>
              <a:t>increment in force per row on bottom unit</a:t>
            </a:r>
          </a:p>
        </c:rich>
      </c:tx>
      <c:layout>
        <c:manualLayout>
          <c:xMode val="edge"/>
          <c:yMode val="edge"/>
          <c:x val="0.33564516489492463"/>
          <c:y val="3.266331658291457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402226184760062"/>
          <c:y val="0.15829145728643215"/>
          <c:w val="0.86269129158943447"/>
          <c:h val="0.72864321608040206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'Resulaten Michiel'!$A$6</c:f>
              <c:strCache>
                <c:ptCount val="1"/>
                <c:pt idx="0">
                  <c:v>test 1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yVal>
            <c:numRef>
              <c:f>'Resulaten Michiel'!$K$8:$K$16</c:f>
              <c:numCache>
                <c:formatCode>General</c:formatCode>
                <c:ptCount val="9"/>
                <c:pt idx="0">
                  <c:v>0.27342422697927282</c:v>
                </c:pt>
                <c:pt idx="1">
                  <c:v>0.14069401970778117</c:v>
                </c:pt>
                <c:pt idx="2">
                  <c:v>4.2473666326877338E-2</c:v>
                </c:pt>
                <c:pt idx="3">
                  <c:v>0.13007560312606184</c:v>
                </c:pt>
                <c:pt idx="4">
                  <c:v>5.3092082908596669E-2</c:v>
                </c:pt>
                <c:pt idx="5">
                  <c:v>5.3092082908596672E-3</c:v>
                </c:pt>
                <c:pt idx="6">
                  <c:v>7.9638124362895E-3</c:v>
                </c:pt>
                <c:pt idx="7">
                  <c:v>2.6546041454298334E-2</c:v>
                </c:pt>
                <c:pt idx="8">
                  <c:v>-1.5927624872579E-2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'Resulaten Michiel'!$A$21</c:f>
              <c:strCache>
                <c:ptCount val="1"/>
                <c:pt idx="0">
                  <c:v>test 2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yVal>
            <c:numRef>
              <c:f>'Resulaten Michiel'!$K$23:$K$31</c:f>
              <c:numCache>
                <c:formatCode>General</c:formatCode>
                <c:ptCount val="9"/>
                <c:pt idx="0">
                  <c:v>0.33182551817872918</c:v>
                </c:pt>
                <c:pt idx="1">
                  <c:v>8.7601936799184502E-2</c:v>
                </c:pt>
                <c:pt idx="2">
                  <c:v>9.8220353380903833E-2</c:v>
                </c:pt>
                <c:pt idx="3">
                  <c:v>4.2473666326877338E-2</c:v>
                </c:pt>
                <c:pt idx="4">
                  <c:v>0</c:v>
                </c:pt>
                <c:pt idx="5">
                  <c:v>1.5927624872579E-2</c:v>
                </c:pt>
                <c:pt idx="6">
                  <c:v>7.9638124362895E-3</c:v>
                </c:pt>
                <c:pt idx="7">
                  <c:v>2.1236833163438669E-2</c:v>
                </c:pt>
                <c:pt idx="8">
                  <c:v>2.6546041454298336E-3</c:v>
                </c:pt>
              </c:numCache>
            </c:numRef>
          </c:yVal>
          <c:smooth val="1"/>
        </c:ser>
        <c:ser>
          <c:idx val="2"/>
          <c:order val="2"/>
          <c:tx>
            <c:strRef>
              <c:f>'Resulaten Michiel'!$A$36</c:f>
              <c:strCache>
                <c:ptCount val="1"/>
                <c:pt idx="0">
                  <c:v>test 3</c:v>
                </c:pt>
              </c:strCache>
            </c:strRef>
          </c:tx>
          <c:spPr>
            <a:ln w="12700">
              <a:solidFill>
                <a:srgbClr val="FFFF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00"/>
              </a:solidFill>
              <a:ln>
                <a:solidFill>
                  <a:srgbClr val="FFFF00"/>
                </a:solidFill>
                <a:prstDash val="solid"/>
              </a:ln>
            </c:spPr>
          </c:marker>
          <c:yVal>
            <c:numRef>
              <c:f>'Resulaten Michiel'!$K$38:$K$46</c:f>
              <c:numCache>
                <c:formatCode>General</c:formatCode>
                <c:ptCount val="9"/>
                <c:pt idx="0">
                  <c:v>0.32917091403329934</c:v>
                </c:pt>
                <c:pt idx="1">
                  <c:v>0.22564135236153585</c:v>
                </c:pt>
                <c:pt idx="2">
                  <c:v>9.0256540944614341E-2</c:v>
                </c:pt>
                <c:pt idx="3">
                  <c:v>3.7164458036017665E-2</c:v>
                </c:pt>
                <c:pt idx="4">
                  <c:v>5.3092082908596672E-3</c:v>
                </c:pt>
                <c:pt idx="5">
                  <c:v>-1.8582229018008833E-2</c:v>
                </c:pt>
                <c:pt idx="6">
                  <c:v>2.1236833163438669E-2</c:v>
                </c:pt>
                <c:pt idx="7">
                  <c:v>1.5927624872579E-2</c:v>
                </c:pt>
                <c:pt idx="8">
                  <c:v>-5.3092082908596672E-3</c:v>
                </c:pt>
              </c:numCache>
            </c:numRef>
          </c:yVal>
          <c:smooth val="1"/>
        </c:ser>
        <c:ser>
          <c:idx val="3"/>
          <c:order val="3"/>
          <c:tx>
            <c:strRef>
              <c:f>'Resulaten Michiel'!$A$51</c:f>
              <c:strCache>
                <c:ptCount val="1"/>
                <c:pt idx="0">
                  <c:v>test 4</c:v>
                </c:pt>
              </c:strCache>
            </c:strRef>
          </c:tx>
          <c:spPr>
            <a:ln w="12700">
              <a:solidFill>
                <a:srgbClr val="00FFFF"/>
              </a:solidFill>
              <a:prstDash val="solid"/>
            </a:ln>
          </c:spPr>
          <c:marker>
            <c:symbol val="x"/>
            <c:size val="5"/>
            <c:spPr>
              <a:noFill/>
              <a:ln>
                <a:solidFill>
                  <a:srgbClr val="00FFFF"/>
                </a:solidFill>
                <a:prstDash val="solid"/>
              </a:ln>
            </c:spPr>
          </c:marker>
          <c:yVal>
            <c:numRef>
              <c:f>'Resulaten Michiel'!$K$53:$K$60</c:f>
              <c:numCache>
                <c:formatCode>General</c:formatCode>
                <c:ptCount val="8"/>
                <c:pt idx="0">
                  <c:v>0.41411824668705399</c:v>
                </c:pt>
                <c:pt idx="1">
                  <c:v>0.24422358137954467</c:v>
                </c:pt>
                <c:pt idx="2">
                  <c:v>0.13803941556235133</c:v>
                </c:pt>
                <c:pt idx="3">
                  <c:v>0.16724006116207951</c:v>
                </c:pt>
                <c:pt idx="4">
                  <c:v>0.16458545701664967</c:v>
                </c:pt>
                <c:pt idx="5">
                  <c:v>0.10087495752633367</c:v>
                </c:pt>
                <c:pt idx="6">
                  <c:v>4.2473666326877338E-2</c:v>
                </c:pt>
                <c:pt idx="7">
                  <c:v>3.4509853890587833E-2</c:v>
                </c:pt>
              </c:numCache>
            </c:numRef>
          </c:yVal>
          <c:smooth val="1"/>
        </c:ser>
        <c:ser>
          <c:idx val="4"/>
          <c:order val="4"/>
          <c:tx>
            <c:strRef>
              <c:f>'Resulaten Michiel'!$A$66</c:f>
              <c:strCache>
                <c:ptCount val="1"/>
                <c:pt idx="0">
                  <c:v>test 5</c:v>
                </c:pt>
              </c:strCache>
            </c:strRef>
          </c:tx>
          <c:spPr>
            <a:ln w="12700">
              <a:solidFill>
                <a:srgbClr val="800080"/>
              </a:solidFill>
              <a:prstDash val="solid"/>
            </a:ln>
          </c:spPr>
          <c:marker>
            <c:symbol val="star"/>
            <c:size val="5"/>
            <c:spPr>
              <a:noFill/>
              <a:ln>
                <a:solidFill>
                  <a:srgbClr val="800080"/>
                </a:solidFill>
                <a:prstDash val="solid"/>
              </a:ln>
            </c:spPr>
          </c:marker>
          <c:yVal>
            <c:numRef>
              <c:f>'Resulaten Michiel'!$K$68:$K$75</c:f>
              <c:numCache>
                <c:formatCode>General</c:formatCode>
                <c:ptCount val="8"/>
                <c:pt idx="0">
                  <c:v>0.45393730886850153</c:v>
                </c:pt>
                <c:pt idx="1">
                  <c:v>0.28669724770642202</c:v>
                </c:pt>
                <c:pt idx="2">
                  <c:v>0.14334862385321101</c:v>
                </c:pt>
                <c:pt idx="3">
                  <c:v>0.22829595650696569</c:v>
                </c:pt>
                <c:pt idx="4">
                  <c:v>5.0437478763166836E-2</c:v>
                </c:pt>
                <c:pt idx="5">
                  <c:v>5.8401291199456334E-2</c:v>
                </c:pt>
                <c:pt idx="6">
                  <c:v>5.3092082908596669E-2</c:v>
                </c:pt>
                <c:pt idx="7">
                  <c:v>-1.0618416581719334E-2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5609088"/>
        <c:axId val="125611392"/>
      </c:scatterChart>
      <c:valAx>
        <c:axId val="1256090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nl-NL"/>
                  <a:t>number of rows</a:t>
                </a:r>
              </a:p>
            </c:rich>
          </c:tx>
          <c:layout>
            <c:manualLayout>
              <c:xMode val="edge"/>
              <c:yMode val="edge"/>
              <c:x val="0.47018062355115475"/>
              <c:y val="0.912060301507537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5611392"/>
        <c:crosses val="autoZero"/>
        <c:crossBetween val="midCat"/>
      </c:valAx>
      <c:valAx>
        <c:axId val="12561139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nl-NL"/>
                  <a:t>relative increment
 (force/weight) [-]</a:t>
                </a:r>
              </a:p>
            </c:rich>
          </c:tx>
          <c:layout>
            <c:manualLayout>
              <c:xMode val="edge"/>
              <c:yMode val="edge"/>
              <c:x val="6.9348174565067077E-3"/>
              <c:y val="0.3919597989949748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5609088"/>
        <c:crosses val="autoZero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6144295672443651"/>
          <c:y val="0.14572864321608039"/>
          <c:w val="9.0152626934587199E-2"/>
          <c:h val="0.24120603015075376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paperSize="9" orientation="landscape" verticalDpi="0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nl-NL"/>
              <a:t>Total force per row on bottom unit</a:t>
            </a:r>
          </a:p>
        </c:rich>
      </c:tx>
      <c:layout>
        <c:manualLayout>
          <c:xMode val="edge"/>
          <c:yMode val="edge"/>
          <c:x val="0.3647713982122528"/>
          <c:y val="3.266331658291457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234404279540866"/>
          <c:y val="0.15829145728643215"/>
          <c:w val="0.85436951064162636"/>
          <c:h val="0.68592964824120606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'Resulaten Michiel'!$A$6</c:f>
              <c:strCache>
                <c:ptCount val="1"/>
                <c:pt idx="0">
                  <c:v>test 1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yVal>
            <c:numRef>
              <c:f>'Resulaten Michiel'!$I$8:$I$16</c:f>
              <c:numCache>
                <c:formatCode>General</c:formatCode>
                <c:ptCount val="9"/>
                <c:pt idx="0">
                  <c:v>12.875</c:v>
                </c:pt>
                <c:pt idx="1">
                  <c:v>19.5</c:v>
                </c:pt>
                <c:pt idx="2">
                  <c:v>21.5</c:v>
                </c:pt>
                <c:pt idx="3">
                  <c:v>27.625</c:v>
                </c:pt>
                <c:pt idx="4">
                  <c:v>30.125</c:v>
                </c:pt>
                <c:pt idx="5">
                  <c:v>30.375</c:v>
                </c:pt>
                <c:pt idx="6">
                  <c:v>30.75</c:v>
                </c:pt>
                <c:pt idx="7">
                  <c:v>32</c:v>
                </c:pt>
                <c:pt idx="8">
                  <c:v>31.25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'Resulaten Michiel'!$A$21</c:f>
              <c:strCache>
                <c:ptCount val="1"/>
                <c:pt idx="0">
                  <c:v>test 2</c:v>
                </c:pt>
              </c:strCache>
            </c:strRef>
          </c:tx>
          <c:spPr>
            <a:ln w="12700">
              <a:solidFill>
                <a:srgbClr val="FF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yVal>
            <c:numRef>
              <c:f>'Resulaten Michiel'!$I$23:$I$31</c:f>
              <c:numCache>
                <c:formatCode>General</c:formatCode>
                <c:ptCount val="9"/>
                <c:pt idx="0">
                  <c:v>15.625</c:v>
                </c:pt>
                <c:pt idx="1">
                  <c:v>19.75</c:v>
                </c:pt>
                <c:pt idx="2">
                  <c:v>24.375</c:v>
                </c:pt>
                <c:pt idx="3">
                  <c:v>26.375</c:v>
                </c:pt>
                <c:pt idx="4">
                  <c:v>26.375</c:v>
                </c:pt>
                <c:pt idx="5">
                  <c:v>27.125</c:v>
                </c:pt>
                <c:pt idx="6">
                  <c:v>27.5</c:v>
                </c:pt>
                <c:pt idx="7">
                  <c:v>28.5</c:v>
                </c:pt>
                <c:pt idx="8">
                  <c:v>28.625</c:v>
                </c:pt>
              </c:numCache>
            </c:numRef>
          </c:yVal>
          <c:smooth val="1"/>
        </c:ser>
        <c:ser>
          <c:idx val="2"/>
          <c:order val="2"/>
          <c:tx>
            <c:strRef>
              <c:f>'Resulaten Michiel'!$A$36</c:f>
              <c:strCache>
                <c:ptCount val="1"/>
                <c:pt idx="0">
                  <c:v>test 3</c:v>
                </c:pt>
              </c:strCache>
            </c:strRef>
          </c:tx>
          <c:spPr>
            <a:ln w="12700">
              <a:solidFill>
                <a:srgbClr val="FFFF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00"/>
              </a:solidFill>
              <a:ln>
                <a:solidFill>
                  <a:srgbClr val="FFFF00"/>
                </a:solidFill>
                <a:prstDash val="solid"/>
              </a:ln>
            </c:spPr>
          </c:marker>
          <c:yVal>
            <c:numRef>
              <c:f>'Resulaten Michiel'!$I$38:$I$46</c:f>
              <c:numCache>
                <c:formatCode>General</c:formatCode>
                <c:ptCount val="9"/>
                <c:pt idx="0">
                  <c:v>15.5</c:v>
                </c:pt>
                <c:pt idx="1">
                  <c:v>26.125</c:v>
                </c:pt>
                <c:pt idx="2">
                  <c:v>30.375</c:v>
                </c:pt>
                <c:pt idx="3">
                  <c:v>32.125</c:v>
                </c:pt>
                <c:pt idx="4">
                  <c:v>32.375</c:v>
                </c:pt>
                <c:pt idx="5">
                  <c:v>31.5</c:v>
                </c:pt>
                <c:pt idx="6">
                  <c:v>32.5</c:v>
                </c:pt>
                <c:pt idx="7">
                  <c:v>33.25</c:v>
                </c:pt>
                <c:pt idx="8">
                  <c:v>33</c:v>
                </c:pt>
              </c:numCache>
            </c:numRef>
          </c:yVal>
          <c:smooth val="1"/>
        </c:ser>
        <c:ser>
          <c:idx val="3"/>
          <c:order val="3"/>
          <c:tx>
            <c:strRef>
              <c:f>'Resulaten Michiel'!$A$51</c:f>
              <c:strCache>
                <c:ptCount val="1"/>
                <c:pt idx="0">
                  <c:v>test 4</c:v>
                </c:pt>
              </c:strCache>
            </c:strRef>
          </c:tx>
          <c:spPr>
            <a:ln w="12700">
              <a:solidFill>
                <a:srgbClr val="00FFFF"/>
              </a:solidFill>
              <a:prstDash val="solid"/>
            </a:ln>
          </c:spPr>
          <c:marker>
            <c:symbol val="x"/>
            <c:size val="5"/>
            <c:spPr>
              <a:noFill/>
              <a:ln>
                <a:solidFill>
                  <a:srgbClr val="00FFFF"/>
                </a:solidFill>
                <a:prstDash val="solid"/>
              </a:ln>
            </c:spPr>
          </c:marker>
          <c:yVal>
            <c:numRef>
              <c:f>'Resulaten Michiel'!$I$53:$I$60</c:f>
              <c:numCache>
                <c:formatCode>General</c:formatCode>
                <c:ptCount val="8"/>
                <c:pt idx="0">
                  <c:v>19.5</c:v>
                </c:pt>
                <c:pt idx="1">
                  <c:v>31</c:v>
                </c:pt>
                <c:pt idx="2">
                  <c:v>37.5</c:v>
                </c:pt>
                <c:pt idx="3">
                  <c:v>45.375</c:v>
                </c:pt>
                <c:pt idx="4">
                  <c:v>53.125</c:v>
                </c:pt>
                <c:pt idx="5">
                  <c:v>57.875</c:v>
                </c:pt>
                <c:pt idx="6">
                  <c:v>59.875</c:v>
                </c:pt>
                <c:pt idx="7">
                  <c:v>61.5</c:v>
                </c:pt>
              </c:numCache>
            </c:numRef>
          </c:yVal>
          <c:smooth val="1"/>
        </c:ser>
        <c:ser>
          <c:idx val="4"/>
          <c:order val="4"/>
          <c:tx>
            <c:strRef>
              <c:f>'Resulaten Michiel'!$A$66</c:f>
              <c:strCache>
                <c:ptCount val="1"/>
                <c:pt idx="0">
                  <c:v>test 5</c:v>
                </c:pt>
              </c:strCache>
            </c:strRef>
          </c:tx>
          <c:spPr>
            <a:ln w="12700">
              <a:solidFill>
                <a:srgbClr val="800080"/>
              </a:solidFill>
              <a:prstDash val="solid"/>
            </a:ln>
          </c:spPr>
          <c:marker>
            <c:symbol val="star"/>
            <c:size val="5"/>
            <c:spPr>
              <a:noFill/>
              <a:ln>
                <a:solidFill>
                  <a:srgbClr val="800080"/>
                </a:solidFill>
                <a:prstDash val="solid"/>
              </a:ln>
            </c:spPr>
          </c:marker>
          <c:yVal>
            <c:numRef>
              <c:f>'Resulaten Michiel'!$I$68:$I$75</c:f>
              <c:numCache>
                <c:formatCode>General</c:formatCode>
                <c:ptCount val="8"/>
                <c:pt idx="0">
                  <c:v>21.375</c:v>
                </c:pt>
                <c:pt idx="1">
                  <c:v>34.875</c:v>
                </c:pt>
                <c:pt idx="2">
                  <c:v>41.625</c:v>
                </c:pt>
                <c:pt idx="3">
                  <c:v>52.375</c:v>
                </c:pt>
                <c:pt idx="4">
                  <c:v>54.75</c:v>
                </c:pt>
                <c:pt idx="5">
                  <c:v>57.5</c:v>
                </c:pt>
                <c:pt idx="6">
                  <c:v>60</c:v>
                </c:pt>
                <c:pt idx="7">
                  <c:v>59.5</c:v>
                </c:pt>
              </c:numCache>
            </c:numRef>
          </c:yVal>
          <c:smooth val="1"/>
        </c:ser>
        <c:ser>
          <c:idx val="5"/>
          <c:order val="5"/>
          <c:tx>
            <c:v>verdicht1</c:v>
          </c:tx>
          <c:spPr>
            <a:ln w="12700">
              <a:solidFill>
                <a:srgbClr val="8000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800000"/>
              </a:solidFill>
              <a:ln>
                <a:solidFill>
                  <a:srgbClr val="800000"/>
                </a:solidFill>
                <a:prstDash val="solid"/>
              </a:ln>
            </c:spPr>
          </c:marker>
          <c:xVal>
            <c:numRef>
              <c:f>'Resulaten Michiel'!$H$17:$H$18</c:f>
              <c:numCache>
                <c:formatCode>General</c:formatCode>
                <c:ptCount val="2"/>
                <c:pt idx="0">
                  <c:v>0</c:v>
                </c:pt>
                <c:pt idx="1">
                  <c:v>9</c:v>
                </c:pt>
              </c:numCache>
            </c:numRef>
          </c:xVal>
          <c:yVal>
            <c:numRef>
              <c:f>'Resulaten Michiel'!$I$17:$I$18</c:f>
              <c:numCache>
                <c:formatCode>General</c:formatCode>
                <c:ptCount val="2"/>
                <c:pt idx="0">
                  <c:v>0</c:v>
                </c:pt>
                <c:pt idx="1">
                  <c:v>33.25</c:v>
                </c:pt>
              </c:numCache>
            </c:numRef>
          </c:yVal>
          <c:smooth val="1"/>
        </c:ser>
        <c:ser>
          <c:idx val="6"/>
          <c:order val="6"/>
          <c:tx>
            <c:v>verdicht 3</c:v>
          </c:tx>
          <c:spPr>
            <a:ln w="12700">
              <a:solidFill>
                <a:srgbClr val="008080"/>
              </a:solidFill>
              <a:prstDash val="solid"/>
            </a:ln>
          </c:spPr>
          <c:marker>
            <c:symbol val="plus"/>
            <c:size val="5"/>
            <c:spPr>
              <a:noFill/>
              <a:ln>
                <a:solidFill>
                  <a:srgbClr val="008080"/>
                </a:solidFill>
                <a:prstDash val="solid"/>
              </a:ln>
            </c:spPr>
          </c:marker>
          <c:xVal>
            <c:numRef>
              <c:f>'Resulaten Michiel'!$H$49:$H$50</c:f>
              <c:numCache>
                <c:formatCode>General</c:formatCode>
                <c:ptCount val="2"/>
                <c:pt idx="0">
                  <c:v>9</c:v>
                </c:pt>
                <c:pt idx="1">
                  <c:v>0</c:v>
                </c:pt>
              </c:numCache>
            </c:numRef>
          </c:xVal>
          <c:yVal>
            <c:numRef>
              <c:f>'Resulaten Michiel'!$I$49:$I$50</c:f>
              <c:numCache>
                <c:formatCode>General</c:formatCode>
                <c:ptCount val="2"/>
                <c:pt idx="0">
                  <c:v>60</c:v>
                </c:pt>
                <c:pt idx="1">
                  <c:v>0</c:v>
                </c:pt>
              </c:numCache>
            </c:numRef>
          </c:yVal>
          <c:smooth val="1"/>
        </c:ser>
        <c:ser>
          <c:idx val="7"/>
          <c:order val="7"/>
          <c:tx>
            <c:v>verdicht 4</c:v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ot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xVal>
            <c:numRef>
              <c:f>'Resulaten Michiel'!$H$62:$H$63</c:f>
              <c:numCache>
                <c:formatCode>General</c:formatCode>
                <c:ptCount val="2"/>
                <c:pt idx="0">
                  <c:v>0</c:v>
                </c:pt>
                <c:pt idx="1">
                  <c:v>8</c:v>
                </c:pt>
              </c:numCache>
            </c:numRef>
          </c:xVal>
          <c:yVal>
            <c:numRef>
              <c:f>'Resulaten Michiel'!$I$62:$I$63</c:f>
              <c:numCache>
                <c:formatCode>General</c:formatCode>
                <c:ptCount val="2"/>
                <c:pt idx="0">
                  <c:v>0</c:v>
                </c:pt>
                <c:pt idx="1">
                  <c:v>76.25</c:v>
                </c:pt>
              </c:numCache>
            </c:numRef>
          </c:yVal>
          <c:smooth val="1"/>
        </c:ser>
        <c:ser>
          <c:idx val="8"/>
          <c:order val="8"/>
          <c:tx>
            <c:v>verdicht 5</c:v>
          </c:tx>
          <c:spPr>
            <a:ln w="12700">
              <a:solidFill>
                <a:srgbClr val="00CCFF"/>
              </a:solidFill>
              <a:prstDash val="solid"/>
            </a:ln>
          </c:spPr>
          <c:marker>
            <c:symbol val="dash"/>
            <c:size val="5"/>
            <c:spPr>
              <a:noFill/>
              <a:ln>
                <a:solidFill>
                  <a:srgbClr val="00CCFF"/>
                </a:solidFill>
                <a:prstDash val="solid"/>
              </a:ln>
            </c:spPr>
          </c:marker>
          <c:xVal>
            <c:numRef>
              <c:f>'Resulaten Michiel'!$H$77:$H$78</c:f>
              <c:numCache>
                <c:formatCode>General</c:formatCode>
                <c:ptCount val="2"/>
                <c:pt idx="0">
                  <c:v>0</c:v>
                </c:pt>
                <c:pt idx="1">
                  <c:v>8</c:v>
                </c:pt>
              </c:numCache>
            </c:numRef>
          </c:xVal>
          <c:yVal>
            <c:numRef>
              <c:f>'Resulaten Michiel'!$I$77:$I$78</c:f>
              <c:numCache>
                <c:formatCode>General</c:formatCode>
                <c:ptCount val="2"/>
                <c:pt idx="0">
                  <c:v>0</c:v>
                </c:pt>
                <c:pt idx="1">
                  <c:v>73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5671296"/>
        <c:axId val="125682048"/>
      </c:scatterChart>
      <c:valAx>
        <c:axId val="1256712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nl-NL"/>
                  <a:t>number of rows</a:t>
                </a:r>
              </a:p>
            </c:rich>
          </c:tx>
          <c:layout>
            <c:manualLayout>
              <c:xMode val="edge"/>
              <c:yMode val="edge"/>
              <c:x val="0.47434151402505881"/>
              <c:y val="0.912060301507537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5682048"/>
        <c:crosses val="autoZero"/>
        <c:crossBetween val="midCat"/>
      </c:valAx>
      <c:valAx>
        <c:axId val="12568204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nl-NL"/>
                  <a:t> force [-]</a:t>
                </a:r>
              </a:p>
            </c:rich>
          </c:tx>
          <c:layout>
            <c:manualLayout>
              <c:xMode val="edge"/>
              <c:yMode val="edge"/>
              <c:x val="2.0804452369520124E-2"/>
              <c:y val="0.4371859296482412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25671296"/>
        <c:crosses val="autoZero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1830845986779155"/>
          <c:y val="4.2713567839195977E-2"/>
          <c:w val="0.11927886025191536"/>
          <c:h val="0.43216080402010049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nl-NL"/>
              <a:t>Total force per row on bottom unit</a:t>
            </a:r>
          </a:p>
        </c:rich>
      </c:tx>
      <c:layout>
        <c:manualLayout>
          <c:xMode val="edge"/>
          <c:yMode val="edge"/>
          <c:x val="0.3647713982122528"/>
          <c:y val="3.266331658291457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4604772969381833E-2"/>
          <c:y val="0.15829145728643215"/>
          <c:w val="0.88210878046765318"/>
          <c:h val="0.68592964824120606"/>
        </c:manualLayout>
      </c:layout>
      <c:scatterChart>
        <c:scatterStyle val="smoothMarker"/>
        <c:varyColors val="0"/>
        <c:ser>
          <c:idx val="5"/>
          <c:order val="0"/>
          <c:tx>
            <c:v>verdicht1</c:v>
          </c:tx>
          <c:spPr>
            <a:ln w="12700">
              <a:solidFill>
                <a:srgbClr val="8000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800000"/>
              </a:solidFill>
              <a:ln>
                <a:solidFill>
                  <a:srgbClr val="800000"/>
                </a:solidFill>
                <a:prstDash val="solid"/>
              </a:ln>
            </c:spPr>
          </c:marker>
          <c:xVal>
            <c:numRef>
              <c:f>'Resulaten Michiel'!$H$17:$H$18</c:f>
              <c:numCache>
                <c:formatCode>General</c:formatCode>
                <c:ptCount val="2"/>
                <c:pt idx="0">
                  <c:v>0</c:v>
                </c:pt>
                <c:pt idx="1">
                  <c:v>9</c:v>
                </c:pt>
              </c:numCache>
            </c:numRef>
          </c:xVal>
          <c:yVal>
            <c:numRef>
              <c:f>'Resulaten Michiel'!$M$17:$M$18</c:f>
              <c:numCache>
                <c:formatCode>General</c:formatCode>
                <c:ptCount val="2"/>
                <c:pt idx="0">
                  <c:v>0</c:v>
                </c:pt>
                <c:pt idx="1">
                  <c:v>0.70612470268433569</c:v>
                </c:pt>
              </c:numCache>
            </c:numRef>
          </c:yVal>
          <c:smooth val="1"/>
        </c:ser>
        <c:ser>
          <c:idx val="6"/>
          <c:order val="1"/>
          <c:tx>
            <c:v>verdicht 3</c:v>
          </c:tx>
          <c:spPr>
            <a:ln w="12700">
              <a:solidFill>
                <a:srgbClr val="008080"/>
              </a:solidFill>
              <a:prstDash val="solid"/>
            </a:ln>
          </c:spPr>
          <c:marker>
            <c:symbol val="plus"/>
            <c:size val="5"/>
            <c:spPr>
              <a:noFill/>
              <a:ln>
                <a:solidFill>
                  <a:srgbClr val="008080"/>
                </a:solidFill>
                <a:prstDash val="solid"/>
              </a:ln>
            </c:spPr>
          </c:marker>
          <c:xVal>
            <c:numRef>
              <c:f>'Resulaten Michiel'!$H$49:$H$50</c:f>
              <c:numCache>
                <c:formatCode>General</c:formatCode>
                <c:ptCount val="2"/>
                <c:pt idx="0">
                  <c:v>9</c:v>
                </c:pt>
                <c:pt idx="1">
                  <c:v>0</c:v>
                </c:pt>
              </c:numCache>
            </c:numRef>
          </c:xVal>
          <c:yVal>
            <c:numRef>
              <c:f>'Resulaten Michiel'!$M$49:$M$50</c:f>
              <c:numCache>
                <c:formatCode>General</c:formatCode>
                <c:ptCount val="2"/>
                <c:pt idx="0">
                  <c:v>1.2742099898063202</c:v>
                </c:pt>
                <c:pt idx="1">
                  <c:v>0</c:v>
                </c:pt>
              </c:numCache>
            </c:numRef>
          </c:yVal>
          <c:smooth val="1"/>
        </c:ser>
        <c:ser>
          <c:idx val="7"/>
          <c:order val="2"/>
          <c:tx>
            <c:v>verdicht 4</c:v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ot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xVal>
            <c:numRef>
              <c:f>'Resulaten Michiel'!$H$62:$H$63</c:f>
              <c:numCache>
                <c:formatCode>General</c:formatCode>
                <c:ptCount val="2"/>
                <c:pt idx="0">
                  <c:v>0</c:v>
                </c:pt>
                <c:pt idx="1">
                  <c:v>8</c:v>
                </c:pt>
              </c:numCache>
            </c:numRef>
          </c:xVal>
          <c:yVal>
            <c:numRef>
              <c:f>'Resulaten Michiel'!$M$62:$M$63</c:f>
              <c:numCache>
                <c:formatCode>General</c:formatCode>
                <c:ptCount val="2"/>
                <c:pt idx="0">
                  <c:v>0</c:v>
                </c:pt>
                <c:pt idx="1">
                  <c:v>1.6193085287121984</c:v>
                </c:pt>
              </c:numCache>
            </c:numRef>
          </c:yVal>
          <c:smooth val="1"/>
        </c:ser>
        <c:ser>
          <c:idx val="8"/>
          <c:order val="3"/>
          <c:tx>
            <c:v>verdicht 5</c:v>
          </c:tx>
          <c:spPr>
            <a:ln w="12700">
              <a:solidFill>
                <a:srgbClr val="00CCFF"/>
              </a:solidFill>
              <a:prstDash val="solid"/>
            </a:ln>
          </c:spPr>
          <c:marker>
            <c:symbol val="dash"/>
            <c:size val="5"/>
            <c:spPr>
              <a:noFill/>
              <a:ln>
                <a:solidFill>
                  <a:srgbClr val="00CCFF"/>
                </a:solidFill>
                <a:prstDash val="solid"/>
              </a:ln>
            </c:spPr>
          </c:marker>
          <c:xVal>
            <c:numRef>
              <c:f>'Resulaten Michiel'!$H$77:$H$78</c:f>
              <c:numCache>
                <c:formatCode>General</c:formatCode>
                <c:ptCount val="2"/>
                <c:pt idx="0">
                  <c:v>0</c:v>
                </c:pt>
                <c:pt idx="1">
                  <c:v>8</c:v>
                </c:pt>
              </c:numCache>
            </c:numRef>
          </c:xVal>
          <c:yVal>
            <c:numRef>
              <c:f>'Resulaten Michiel'!$M$77:$M$78</c:f>
              <c:numCache>
                <c:formatCode>General</c:formatCode>
                <c:ptCount val="2"/>
                <c:pt idx="0">
                  <c:v>0</c:v>
                </c:pt>
                <c:pt idx="1">
                  <c:v>1.5502888209310228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5613056"/>
        <c:axId val="135623808"/>
      </c:scatterChart>
      <c:valAx>
        <c:axId val="1356130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nl-NL"/>
                  <a:t>number of rows</a:t>
                </a:r>
              </a:p>
            </c:rich>
          </c:tx>
          <c:layout>
            <c:manualLayout>
              <c:xMode val="edge"/>
              <c:yMode val="edge"/>
              <c:x val="0.4604718791120454"/>
              <c:y val="0.912060301507537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35623808"/>
        <c:crosses val="autoZero"/>
        <c:crossBetween val="midCat"/>
      </c:valAx>
      <c:valAx>
        <c:axId val="13562380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nl-NL"/>
                  <a:t> force [-]</a:t>
                </a:r>
              </a:p>
            </c:rich>
          </c:tx>
          <c:layout>
            <c:manualLayout>
              <c:xMode val="edge"/>
              <c:yMode val="edge"/>
              <c:x val="2.0804452369520124E-2"/>
              <c:y val="0.4371859296482412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35613056"/>
        <c:crosses val="autoZero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1553453288518885"/>
          <c:y val="0.16080402010050251"/>
          <c:w val="0.11927886025191536"/>
          <c:h val="0.19346733668341709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nl-NL"/>
              <a:t>Total force with varying density</a:t>
            </a:r>
          </a:p>
        </c:rich>
      </c:tx>
      <c:layout>
        <c:manualLayout>
          <c:xMode val="edge"/>
          <c:yMode val="edge"/>
          <c:x val="0.3675219810396318"/>
          <c:y val="3.37078651685393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4017117416395261"/>
          <c:y val="0.1151685393258427"/>
          <c:w val="0.80512954916123991"/>
          <c:h val="0.7471910112359551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xVal>
            <c:numRef>
              <c:f>'Resulaten Michiel'!$W$17:$W$25</c:f>
              <c:numCache>
                <c:formatCode>0%</c:formatCode>
                <c:ptCount val="9"/>
                <c:pt idx="0">
                  <c:v>0.96855652173913043</c:v>
                </c:pt>
                <c:pt idx="1">
                  <c:v>0.94393220338983053</c:v>
                </c:pt>
                <c:pt idx="2">
                  <c:v>0.97278602620087329</c:v>
                </c:pt>
                <c:pt idx="3">
                  <c:v>0.99007999999999996</c:v>
                </c:pt>
                <c:pt idx="4">
                  <c:v>1.008</c:v>
                </c:pt>
                <c:pt idx="5">
                  <c:v>1.0229333333333335</c:v>
                </c:pt>
                <c:pt idx="6">
                  <c:v>1.0389166666666667</c:v>
                </c:pt>
                <c:pt idx="7">
                  <c:v>1.0074343434343436</c:v>
                </c:pt>
                <c:pt idx="8">
                  <c:v>1.0443560209424085</c:v>
                </c:pt>
              </c:numCache>
            </c:numRef>
          </c:xVal>
          <c:yVal>
            <c:numRef>
              <c:f>'Resulaten Michiel'!$V$17:$V$25</c:f>
              <c:numCache>
                <c:formatCode>General</c:formatCode>
                <c:ptCount val="9"/>
                <c:pt idx="0">
                  <c:v>0.70612470268433569</c:v>
                </c:pt>
                <c:pt idx="1">
                  <c:v>0.60790434930343185</c:v>
                </c:pt>
                <c:pt idx="2">
                  <c:v>0.70081549439347601</c:v>
                </c:pt>
                <c:pt idx="3">
                  <c:v>0.98220353380903835</c:v>
                </c:pt>
                <c:pt idx="4">
                  <c:v>1.2742099898063202</c:v>
                </c:pt>
                <c:pt idx="5">
                  <c:v>1.306065239551478</c:v>
                </c:pt>
                <c:pt idx="6">
                  <c:v>1.6193085287121984</c:v>
                </c:pt>
                <c:pt idx="7">
                  <c:v>1.2635915732246008</c:v>
                </c:pt>
                <c:pt idx="8">
                  <c:v>1.5502888209310228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5649536"/>
        <c:axId val="135795072"/>
      </c:scatterChart>
      <c:valAx>
        <c:axId val="1356495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9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nl-NL"/>
                  <a:t>Packing density [-]</a:t>
                </a:r>
              </a:p>
            </c:rich>
          </c:tx>
          <c:layout>
            <c:manualLayout>
              <c:xMode val="edge"/>
              <c:yMode val="edge"/>
              <c:x val="0.44615459093648324"/>
              <c:y val="0.9241573033707865"/>
            </c:manualLayout>
          </c:layout>
          <c:overlay val="0"/>
          <c:spPr>
            <a:noFill/>
            <a:ln w="25400">
              <a:noFill/>
            </a:ln>
          </c:spPr>
        </c:title>
        <c:numFmt formatCode="0%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35795072"/>
        <c:crosses val="autoZero"/>
        <c:crossBetween val="midCat"/>
      </c:valAx>
      <c:valAx>
        <c:axId val="13579507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nl-NL"/>
                  <a:t>Total force on bottom unit/ unit weight [N/N]</a:t>
                </a:r>
              </a:p>
            </c:rich>
          </c:tx>
          <c:layout>
            <c:manualLayout>
              <c:xMode val="edge"/>
              <c:yMode val="edge"/>
              <c:x val="8.5470228148751583E-3"/>
              <c:y val="0.179775280898876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35649536"/>
        <c:crosses val="autoZero"/>
        <c:crossBetween val="midCat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paperSize="9" orientation="landscape" verticalDpi="0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nl-NL"/>
              <a:t>Total force per row on bottom unit</a:t>
            </a:r>
          </a:p>
        </c:rich>
      </c:tx>
      <c:layout>
        <c:manualLayout>
          <c:xMode val="edge"/>
          <c:yMode val="edge"/>
          <c:x val="0.3647713982122528"/>
          <c:y val="3.266331658291457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234404279540866"/>
          <c:y val="0.12814070351758794"/>
          <c:w val="0.85436951064162636"/>
          <c:h val="0.7160804020100503"/>
        </c:manualLayout>
      </c:layout>
      <c:scatterChart>
        <c:scatterStyle val="smoothMarker"/>
        <c:varyColors val="0"/>
        <c:ser>
          <c:idx val="0"/>
          <c:order val="0"/>
          <c:tx>
            <c:strRef>
              <c:f>'Resulaten Michiel'!$A$6</c:f>
              <c:strCache>
                <c:ptCount val="1"/>
                <c:pt idx="0">
                  <c:v>test 1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yVal>
            <c:numRef>
              <c:f>'Resulaten Michiel'!$I$8:$I$16</c:f>
              <c:numCache>
                <c:formatCode>General</c:formatCode>
                <c:ptCount val="9"/>
                <c:pt idx="0">
                  <c:v>12.875</c:v>
                </c:pt>
                <c:pt idx="1">
                  <c:v>19.5</c:v>
                </c:pt>
                <c:pt idx="2">
                  <c:v>21.5</c:v>
                </c:pt>
                <c:pt idx="3">
                  <c:v>27.625</c:v>
                </c:pt>
                <c:pt idx="4">
                  <c:v>30.125</c:v>
                </c:pt>
                <c:pt idx="5">
                  <c:v>30.375</c:v>
                </c:pt>
                <c:pt idx="6">
                  <c:v>30.75</c:v>
                </c:pt>
                <c:pt idx="7">
                  <c:v>32</c:v>
                </c:pt>
                <c:pt idx="8">
                  <c:v>31.25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'Resulaten Michiel'!$A$21</c:f>
              <c:strCache>
                <c:ptCount val="1"/>
                <c:pt idx="0">
                  <c:v>test 2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square"/>
            <c:size val="7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yVal>
            <c:numRef>
              <c:f>'Resulaten Michiel'!$I$23:$I$31</c:f>
              <c:numCache>
                <c:formatCode>General</c:formatCode>
                <c:ptCount val="9"/>
                <c:pt idx="0">
                  <c:v>15.625</c:v>
                </c:pt>
                <c:pt idx="1">
                  <c:v>19.75</c:v>
                </c:pt>
                <c:pt idx="2">
                  <c:v>24.375</c:v>
                </c:pt>
                <c:pt idx="3">
                  <c:v>26.375</c:v>
                </c:pt>
                <c:pt idx="4">
                  <c:v>26.375</c:v>
                </c:pt>
                <c:pt idx="5">
                  <c:v>27.125</c:v>
                </c:pt>
                <c:pt idx="6">
                  <c:v>27.5</c:v>
                </c:pt>
                <c:pt idx="7">
                  <c:v>28.5</c:v>
                </c:pt>
                <c:pt idx="8">
                  <c:v>28.625</c:v>
                </c:pt>
              </c:numCache>
            </c:numRef>
          </c:yVal>
          <c:smooth val="1"/>
        </c:ser>
        <c:ser>
          <c:idx val="2"/>
          <c:order val="2"/>
          <c:tx>
            <c:strRef>
              <c:f>'Resulaten Michiel'!$A$36</c:f>
              <c:strCache>
                <c:ptCount val="1"/>
                <c:pt idx="0">
                  <c:v>test 3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triangle"/>
            <c:size val="7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yVal>
            <c:numRef>
              <c:f>'Resulaten Michiel'!$I$38:$I$46</c:f>
              <c:numCache>
                <c:formatCode>General</c:formatCode>
                <c:ptCount val="9"/>
                <c:pt idx="0">
                  <c:v>15.5</c:v>
                </c:pt>
                <c:pt idx="1">
                  <c:v>26.125</c:v>
                </c:pt>
                <c:pt idx="2">
                  <c:v>30.375</c:v>
                </c:pt>
                <c:pt idx="3">
                  <c:v>32.125</c:v>
                </c:pt>
                <c:pt idx="4">
                  <c:v>32.375</c:v>
                </c:pt>
                <c:pt idx="5">
                  <c:v>31.5</c:v>
                </c:pt>
                <c:pt idx="6">
                  <c:v>32.5</c:v>
                </c:pt>
                <c:pt idx="7">
                  <c:v>33.25</c:v>
                </c:pt>
                <c:pt idx="8">
                  <c:v>33</c:v>
                </c:pt>
              </c:numCache>
            </c:numRef>
          </c:yVal>
          <c:smooth val="1"/>
        </c:ser>
        <c:ser>
          <c:idx val="3"/>
          <c:order val="3"/>
          <c:tx>
            <c:strRef>
              <c:f>'Resulaten Michiel'!$A$51</c:f>
              <c:strCache>
                <c:ptCount val="1"/>
                <c:pt idx="0">
                  <c:v>test 4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x"/>
            <c:size val="7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yVal>
            <c:numRef>
              <c:f>'Resulaten Michiel'!$I$53:$I$60</c:f>
              <c:numCache>
                <c:formatCode>General</c:formatCode>
                <c:ptCount val="8"/>
                <c:pt idx="0">
                  <c:v>19.5</c:v>
                </c:pt>
                <c:pt idx="1">
                  <c:v>31</c:v>
                </c:pt>
                <c:pt idx="2">
                  <c:v>37.5</c:v>
                </c:pt>
                <c:pt idx="3">
                  <c:v>45.375</c:v>
                </c:pt>
                <c:pt idx="4">
                  <c:v>53.125</c:v>
                </c:pt>
                <c:pt idx="5">
                  <c:v>57.875</c:v>
                </c:pt>
                <c:pt idx="6">
                  <c:v>59.875</c:v>
                </c:pt>
                <c:pt idx="7">
                  <c:v>61.5</c:v>
                </c:pt>
              </c:numCache>
            </c:numRef>
          </c:yVal>
          <c:smooth val="1"/>
        </c:ser>
        <c:ser>
          <c:idx val="4"/>
          <c:order val="4"/>
          <c:tx>
            <c:strRef>
              <c:f>'Resulaten Michiel'!$A$66</c:f>
              <c:strCache>
                <c:ptCount val="1"/>
                <c:pt idx="0">
                  <c:v>test 5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star"/>
            <c:size val="7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yVal>
            <c:numRef>
              <c:f>'Resulaten Michiel'!$I$68:$I$75</c:f>
              <c:numCache>
                <c:formatCode>General</c:formatCode>
                <c:ptCount val="8"/>
                <c:pt idx="0">
                  <c:v>21.375</c:v>
                </c:pt>
                <c:pt idx="1">
                  <c:v>34.875</c:v>
                </c:pt>
                <c:pt idx="2">
                  <c:v>41.625</c:v>
                </c:pt>
                <c:pt idx="3">
                  <c:v>52.375</c:v>
                </c:pt>
                <c:pt idx="4">
                  <c:v>54.75</c:v>
                </c:pt>
                <c:pt idx="5">
                  <c:v>57.5</c:v>
                </c:pt>
                <c:pt idx="6">
                  <c:v>60</c:v>
                </c:pt>
                <c:pt idx="7">
                  <c:v>59.5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5830528"/>
        <c:axId val="135857664"/>
      </c:scatterChart>
      <c:valAx>
        <c:axId val="1358305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nl-NL"/>
                  <a:t>number of rows</a:t>
                </a:r>
              </a:p>
            </c:rich>
          </c:tx>
          <c:layout>
            <c:manualLayout>
              <c:xMode val="edge"/>
              <c:yMode val="edge"/>
              <c:x val="0.47434151402505881"/>
              <c:y val="0.912060301507537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35857664"/>
        <c:crosses val="autoZero"/>
        <c:crossBetween val="midCat"/>
      </c:valAx>
      <c:valAx>
        <c:axId val="13585766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nl-NL"/>
                  <a:t> force [-]</a:t>
                </a:r>
              </a:p>
            </c:rich>
          </c:tx>
          <c:layout>
            <c:manualLayout>
              <c:xMode val="edge"/>
              <c:yMode val="edge"/>
              <c:x val="2.0804452369520124E-2"/>
              <c:y val="0.4221105527638190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35830528"/>
        <c:crosses val="autoZero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6823914555463977"/>
          <c:y val="0.19597989949748743"/>
          <c:w val="9.0152626934587199E-2"/>
          <c:h val="0.24120603015075376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cat>
            <c:numRef>
              <c:f>'Histogram gewichtsverdeling 1'!$A$2:$A$8</c:f>
              <c:numCache>
                <c:formatCode>General</c:formatCode>
                <c:ptCount val="7"/>
                <c:pt idx="0">
                  <c:v>30</c:v>
                </c:pt>
                <c:pt idx="1">
                  <c:v>50</c:v>
                </c:pt>
                <c:pt idx="2">
                  <c:v>70</c:v>
                </c:pt>
                <c:pt idx="3">
                  <c:v>90</c:v>
                </c:pt>
                <c:pt idx="4">
                  <c:v>110</c:v>
                </c:pt>
                <c:pt idx="5">
                  <c:v>130</c:v>
                </c:pt>
                <c:pt idx="6">
                  <c:v>150</c:v>
                </c:pt>
              </c:numCache>
            </c:numRef>
          </c:cat>
          <c:val>
            <c:numRef>
              <c:f>'Histogram gewichtsverdeling 1'!$B$2:$B$8</c:f>
              <c:numCache>
                <c:formatCode>General</c:formatCode>
                <c:ptCount val="7"/>
                <c:pt idx="0">
                  <c:v>10</c:v>
                </c:pt>
                <c:pt idx="1">
                  <c:v>20</c:v>
                </c:pt>
                <c:pt idx="2">
                  <c:v>13</c:v>
                </c:pt>
                <c:pt idx="3">
                  <c:v>3</c:v>
                </c:pt>
                <c:pt idx="4">
                  <c:v>0</c:v>
                </c:pt>
                <c:pt idx="5">
                  <c:v>2</c:v>
                </c:pt>
                <c:pt idx="6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5911680"/>
        <c:axId val="135925760"/>
      </c:barChart>
      <c:catAx>
        <c:axId val="1359116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35925760"/>
        <c:crosses val="autoZero"/>
        <c:auto val="1"/>
        <c:lblAlgn val="ctr"/>
        <c:lblOffset val="100"/>
        <c:noMultiLvlLbl val="0"/>
      </c:catAx>
      <c:valAx>
        <c:axId val="13592576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3591168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nl-NL" baseline="0"/>
              <a:t>Weight histogram under layer </a:t>
            </a:r>
            <a:endParaRPr lang="nl-NL"/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5.8099518810148729E-2"/>
          <c:y val="2.8252405949256341E-2"/>
          <c:w val="0.7533182414698163"/>
          <c:h val="0.8326195683872849"/>
        </c:manualLayout>
      </c:layout>
      <c:barChart>
        <c:barDir val="col"/>
        <c:grouping val="clustered"/>
        <c:varyColors val="0"/>
        <c:ser>
          <c:idx val="0"/>
          <c:order val="0"/>
          <c:invertIfNegative val="0"/>
          <c:cat>
            <c:numRef>
              <c:f>'Histogram gewichtsverdeling 2'!$A$2:$A$16</c:f>
              <c:numCache>
                <c:formatCode>General</c:formatCode>
                <c:ptCount val="15"/>
                <c:pt idx="0">
                  <c:v>20</c:v>
                </c:pt>
                <c:pt idx="1">
                  <c:v>30</c:v>
                </c:pt>
                <c:pt idx="2">
                  <c:v>40</c:v>
                </c:pt>
                <c:pt idx="3">
                  <c:v>50</c:v>
                </c:pt>
                <c:pt idx="4">
                  <c:v>60</c:v>
                </c:pt>
                <c:pt idx="5">
                  <c:v>70</c:v>
                </c:pt>
                <c:pt idx="6">
                  <c:v>80</c:v>
                </c:pt>
                <c:pt idx="7">
                  <c:v>90</c:v>
                </c:pt>
                <c:pt idx="8">
                  <c:v>100</c:v>
                </c:pt>
                <c:pt idx="9">
                  <c:v>110</c:v>
                </c:pt>
                <c:pt idx="10">
                  <c:v>120</c:v>
                </c:pt>
                <c:pt idx="11">
                  <c:v>130</c:v>
                </c:pt>
                <c:pt idx="12">
                  <c:v>140</c:v>
                </c:pt>
                <c:pt idx="13">
                  <c:v>150</c:v>
                </c:pt>
                <c:pt idx="14">
                  <c:v>160</c:v>
                </c:pt>
              </c:numCache>
            </c:numRef>
          </c:cat>
          <c:val>
            <c:numRef>
              <c:f>'Histogram gewichtsverdeling 2'!$B$2:$B$16</c:f>
              <c:numCache>
                <c:formatCode>General</c:formatCode>
                <c:ptCount val="15"/>
                <c:pt idx="0">
                  <c:v>6</c:v>
                </c:pt>
                <c:pt idx="1">
                  <c:v>4</c:v>
                </c:pt>
                <c:pt idx="2">
                  <c:v>10</c:v>
                </c:pt>
                <c:pt idx="3">
                  <c:v>10</c:v>
                </c:pt>
                <c:pt idx="4">
                  <c:v>8</c:v>
                </c:pt>
                <c:pt idx="5">
                  <c:v>5</c:v>
                </c:pt>
                <c:pt idx="6">
                  <c:v>1</c:v>
                </c:pt>
                <c:pt idx="7">
                  <c:v>2</c:v>
                </c:pt>
                <c:pt idx="8">
                  <c:v>0</c:v>
                </c:pt>
                <c:pt idx="9">
                  <c:v>0</c:v>
                </c:pt>
                <c:pt idx="10">
                  <c:v>2</c:v>
                </c:pt>
                <c:pt idx="11">
                  <c:v>0</c:v>
                </c:pt>
                <c:pt idx="12">
                  <c:v>0</c:v>
                </c:pt>
                <c:pt idx="13">
                  <c:v>1</c:v>
                </c:pt>
                <c:pt idx="14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5958528"/>
        <c:axId val="135960448"/>
      </c:barChart>
      <c:catAx>
        <c:axId val="1359585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Weight of underlayer stone [g]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35960448"/>
        <c:crosses val="autoZero"/>
        <c:auto val="1"/>
        <c:lblAlgn val="ctr"/>
        <c:lblOffset val="100"/>
        <c:noMultiLvlLbl val="0"/>
      </c:catAx>
      <c:valAx>
        <c:axId val="13596044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nl-NL"/>
                  <a:t>Percentage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35958528"/>
        <c:crosses val="autoZero"/>
        <c:crossBetween val="between"/>
      </c:valAx>
    </c:plotArea>
    <c:plotVisOnly val="1"/>
    <c:dispBlanksAs val="gap"/>
    <c:showDLblsOverMax val="0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83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148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Relationship Id="rId6" Type="http://schemas.openxmlformats.org/officeDocument/2006/relationships/chart" Target="../charts/chart7.xml"/><Relationship Id="rId5" Type="http://schemas.openxmlformats.org/officeDocument/2006/relationships/chart" Target="../charts/chart6.xml"/><Relationship Id="rId4" Type="http://schemas.openxmlformats.org/officeDocument/2006/relationships/chart" Target="../charts/chart5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06958" cy="6082229"/>
    <xdr:graphicFrame macro="">
      <xdr:nvGraphicFramePr>
        <xdr:cNvPr id="2" name="Grafiek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190500</xdr:colOff>
      <xdr:row>78</xdr:row>
      <xdr:rowOff>114300</xdr:rowOff>
    </xdr:from>
    <xdr:to>
      <xdr:col>9</xdr:col>
      <xdr:colOff>533400</xdr:colOff>
      <xdr:row>102</xdr:row>
      <xdr:rowOff>19050</xdr:rowOff>
    </xdr:to>
    <xdr:graphicFrame macro="">
      <xdr:nvGraphicFramePr>
        <xdr:cNvPr id="2" name="Grafiek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638175</xdr:colOff>
      <xdr:row>78</xdr:row>
      <xdr:rowOff>142875</xdr:rowOff>
    </xdr:from>
    <xdr:to>
      <xdr:col>19</xdr:col>
      <xdr:colOff>66675</xdr:colOff>
      <xdr:row>102</xdr:row>
      <xdr:rowOff>47625</xdr:rowOff>
    </xdr:to>
    <xdr:graphicFrame macro="">
      <xdr:nvGraphicFramePr>
        <xdr:cNvPr id="3" name="Grafiek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190500</xdr:colOff>
      <xdr:row>103</xdr:row>
      <xdr:rowOff>66675</xdr:rowOff>
    </xdr:from>
    <xdr:to>
      <xdr:col>9</xdr:col>
      <xdr:colOff>533400</xdr:colOff>
      <xdr:row>126</xdr:row>
      <xdr:rowOff>133350</xdr:rowOff>
    </xdr:to>
    <xdr:graphicFrame macro="">
      <xdr:nvGraphicFramePr>
        <xdr:cNvPr id="4" name="Grafiek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9</xdr:col>
      <xdr:colOff>752475</xdr:colOff>
      <xdr:row>103</xdr:row>
      <xdr:rowOff>85725</xdr:rowOff>
    </xdr:from>
    <xdr:to>
      <xdr:col>19</xdr:col>
      <xdr:colOff>180975</xdr:colOff>
      <xdr:row>126</xdr:row>
      <xdr:rowOff>152400</xdr:rowOff>
    </xdr:to>
    <xdr:graphicFrame macro="">
      <xdr:nvGraphicFramePr>
        <xdr:cNvPr id="5" name="Grafiek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16</xdr:col>
      <xdr:colOff>76200</xdr:colOff>
      <xdr:row>19</xdr:row>
      <xdr:rowOff>142875</xdr:rowOff>
    </xdr:from>
    <xdr:to>
      <xdr:col>23</xdr:col>
      <xdr:colOff>542925</xdr:colOff>
      <xdr:row>37</xdr:row>
      <xdr:rowOff>28575</xdr:rowOff>
    </xdr:to>
    <xdr:graphicFrame macro="">
      <xdr:nvGraphicFramePr>
        <xdr:cNvPr id="6" name="Grafiek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180975</xdr:colOff>
      <xdr:row>128</xdr:row>
      <xdr:rowOff>76200</xdr:rowOff>
    </xdr:from>
    <xdr:to>
      <xdr:col>9</xdr:col>
      <xdr:colOff>523875</xdr:colOff>
      <xdr:row>151</xdr:row>
      <xdr:rowOff>142875</xdr:rowOff>
    </xdr:to>
    <xdr:graphicFrame macro="">
      <xdr:nvGraphicFramePr>
        <xdr:cNvPr id="7" name="Grafiek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57150</xdr:colOff>
      <xdr:row>16</xdr:row>
      <xdr:rowOff>138112</xdr:rowOff>
    </xdr:from>
    <xdr:to>
      <xdr:col>18</xdr:col>
      <xdr:colOff>361950</xdr:colOff>
      <xdr:row>31</xdr:row>
      <xdr:rowOff>23812</xdr:rowOff>
    </xdr:to>
    <xdr:graphicFrame macro="">
      <xdr:nvGraphicFramePr>
        <xdr:cNvPr id="3" name="Grafiek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9306182" cy="6081841"/>
    <xdr:graphicFrame macro="">
      <xdr:nvGraphicFramePr>
        <xdr:cNvPr id="2" name="Grafiek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22"/>
  <sheetViews>
    <sheetView topLeftCell="A4" workbookViewId="0">
      <selection activeCell="P33" sqref="P33"/>
    </sheetView>
  </sheetViews>
  <sheetFormatPr defaultRowHeight="15" x14ac:dyDescent="0.25"/>
  <cols>
    <col min="21" max="21" width="9.140625" style="4"/>
    <col min="22" max="22" width="14.5703125" bestFit="1" customWidth="1"/>
    <col min="23" max="23" width="9.140625" style="4"/>
    <col min="25" max="25" width="5.5703125" bestFit="1" customWidth="1"/>
  </cols>
  <sheetData>
    <row r="1" spans="1:25" x14ac:dyDescent="0.25">
      <c r="A1" s="2">
        <v>0.33421901371969048</v>
      </c>
      <c r="B1" s="2">
        <v>0.48740272834121534</v>
      </c>
      <c r="C1" s="2">
        <v>0.64058644296274014</v>
      </c>
      <c r="D1" s="2">
        <v>0.71021540415434226</v>
      </c>
      <c r="E1" s="2">
        <v>0.73806698863098319</v>
      </c>
      <c r="F1" s="2">
        <v>0.75199278086930366</v>
      </c>
      <c r="G1" s="2">
        <v>0.82162174206090577</v>
      </c>
      <c r="H1" s="2">
        <v>0.83554753429922624</v>
      </c>
      <c r="I1" s="2">
        <v>0.8494733265375467</v>
      </c>
      <c r="J1" s="2">
        <v>0.8494733265375467</v>
      </c>
      <c r="K1" s="2">
        <v>0.86339911877586706</v>
      </c>
      <c r="L1" s="2">
        <v>0.87732491101418764</v>
      </c>
      <c r="M1" s="2">
        <v>0.87732491101418764</v>
      </c>
      <c r="N1" s="2">
        <v>0.87732491101418764</v>
      </c>
      <c r="O1" s="2">
        <v>0.89125070325250788</v>
      </c>
      <c r="P1" s="2">
        <v>0.89125070325250788</v>
      </c>
      <c r="Q1" s="2">
        <v>0.90517649549082846</v>
      </c>
      <c r="R1" s="2">
        <v>0.91910228772914881</v>
      </c>
      <c r="S1" s="2">
        <v>0.91910228772914881</v>
      </c>
      <c r="T1" s="2">
        <v>0.91910228772914881</v>
      </c>
      <c r="U1" s="4">
        <v>0.92857834977391807</v>
      </c>
      <c r="V1" s="25">
        <v>40785.583333333336</v>
      </c>
      <c r="W1" s="2">
        <v>0.92857834977391807</v>
      </c>
      <c r="Y1" s="33">
        <f>T1^2</f>
        <v>0.84474901530895508</v>
      </c>
    </row>
    <row r="2" spans="1:25" x14ac:dyDescent="0.25">
      <c r="A2" s="2">
        <v>0.38992218267297224</v>
      </c>
      <c r="B2" s="2">
        <v>0.52918010505617663</v>
      </c>
      <c r="C2" s="2">
        <v>0.64058644296274014</v>
      </c>
      <c r="D2" s="2">
        <v>0.66843802743938097</v>
      </c>
      <c r="E2" s="2">
        <v>0.73806698863098319</v>
      </c>
      <c r="F2" s="2">
        <v>0.77984436534594448</v>
      </c>
      <c r="G2" s="2">
        <v>0.79377015758426483</v>
      </c>
      <c r="H2" s="2">
        <v>0.8494733265375467</v>
      </c>
      <c r="I2" s="2">
        <v>0.89125070325250788</v>
      </c>
      <c r="J2" s="2">
        <v>0.90517649549082846</v>
      </c>
      <c r="K2" s="2">
        <v>0.93302807996746928</v>
      </c>
      <c r="L2" s="2">
        <v>0.94695387220578975</v>
      </c>
      <c r="M2" s="2">
        <v>0.94695387220578975</v>
      </c>
      <c r="N2" s="2">
        <v>0.97480545668243068</v>
      </c>
      <c r="O2" s="2">
        <v>0.97480545668243068</v>
      </c>
      <c r="P2" s="2">
        <v>1.0026570411590714</v>
      </c>
      <c r="Q2" s="2">
        <v>1.0026570411590714</v>
      </c>
      <c r="R2" s="2">
        <v>1.0165828333973921</v>
      </c>
      <c r="S2" s="2">
        <v>1.0165828333973921</v>
      </c>
      <c r="T2" s="2">
        <v>1.0305086256357123</v>
      </c>
      <c r="U2" s="4">
        <v>0.92857834977391807</v>
      </c>
      <c r="V2" s="25">
        <v>40785.458333333336</v>
      </c>
      <c r="W2" s="2">
        <v>0.92857834977391807</v>
      </c>
      <c r="Y2" s="33">
        <f t="shared" ref="Y2:Y15" si="0">T2^2</f>
        <v>1.0619480275096047</v>
      </c>
    </row>
    <row r="3" spans="1:25" x14ac:dyDescent="0.25">
      <c r="A3" s="2">
        <v>0.36207059819633136</v>
      </c>
      <c r="B3" s="2">
        <v>0.5013285205795357</v>
      </c>
      <c r="C3" s="2">
        <v>0.58488327400945839</v>
      </c>
      <c r="D3" s="2">
        <v>0.62666065072441968</v>
      </c>
      <c r="E3" s="2">
        <v>0.64058644296274014</v>
      </c>
      <c r="F3" s="2">
        <v>0.66843802743938097</v>
      </c>
      <c r="G3" s="2">
        <v>0.66843802743938097</v>
      </c>
      <c r="H3" s="2">
        <v>0.69628961191602179</v>
      </c>
      <c r="I3" s="2">
        <v>0.69628961191602179</v>
      </c>
      <c r="J3" s="2">
        <v>0.73806698863098319</v>
      </c>
      <c r="K3" s="2">
        <v>0.75199278086930366</v>
      </c>
      <c r="L3" s="2">
        <v>0.75199278086930366</v>
      </c>
      <c r="M3" s="2">
        <v>0.76591857310762401</v>
      </c>
      <c r="N3" s="2">
        <v>0.75199278086930366</v>
      </c>
      <c r="O3" s="2">
        <v>0.76591857310762401</v>
      </c>
      <c r="P3" s="2">
        <v>0.77984436534594448</v>
      </c>
      <c r="Q3" s="2">
        <v>0.77984436534594448</v>
      </c>
      <c r="R3" s="2">
        <v>0.77984436534594448</v>
      </c>
      <c r="S3" s="2">
        <v>0.77984436534594448</v>
      </c>
      <c r="T3" s="2">
        <v>0.77984436534594448</v>
      </c>
      <c r="U3" s="4">
        <v>0.94426379487145029</v>
      </c>
      <c r="V3" s="25">
        <v>40784.583333333336</v>
      </c>
      <c r="W3" s="2">
        <v>0.94426379487145029</v>
      </c>
      <c r="Y3" s="33">
        <f t="shared" si="0"/>
        <v>0.60815723416181888</v>
      </c>
    </row>
    <row r="4" spans="1:25" x14ac:dyDescent="0.25">
      <c r="A4" s="2">
        <v>0.47347693610289487</v>
      </c>
      <c r="B4" s="2">
        <v>0.58488327400945839</v>
      </c>
      <c r="C4" s="2">
        <v>0.69628961191602179</v>
      </c>
      <c r="D4" s="2">
        <v>0.76591857310762401</v>
      </c>
      <c r="E4" s="2">
        <v>0.8494733265375467</v>
      </c>
      <c r="F4" s="2">
        <v>0.90517649549082846</v>
      </c>
      <c r="G4" s="2">
        <v>0.93302807996746928</v>
      </c>
      <c r="H4" s="2">
        <v>0.97480545668243068</v>
      </c>
      <c r="I4" s="2">
        <v>1.0026570411590714</v>
      </c>
      <c r="J4" s="2">
        <v>1.0305086256357123</v>
      </c>
      <c r="K4" s="2">
        <v>1.1140633790656351</v>
      </c>
      <c r="L4" s="2">
        <v>1.1279891713039554</v>
      </c>
      <c r="M4" s="2">
        <v>1.1419149635422758</v>
      </c>
      <c r="N4" s="2">
        <v>1.1558407557805963</v>
      </c>
      <c r="O4" s="2">
        <v>1.1558407557805963</v>
      </c>
      <c r="P4" s="2">
        <v>1.1836923402572372</v>
      </c>
      <c r="Q4" s="2">
        <v>1.1836923402572372</v>
      </c>
      <c r="R4" s="2">
        <v>1.2115439247338782</v>
      </c>
      <c r="S4" s="2">
        <v>1.2254697169721984</v>
      </c>
      <c r="T4" s="2">
        <v>1.2393955092105189</v>
      </c>
      <c r="U4" s="4">
        <v>0.96380028717913546</v>
      </c>
      <c r="V4" s="25">
        <v>40784.46875</v>
      </c>
      <c r="W4" s="2">
        <v>0.96380028717913546</v>
      </c>
      <c r="Y4" s="33">
        <f t="shared" si="0"/>
        <v>1.5361012282512014</v>
      </c>
    </row>
    <row r="5" spans="1:25" x14ac:dyDescent="0.25">
      <c r="A5" s="2">
        <v>0.36207059819633136</v>
      </c>
      <c r="B5" s="2">
        <v>0.65451223520106061</v>
      </c>
      <c r="C5" s="2">
        <v>0.73806698863098319</v>
      </c>
      <c r="D5" s="2">
        <v>0.75199278086930366</v>
      </c>
      <c r="E5" s="2">
        <v>0.90517649549082846</v>
      </c>
      <c r="F5" s="2">
        <v>0.91910228772914881</v>
      </c>
      <c r="G5" s="2">
        <v>0.91910228772914881</v>
      </c>
      <c r="H5" s="2">
        <v>0.91910228772914881</v>
      </c>
      <c r="I5" s="2">
        <v>0.91910228772914881</v>
      </c>
      <c r="J5" s="2">
        <v>0.93302807996746928</v>
      </c>
      <c r="K5" s="2">
        <v>0.91910228772914881</v>
      </c>
      <c r="L5" s="2">
        <v>0.94695387220578975</v>
      </c>
      <c r="M5" s="2">
        <v>0.9608796644441101</v>
      </c>
      <c r="N5" s="2">
        <v>0.9608796644441101</v>
      </c>
      <c r="O5" s="2">
        <v>0.97480545668243068</v>
      </c>
      <c r="P5" s="2">
        <v>0.97480545668243068</v>
      </c>
      <c r="Q5" s="2">
        <v>0.98873124892075093</v>
      </c>
      <c r="R5" s="2">
        <v>0.98873124892075093</v>
      </c>
      <c r="S5" s="2">
        <v>1.0026570411590714</v>
      </c>
      <c r="T5" s="2">
        <v>1.0026570411590714</v>
      </c>
      <c r="U5" s="4">
        <v>0.96546488180293366</v>
      </c>
      <c r="V5" s="25">
        <v>40816.625</v>
      </c>
      <c r="W5" s="2">
        <v>0.96546488180293366</v>
      </c>
      <c r="Y5" s="33">
        <f t="shared" si="0"/>
        <v>1.0053211421858639</v>
      </c>
    </row>
    <row r="6" spans="1:25" x14ac:dyDescent="0.25">
      <c r="A6" s="2">
        <v>0.33421901371969048</v>
      </c>
      <c r="B6" s="2">
        <v>0.44562535162625394</v>
      </c>
      <c r="C6" s="2">
        <v>0.51525431281785616</v>
      </c>
      <c r="D6" s="2">
        <v>0.61273485848609921</v>
      </c>
      <c r="E6" s="2">
        <v>0.68236381967770143</v>
      </c>
      <c r="F6" s="2">
        <v>0.72414119639266272</v>
      </c>
      <c r="G6" s="2">
        <v>0.76591857310762401</v>
      </c>
      <c r="H6" s="2">
        <v>0.77984436534594448</v>
      </c>
      <c r="I6" s="2">
        <v>0.80769594982258541</v>
      </c>
      <c r="J6" s="2">
        <v>0.83554753429922624</v>
      </c>
      <c r="K6" s="2">
        <v>0.83554753429922624</v>
      </c>
      <c r="L6" s="2">
        <v>0.8494733265375467</v>
      </c>
      <c r="M6" s="2">
        <v>0.8494733265375467</v>
      </c>
      <c r="N6" s="2">
        <v>0.86339911877586706</v>
      </c>
      <c r="O6" s="2">
        <v>0.86339911877586706</v>
      </c>
      <c r="P6" s="2">
        <v>0.89125070325250788</v>
      </c>
      <c r="Q6" s="2">
        <v>0.89125070325250788</v>
      </c>
      <c r="R6" s="2">
        <v>0.89125070325250788</v>
      </c>
      <c r="S6" s="2">
        <v>0.89125070325250788</v>
      </c>
      <c r="T6" s="2">
        <v>0.90517649549082846</v>
      </c>
      <c r="U6" s="4">
        <v>0.99114213929769257</v>
      </c>
      <c r="V6" s="25">
        <v>40780.666666666664</v>
      </c>
      <c r="W6" s="2">
        <v>0.99114213929769257</v>
      </c>
      <c r="Y6" s="33">
        <f t="shared" si="0"/>
        <v>0.81934448798905779</v>
      </c>
    </row>
    <row r="7" spans="1:25" x14ac:dyDescent="0.25">
      <c r="A7" s="2">
        <v>0.43169955938793353</v>
      </c>
      <c r="B7" s="2">
        <v>0.62666065072441968</v>
      </c>
      <c r="C7" s="2">
        <v>0.75199278086930366</v>
      </c>
      <c r="D7" s="2">
        <v>0.83554753429922624</v>
      </c>
      <c r="E7" s="2">
        <v>0.94695387220578975</v>
      </c>
      <c r="F7" s="2">
        <v>0.98873124892075093</v>
      </c>
      <c r="G7" s="2">
        <v>1.0305086256357123</v>
      </c>
      <c r="H7" s="2">
        <v>1.1001375868273144</v>
      </c>
      <c r="I7" s="2">
        <v>1.1140633790656351</v>
      </c>
      <c r="J7" s="2">
        <v>1.1140633790656351</v>
      </c>
      <c r="K7" s="2">
        <v>1.1558407557805963</v>
      </c>
      <c r="L7" s="2">
        <v>1.2115439247338782</v>
      </c>
      <c r="M7" s="2">
        <v>1.2115439247338782</v>
      </c>
      <c r="N7" s="2">
        <v>1.2254697169721984</v>
      </c>
      <c r="O7" s="2">
        <v>1.2393955092105189</v>
      </c>
      <c r="P7" s="2">
        <v>1.2393955092105189</v>
      </c>
      <c r="Q7" s="2">
        <v>1.2393955092105189</v>
      </c>
      <c r="R7" s="2">
        <v>1.2393955092105189</v>
      </c>
      <c r="S7" s="2">
        <v>1.2533213014488394</v>
      </c>
      <c r="T7" s="2">
        <v>1.2672470936871598</v>
      </c>
      <c r="U7" s="4">
        <v>0.99114213929769257</v>
      </c>
      <c r="V7" s="25">
        <v>40813</v>
      </c>
      <c r="W7" s="2">
        <v>0.99114213929769257</v>
      </c>
      <c r="Y7" s="33">
        <f t="shared" si="0"/>
        <v>1.6059151964585532</v>
      </c>
    </row>
    <row r="8" spans="1:25" x14ac:dyDescent="0.25">
      <c r="A8" s="2">
        <v>0.41777376714961312</v>
      </c>
      <c r="B8" s="2">
        <v>0.57095748177113792</v>
      </c>
      <c r="C8" s="2">
        <v>0.72414119639266272</v>
      </c>
      <c r="D8" s="2">
        <v>0.80769594982258541</v>
      </c>
      <c r="E8" s="2">
        <v>0.87732491101418764</v>
      </c>
      <c r="F8" s="2">
        <v>0.89125070325250788</v>
      </c>
      <c r="G8" s="2">
        <v>0.90517649549082846</v>
      </c>
      <c r="H8" s="2">
        <v>0.90517649549082846</v>
      </c>
      <c r="I8" s="2">
        <v>0.91910228772914881</v>
      </c>
      <c r="J8" s="2">
        <v>0.91910228772914881</v>
      </c>
      <c r="K8" s="2">
        <v>0.93302807996746928</v>
      </c>
      <c r="L8" s="2">
        <v>0.94695387220578975</v>
      </c>
      <c r="M8" s="2">
        <v>0.97480545668243068</v>
      </c>
      <c r="N8" s="2">
        <v>0.97480545668243068</v>
      </c>
      <c r="O8" s="2">
        <v>0.97480545668243068</v>
      </c>
      <c r="P8" s="2">
        <v>0.98873124892075093</v>
      </c>
      <c r="Q8" s="2">
        <v>0.98873124892075093</v>
      </c>
      <c r="R8" s="2">
        <v>1.0026570411590714</v>
      </c>
      <c r="S8" s="2">
        <v>1.0026570411590714</v>
      </c>
      <c r="T8" s="2">
        <v>1.0026570411590714</v>
      </c>
      <c r="U8" s="4">
        <v>0.99114213929769257</v>
      </c>
      <c r="V8" s="25">
        <v>40816.5</v>
      </c>
      <c r="W8" s="2">
        <v>0.99114213929769257</v>
      </c>
      <c r="Y8" s="33">
        <f t="shared" si="0"/>
        <v>1.0053211421858639</v>
      </c>
    </row>
    <row r="9" spans="1:25" x14ac:dyDescent="0.25">
      <c r="A9" s="2">
        <v>0.29244163700472919</v>
      </c>
      <c r="B9" s="2">
        <v>0.52918010505617663</v>
      </c>
      <c r="C9" s="2">
        <v>0.61273485848609921</v>
      </c>
      <c r="D9" s="2">
        <v>0.68236381967770143</v>
      </c>
      <c r="E9" s="2">
        <v>0.77984436534594448</v>
      </c>
      <c r="F9" s="2">
        <v>0.86339911877586706</v>
      </c>
      <c r="G9" s="2">
        <v>0.91910228772914881</v>
      </c>
      <c r="H9" s="2">
        <v>0.9608796644441101</v>
      </c>
      <c r="I9" s="2">
        <v>0.98873124892075093</v>
      </c>
      <c r="J9" s="2">
        <v>1.0165828333973921</v>
      </c>
      <c r="K9" s="2">
        <v>1.0444344178740328</v>
      </c>
      <c r="L9" s="2">
        <v>1.0583602101123533</v>
      </c>
      <c r="M9" s="2">
        <v>1.0583602101123533</v>
      </c>
      <c r="N9" s="2">
        <v>1.0722860023506737</v>
      </c>
      <c r="O9" s="2">
        <v>1.086211794588994</v>
      </c>
      <c r="P9" s="2">
        <v>1.1140633790656351</v>
      </c>
      <c r="Q9" s="2">
        <v>1.1279891713039554</v>
      </c>
      <c r="R9" s="2">
        <v>1.1419149635422758</v>
      </c>
      <c r="S9" s="2">
        <v>1.1419149635422758</v>
      </c>
      <c r="T9" s="2">
        <v>1.1558407557805963</v>
      </c>
      <c r="U9" s="4">
        <v>1.0072147145295471</v>
      </c>
      <c r="V9" s="25">
        <v>40819.375</v>
      </c>
      <c r="W9" s="2">
        <v>1.0072147145295471</v>
      </c>
      <c r="Y9" s="33">
        <f t="shared" si="0"/>
        <v>1.33596785272346</v>
      </c>
    </row>
    <row r="10" spans="1:25" x14ac:dyDescent="0.25">
      <c r="A10" s="2">
        <v>0.32029322148137007</v>
      </c>
      <c r="B10" s="2">
        <v>0.48740272834121534</v>
      </c>
      <c r="C10" s="2">
        <v>0.58488327400945839</v>
      </c>
      <c r="D10" s="2">
        <v>0.65451223520106061</v>
      </c>
      <c r="E10" s="2">
        <v>0.73806698863098319</v>
      </c>
      <c r="F10" s="2">
        <v>0.80769594982258541</v>
      </c>
      <c r="G10" s="2">
        <v>0.87732491101418764</v>
      </c>
      <c r="H10" s="2">
        <v>1.0026570411590714</v>
      </c>
      <c r="I10" s="2">
        <v>1.0444344178740328</v>
      </c>
      <c r="J10" s="2">
        <v>1.0722860023506737</v>
      </c>
      <c r="K10" s="2">
        <v>1.1140633790656351</v>
      </c>
      <c r="L10" s="2">
        <v>1.1697665480189168</v>
      </c>
      <c r="M10" s="2">
        <v>1.1697665480189168</v>
      </c>
      <c r="N10" s="2">
        <v>1.1836923402572372</v>
      </c>
      <c r="O10" s="2">
        <v>1.2115439247338782</v>
      </c>
      <c r="P10" s="2">
        <v>1.2254697169721984</v>
      </c>
      <c r="Q10" s="2">
        <v>1.2533213014488394</v>
      </c>
      <c r="R10" s="2">
        <v>1.2672470936871598</v>
      </c>
      <c r="S10" s="2">
        <v>1.2672470936871598</v>
      </c>
      <c r="T10" s="2">
        <v>1.2811728859254803</v>
      </c>
      <c r="U10" s="4">
        <v>1.0017995816557324</v>
      </c>
      <c r="V10" s="2">
        <v>40749</v>
      </c>
      <c r="W10" s="2">
        <v>1.0017995816557324</v>
      </c>
      <c r="Y10" s="33">
        <f t="shared" si="0"/>
        <v>1.6414039636306237</v>
      </c>
    </row>
    <row r="11" spans="1:25" x14ac:dyDescent="0.25">
      <c r="A11" s="2">
        <v>0.45955114386457441</v>
      </c>
      <c r="B11" s="2">
        <v>0.55703168953281756</v>
      </c>
      <c r="C11" s="2">
        <v>0.64058644296274014</v>
      </c>
      <c r="D11" s="2">
        <v>0.71021540415434226</v>
      </c>
      <c r="E11" s="2">
        <v>0.80769594982258541</v>
      </c>
      <c r="F11" s="2">
        <v>0.90517649549082846</v>
      </c>
      <c r="G11" s="2">
        <v>1.0165828333973921</v>
      </c>
      <c r="H11" s="2">
        <v>1.0583602101123533</v>
      </c>
      <c r="I11" s="2">
        <v>1.086211794588994</v>
      </c>
      <c r="J11" s="2">
        <v>1.1279891713039554</v>
      </c>
      <c r="K11" s="2">
        <v>1.1279891713039554</v>
      </c>
      <c r="L11" s="2">
        <v>1.1419149635422758</v>
      </c>
      <c r="M11" s="2">
        <v>1.1697665480189168</v>
      </c>
      <c r="N11" s="2">
        <v>1.1836923402572372</v>
      </c>
      <c r="O11" s="2">
        <v>1.1976181324955575</v>
      </c>
      <c r="P11" s="2">
        <v>1.2115439247338782</v>
      </c>
      <c r="Q11" s="2">
        <v>1.2393955092105189</v>
      </c>
      <c r="R11" s="2">
        <v>1.2672470936871598</v>
      </c>
      <c r="S11" s="2">
        <v>1.2811728859254803</v>
      </c>
      <c r="T11" s="2">
        <v>1.2811728859254803</v>
      </c>
      <c r="U11" s="4">
        <v>1.0275808107495155</v>
      </c>
      <c r="V11" s="25">
        <v>40819.5</v>
      </c>
      <c r="W11" s="2">
        <v>1.0275808107495155</v>
      </c>
      <c r="Y11" s="33">
        <f t="shared" si="0"/>
        <v>1.6414039636306237</v>
      </c>
    </row>
    <row r="12" spans="1:25" x14ac:dyDescent="0.25">
      <c r="A12" s="2">
        <v>0.38992218267297224</v>
      </c>
      <c r="B12" s="2">
        <v>0.54310589729449699</v>
      </c>
      <c r="C12" s="2">
        <v>0.73806698863098319</v>
      </c>
      <c r="D12" s="2">
        <v>0.93302807996746928</v>
      </c>
      <c r="E12" s="2">
        <v>1.0165828333973921</v>
      </c>
      <c r="F12" s="2">
        <v>1.0583602101123533</v>
      </c>
      <c r="G12" s="2">
        <v>1.086211794588994</v>
      </c>
      <c r="H12" s="2">
        <v>1.1697665480189168</v>
      </c>
      <c r="I12" s="2">
        <v>1.1976181324955575</v>
      </c>
      <c r="J12" s="2">
        <v>1.1976181324955575</v>
      </c>
      <c r="K12" s="2">
        <v>1.2254697169721984</v>
      </c>
      <c r="L12" s="2">
        <v>1.2533213014488394</v>
      </c>
      <c r="M12" s="2">
        <v>1.2393955092105189</v>
      </c>
      <c r="N12" s="2">
        <v>1.2533213014488394</v>
      </c>
      <c r="O12" s="2">
        <v>1.2533213014488394</v>
      </c>
      <c r="P12" s="2">
        <v>1.2672470936871598</v>
      </c>
      <c r="Q12" s="2">
        <v>1.2672470936871598</v>
      </c>
      <c r="R12" s="2">
        <v>1.2672470936871598</v>
      </c>
      <c r="S12" s="2">
        <v>1.2811728859254803</v>
      </c>
      <c r="T12" s="2">
        <v>1.2950986781638005</v>
      </c>
      <c r="U12" s="4">
        <v>1.0313730010404034</v>
      </c>
      <c r="V12" s="25">
        <v>40819.625</v>
      </c>
      <c r="W12" s="2">
        <v>1.0313730010404034</v>
      </c>
      <c r="Y12" s="33">
        <f t="shared" si="0"/>
        <v>1.6772805861816233</v>
      </c>
    </row>
    <row r="13" spans="1:25" x14ac:dyDescent="0.25">
      <c r="A13" s="2">
        <v>0.36207059819633136</v>
      </c>
      <c r="B13" s="2">
        <v>0.5013285205795357</v>
      </c>
      <c r="C13" s="2">
        <v>0.58488327400945839</v>
      </c>
      <c r="D13" s="2">
        <v>0.68236381967770143</v>
      </c>
      <c r="E13" s="2">
        <v>0.77984436534594448</v>
      </c>
      <c r="F13" s="2">
        <v>0.86339911877586706</v>
      </c>
      <c r="G13" s="2">
        <v>0.93302807996746928</v>
      </c>
      <c r="H13" s="2">
        <v>1.0165828333973921</v>
      </c>
      <c r="I13" s="2">
        <v>1.0444344178740328</v>
      </c>
      <c r="J13" s="2">
        <v>1.0444344178740328</v>
      </c>
      <c r="K13" s="2">
        <v>1.0722860023506737</v>
      </c>
      <c r="L13" s="2">
        <v>1.086211794588994</v>
      </c>
      <c r="M13" s="2">
        <v>1.1001375868273144</v>
      </c>
      <c r="N13" s="2">
        <v>1.1279891713039554</v>
      </c>
      <c r="O13" s="2">
        <v>1.1419149635422758</v>
      </c>
      <c r="P13" s="2">
        <v>1.1558407557805963</v>
      </c>
      <c r="Q13" s="2">
        <v>1.1558407557805963</v>
      </c>
      <c r="R13" s="2">
        <v>1.1697665480189168</v>
      </c>
      <c r="S13" s="2">
        <v>1.1697665480189168</v>
      </c>
      <c r="T13" s="2">
        <v>1.1836923402572372</v>
      </c>
      <c r="U13" s="4">
        <v>1.0275811885365782</v>
      </c>
      <c r="V13" s="25">
        <v>40820.375</v>
      </c>
      <c r="W13" s="2">
        <v>1.0275811885365782</v>
      </c>
      <c r="Y13" s="33">
        <f t="shared" si="0"/>
        <v>1.4011275563836552</v>
      </c>
    </row>
    <row r="14" spans="1:25" x14ac:dyDescent="0.25">
      <c r="A14" s="2">
        <v>0.41777376714961312</v>
      </c>
      <c r="B14" s="2">
        <v>0.58488327400945839</v>
      </c>
      <c r="C14" s="2">
        <v>0.75199278086930366</v>
      </c>
      <c r="D14" s="2">
        <v>0.8494733265375467</v>
      </c>
      <c r="E14" s="2">
        <v>0.90517649549082846</v>
      </c>
      <c r="F14" s="2">
        <v>0.9608796644441101</v>
      </c>
      <c r="G14" s="2">
        <v>1.0444344178740328</v>
      </c>
      <c r="H14" s="2">
        <v>1.0583602101123533</v>
      </c>
      <c r="I14" s="2">
        <v>1.1001375868273144</v>
      </c>
      <c r="J14" s="2">
        <v>1.1140633790656351</v>
      </c>
      <c r="K14" s="2">
        <v>1.1279891713039554</v>
      </c>
      <c r="L14" s="2">
        <v>1.1279891713039554</v>
      </c>
      <c r="M14" s="2">
        <v>1.1419149635422758</v>
      </c>
      <c r="N14" s="2">
        <v>1.1558407557805963</v>
      </c>
      <c r="O14" s="2">
        <v>1.1697665480189168</v>
      </c>
      <c r="P14" s="2">
        <v>1.2672470936871598</v>
      </c>
      <c r="Q14" s="2">
        <v>1.2950986781638005</v>
      </c>
      <c r="R14" s="2">
        <v>1.2950986781638005</v>
      </c>
      <c r="S14" s="2">
        <v>1.3090244704021212</v>
      </c>
      <c r="T14" s="2">
        <v>1.2811728859254803</v>
      </c>
      <c r="U14" s="4">
        <v>1.0163712119343611</v>
      </c>
      <c r="V14" s="25">
        <v>40823.625</v>
      </c>
      <c r="W14" s="2">
        <v>1.0163712119343611</v>
      </c>
      <c r="Y14" s="33">
        <f t="shared" si="0"/>
        <v>1.6414039636306237</v>
      </c>
    </row>
    <row r="15" spans="1:25" x14ac:dyDescent="0.25">
      <c r="A15" s="2">
        <v>0.36207059819633136</v>
      </c>
      <c r="B15" s="2">
        <v>0.5013285205795357</v>
      </c>
      <c r="C15" s="2">
        <v>0.64058644296274014</v>
      </c>
      <c r="D15" s="2">
        <v>0.75199278086930366</v>
      </c>
      <c r="E15" s="2">
        <v>0.82162174206090577</v>
      </c>
      <c r="F15" s="2">
        <v>0.89125070325250788</v>
      </c>
      <c r="G15" s="2">
        <v>0.9608796644441101</v>
      </c>
      <c r="H15" s="2">
        <v>0.97480545668243068</v>
      </c>
      <c r="I15" s="2">
        <v>1.0026570411590714</v>
      </c>
      <c r="J15" s="2">
        <v>1.0165828333973921</v>
      </c>
      <c r="K15" s="2">
        <v>1.0444344178740328</v>
      </c>
      <c r="L15" s="2">
        <v>1.0583602101123533</v>
      </c>
      <c r="M15" s="2">
        <v>1.0722860023506737</v>
      </c>
      <c r="N15" s="2">
        <v>1.0722860023506737</v>
      </c>
      <c r="O15" s="2">
        <v>1.0722860023506737</v>
      </c>
      <c r="P15" s="2">
        <v>1.086211794588994</v>
      </c>
      <c r="Q15" s="2">
        <v>1.0722860023506737</v>
      </c>
      <c r="R15" s="2">
        <v>1.086211794588994</v>
      </c>
      <c r="S15" s="2">
        <v>1.086211794588994</v>
      </c>
      <c r="T15" s="2">
        <v>1.1001375868273144</v>
      </c>
      <c r="U15" s="4">
        <v>1.025695718465869</v>
      </c>
      <c r="V15" s="25">
        <v>40824.375</v>
      </c>
      <c r="W15" s="2">
        <v>1.025695718465869</v>
      </c>
      <c r="Y15" s="33">
        <f t="shared" si="0"/>
        <v>1.2103027099502268</v>
      </c>
    </row>
    <row r="16" spans="1:25" x14ac:dyDescent="0.25">
      <c r="A16">
        <f>AVERAGE(A1:A15)</f>
        <v>0.38063832118075869</v>
      </c>
      <c r="B16">
        <f t="shared" ref="B16:I16" si="1">AVERAGE(B1:B15)</f>
        <v>0.54032073884683285</v>
      </c>
      <c r="C16">
        <f t="shared" si="1"/>
        <v>0.65636900749950322</v>
      </c>
      <c r="D16">
        <f t="shared" si="1"/>
        <v>0.73621021633254047</v>
      </c>
      <c r="E16">
        <f t="shared" si="1"/>
        <v>0.81512303901635619</v>
      </c>
      <c r="F16">
        <f t="shared" si="1"/>
        <v>0.86525589107430967</v>
      </c>
      <c r="G16">
        <f t="shared" si="1"/>
        <v>0.91167519853537793</v>
      </c>
      <c r="H16">
        <f t="shared" si="1"/>
        <v>0.95345257525033911</v>
      </c>
      <c r="I16">
        <f t="shared" si="1"/>
        <v>0.97759061513009482</v>
      </c>
      <c r="T16">
        <f>AVERAGE(T1:T15)</f>
        <v>1.1149917652148564</v>
      </c>
    </row>
    <row r="17" spans="1:25" x14ac:dyDescent="0.25">
      <c r="T17">
        <f>MAX(T1:T15)</f>
        <v>1.2950986781638005</v>
      </c>
      <c r="Y17" s="33">
        <f>AVERAGE(Y1:Y15)</f>
        <v>1.2690498713454506</v>
      </c>
    </row>
    <row r="18" spans="1:25" x14ac:dyDescent="0.25">
      <c r="A18">
        <v>0.27342422697927282</v>
      </c>
      <c r="B18">
        <v>0.41411824668705399</v>
      </c>
      <c r="C18">
        <v>0.45659191301393137</v>
      </c>
      <c r="D18">
        <v>0.58666751613999324</v>
      </c>
      <c r="E18">
        <v>0.63975959904858981</v>
      </c>
      <c r="F18">
        <v>0.64506880733944949</v>
      </c>
      <c r="G18">
        <v>0.65303261977573901</v>
      </c>
      <c r="H18">
        <v>0.67957866123003741</v>
      </c>
      <c r="I18">
        <v>0.66365103635745837</v>
      </c>
      <c r="T18">
        <f>MIN(T1:T15)</f>
        <v>0.77984436534594448</v>
      </c>
      <c r="V18" t="s">
        <v>64</v>
      </c>
      <c r="Y18" t="s">
        <v>106</v>
      </c>
    </row>
    <row r="19" spans="1:25" x14ac:dyDescent="0.25">
      <c r="A19">
        <v>0.33182551817872918</v>
      </c>
      <c r="B19">
        <v>0.41942745497791367</v>
      </c>
      <c r="C19">
        <v>0.51764780835881752</v>
      </c>
      <c r="D19">
        <v>0.56012147468569484</v>
      </c>
      <c r="E19">
        <v>0.56012147468569484</v>
      </c>
      <c r="F19">
        <v>0.57604909955827388</v>
      </c>
      <c r="G19">
        <v>0.5840129119945634</v>
      </c>
      <c r="H19">
        <v>0.60524974515800201</v>
      </c>
      <c r="I19">
        <v>0.60790434930343185</v>
      </c>
      <c r="V19" t="s">
        <v>65</v>
      </c>
      <c r="Y19" s="32">
        <f>Y17-((AVERAGE(T1:T15))^2)</f>
        <v>2.5843234848508922E-2</v>
      </c>
    </row>
    <row r="20" spans="1:25" x14ac:dyDescent="0.25">
      <c r="A20">
        <v>0.32917091403329934</v>
      </c>
      <c r="B20">
        <v>0.55481226639483516</v>
      </c>
      <c r="C20">
        <v>0.64506880733944949</v>
      </c>
      <c r="D20">
        <v>0.68223326537546725</v>
      </c>
      <c r="E20">
        <v>0.68754247366632681</v>
      </c>
      <c r="F20">
        <v>0.66896024464831805</v>
      </c>
      <c r="G20">
        <v>0.69019707781175665</v>
      </c>
      <c r="H20">
        <v>0.70612470268433569</v>
      </c>
      <c r="I20">
        <v>0.70081549439347601</v>
      </c>
      <c r="V20" t="s">
        <v>66</v>
      </c>
      <c r="Y20" t="s">
        <v>108</v>
      </c>
    </row>
    <row r="21" spans="1:25" x14ac:dyDescent="0.25">
      <c r="A21">
        <v>0.41411824668705399</v>
      </c>
      <c r="B21">
        <v>0.65834182806659869</v>
      </c>
      <c r="C21">
        <v>0.79638124362895002</v>
      </c>
      <c r="D21">
        <v>0.96362130479102959</v>
      </c>
      <c r="E21">
        <v>1.1282067618076792</v>
      </c>
      <c r="F21">
        <v>1.2290817193340129</v>
      </c>
      <c r="G21">
        <v>1.2715553856608903</v>
      </c>
      <c r="H21">
        <v>1.306065239551478</v>
      </c>
      <c r="V21" t="s">
        <v>67</v>
      </c>
      <c r="Y21">
        <f>SQRT(Y19)</f>
        <v>0.16075831191110748</v>
      </c>
    </row>
    <row r="22" spans="1:25" x14ac:dyDescent="0.25">
      <c r="A22">
        <v>0.45393730886850153</v>
      </c>
      <c r="B22">
        <v>0.7406345565749235</v>
      </c>
      <c r="C22">
        <v>0.88398318042813451</v>
      </c>
      <c r="D22">
        <v>1.1122791369351002</v>
      </c>
      <c r="E22">
        <v>1.1627166156982671</v>
      </c>
      <c r="F22">
        <v>1.2211179068977234</v>
      </c>
      <c r="G22">
        <v>1.2742099898063202</v>
      </c>
      <c r="H22">
        <v>1.2635915732246008</v>
      </c>
      <c r="V22" t="s">
        <v>68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B134"/>
  <sheetViews>
    <sheetView tabSelected="1" workbookViewId="0">
      <selection activeCell="U40" sqref="A39:U40"/>
    </sheetView>
  </sheetViews>
  <sheetFormatPr defaultRowHeight="15" x14ac:dyDescent="0.25"/>
  <cols>
    <col min="1" max="2" width="14.5703125" bestFit="1" customWidth="1"/>
  </cols>
  <sheetData>
    <row r="1" spans="1:28" x14ac:dyDescent="0.25">
      <c r="D1" t="s">
        <v>3</v>
      </c>
      <c r="E1">
        <v>7.9</v>
      </c>
      <c r="G1" t="s">
        <v>4</v>
      </c>
      <c r="H1">
        <f>((209-E1)/19)/E1</f>
        <v>1.3397734843437707</v>
      </c>
      <c r="J1" t="s">
        <v>5</v>
      </c>
      <c r="K1">
        <f>0.63/(H1/1.32)</f>
        <v>0.62070193933366491</v>
      </c>
      <c r="L1">
        <f>0.63/(H1/1.32)</f>
        <v>0.62070193933366491</v>
      </c>
      <c r="M1" t="s">
        <v>7</v>
      </c>
      <c r="N1">
        <f>H1*E1</f>
        <v>10.58421052631579</v>
      </c>
      <c r="P1" t="s">
        <v>6</v>
      </c>
      <c r="Q1">
        <f>K1*E1</f>
        <v>4.9035453207359527</v>
      </c>
      <c r="S1" t="s">
        <v>8</v>
      </c>
      <c r="T1">
        <v>20</v>
      </c>
      <c r="AB1" t="s">
        <v>107</v>
      </c>
    </row>
    <row r="2" spans="1:28" x14ac:dyDescent="0.25">
      <c r="D2" t="s">
        <v>8</v>
      </c>
      <c r="E2">
        <v>20</v>
      </c>
      <c r="G2" t="s">
        <v>9</v>
      </c>
      <c r="H2" s="2">
        <v>43831</v>
      </c>
      <c r="J2" t="s">
        <v>10</v>
      </c>
      <c r="K2">
        <f>19*N1</f>
        <v>201.1</v>
      </c>
      <c r="M2" t="s">
        <v>11</v>
      </c>
      <c r="N2" t="s">
        <v>12</v>
      </c>
    </row>
    <row r="3" spans="1:28" x14ac:dyDescent="0.25">
      <c r="A3" t="s">
        <v>0</v>
      </c>
      <c r="B3" s="20">
        <v>40785.583333333336</v>
      </c>
    </row>
    <row r="4" spans="1:28" x14ac:dyDescent="0.25">
      <c r="A4" s="1" t="s">
        <v>1</v>
      </c>
      <c r="B4">
        <v>1</v>
      </c>
      <c r="C4">
        <v>2</v>
      </c>
      <c r="D4">
        <v>3</v>
      </c>
      <c r="E4">
        <v>4</v>
      </c>
      <c r="F4">
        <v>5</v>
      </c>
      <c r="G4">
        <v>6</v>
      </c>
      <c r="H4">
        <v>7</v>
      </c>
      <c r="I4">
        <v>8</v>
      </c>
      <c r="J4">
        <v>9</v>
      </c>
      <c r="K4">
        <v>10</v>
      </c>
      <c r="L4">
        <v>11</v>
      </c>
      <c r="M4">
        <v>12</v>
      </c>
      <c r="N4">
        <v>13</v>
      </c>
      <c r="O4">
        <v>14</v>
      </c>
      <c r="P4">
        <v>15</v>
      </c>
      <c r="Q4">
        <v>16</v>
      </c>
      <c r="R4">
        <v>17</v>
      </c>
      <c r="S4">
        <v>18</v>
      </c>
      <c r="T4">
        <v>19</v>
      </c>
      <c r="U4">
        <v>20</v>
      </c>
    </row>
    <row r="5" spans="1:28" x14ac:dyDescent="0.25">
      <c r="A5" t="s">
        <v>2</v>
      </c>
      <c r="B5">
        <v>24</v>
      </c>
      <c r="C5">
        <v>35</v>
      </c>
      <c r="D5">
        <v>46</v>
      </c>
      <c r="E5">
        <v>51</v>
      </c>
      <c r="F5">
        <v>53</v>
      </c>
      <c r="G5">
        <v>54</v>
      </c>
      <c r="H5">
        <v>59</v>
      </c>
      <c r="I5">
        <v>60</v>
      </c>
      <c r="J5">
        <v>61</v>
      </c>
      <c r="K5">
        <v>61</v>
      </c>
      <c r="L5">
        <v>62</v>
      </c>
      <c r="M5">
        <v>63</v>
      </c>
      <c r="N5">
        <v>63</v>
      </c>
      <c r="O5">
        <v>63</v>
      </c>
      <c r="P5">
        <v>64</v>
      </c>
      <c r="Q5">
        <v>64</v>
      </c>
      <c r="R5">
        <v>65</v>
      </c>
      <c r="S5">
        <v>66</v>
      </c>
      <c r="T5">
        <v>66</v>
      </c>
      <c r="U5">
        <v>66</v>
      </c>
      <c r="W5">
        <v>24</v>
      </c>
      <c r="X5">
        <v>46</v>
      </c>
      <c r="Y5">
        <v>65</v>
      </c>
    </row>
    <row r="6" spans="1:28" x14ac:dyDescent="0.25">
      <c r="A6" t="s">
        <v>16</v>
      </c>
      <c r="B6">
        <f>(B5/(0.366*9.81))/20</f>
        <v>0.33421901371969048</v>
      </c>
      <c r="C6">
        <f t="shared" ref="C6:S6" si="0">(C5/(0.366*9.81))/20</f>
        <v>0.48740272834121534</v>
      </c>
      <c r="D6">
        <f t="shared" si="0"/>
        <v>0.64058644296274014</v>
      </c>
      <c r="E6">
        <f t="shared" si="0"/>
        <v>0.71021540415434226</v>
      </c>
      <c r="F6">
        <f t="shared" si="0"/>
        <v>0.73806698863098319</v>
      </c>
      <c r="G6">
        <f t="shared" si="0"/>
        <v>0.75199278086930366</v>
      </c>
      <c r="H6">
        <f t="shared" si="0"/>
        <v>0.82162174206090577</v>
      </c>
      <c r="I6">
        <f t="shared" si="0"/>
        <v>0.83554753429922624</v>
      </c>
      <c r="J6">
        <f t="shared" si="0"/>
        <v>0.8494733265375467</v>
      </c>
      <c r="K6">
        <f t="shared" si="0"/>
        <v>0.8494733265375467</v>
      </c>
      <c r="L6">
        <f t="shared" si="0"/>
        <v>0.86339911877586706</v>
      </c>
      <c r="M6">
        <f t="shared" si="0"/>
        <v>0.87732491101418764</v>
      </c>
      <c r="N6">
        <f t="shared" si="0"/>
        <v>0.87732491101418764</v>
      </c>
      <c r="O6">
        <f t="shared" si="0"/>
        <v>0.87732491101418764</v>
      </c>
      <c r="P6">
        <f t="shared" si="0"/>
        <v>0.89125070325250788</v>
      </c>
      <c r="Q6">
        <f t="shared" si="0"/>
        <v>0.89125070325250788</v>
      </c>
      <c r="R6">
        <f t="shared" si="0"/>
        <v>0.90517649549082846</v>
      </c>
      <c r="S6">
        <f t="shared" si="0"/>
        <v>0.91910228772914881</v>
      </c>
      <c r="T6">
        <f>(T5/(0.366*9.81))/20</f>
        <v>0.91910228772914881</v>
      </c>
      <c r="U6">
        <f t="shared" ref="U6" si="1">(U5/(0.366*9.81))/20</f>
        <v>0.91910228772914881</v>
      </c>
    </row>
    <row r="7" spans="1:28" x14ac:dyDescent="0.25">
      <c r="A7" t="s">
        <v>13</v>
      </c>
      <c r="F7">
        <v>21.667000000000002</v>
      </c>
      <c r="K7" s="3">
        <v>47.667000000000002</v>
      </c>
      <c r="P7">
        <v>75</v>
      </c>
      <c r="U7">
        <f>(100+99+102)/3</f>
        <v>100.33333333333333</v>
      </c>
      <c r="W7">
        <f>(96+95+96)/3</f>
        <v>95.666666666666671</v>
      </c>
      <c r="X7">
        <f>(95+95+96)/3</f>
        <v>95.333333333333329</v>
      </c>
      <c r="Y7">
        <f>(90+91+91)/3</f>
        <v>90.666666666666671</v>
      </c>
    </row>
    <row r="8" spans="1:28" x14ac:dyDescent="0.25">
      <c r="A8" t="s">
        <v>14</v>
      </c>
      <c r="B8" s="4"/>
      <c r="C8" s="4"/>
      <c r="D8" s="4"/>
      <c r="E8" s="4"/>
      <c r="F8" s="4">
        <f>(($E$2-1)*(F4-1)*$H$1*$K$1*$E$1*$E$1)/(F7*$K$2)</f>
        <v>0.905255978351586</v>
      </c>
      <c r="G8" s="4"/>
      <c r="H8" s="4"/>
      <c r="I8" s="4"/>
      <c r="J8" s="4"/>
      <c r="K8" s="4">
        <f>(($E$2-1)*(K4-1)*$H$1*$K$1*$E$1*$E$1)/(K7*$K$2)</f>
        <v>0.92583774700785804</v>
      </c>
      <c r="L8" s="4"/>
      <c r="M8" s="4"/>
      <c r="N8" s="4"/>
      <c r="O8" s="4"/>
      <c r="P8" s="4">
        <f>(($E$2-1)*(P4-1)*$H$1*$K$1*$E$1*$E$1)/(P7*$K$2)</f>
        <v>0.91532845987071121</v>
      </c>
      <c r="Q8" s="4"/>
      <c r="R8" s="4"/>
      <c r="S8" s="4"/>
      <c r="T8" s="4"/>
      <c r="U8" s="4">
        <f>((U4-1)*$K$1*$E$1)/U7</f>
        <v>0.92857834977391807</v>
      </c>
      <c r="W8" s="4">
        <f>(($E$2-1)*(U4-1)*$H$1*$K$1*$E$1*$E$1)/(W7*$K$2)</f>
        <v>0.97387485464093848</v>
      </c>
      <c r="X8" s="4">
        <f>(($E$2-1)*(U4-1)*$H$1*$K$1*$E$1*$E$1)/(X7*$K$2)</f>
        <v>0.97728001147534738</v>
      </c>
      <c r="Y8" s="4">
        <f>(($E$2-1)*(U4-1)*$H$1*$K$1*$E$1*$E$1)/(Y7*$K$2)</f>
        <v>1.0275811885365784</v>
      </c>
    </row>
    <row r="10" spans="1:28" x14ac:dyDescent="0.25">
      <c r="A10" t="s">
        <v>0</v>
      </c>
      <c r="B10" s="20">
        <v>40785.458333333336</v>
      </c>
    </row>
    <row r="11" spans="1:28" x14ac:dyDescent="0.25">
      <c r="A11" s="1" t="s">
        <v>1</v>
      </c>
      <c r="B11">
        <v>1</v>
      </c>
      <c r="C11">
        <v>2</v>
      </c>
      <c r="D11">
        <v>3</v>
      </c>
      <c r="E11">
        <v>4</v>
      </c>
      <c r="F11">
        <v>5</v>
      </c>
      <c r="G11">
        <v>6</v>
      </c>
      <c r="H11">
        <v>7</v>
      </c>
      <c r="I11">
        <v>8</v>
      </c>
      <c r="J11">
        <v>9</v>
      </c>
      <c r="K11">
        <v>10</v>
      </c>
      <c r="L11">
        <v>11</v>
      </c>
      <c r="M11">
        <v>12</v>
      </c>
      <c r="N11">
        <v>13</v>
      </c>
      <c r="O11">
        <v>14</v>
      </c>
      <c r="P11">
        <v>15</v>
      </c>
      <c r="Q11">
        <v>16</v>
      </c>
      <c r="R11">
        <v>17</v>
      </c>
      <c r="S11">
        <v>18</v>
      </c>
      <c r="T11">
        <v>19</v>
      </c>
      <c r="U11">
        <v>20</v>
      </c>
    </row>
    <row r="12" spans="1:28" x14ac:dyDescent="0.25">
      <c r="A12" t="s">
        <v>2</v>
      </c>
      <c r="B12">
        <v>28</v>
      </c>
      <c r="C12">
        <v>38</v>
      </c>
      <c r="D12">
        <v>46</v>
      </c>
      <c r="E12">
        <v>48</v>
      </c>
      <c r="F12">
        <v>53</v>
      </c>
      <c r="G12">
        <v>56</v>
      </c>
      <c r="H12">
        <v>57</v>
      </c>
      <c r="I12">
        <v>61</v>
      </c>
      <c r="J12">
        <v>64</v>
      </c>
      <c r="K12">
        <v>65</v>
      </c>
      <c r="L12">
        <v>67</v>
      </c>
      <c r="M12">
        <v>68</v>
      </c>
      <c r="N12">
        <v>68</v>
      </c>
      <c r="O12">
        <v>70</v>
      </c>
      <c r="P12">
        <v>70</v>
      </c>
      <c r="Q12">
        <v>72</v>
      </c>
      <c r="R12">
        <v>72</v>
      </c>
      <c r="S12">
        <v>73</v>
      </c>
      <c r="T12">
        <v>73</v>
      </c>
      <c r="U12">
        <v>74</v>
      </c>
      <c r="W12">
        <v>14</v>
      </c>
      <c r="X12">
        <v>27</v>
      </c>
      <c r="Y12">
        <v>46</v>
      </c>
    </row>
    <row r="13" spans="1:28" x14ac:dyDescent="0.25">
      <c r="A13" t="s">
        <v>16</v>
      </c>
      <c r="B13">
        <f>(B12/(0.366*9.81))/20</f>
        <v>0.38992218267297224</v>
      </c>
      <c r="C13">
        <f t="shared" ref="C13:T13" si="2">(C12/(0.366*9.81))/20</f>
        <v>0.52918010505617663</v>
      </c>
      <c r="D13">
        <f t="shared" si="2"/>
        <v>0.64058644296274014</v>
      </c>
      <c r="E13">
        <f t="shared" si="2"/>
        <v>0.66843802743938097</v>
      </c>
      <c r="F13">
        <f t="shared" si="2"/>
        <v>0.73806698863098319</v>
      </c>
      <c r="G13">
        <f t="shared" si="2"/>
        <v>0.77984436534594448</v>
      </c>
      <c r="H13">
        <f t="shared" si="2"/>
        <v>0.79377015758426483</v>
      </c>
      <c r="I13">
        <f t="shared" si="2"/>
        <v>0.8494733265375467</v>
      </c>
      <c r="J13">
        <f t="shared" si="2"/>
        <v>0.89125070325250788</v>
      </c>
      <c r="K13">
        <f t="shared" si="2"/>
        <v>0.90517649549082846</v>
      </c>
      <c r="L13">
        <f t="shared" si="2"/>
        <v>0.93302807996746928</v>
      </c>
      <c r="M13">
        <f t="shared" si="2"/>
        <v>0.94695387220578975</v>
      </c>
      <c r="N13">
        <f t="shared" si="2"/>
        <v>0.94695387220578975</v>
      </c>
      <c r="O13">
        <f t="shared" si="2"/>
        <v>0.97480545668243068</v>
      </c>
      <c r="P13">
        <f t="shared" si="2"/>
        <v>0.97480545668243068</v>
      </c>
      <c r="Q13">
        <f t="shared" si="2"/>
        <v>1.0026570411590714</v>
      </c>
      <c r="R13">
        <f t="shared" si="2"/>
        <v>1.0026570411590714</v>
      </c>
      <c r="S13">
        <f t="shared" si="2"/>
        <v>1.0165828333973921</v>
      </c>
      <c r="T13">
        <f t="shared" si="2"/>
        <v>1.0165828333973921</v>
      </c>
      <c r="U13">
        <f>(U12/(0.366*9.81))/20</f>
        <v>1.0305086256357123</v>
      </c>
    </row>
    <row r="14" spans="1:28" x14ac:dyDescent="0.25">
      <c r="A14" t="s">
        <v>13</v>
      </c>
      <c r="K14" s="3"/>
      <c r="U14">
        <f>(100+100+101)/3</f>
        <v>100.33333333333333</v>
      </c>
      <c r="W14">
        <f>(96+98+98)/3</f>
        <v>97.333333333333329</v>
      </c>
      <c r="X14">
        <f>(94+95+96)/3</f>
        <v>95</v>
      </c>
      <c r="Y14">
        <f>(91+92+91)/3</f>
        <v>91.333333333333329</v>
      </c>
    </row>
    <row r="15" spans="1:28" x14ac:dyDescent="0.25">
      <c r="A15" t="s">
        <v>14</v>
      </c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>
        <f>((U11-1)*$K$1*$E$1)/U14</f>
        <v>0.92857834977391807</v>
      </c>
      <c r="W15" s="4">
        <f>(($E$2-1)*(U11-1)*$H$1*$K$1*$E$1*$E$1)/(W14*$K$2)</f>
        <v>0.95719891534914148</v>
      </c>
      <c r="X15" s="4">
        <f>(($E$2-1)*(U11-1)*$H$1*$K$1*$E$1*$E$1)/(X14*$K$2)</f>
        <v>0.98070906414719061</v>
      </c>
      <c r="Y15" s="4">
        <f>(($E$2-1)*(U11-1)*$H$1*$K$1*$E$1*$E$1)/(Y14*$K$2)</f>
        <v>1.0200805959195232</v>
      </c>
    </row>
    <row r="17" spans="1:26" x14ac:dyDescent="0.25">
      <c r="A17" t="s">
        <v>0</v>
      </c>
      <c r="B17" s="20">
        <v>40784.583333333336</v>
      </c>
    </row>
    <row r="18" spans="1:26" x14ac:dyDescent="0.25">
      <c r="A18" s="1" t="s">
        <v>1</v>
      </c>
      <c r="B18">
        <v>1</v>
      </c>
      <c r="C18">
        <v>2</v>
      </c>
      <c r="D18">
        <v>3</v>
      </c>
      <c r="E18">
        <v>4</v>
      </c>
      <c r="F18">
        <v>5</v>
      </c>
      <c r="G18">
        <v>6</v>
      </c>
      <c r="H18">
        <v>7</v>
      </c>
      <c r="I18">
        <v>8</v>
      </c>
      <c r="J18">
        <v>9</v>
      </c>
      <c r="K18">
        <v>10</v>
      </c>
      <c r="L18">
        <v>11</v>
      </c>
      <c r="M18">
        <v>12</v>
      </c>
      <c r="N18">
        <v>13</v>
      </c>
      <c r="O18">
        <v>14</v>
      </c>
      <c r="P18">
        <v>15</v>
      </c>
      <c r="Q18">
        <v>16</v>
      </c>
      <c r="R18">
        <v>17</v>
      </c>
      <c r="S18">
        <v>18</v>
      </c>
      <c r="T18">
        <v>19</v>
      </c>
      <c r="U18">
        <v>20</v>
      </c>
    </row>
    <row r="19" spans="1:26" x14ac:dyDescent="0.25">
      <c r="A19" t="s">
        <v>2</v>
      </c>
      <c r="B19">
        <v>26</v>
      </c>
      <c r="C19">
        <v>36</v>
      </c>
      <c r="D19">
        <v>42</v>
      </c>
      <c r="E19">
        <v>45</v>
      </c>
      <c r="F19">
        <v>46</v>
      </c>
      <c r="G19">
        <v>48</v>
      </c>
      <c r="H19">
        <v>48</v>
      </c>
      <c r="I19">
        <v>50</v>
      </c>
      <c r="J19">
        <v>50</v>
      </c>
      <c r="K19">
        <v>53</v>
      </c>
      <c r="L19">
        <v>54</v>
      </c>
      <c r="M19">
        <v>54</v>
      </c>
      <c r="N19">
        <v>55</v>
      </c>
      <c r="O19">
        <v>54</v>
      </c>
      <c r="P19">
        <v>55</v>
      </c>
      <c r="Q19">
        <v>56</v>
      </c>
      <c r="R19">
        <v>56</v>
      </c>
      <c r="S19">
        <v>56</v>
      </c>
      <c r="T19">
        <v>56</v>
      </c>
      <c r="U19">
        <v>56</v>
      </c>
      <c r="W19">
        <v>8</v>
      </c>
      <c r="X19">
        <v>22</v>
      </c>
      <c r="Y19">
        <v>48</v>
      </c>
      <c r="Z19">
        <v>66</v>
      </c>
    </row>
    <row r="20" spans="1:26" x14ac:dyDescent="0.25">
      <c r="A20" t="s">
        <v>16</v>
      </c>
      <c r="B20">
        <f>(B19/(0.366*9.81))/20</f>
        <v>0.36207059819633136</v>
      </c>
      <c r="C20">
        <f t="shared" ref="C20" si="3">(C19/(0.366*9.81))/20</f>
        <v>0.5013285205795357</v>
      </c>
      <c r="D20">
        <f t="shared" ref="D20" si="4">(D19/(0.366*9.81))/20</f>
        <v>0.58488327400945839</v>
      </c>
      <c r="E20">
        <f t="shared" ref="E20" si="5">(E19/(0.366*9.81))/20</f>
        <v>0.62666065072441968</v>
      </c>
      <c r="F20">
        <f t="shared" ref="F20" si="6">(F19/(0.366*9.81))/20</f>
        <v>0.64058644296274014</v>
      </c>
      <c r="G20">
        <f t="shared" ref="G20" si="7">(G19/(0.366*9.81))/20</f>
        <v>0.66843802743938097</v>
      </c>
      <c r="H20">
        <f t="shared" ref="H20" si="8">(H19/(0.366*9.81))/20</f>
        <v>0.66843802743938097</v>
      </c>
      <c r="I20">
        <f t="shared" ref="I20" si="9">(I19/(0.366*9.81))/20</f>
        <v>0.69628961191602179</v>
      </c>
      <c r="J20">
        <f t="shared" ref="J20" si="10">(J19/(0.366*9.81))/20</f>
        <v>0.69628961191602179</v>
      </c>
      <c r="K20">
        <f t="shared" ref="K20" si="11">(K19/(0.366*9.81))/20</f>
        <v>0.73806698863098319</v>
      </c>
      <c r="L20">
        <f t="shared" ref="L20" si="12">(L19/(0.366*9.81))/20</f>
        <v>0.75199278086930366</v>
      </c>
      <c r="M20">
        <f t="shared" ref="M20" si="13">(M19/(0.366*9.81))/20</f>
        <v>0.75199278086930366</v>
      </c>
      <c r="N20">
        <f t="shared" ref="N20" si="14">(N19/(0.366*9.81))/20</f>
        <v>0.76591857310762401</v>
      </c>
      <c r="O20">
        <f t="shared" ref="O20" si="15">(O19/(0.366*9.81))/20</f>
        <v>0.75199278086930366</v>
      </c>
      <c r="P20">
        <f t="shared" ref="P20" si="16">(P19/(0.366*9.81))/20</f>
        <v>0.76591857310762401</v>
      </c>
      <c r="Q20">
        <f t="shared" ref="Q20" si="17">(Q19/(0.366*9.81))/20</f>
        <v>0.77984436534594448</v>
      </c>
      <c r="R20">
        <f t="shared" ref="R20" si="18">(R19/(0.366*9.81))/20</f>
        <v>0.77984436534594448</v>
      </c>
      <c r="S20">
        <f t="shared" ref="S20" si="19">(S19/(0.366*9.81))/20</f>
        <v>0.77984436534594448</v>
      </c>
      <c r="T20">
        <f t="shared" ref="T20" si="20">(T19/(0.366*9.81))/20</f>
        <v>0.77984436534594448</v>
      </c>
      <c r="U20">
        <f>(U19/(0.366*9.81))/20</f>
        <v>0.77984436534594448</v>
      </c>
    </row>
    <row r="21" spans="1:26" x14ac:dyDescent="0.25">
      <c r="A21" t="s">
        <v>13</v>
      </c>
      <c r="G21">
        <v>28.667000000000002</v>
      </c>
      <c r="K21" s="3"/>
      <c r="L21">
        <v>51.5</v>
      </c>
      <c r="U21">
        <f>(100+96+100)/3</f>
        <v>98.666666666666671</v>
      </c>
      <c r="W21">
        <f>(96+98+99)/3</f>
        <v>97.666666666666671</v>
      </c>
      <c r="X21">
        <f>(95+98+97.5)/3</f>
        <v>96.833333333333329</v>
      </c>
      <c r="Y21">
        <f>(96+90+95)/3</f>
        <v>93.666666666666671</v>
      </c>
      <c r="Z21">
        <f>(92+88+92)/3</f>
        <v>90.666666666666671</v>
      </c>
    </row>
    <row r="22" spans="1:26" x14ac:dyDescent="0.25">
      <c r="A22" t="s">
        <v>14</v>
      </c>
      <c r="B22" s="4"/>
      <c r="C22" s="4"/>
      <c r="D22" s="4"/>
      <c r="E22" s="4"/>
      <c r="F22" s="4"/>
      <c r="G22" s="4">
        <f>((G18-1)*0.63*7.8)/G21</f>
        <v>0.85708305717375377</v>
      </c>
      <c r="H22" s="4"/>
      <c r="I22" s="4"/>
      <c r="J22" s="4"/>
      <c r="K22" s="4"/>
      <c r="L22" s="4">
        <f>((L18-1)*0.63*7.8)/L21</f>
        <v>0.95417475728155343</v>
      </c>
      <c r="M22" s="4"/>
      <c r="N22" s="4"/>
      <c r="O22" s="4"/>
      <c r="P22" s="4"/>
      <c r="Q22" s="4"/>
      <c r="R22" s="4"/>
      <c r="S22" s="4"/>
      <c r="T22" s="4"/>
      <c r="U22" s="4">
        <f>((U18-1)*$K$1*$E$1)/U21</f>
        <v>0.94426379487145029</v>
      </c>
      <c r="W22" s="4">
        <f>(($E$2-1)*(U18-1)*$H$1*$K$1*$E$1*$E$1)/(W21*$K$2)</f>
        <v>0.95393202485306938</v>
      </c>
      <c r="X22" s="4">
        <f>(($E$2-1)*(U18-1)*$H$1*$K$1*$E$1*$E$1)/(X21*$K$2)</f>
        <v>0.96214142265731284</v>
      </c>
      <c r="Y22" s="4">
        <f>(($E$2-1)*(U18-1)*$H$1*$K$1*$E$1*$E$1)/(Y21*$K$2)</f>
        <v>0.99466933552295123</v>
      </c>
      <c r="Z22" s="4">
        <f>(($E$2-1)*(U18-1)*$H$1*$K$1*$E$1*$E$1)/(Z21*$K$2)</f>
        <v>1.0275811885365784</v>
      </c>
    </row>
    <row r="24" spans="1:26" x14ac:dyDescent="0.25">
      <c r="A24" t="s">
        <v>0</v>
      </c>
      <c r="B24" s="20">
        <v>40784.46875</v>
      </c>
    </row>
    <row r="25" spans="1:26" x14ac:dyDescent="0.25">
      <c r="A25" s="1" t="s">
        <v>1</v>
      </c>
      <c r="B25">
        <v>1</v>
      </c>
      <c r="C25">
        <v>2</v>
      </c>
      <c r="D25">
        <v>3</v>
      </c>
      <c r="E25">
        <v>4</v>
      </c>
      <c r="F25">
        <v>5</v>
      </c>
      <c r="G25">
        <v>6</v>
      </c>
      <c r="H25">
        <v>7</v>
      </c>
      <c r="I25">
        <v>8</v>
      </c>
      <c r="J25">
        <v>9</v>
      </c>
      <c r="K25">
        <v>10</v>
      </c>
      <c r="L25">
        <v>11</v>
      </c>
      <c r="M25">
        <v>12</v>
      </c>
      <c r="N25">
        <v>13</v>
      </c>
      <c r="O25">
        <v>14</v>
      </c>
      <c r="P25">
        <v>15</v>
      </c>
      <c r="Q25">
        <v>16</v>
      </c>
      <c r="R25">
        <v>17</v>
      </c>
      <c r="S25">
        <v>18</v>
      </c>
      <c r="T25">
        <v>19</v>
      </c>
      <c r="U25">
        <v>20</v>
      </c>
    </row>
    <row r="26" spans="1:26" x14ac:dyDescent="0.25">
      <c r="A26" t="s">
        <v>2</v>
      </c>
      <c r="B26">
        <v>34</v>
      </c>
      <c r="C26">
        <v>42</v>
      </c>
      <c r="D26">
        <v>50</v>
      </c>
      <c r="E26">
        <v>55</v>
      </c>
      <c r="F26">
        <v>61</v>
      </c>
      <c r="G26">
        <v>65</v>
      </c>
      <c r="H26">
        <v>67</v>
      </c>
      <c r="I26">
        <v>70</v>
      </c>
      <c r="J26">
        <v>72</v>
      </c>
      <c r="K26">
        <v>74</v>
      </c>
      <c r="L26">
        <v>80</v>
      </c>
      <c r="M26">
        <v>81</v>
      </c>
      <c r="N26">
        <v>82</v>
      </c>
      <c r="O26">
        <v>83</v>
      </c>
      <c r="P26">
        <v>83</v>
      </c>
      <c r="Q26">
        <v>85</v>
      </c>
      <c r="R26">
        <v>85</v>
      </c>
      <c r="S26">
        <v>87</v>
      </c>
      <c r="T26">
        <v>88</v>
      </c>
      <c r="U26">
        <v>89</v>
      </c>
    </row>
    <row r="27" spans="1:26" x14ac:dyDescent="0.25">
      <c r="A27" t="s">
        <v>16</v>
      </c>
      <c r="B27">
        <f>(B26/(0.366*9.81))/20</f>
        <v>0.47347693610289487</v>
      </c>
      <c r="C27">
        <f t="shared" ref="C27" si="21">(C26/(0.366*9.81))/20</f>
        <v>0.58488327400945839</v>
      </c>
      <c r="D27">
        <f t="shared" ref="D27" si="22">(D26/(0.366*9.81))/20</f>
        <v>0.69628961191602179</v>
      </c>
      <c r="E27">
        <f t="shared" ref="E27" si="23">(E26/(0.366*9.81))/20</f>
        <v>0.76591857310762401</v>
      </c>
      <c r="F27">
        <f t="shared" ref="F27" si="24">(F26/(0.366*9.81))/20</f>
        <v>0.8494733265375467</v>
      </c>
      <c r="G27">
        <f t="shared" ref="G27" si="25">(G26/(0.366*9.81))/20</f>
        <v>0.90517649549082846</v>
      </c>
      <c r="H27">
        <f t="shared" ref="H27" si="26">(H26/(0.366*9.81))/20</f>
        <v>0.93302807996746928</v>
      </c>
      <c r="I27">
        <f t="shared" ref="I27" si="27">(I26/(0.366*9.81))/20</f>
        <v>0.97480545668243068</v>
      </c>
      <c r="J27">
        <f t="shared" ref="J27" si="28">(J26/(0.366*9.81))/20</f>
        <v>1.0026570411590714</v>
      </c>
      <c r="K27">
        <f t="shared" ref="K27" si="29">(K26/(0.366*9.81))/20</f>
        <v>1.0305086256357123</v>
      </c>
      <c r="L27">
        <f t="shared" ref="L27" si="30">(L26/(0.366*9.81))/20</f>
        <v>1.1140633790656351</v>
      </c>
      <c r="M27">
        <f t="shared" ref="M27" si="31">(M26/(0.366*9.81))/20</f>
        <v>1.1279891713039554</v>
      </c>
      <c r="N27">
        <f t="shared" ref="N27" si="32">(N26/(0.366*9.81))/20</f>
        <v>1.1419149635422758</v>
      </c>
      <c r="O27">
        <f t="shared" ref="O27" si="33">(O26/(0.366*9.81))/20</f>
        <v>1.1558407557805963</v>
      </c>
      <c r="P27">
        <f t="shared" ref="P27" si="34">(P26/(0.366*9.81))/20</f>
        <v>1.1558407557805963</v>
      </c>
      <c r="Q27">
        <f t="shared" ref="Q27" si="35">(Q26/(0.366*9.81))/20</f>
        <v>1.1836923402572372</v>
      </c>
      <c r="R27">
        <f t="shared" ref="R27" si="36">(R26/(0.366*9.81))/20</f>
        <v>1.1836923402572372</v>
      </c>
      <c r="S27">
        <f t="shared" ref="S27" si="37">(S26/(0.366*9.81))/20</f>
        <v>1.2115439247338782</v>
      </c>
      <c r="T27">
        <f t="shared" ref="T27" si="38">(T26/(0.366*9.81))/20</f>
        <v>1.2254697169721984</v>
      </c>
      <c r="U27">
        <f>(U26/(0.366*9.81))/20</f>
        <v>1.2393955092105189</v>
      </c>
    </row>
    <row r="28" spans="1:26" x14ac:dyDescent="0.25">
      <c r="A28" t="s">
        <v>17</v>
      </c>
      <c r="B28">
        <f>B27-(2.5/20)</f>
        <v>0.34847693610289487</v>
      </c>
      <c r="C28">
        <f t="shared" ref="C28:U28" si="39">C27-(2.5/20)</f>
        <v>0.45988327400945839</v>
      </c>
      <c r="D28">
        <f t="shared" si="39"/>
        <v>0.57128961191602179</v>
      </c>
      <c r="E28">
        <f t="shared" si="39"/>
        <v>0.64091857310762401</v>
      </c>
      <c r="F28">
        <f t="shared" si="39"/>
        <v>0.7244733265375467</v>
      </c>
      <c r="G28">
        <f t="shared" si="39"/>
        <v>0.78017649549082846</v>
      </c>
      <c r="H28">
        <f t="shared" si="39"/>
        <v>0.80802807996746928</v>
      </c>
      <c r="I28">
        <f t="shared" si="39"/>
        <v>0.84980545668243068</v>
      </c>
      <c r="J28">
        <f t="shared" si="39"/>
        <v>0.87765704115907139</v>
      </c>
      <c r="K28">
        <f t="shared" si="39"/>
        <v>0.90550862563571233</v>
      </c>
      <c r="L28">
        <f t="shared" si="39"/>
        <v>0.98906337906563513</v>
      </c>
      <c r="M28">
        <f t="shared" si="39"/>
        <v>1.0029891713039554</v>
      </c>
      <c r="N28">
        <f t="shared" si="39"/>
        <v>1.0169149635422758</v>
      </c>
      <c r="O28">
        <f t="shared" si="39"/>
        <v>1.0308407557805963</v>
      </c>
      <c r="P28">
        <f t="shared" si="39"/>
        <v>1.0308407557805963</v>
      </c>
      <c r="Q28">
        <f t="shared" si="39"/>
        <v>1.0586923402572372</v>
      </c>
      <c r="R28">
        <f t="shared" si="39"/>
        <v>1.0586923402572372</v>
      </c>
      <c r="S28">
        <f t="shared" si="39"/>
        <v>1.0865439247338782</v>
      </c>
      <c r="T28">
        <f t="shared" si="39"/>
        <v>1.1004697169721984</v>
      </c>
      <c r="U28">
        <f t="shared" si="39"/>
        <v>1.1143955092105189</v>
      </c>
      <c r="V28" t="s">
        <v>18</v>
      </c>
    </row>
    <row r="29" spans="1:26" x14ac:dyDescent="0.25">
      <c r="A29" t="s">
        <v>13</v>
      </c>
      <c r="K29" s="3"/>
      <c r="U29">
        <f>(96+97+97)/3</f>
        <v>96.666666666666671</v>
      </c>
    </row>
    <row r="30" spans="1:26" x14ac:dyDescent="0.25">
      <c r="A30" t="s">
        <v>14</v>
      </c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>
        <f>((U25-1)*$K$1*$E$1)/U29</f>
        <v>0.96380028717913546</v>
      </c>
      <c r="W30" s="4"/>
      <c r="X30" s="4"/>
      <c r="Y30" s="4"/>
      <c r="Z30" s="4"/>
    </row>
    <row r="32" spans="1:26" x14ac:dyDescent="0.25">
      <c r="A32" t="s">
        <v>0</v>
      </c>
      <c r="B32" s="20">
        <v>40780.666666666664</v>
      </c>
    </row>
    <row r="33" spans="1:22" x14ac:dyDescent="0.25">
      <c r="A33" s="1" t="s">
        <v>1</v>
      </c>
      <c r="B33">
        <v>1</v>
      </c>
      <c r="C33">
        <v>2</v>
      </c>
      <c r="D33">
        <v>3</v>
      </c>
      <c r="E33">
        <v>4</v>
      </c>
      <c r="F33">
        <v>5</v>
      </c>
      <c r="G33">
        <v>6</v>
      </c>
      <c r="H33">
        <v>7</v>
      </c>
      <c r="I33">
        <v>8</v>
      </c>
      <c r="J33">
        <v>9</v>
      </c>
      <c r="K33">
        <v>10</v>
      </c>
      <c r="L33">
        <v>11</v>
      </c>
      <c r="M33">
        <v>12</v>
      </c>
      <c r="N33">
        <v>13</v>
      </c>
      <c r="O33">
        <v>14</v>
      </c>
      <c r="P33">
        <v>15</v>
      </c>
      <c r="Q33">
        <v>16</v>
      </c>
      <c r="R33">
        <v>17</v>
      </c>
      <c r="S33">
        <v>18</v>
      </c>
      <c r="T33">
        <v>19</v>
      </c>
      <c r="U33">
        <v>20</v>
      </c>
    </row>
    <row r="34" spans="1:22" x14ac:dyDescent="0.25">
      <c r="A34" t="s">
        <v>2</v>
      </c>
      <c r="B34">
        <v>24</v>
      </c>
      <c r="C34">
        <v>32</v>
      </c>
      <c r="D34">
        <v>37</v>
      </c>
      <c r="E34">
        <v>44</v>
      </c>
      <c r="F34">
        <v>49</v>
      </c>
      <c r="G34">
        <v>52</v>
      </c>
      <c r="H34">
        <v>55</v>
      </c>
      <c r="I34">
        <v>56</v>
      </c>
      <c r="J34">
        <v>58</v>
      </c>
      <c r="K34">
        <v>60</v>
      </c>
      <c r="L34">
        <v>60</v>
      </c>
      <c r="M34">
        <v>61</v>
      </c>
      <c r="N34">
        <v>61</v>
      </c>
      <c r="O34">
        <v>62</v>
      </c>
      <c r="P34">
        <v>62</v>
      </c>
      <c r="Q34">
        <v>64</v>
      </c>
      <c r="R34">
        <v>64</v>
      </c>
      <c r="S34">
        <v>64</v>
      </c>
      <c r="T34">
        <v>64</v>
      </c>
      <c r="U34">
        <v>65</v>
      </c>
    </row>
    <row r="35" spans="1:22" x14ac:dyDescent="0.25">
      <c r="A35" t="s">
        <v>16</v>
      </c>
      <c r="B35">
        <f>(B34/(0.366*9.81))/20</f>
        <v>0.33421901371969048</v>
      </c>
      <c r="C35">
        <f t="shared" ref="C35" si="40">(C34/(0.366*9.81))/20</f>
        <v>0.44562535162625394</v>
      </c>
      <c r="D35">
        <f t="shared" ref="D35" si="41">(D34/(0.366*9.81))/20</f>
        <v>0.51525431281785616</v>
      </c>
      <c r="E35">
        <f t="shared" ref="E35" si="42">(E34/(0.366*9.81))/20</f>
        <v>0.61273485848609921</v>
      </c>
      <c r="F35">
        <f t="shared" ref="F35" si="43">(F34/(0.366*9.81))/20</f>
        <v>0.68236381967770143</v>
      </c>
      <c r="G35">
        <f t="shared" ref="G35" si="44">(G34/(0.366*9.81))/20</f>
        <v>0.72414119639266272</v>
      </c>
      <c r="H35">
        <f t="shared" ref="H35" si="45">(H34/(0.366*9.81))/20</f>
        <v>0.76591857310762401</v>
      </c>
      <c r="I35">
        <f t="shared" ref="I35" si="46">(I34/(0.366*9.81))/20</f>
        <v>0.77984436534594448</v>
      </c>
      <c r="J35">
        <f t="shared" ref="J35" si="47">(J34/(0.366*9.81))/20</f>
        <v>0.80769594982258541</v>
      </c>
      <c r="K35">
        <f t="shared" ref="K35" si="48">(K34/(0.366*9.81))/20</f>
        <v>0.83554753429922624</v>
      </c>
      <c r="L35">
        <f t="shared" ref="L35" si="49">(L34/(0.366*9.81))/20</f>
        <v>0.83554753429922624</v>
      </c>
      <c r="M35">
        <f t="shared" ref="M35" si="50">(M34/(0.366*9.81))/20</f>
        <v>0.8494733265375467</v>
      </c>
      <c r="N35">
        <f t="shared" ref="N35" si="51">(N34/(0.366*9.81))/20</f>
        <v>0.8494733265375467</v>
      </c>
      <c r="O35">
        <f t="shared" ref="O35" si="52">(O34/(0.366*9.81))/20</f>
        <v>0.86339911877586706</v>
      </c>
      <c r="P35">
        <f t="shared" ref="P35" si="53">(P34/(0.366*9.81))/20</f>
        <v>0.86339911877586706</v>
      </c>
      <c r="Q35">
        <f t="shared" ref="Q35" si="54">(Q34/(0.366*9.81))/20</f>
        <v>0.89125070325250788</v>
      </c>
      <c r="R35">
        <f t="shared" ref="R35" si="55">(R34/(0.366*9.81))/20</f>
        <v>0.89125070325250788</v>
      </c>
      <c r="S35">
        <f t="shared" ref="S35" si="56">(S34/(0.366*9.81))/20</f>
        <v>0.89125070325250788</v>
      </c>
      <c r="T35">
        <f t="shared" ref="T35" si="57">(T34/(0.366*9.81))/20</f>
        <v>0.89125070325250788</v>
      </c>
      <c r="U35">
        <f>(U34/(0.366*9.81))/20</f>
        <v>0.90517649549082846</v>
      </c>
    </row>
    <row r="36" spans="1:22" x14ac:dyDescent="0.25">
      <c r="A36" t="s">
        <v>13</v>
      </c>
      <c r="K36" s="3"/>
      <c r="U36">
        <f>(94+94+94)/3</f>
        <v>94</v>
      </c>
      <c r="V36" t="s">
        <v>15</v>
      </c>
    </row>
    <row r="37" spans="1:22" x14ac:dyDescent="0.25">
      <c r="A37" t="s">
        <v>14</v>
      </c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>
        <f>((U33-1)*$K$1*$E$1)/U36</f>
        <v>0.99114213929769257</v>
      </c>
    </row>
    <row r="42" spans="1:22" x14ac:dyDescent="0.25">
      <c r="A42" t="s">
        <v>0</v>
      </c>
      <c r="B42" s="20">
        <v>40749</v>
      </c>
    </row>
    <row r="43" spans="1:22" x14ac:dyDescent="0.25">
      <c r="A43" t="s">
        <v>19</v>
      </c>
      <c r="B43">
        <v>1</v>
      </c>
      <c r="C43">
        <v>2</v>
      </c>
      <c r="D43">
        <v>3</v>
      </c>
      <c r="E43">
        <v>4</v>
      </c>
      <c r="F43">
        <v>5</v>
      </c>
      <c r="G43">
        <v>6</v>
      </c>
      <c r="H43">
        <v>7</v>
      </c>
      <c r="I43">
        <v>8</v>
      </c>
      <c r="J43">
        <v>9</v>
      </c>
      <c r="K43">
        <v>10</v>
      </c>
      <c r="L43">
        <v>11</v>
      </c>
      <c r="M43">
        <v>12</v>
      </c>
      <c r="N43">
        <v>13</v>
      </c>
      <c r="O43">
        <v>14</v>
      </c>
      <c r="P43">
        <v>15</v>
      </c>
      <c r="Q43">
        <v>16</v>
      </c>
      <c r="R43">
        <v>17</v>
      </c>
      <c r="S43">
        <v>18</v>
      </c>
      <c r="T43">
        <v>19</v>
      </c>
      <c r="U43">
        <v>20</v>
      </c>
    </row>
    <row r="44" spans="1:22" x14ac:dyDescent="0.25">
      <c r="A44" t="s">
        <v>20</v>
      </c>
      <c r="B44">
        <v>23</v>
      </c>
      <c r="C44">
        <v>35</v>
      </c>
      <c r="D44">
        <v>42</v>
      </c>
      <c r="E44">
        <v>47</v>
      </c>
      <c r="F44">
        <v>53</v>
      </c>
      <c r="G44">
        <v>58</v>
      </c>
      <c r="H44">
        <v>63</v>
      </c>
      <c r="I44">
        <v>72</v>
      </c>
      <c r="J44">
        <v>75</v>
      </c>
      <c r="K44">
        <v>77</v>
      </c>
      <c r="L44">
        <v>80</v>
      </c>
      <c r="M44">
        <v>84</v>
      </c>
      <c r="N44">
        <v>84</v>
      </c>
      <c r="O44">
        <v>85</v>
      </c>
      <c r="P44">
        <v>87</v>
      </c>
      <c r="Q44">
        <v>88</v>
      </c>
      <c r="R44">
        <v>90</v>
      </c>
      <c r="S44">
        <v>91</v>
      </c>
      <c r="T44">
        <v>91</v>
      </c>
      <c r="U44">
        <v>92</v>
      </c>
    </row>
    <row r="45" spans="1:22" x14ac:dyDescent="0.25">
      <c r="A45" t="s">
        <v>16</v>
      </c>
      <c r="B45">
        <f>(B44/(0.366*9.81))/20</f>
        <v>0.32029322148137007</v>
      </c>
      <c r="C45">
        <f t="shared" ref="C45:U45" si="58">(C44/(0.366*9.81))/20</f>
        <v>0.48740272834121534</v>
      </c>
      <c r="D45">
        <f t="shared" si="58"/>
        <v>0.58488327400945839</v>
      </c>
      <c r="E45">
        <f t="shared" si="58"/>
        <v>0.65451223520106061</v>
      </c>
      <c r="F45">
        <f t="shared" si="58"/>
        <v>0.73806698863098319</v>
      </c>
      <c r="G45">
        <f t="shared" si="58"/>
        <v>0.80769594982258541</v>
      </c>
      <c r="H45">
        <f t="shared" si="58"/>
        <v>0.87732491101418764</v>
      </c>
      <c r="I45">
        <f t="shared" si="58"/>
        <v>1.0026570411590714</v>
      </c>
      <c r="J45">
        <f t="shared" si="58"/>
        <v>1.0444344178740328</v>
      </c>
      <c r="K45">
        <f t="shared" si="58"/>
        <v>1.0722860023506737</v>
      </c>
      <c r="L45">
        <f t="shared" si="58"/>
        <v>1.1140633790656351</v>
      </c>
      <c r="M45">
        <f t="shared" si="58"/>
        <v>1.1697665480189168</v>
      </c>
      <c r="N45">
        <f t="shared" si="58"/>
        <v>1.1697665480189168</v>
      </c>
      <c r="O45">
        <f t="shared" si="58"/>
        <v>1.1836923402572372</v>
      </c>
      <c r="P45">
        <f t="shared" si="58"/>
        <v>1.2115439247338782</v>
      </c>
      <c r="Q45">
        <f t="shared" si="58"/>
        <v>1.2254697169721984</v>
      </c>
      <c r="R45">
        <f t="shared" si="58"/>
        <v>1.2533213014488394</v>
      </c>
      <c r="S45">
        <f t="shared" si="58"/>
        <v>1.2672470936871598</v>
      </c>
      <c r="T45">
        <f t="shared" si="58"/>
        <v>1.2672470936871598</v>
      </c>
      <c r="U45">
        <f t="shared" si="58"/>
        <v>1.2811728859254803</v>
      </c>
    </row>
    <row r="46" spans="1:22" x14ac:dyDescent="0.25">
      <c r="A46" t="s">
        <v>13</v>
      </c>
      <c r="U46">
        <v>93</v>
      </c>
    </row>
    <row r="47" spans="1:22" x14ac:dyDescent="0.25">
      <c r="A47" t="s">
        <v>14</v>
      </c>
      <c r="U47" s="4">
        <f>((U43-1)*$K$1*$E$1)/U46</f>
        <v>1.0017995816557324</v>
      </c>
    </row>
    <row r="52" spans="1:21" x14ac:dyDescent="0.25">
      <c r="A52" t="s">
        <v>0</v>
      </c>
      <c r="B52" s="20">
        <v>40813</v>
      </c>
    </row>
    <row r="53" spans="1:21" x14ac:dyDescent="0.25">
      <c r="A53" s="1" t="s">
        <v>1</v>
      </c>
      <c r="B53">
        <v>1</v>
      </c>
      <c r="C53">
        <v>2</v>
      </c>
      <c r="D53">
        <v>3</v>
      </c>
      <c r="E53">
        <v>4</v>
      </c>
      <c r="F53">
        <v>5</v>
      </c>
      <c r="G53">
        <v>6</v>
      </c>
      <c r="H53">
        <v>7</v>
      </c>
      <c r="I53">
        <v>8</v>
      </c>
      <c r="J53">
        <v>9</v>
      </c>
      <c r="K53">
        <v>10</v>
      </c>
      <c r="L53">
        <v>11</v>
      </c>
      <c r="M53">
        <v>12</v>
      </c>
      <c r="N53">
        <v>13</v>
      </c>
      <c r="O53">
        <v>14</v>
      </c>
      <c r="P53">
        <v>15</v>
      </c>
      <c r="Q53">
        <v>16</v>
      </c>
      <c r="R53">
        <v>17</v>
      </c>
      <c r="S53">
        <v>18</v>
      </c>
      <c r="T53">
        <v>19</v>
      </c>
      <c r="U53">
        <v>20</v>
      </c>
    </row>
    <row r="54" spans="1:21" x14ac:dyDescent="0.25">
      <c r="A54" t="s">
        <v>2</v>
      </c>
      <c r="B54">
        <v>31</v>
      </c>
      <c r="C54">
        <v>45</v>
      </c>
      <c r="D54">
        <v>54</v>
      </c>
      <c r="E54">
        <v>60</v>
      </c>
      <c r="F54">
        <v>68</v>
      </c>
      <c r="G54">
        <v>71</v>
      </c>
      <c r="H54">
        <v>74</v>
      </c>
      <c r="I54">
        <v>79</v>
      </c>
      <c r="J54">
        <v>80</v>
      </c>
      <c r="K54">
        <v>80</v>
      </c>
      <c r="L54">
        <v>83</v>
      </c>
      <c r="M54">
        <v>87</v>
      </c>
      <c r="N54">
        <v>87</v>
      </c>
      <c r="O54">
        <v>88</v>
      </c>
      <c r="P54">
        <v>89</v>
      </c>
      <c r="Q54">
        <v>89</v>
      </c>
      <c r="R54">
        <v>89</v>
      </c>
      <c r="S54">
        <v>89</v>
      </c>
      <c r="T54">
        <v>90</v>
      </c>
      <c r="U54">
        <v>91</v>
      </c>
    </row>
    <row r="55" spans="1:21" x14ac:dyDescent="0.25">
      <c r="A55" t="s">
        <v>16</v>
      </c>
      <c r="B55">
        <f>(B54/(0.366*9.81))/20</f>
        <v>0.43169955938793353</v>
      </c>
      <c r="C55">
        <f t="shared" ref="C55:T55" si="59">(C54/(0.366*9.81))/20</f>
        <v>0.62666065072441968</v>
      </c>
      <c r="D55">
        <f t="shared" si="59"/>
        <v>0.75199278086930366</v>
      </c>
      <c r="E55">
        <f t="shared" si="59"/>
        <v>0.83554753429922624</v>
      </c>
      <c r="F55">
        <f t="shared" si="59"/>
        <v>0.94695387220578975</v>
      </c>
      <c r="G55">
        <f t="shared" si="59"/>
        <v>0.98873124892075093</v>
      </c>
      <c r="H55">
        <f t="shared" si="59"/>
        <v>1.0305086256357123</v>
      </c>
      <c r="I55">
        <f t="shared" si="59"/>
        <v>1.1001375868273144</v>
      </c>
      <c r="J55">
        <f t="shared" si="59"/>
        <v>1.1140633790656351</v>
      </c>
      <c r="K55">
        <f t="shared" si="59"/>
        <v>1.1140633790656351</v>
      </c>
      <c r="L55">
        <f t="shared" si="59"/>
        <v>1.1558407557805963</v>
      </c>
      <c r="M55">
        <f t="shared" si="59"/>
        <v>1.2115439247338782</v>
      </c>
      <c r="N55">
        <f t="shared" si="59"/>
        <v>1.2115439247338782</v>
      </c>
      <c r="O55">
        <f t="shared" si="59"/>
        <v>1.2254697169721984</v>
      </c>
      <c r="P55">
        <f t="shared" si="59"/>
        <v>1.2393955092105189</v>
      </c>
      <c r="Q55">
        <f t="shared" si="59"/>
        <v>1.2393955092105189</v>
      </c>
      <c r="R55">
        <f t="shared" si="59"/>
        <v>1.2393955092105189</v>
      </c>
      <c r="S55">
        <f t="shared" si="59"/>
        <v>1.2393955092105189</v>
      </c>
      <c r="T55">
        <f t="shared" si="59"/>
        <v>1.2533213014488394</v>
      </c>
      <c r="U55">
        <f>(U54/(0.366*9.81))/20</f>
        <v>1.2672470936871598</v>
      </c>
    </row>
    <row r="56" spans="1:21" x14ac:dyDescent="0.25">
      <c r="A56" t="s">
        <v>13</v>
      </c>
      <c r="K56" s="3"/>
      <c r="U56">
        <f>(94+94+94)/3</f>
        <v>94</v>
      </c>
    </row>
    <row r="57" spans="1:21" x14ac:dyDescent="0.25">
      <c r="A57" t="s">
        <v>14</v>
      </c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>
        <f>((U53-1)*$K$1*$E$1)/U56</f>
        <v>0.99114213929769257</v>
      </c>
    </row>
    <row r="59" spans="1:21" x14ac:dyDescent="0.25">
      <c r="A59" t="s">
        <v>0</v>
      </c>
      <c r="B59" s="20">
        <v>40816.5</v>
      </c>
    </row>
    <row r="60" spans="1:21" x14ac:dyDescent="0.25">
      <c r="A60" s="1" t="s">
        <v>1</v>
      </c>
      <c r="B60">
        <v>1</v>
      </c>
      <c r="C60">
        <v>2</v>
      </c>
      <c r="D60">
        <v>3</v>
      </c>
      <c r="E60">
        <v>4</v>
      </c>
      <c r="F60">
        <v>5</v>
      </c>
      <c r="G60">
        <v>6</v>
      </c>
      <c r="H60">
        <v>7</v>
      </c>
      <c r="I60">
        <v>8</v>
      </c>
      <c r="J60">
        <v>9</v>
      </c>
      <c r="K60">
        <v>10</v>
      </c>
      <c r="L60">
        <v>11</v>
      </c>
      <c r="M60">
        <v>12</v>
      </c>
      <c r="N60">
        <v>13</v>
      </c>
      <c r="O60">
        <v>14</v>
      </c>
      <c r="P60">
        <v>15</v>
      </c>
      <c r="Q60">
        <v>16</v>
      </c>
      <c r="R60">
        <v>17</v>
      </c>
      <c r="S60">
        <v>18</v>
      </c>
      <c r="T60">
        <v>19</v>
      </c>
      <c r="U60">
        <v>20</v>
      </c>
    </row>
    <row r="61" spans="1:21" x14ac:dyDescent="0.25">
      <c r="A61" t="s">
        <v>2</v>
      </c>
      <c r="B61">
        <v>30</v>
      </c>
      <c r="C61">
        <v>41</v>
      </c>
      <c r="D61">
        <v>52</v>
      </c>
      <c r="E61">
        <v>58</v>
      </c>
      <c r="F61">
        <v>63</v>
      </c>
      <c r="G61">
        <v>64</v>
      </c>
      <c r="H61">
        <v>65</v>
      </c>
      <c r="I61">
        <v>65</v>
      </c>
      <c r="J61">
        <v>66</v>
      </c>
      <c r="K61">
        <v>66</v>
      </c>
      <c r="L61">
        <v>67</v>
      </c>
      <c r="M61">
        <v>68</v>
      </c>
      <c r="N61">
        <v>70</v>
      </c>
      <c r="O61">
        <v>70</v>
      </c>
      <c r="P61">
        <v>70</v>
      </c>
      <c r="Q61">
        <v>71</v>
      </c>
      <c r="R61">
        <v>71</v>
      </c>
      <c r="S61">
        <v>72</v>
      </c>
      <c r="T61">
        <v>72</v>
      </c>
      <c r="U61">
        <v>72</v>
      </c>
    </row>
    <row r="62" spans="1:21" x14ac:dyDescent="0.25">
      <c r="A62" t="s">
        <v>16</v>
      </c>
      <c r="B62">
        <f>(B61/(0.366*9.81))/20</f>
        <v>0.41777376714961312</v>
      </c>
      <c r="C62">
        <f t="shared" ref="C62:T62" si="60">(C61/(0.366*9.81))/20</f>
        <v>0.57095748177113792</v>
      </c>
      <c r="D62">
        <f t="shared" si="60"/>
        <v>0.72414119639266272</v>
      </c>
      <c r="E62">
        <f t="shared" si="60"/>
        <v>0.80769594982258541</v>
      </c>
      <c r="F62">
        <f t="shared" si="60"/>
        <v>0.87732491101418764</v>
      </c>
      <c r="G62">
        <f t="shared" si="60"/>
        <v>0.89125070325250788</v>
      </c>
      <c r="H62">
        <f t="shared" si="60"/>
        <v>0.90517649549082846</v>
      </c>
      <c r="I62">
        <f t="shared" si="60"/>
        <v>0.90517649549082846</v>
      </c>
      <c r="J62">
        <f t="shared" si="60"/>
        <v>0.91910228772914881</v>
      </c>
      <c r="K62">
        <f t="shared" si="60"/>
        <v>0.91910228772914881</v>
      </c>
      <c r="L62">
        <f t="shared" si="60"/>
        <v>0.93302807996746928</v>
      </c>
      <c r="M62">
        <f t="shared" si="60"/>
        <v>0.94695387220578975</v>
      </c>
      <c r="N62">
        <f t="shared" si="60"/>
        <v>0.97480545668243068</v>
      </c>
      <c r="O62">
        <f t="shared" si="60"/>
        <v>0.97480545668243068</v>
      </c>
      <c r="P62">
        <f t="shared" si="60"/>
        <v>0.97480545668243068</v>
      </c>
      <c r="Q62">
        <f t="shared" si="60"/>
        <v>0.98873124892075093</v>
      </c>
      <c r="R62">
        <f t="shared" si="60"/>
        <v>0.98873124892075093</v>
      </c>
      <c r="S62">
        <f t="shared" si="60"/>
        <v>1.0026570411590714</v>
      </c>
      <c r="T62">
        <f t="shared" si="60"/>
        <v>1.0026570411590714</v>
      </c>
      <c r="U62">
        <f>(U61/(0.366*9.81))/20</f>
        <v>1.0026570411590714</v>
      </c>
    </row>
    <row r="63" spans="1:21" x14ac:dyDescent="0.25">
      <c r="A63" t="s">
        <v>13</v>
      </c>
      <c r="K63" s="3"/>
      <c r="U63">
        <f>(94+94+94)/3</f>
        <v>94</v>
      </c>
    </row>
    <row r="64" spans="1:21" x14ac:dyDescent="0.25">
      <c r="A64" t="s">
        <v>14</v>
      </c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>
        <f>((U60-1)*$K$1*$E$1)/U63</f>
        <v>0.99114213929769257</v>
      </c>
    </row>
    <row r="66" spans="1:21" x14ac:dyDescent="0.25">
      <c r="A66" t="s">
        <v>0</v>
      </c>
      <c r="B66" s="20">
        <v>40816.625</v>
      </c>
    </row>
    <row r="67" spans="1:21" x14ac:dyDescent="0.25">
      <c r="A67" s="1" t="s">
        <v>1</v>
      </c>
      <c r="B67">
        <v>1</v>
      </c>
      <c r="C67">
        <v>2</v>
      </c>
      <c r="D67">
        <v>3</v>
      </c>
      <c r="E67">
        <v>4</v>
      </c>
      <c r="F67">
        <v>5</v>
      </c>
      <c r="G67">
        <v>6</v>
      </c>
      <c r="H67">
        <v>7</v>
      </c>
      <c r="I67">
        <v>8</v>
      </c>
      <c r="J67">
        <v>9</v>
      </c>
      <c r="K67">
        <v>10</v>
      </c>
      <c r="L67">
        <v>11</v>
      </c>
      <c r="M67">
        <v>12</v>
      </c>
      <c r="N67">
        <v>13</v>
      </c>
      <c r="O67">
        <v>14</v>
      </c>
      <c r="P67">
        <v>15</v>
      </c>
      <c r="Q67">
        <v>16</v>
      </c>
      <c r="R67">
        <v>17</v>
      </c>
      <c r="S67">
        <v>18</v>
      </c>
      <c r="T67">
        <v>19</v>
      </c>
      <c r="U67">
        <v>20</v>
      </c>
    </row>
    <row r="68" spans="1:21" x14ac:dyDescent="0.25">
      <c r="A68" t="s">
        <v>2</v>
      </c>
      <c r="B68">
        <v>26</v>
      </c>
      <c r="C68">
        <v>47</v>
      </c>
      <c r="D68">
        <v>53</v>
      </c>
      <c r="E68">
        <v>54</v>
      </c>
      <c r="F68">
        <v>65</v>
      </c>
      <c r="G68">
        <v>66</v>
      </c>
      <c r="H68">
        <v>66</v>
      </c>
      <c r="I68">
        <v>66</v>
      </c>
      <c r="J68">
        <v>66</v>
      </c>
      <c r="K68">
        <v>67</v>
      </c>
      <c r="L68">
        <v>66</v>
      </c>
      <c r="M68">
        <v>68</v>
      </c>
      <c r="N68">
        <v>69</v>
      </c>
      <c r="O68">
        <v>69</v>
      </c>
      <c r="P68">
        <v>70</v>
      </c>
      <c r="Q68">
        <v>70</v>
      </c>
      <c r="R68">
        <v>71</v>
      </c>
      <c r="S68">
        <v>71</v>
      </c>
      <c r="T68">
        <v>72</v>
      </c>
      <c r="U68">
        <v>72</v>
      </c>
    </row>
    <row r="69" spans="1:21" x14ac:dyDescent="0.25">
      <c r="A69" t="s">
        <v>16</v>
      </c>
      <c r="B69">
        <f>(B68/(0.366*9.81))/20</f>
        <v>0.36207059819633136</v>
      </c>
      <c r="C69">
        <f t="shared" ref="C69:T69" si="61">(C68/(0.366*9.81))/20</f>
        <v>0.65451223520106061</v>
      </c>
      <c r="D69">
        <f t="shared" si="61"/>
        <v>0.73806698863098319</v>
      </c>
      <c r="E69">
        <f t="shared" si="61"/>
        <v>0.75199278086930366</v>
      </c>
      <c r="F69">
        <f t="shared" si="61"/>
        <v>0.90517649549082846</v>
      </c>
      <c r="G69">
        <f t="shared" si="61"/>
        <v>0.91910228772914881</v>
      </c>
      <c r="H69">
        <f t="shared" si="61"/>
        <v>0.91910228772914881</v>
      </c>
      <c r="I69">
        <f t="shared" si="61"/>
        <v>0.91910228772914881</v>
      </c>
      <c r="J69">
        <f t="shared" si="61"/>
        <v>0.91910228772914881</v>
      </c>
      <c r="K69">
        <f t="shared" si="61"/>
        <v>0.93302807996746928</v>
      </c>
      <c r="L69">
        <f t="shared" si="61"/>
        <v>0.91910228772914881</v>
      </c>
      <c r="M69">
        <f t="shared" si="61"/>
        <v>0.94695387220578975</v>
      </c>
      <c r="N69">
        <f t="shared" si="61"/>
        <v>0.9608796644441101</v>
      </c>
      <c r="O69">
        <f t="shared" si="61"/>
        <v>0.9608796644441101</v>
      </c>
      <c r="P69">
        <f t="shared" si="61"/>
        <v>0.97480545668243068</v>
      </c>
      <c r="Q69">
        <f t="shared" si="61"/>
        <v>0.97480545668243068</v>
      </c>
      <c r="R69">
        <f t="shared" si="61"/>
        <v>0.98873124892075093</v>
      </c>
      <c r="S69">
        <f t="shared" si="61"/>
        <v>0.98873124892075093</v>
      </c>
      <c r="T69">
        <f t="shared" si="61"/>
        <v>1.0026570411590714</v>
      </c>
      <c r="U69">
        <f>(U68/(0.366*9.81))/20</f>
        <v>1.0026570411590714</v>
      </c>
    </row>
    <row r="70" spans="1:21" x14ac:dyDescent="0.25">
      <c r="A70" t="s">
        <v>13</v>
      </c>
      <c r="K70" s="3"/>
      <c r="U70">
        <v>96.5</v>
      </c>
    </row>
    <row r="71" spans="1:21" x14ac:dyDescent="0.25">
      <c r="A71" t="s">
        <v>14</v>
      </c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>
        <f>((U67-1)*$K$1*$E$1)/U70</f>
        <v>0.96546488180293366</v>
      </c>
    </row>
    <row r="73" spans="1:21" x14ac:dyDescent="0.25">
      <c r="A73" t="s">
        <v>0</v>
      </c>
      <c r="B73" s="20">
        <v>40819.375</v>
      </c>
    </row>
    <row r="74" spans="1:21" x14ac:dyDescent="0.25">
      <c r="A74" s="1" t="s">
        <v>1</v>
      </c>
      <c r="B74">
        <v>1</v>
      </c>
      <c r="C74">
        <v>2</v>
      </c>
      <c r="D74">
        <v>3</v>
      </c>
      <c r="E74">
        <v>4</v>
      </c>
      <c r="F74">
        <v>5</v>
      </c>
      <c r="G74">
        <v>6</v>
      </c>
      <c r="H74">
        <v>7</v>
      </c>
      <c r="I74">
        <v>8</v>
      </c>
      <c r="J74">
        <v>9</v>
      </c>
      <c r="K74">
        <v>10</v>
      </c>
      <c r="L74">
        <v>11</v>
      </c>
      <c r="M74">
        <v>12</v>
      </c>
      <c r="N74">
        <v>13</v>
      </c>
      <c r="O74">
        <v>14</v>
      </c>
      <c r="P74">
        <v>15</v>
      </c>
      <c r="Q74">
        <v>16</v>
      </c>
      <c r="R74">
        <v>17</v>
      </c>
      <c r="S74">
        <v>18</v>
      </c>
      <c r="T74">
        <v>19</v>
      </c>
      <c r="U74">
        <v>20</v>
      </c>
    </row>
    <row r="75" spans="1:21" x14ac:dyDescent="0.25">
      <c r="A75" t="s">
        <v>2</v>
      </c>
      <c r="B75">
        <v>21</v>
      </c>
      <c r="C75">
        <v>38</v>
      </c>
      <c r="D75">
        <v>44</v>
      </c>
      <c r="E75">
        <v>49</v>
      </c>
      <c r="F75">
        <v>56</v>
      </c>
      <c r="G75">
        <v>62</v>
      </c>
      <c r="H75">
        <v>66</v>
      </c>
      <c r="I75">
        <v>69</v>
      </c>
      <c r="J75">
        <v>71</v>
      </c>
      <c r="K75">
        <v>73</v>
      </c>
      <c r="L75">
        <v>75</v>
      </c>
      <c r="M75">
        <v>76</v>
      </c>
      <c r="N75">
        <v>76</v>
      </c>
      <c r="O75">
        <v>77</v>
      </c>
      <c r="P75">
        <v>78</v>
      </c>
      <c r="Q75">
        <v>80</v>
      </c>
      <c r="R75">
        <v>81</v>
      </c>
      <c r="S75">
        <v>82</v>
      </c>
      <c r="T75">
        <v>82</v>
      </c>
      <c r="U75">
        <v>83</v>
      </c>
    </row>
    <row r="76" spans="1:21" x14ac:dyDescent="0.25">
      <c r="A76" t="s">
        <v>16</v>
      </c>
      <c r="B76">
        <f>(B75/(0.366*9.81))/20</f>
        <v>0.29244163700472919</v>
      </c>
      <c r="C76">
        <f t="shared" ref="C76:T76" si="62">(C75/(0.366*9.81))/20</f>
        <v>0.52918010505617663</v>
      </c>
      <c r="D76">
        <f t="shared" si="62"/>
        <v>0.61273485848609921</v>
      </c>
      <c r="E76">
        <f t="shared" si="62"/>
        <v>0.68236381967770143</v>
      </c>
      <c r="F76">
        <f t="shared" si="62"/>
        <v>0.77984436534594448</v>
      </c>
      <c r="G76">
        <f t="shared" si="62"/>
        <v>0.86339911877586706</v>
      </c>
      <c r="H76">
        <f t="shared" si="62"/>
        <v>0.91910228772914881</v>
      </c>
      <c r="I76">
        <f t="shared" si="62"/>
        <v>0.9608796644441101</v>
      </c>
      <c r="J76">
        <f t="shared" si="62"/>
        <v>0.98873124892075093</v>
      </c>
      <c r="K76">
        <f t="shared" si="62"/>
        <v>1.0165828333973921</v>
      </c>
      <c r="L76">
        <f t="shared" si="62"/>
        <v>1.0444344178740328</v>
      </c>
      <c r="M76">
        <f t="shared" si="62"/>
        <v>1.0583602101123533</v>
      </c>
      <c r="N76">
        <f t="shared" si="62"/>
        <v>1.0583602101123533</v>
      </c>
      <c r="O76">
        <f t="shared" si="62"/>
        <v>1.0722860023506737</v>
      </c>
      <c r="P76">
        <f t="shared" si="62"/>
        <v>1.086211794588994</v>
      </c>
      <c r="Q76">
        <f t="shared" si="62"/>
        <v>1.1140633790656351</v>
      </c>
      <c r="R76">
        <f t="shared" si="62"/>
        <v>1.1279891713039554</v>
      </c>
      <c r="S76">
        <f t="shared" si="62"/>
        <v>1.1419149635422758</v>
      </c>
      <c r="T76">
        <f t="shared" si="62"/>
        <v>1.1419149635422758</v>
      </c>
      <c r="U76">
        <f>(U75/(0.366*9.81))/20</f>
        <v>1.1558407557805963</v>
      </c>
    </row>
    <row r="77" spans="1:21" x14ac:dyDescent="0.25">
      <c r="A77" t="s">
        <v>13</v>
      </c>
      <c r="K77" s="3"/>
      <c r="U77">
        <v>92.5</v>
      </c>
    </row>
    <row r="78" spans="1:21" x14ac:dyDescent="0.25">
      <c r="A78" t="s">
        <v>14</v>
      </c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>
        <f>((U74-1)*$K$1*$E$1)/U77</f>
        <v>1.0072147145295471</v>
      </c>
    </row>
    <row r="80" spans="1:21" x14ac:dyDescent="0.25">
      <c r="A80" t="s">
        <v>0</v>
      </c>
      <c r="B80" s="20">
        <v>40819.5</v>
      </c>
    </row>
    <row r="81" spans="1:21" x14ac:dyDescent="0.25">
      <c r="A81" s="1" t="s">
        <v>1</v>
      </c>
      <c r="B81">
        <v>1</v>
      </c>
      <c r="C81">
        <v>2</v>
      </c>
      <c r="D81">
        <v>3</v>
      </c>
      <c r="E81">
        <v>4</v>
      </c>
      <c r="F81">
        <v>5</v>
      </c>
      <c r="G81">
        <v>6</v>
      </c>
      <c r="H81">
        <v>7</v>
      </c>
      <c r="I81">
        <v>8</v>
      </c>
      <c r="J81">
        <v>9</v>
      </c>
      <c r="K81">
        <v>10</v>
      </c>
      <c r="L81">
        <v>11</v>
      </c>
      <c r="M81">
        <v>12</v>
      </c>
      <c r="N81">
        <v>13</v>
      </c>
      <c r="O81">
        <v>14</v>
      </c>
      <c r="P81">
        <v>15</v>
      </c>
      <c r="Q81">
        <v>16</v>
      </c>
      <c r="R81">
        <v>17</v>
      </c>
      <c r="S81">
        <v>18</v>
      </c>
      <c r="T81">
        <v>19</v>
      </c>
      <c r="U81">
        <v>20</v>
      </c>
    </row>
    <row r="82" spans="1:21" x14ac:dyDescent="0.25">
      <c r="A82" t="s">
        <v>2</v>
      </c>
      <c r="B82">
        <v>33</v>
      </c>
      <c r="C82">
        <v>40</v>
      </c>
      <c r="D82">
        <v>46</v>
      </c>
      <c r="E82">
        <v>51</v>
      </c>
      <c r="F82">
        <v>58</v>
      </c>
      <c r="G82">
        <v>65</v>
      </c>
      <c r="H82">
        <v>73</v>
      </c>
      <c r="I82">
        <v>76</v>
      </c>
      <c r="J82">
        <v>78</v>
      </c>
      <c r="K82">
        <v>81</v>
      </c>
      <c r="L82">
        <v>81</v>
      </c>
      <c r="M82">
        <v>82</v>
      </c>
      <c r="N82">
        <v>84</v>
      </c>
      <c r="O82">
        <v>85</v>
      </c>
      <c r="P82">
        <v>86</v>
      </c>
      <c r="Q82">
        <v>87</v>
      </c>
      <c r="R82">
        <v>89</v>
      </c>
      <c r="S82">
        <v>91</v>
      </c>
      <c r="T82">
        <v>92</v>
      </c>
      <c r="U82">
        <v>92</v>
      </c>
    </row>
    <row r="83" spans="1:21" x14ac:dyDescent="0.25">
      <c r="A83" t="s">
        <v>16</v>
      </c>
      <c r="B83">
        <f>(B82/(0.366*9.81))/20</f>
        <v>0.45955114386457441</v>
      </c>
      <c r="C83">
        <f t="shared" ref="C83:T83" si="63">(C82/(0.366*9.81))/20</f>
        <v>0.55703168953281756</v>
      </c>
      <c r="D83">
        <f t="shared" si="63"/>
        <v>0.64058644296274014</v>
      </c>
      <c r="E83">
        <f t="shared" si="63"/>
        <v>0.71021540415434226</v>
      </c>
      <c r="F83">
        <f t="shared" si="63"/>
        <v>0.80769594982258541</v>
      </c>
      <c r="G83">
        <f t="shared" si="63"/>
        <v>0.90517649549082846</v>
      </c>
      <c r="H83">
        <f t="shared" si="63"/>
        <v>1.0165828333973921</v>
      </c>
      <c r="I83">
        <f t="shared" si="63"/>
        <v>1.0583602101123533</v>
      </c>
      <c r="J83">
        <f t="shared" si="63"/>
        <v>1.086211794588994</v>
      </c>
      <c r="K83">
        <f t="shared" si="63"/>
        <v>1.1279891713039554</v>
      </c>
      <c r="L83">
        <f t="shared" si="63"/>
        <v>1.1279891713039554</v>
      </c>
      <c r="M83">
        <f t="shared" si="63"/>
        <v>1.1419149635422758</v>
      </c>
      <c r="N83">
        <f t="shared" si="63"/>
        <v>1.1697665480189168</v>
      </c>
      <c r="O83">
        <f t="shared" si="63"/>
        <v>1.1836923402572372</v>
      </c>
      <c r="P83">
        <f t="shared" si="63"/>
        <v>1.1976181324955575</v>
      </c>
      <c r="Q83">
        <f t="shared" si="63"/>
        <v>1.2115439247338782</v>
      </c>
      <c r="R83">
        <f t="shared" si="63"/>
        <v>1.2393955092105189</v>
      </c>
      <c r="S83">
        <f t="shared" si="63"/>
        <v>1.2672470936871598</v>
      </c>
      <c r="T83">
        <f t="shared" si="63"/>
        <v>1.2811728859254803</v>
      </c>
      <c r="U83">
        <f>(U82/(0.366*9.81))/20</f>
        <v>1.2811728859254803</v>
      </c>
    </row>
    <row r="84" spans="1:21" x14ac:dyDescent="0.25">
      <c r="A84" t="s">
        <v>13</v>
      </c>
      <c r="K84" s="3"/>
      <c r="U84">
        <v>90.666700000000006</v>
      </c>
    </row>
    <row r="85" spans="1:21" x14ac:dyDescent="0.25">
      <c r="A85" t="s">
        <v>14</v>
      </c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>
        <f>((U81-1)*$K$1*$E$1)/U84</f>
        <v>1.0275808107495155</v>
      </c>
    </row>
    <row r="87" spans="1:21" x14ac:dyDescent="0.25">
      <c r="A87" t="s">
        <v>0</v>
      </c>
      <c r="B87" s="20">
        <v>40819.625</v>
      </c>
    </row>
    <row r="88" spans="1:21" x14ac:dyDescent="0.25">
      <c r="A88" s="1" t="s">
        <v>1</v>
      </c>
      <c r="B88">
        <v>1</v>
      </c>
      <c r="C88">
        <v>2</v>
      </c>
      <c r="D88">
        <v>3</v>
      </c>
      <c r="E88">
        <v>4</v>
      </c>
      <c r="F88">
        <v>5</v>
      </c>
      <c r="G88">
        <v>6</v>
      </c>
      <c r="H88">
        <v>7</v>
      </c>
      <c r="I88">
        <v>8</v>
      </c>
      <c r="J88">
        <v>9</v>
      </c>
      <c r="K88">
        <v>10</v>
      </c>
      <c r="L88">
        <v>11</v>
      </c>
      <c r="M88">
        <v>12</v>
      </c>
      <c r="N88">
        <v>13</v>
      </c>
      <c r="O88">
        <v>14</v>
      </c>
      <c r="P88">
        <v>15</v>
      </c>
      <c r="Q88">
        <v>16</v>
      </c>
      <c r="R88">
        <v>17</v>
      </c>
      <c r="S88">
        <v>18</v>
      </c>
      <c r="T88">
        <v>19</v>
      </c>
      <c r="U88">
        <v>20</v>
      </c>
    </row>
    <row r="89" spans="1:21" x14ac:dyDescent="0.25">
      <c r="A89" t="s">
        <v>2</v>
      </c>
      <c r="B89">
        <v>28</v>
      </c>
      <c r="C89">
        <v>39</v>
      </c>
      <c r="D89">
        <v>53</v>
      </c>
      <c r="E89">
        <v>67</v>
      </c>
      <c r="F89">
        <v>73</v>
      </c>
      <c r="G89">
        <v>76</v>
      </c>
      <c r="H89">
        <v>78</v>
      </c>
      <c r="I89">
        <v>84</v>
      </c>
      <c r="J89">
        <v>86</v>
      </c>
      <c r="K89">
        <v>86</v>
      </c>
      <c r="L89">
        <v>88</v>
      </c>
      <c r="M89">
        <v>90</v>
      </c>
      <c r="N89">
        <v>89</v>
      </c>
      <c r="O89">
        <v>90</v>
      </c>
      <c r="P89">
        <v>90</v>
      </c>
      <c r="Q89">
        <v>91</v>
      </c>
      <c r="R89">
        <v>91</v>
      </c>
      <c r="S89">
        <v>91</v>
      </c>
      <c r="T89">
        <v>92</v>
      </c>
      <c r="U89">
        <v>93</v>
      </c>
    </row>
    <row r="90" spans="1:21" x14ac:dyDescent="0.25">
      <c r="A90" t="s">
        <v>16</v>
      </c>
      <c r="B90">
        <f>(B89/(0.366*9.81))/20</f>
        <v>0.38992218267297224</v>
      </c>
      <c r="C90">
        <f t="shared" ref="C90:T90" si="64">(C89/(0.366*9.81))/20</f>
        <v>0.54310589729449699</v>
      </c>
      <c r="D90">
        <f t="shared" si="64"/>
        <v>0.73806698863098319</v>
      </c>
      <c r="E90">
        <f t="shared" si="64"/>
        <v>0.93302807996746928</v>
      </c>
      <c r="F90">
        <f t="shared" si="64"/>
        <v>1.0165828333973921</v>
      </c>
      <c r="G90">
        <f t="shared" si="64"/>
        <v>1.0583602101123533</v>
      </c>
      <c r="H90">
        <f t="shared" si="64"/>
        <v>1.086211794588994</v>
      </c>
      <c r="I90">
        <f t="shared" si="64"/>
        <v>1.1697665480189168</v>
      </c>
      <c r="J90">
        <f t="shared" si="64"/>
        <v>1.1976181324955575</v>
      </c>
      <c r="K90">
        <f t="shared" si="64"/>
        <v>1.1976181324955575</v>
      </c>
      <c r="L90">
        <f t="shared" si="64"/>
        <v>1.2254697169721984</v>
      </c>
      <c r="M90">
        <f t="shared" si="64"/>
        <v>1.2533213014488394</v>
      </c>
      <c r="N90">
        <f t="shared" si="64"/>
        <v>1.2393955092105189</v>
      </c>
      <c r="O90">
        <f t="shared" si="64"/>
        <v>1.2533213014488394</v>
      </c>
      <c r="P90">
        <f t="shared" si="64"/>
        <v>1.2533213014488394</v>
      </c>
      <c r="Q90">
        <f t="shared" si="64"/>
        <v>1.2672470936871598</v>
      </c>
      <c r="R90">
        <f t="shared" si="64"/>
        <v>1.2672470936871598</v>
      </c>
      <c r="S90">
        <f t="shared" si="64"/>
        <v>1.2672470936871598</v>
      </c>
      <c r="T90">
        <f t="shared" si="64"/>
        <v>1.2811728859254803</v>
      </c>
      <c r="U90">
        <f>(U89/(0.366*9.81))/20</f>
        <v>1.2950986781638005</v>
      </c>
    </row>
    <row r="91" spans="1:21" x14ac:dyDescent="0.25">
      <c r="A91" t="s">
        <v>13</v>
      </c>
      <c r="K91" s="3"/>
      <c r="U91">
        <f>(90+91+90)/3</f>
        <v>90.333333333333329</v>
      </c>
    </row>
    <row r="92" spans="1:21" x14ac:dyDescent="0.25">
      <c r="A92" t="s">
        <v>14</v>
      </c>
      <c r="B92" s="4"/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>
        <f>((U88-1)*$K$1*$E$1)/U91</f>
        <v>1.0313730010404034</v>
      </c>
    </row>
    <row r="94" spans="1:21" x14ac:dyDescent="0.25">
      <c r="A94" t="s">
        <v>0</v>
      </c>
      <c r="B94" s="20">
        <v>40820.375</v>
      </c>
    </row>
    <row r="95" spans="1:21" x14ac:dyDescent="0.25">
      <c r="A95" s="1" t="s">
        <v>1</v>
      </c>
      <c r="B95">
        <v>1</v>
      </c>
      <c r="C95">
        <v>2</v>
      </c>
      <c r="D95">
        <v>3</v>
      </c>
      <c r="E95">
        <v>4</v>
      </c>
      <c r="F95">
        <v>5</v>
      </c>
      <c r="G95">
        <v>6</v>
      </c>
      <c r="H95">
        <v>7</v>
      </c>
      <c r="I95">
        <v>8</v>
      </c>
      <c r="J95">
        <v>9</v>
      </c>
      <c r="K95">
        <v>10</v>
      </c>
      <c r="L95">
        <v>11</v>
      </c>
      <c r="M95">
        <v>12</v>
      </c>
      <c r="N95">
        <v>13</v>
      </c>
      <c r="O95">
        <v>14</v>
      </c>
      <c r="P95">
        <v>15</v>
      </c>
      <c r="Q95">
        <v>16</v>
      </c>
      <c r="R95">
        <v>17</v>
      </c>
      <c r="S95">
        <v>18</v>
      </c>
      <c r="T95">
        <v>19</v>
      </c>
      <c r="U95">
        <v>20</v>
      </c>
    </row>
    <row r="96" spans="1:21" x14ac:dyDescent="0.25">
      <c r="A96" t="s">
        <v>2</v>
      </c>
      <c r="B96">
        <v>26</v>
      </c>
      <c r="C96">
        <v>36</v>
      </c>
      <c r="D96">
        <v>42</v>
      </c>
      <c r="E96">
        <v>49</v>
      </c>
      <c r="F96">
        <v>56</v>
      </c>
      <c r="G96">
        <v>62</v>
      </c>
      <c r="H96">
        <v>67</v>
      </c>
      <c r="I96">
        <v>73</v>
      </c>
      <c r="J96">
        <v>75</v>
      </c>
      <c r="K96">
        <v>75</v>
      </c>
      <c r="L96">
        <v>77</v>
      </c>
      <c r="M96">
        <v>78</v>
      </c>
      <c r="N96">
        <v>79</v>
      </c>
      <c r="O96">
        <v>81</v>
      </c>
      <c r="P96">
        <v>82</v>
      </c>
      <c r="Q96">
        <v>83</v>
      </c>
      <c r="R96">
        <v>83</v>
      </c>
      <c r="S96">
        <v>84</v>
      </c>
      <c r="T96">
        <v>84</v>
      </c>
      <c r="U96">
        <v>85</v>
      </c>
    </row>
    <row r="97" spans="1:22" x14ac:dyDescent="0.25">
      <c r="A97" t="s">
        <v>16</v>
      </c>
      <c r="B97">
        <f>(B96/(0.366*9.81))/20</f>
        <v>0.36207059819633136</v>
      </c>
      <c r="C97">
        <f t="shared" ref="C97:T97" si="65">(C96/(0.366*9.81))/20</f>
        <v>0.5013285205795357</v>
      </c>
      <c r="D97">
        <f t="shared" si="65"/>
        <v>0.58488327400945839</v>
      </c>
      <c r="E97">
        <f t="shared" si="65"/>
        <v>0.68236381967770143</v>
      </c>
      <c r="F97">
        <f t="shared" si="65"/>
        <v>0.77984436534594448</v>
      </c>
      <c r="G97">
        <f t="shared" si="65"/>
        <v>0.86339911877586706</v>
      </c>
      <c r="H97">
        <f t="shared" si="65"/>
        <v>0.93302807996746928</v>
      </c>
      <c r="I97">
        <f t="shared" si="65"/>
        <v>1.0165828333973921</v>
      </c>
      <c r="J97">
        <f t="shared" si="65"/>
        <v>1.0444344178740328</v>
      </c>
      <c r="K97">
        <f t="shared" si="65"/>
        <v>1.0444344178740328</v>
      </c>
      <c r="L97">
        <f t="shared" si="65"/>
        <v>1.0722860023506737</v>
      </c>
      <c r="M97">
        <f t="shared" si="65"/>
        <v>1.086211794588994</v>
      </c>
      <c r="N97">
        <f t="shared" si="65"/>
        <v>1.1001375868273144</v>
      </c>
      <c r="O97">
        <f t="shared" si="65"/>
        <v>1.1279891713039554</v>
      </c>
      <c r="P97">
        <f t="shared" si="65"/>
        <v>1.1419149635422758</v>
      </c>
      <c r="Q97">
        <f t="shared" si="65"/>
        <v>1.1558407557805963</v>
      </c>
      <c r="R97">
        <f t="shared" si="65"/>
        <v>1.1558407557805963</v>
      </c>
      <c r="S97">
        <f t="shared" si="65"/>
        <v>1.1697665480189168</v>
      </c>
      <c r="T97">
        <f t="shared" si="65"/>
        <v>1.1697665480189168</v>
      </c>
      <c r="U97">
        <f>(U96/(0.366*9.81))/20</f>
        <v>1.1836923402572372</v>
      </c>
    </row>
    <row r="98" spans="1:22" x14ac:dyDescent="0.25">
      <c r="A98" t="s">
        <v>13</v>
      </c>
      <c r="K98" s="3"/>
      <c r="U98">
        <f>(89+91+92)/3</f>
        <v>90.666666666666671</v>
      </c>
    </row>
    <row r="99" spans="1:22" x14ac:dyDescent="0.25">
      <c r="A99" t="s">
        <v>14</v>
      </c>
      <c r="B99" s="4"/>
      <c r="C99" s="4"/>
      <c r="D99" s="4"/>
      <c r="E99" s="4"/>
      <c r="F99" s="4"/>
      <c r="G99" s="4"/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  <c r="U99" s="4">
        <f>((U95-1)*$K$1*$E$1)/U98</f>
        <v>1.0275811885365782</v>
      </c>
    </row>
    <row r="101" spans="1:22" x14ac:dyDescent="0.25">
      <c r="A101" t="s">
        <v>0</v>
      </c>
      <c r="B101" s="31">
        <v>40820.5</v>
      </c>
      <c r="D101" t="s">
        <v>58</v>
      </c>
    </row>
    <row r="102" spans="1:22" x14ac:dyDescent="0.25">
      <c r="A102" s="1" t="s">
        <v>1</v>
      </c>
      <c r="B102">
        <v>1</v>
      </c>
      <c r="C102">
        <v>2</v>
      </c>
      <c r="D102">
        <v>3</v>
      </c>
      <c r="E102">
        <v>4</v>
      </c>
      <c r="F102">
        <v>5</v>
      </c>
      <c r="G102">
        <v>6</v>
      </c>
      <c r="H102">
        <v>7</v>
      </c>
      <c r="I102">
        <v>8</v>
      </c>
      <c r="J102">
        <v>9</v>
      </c>
      <c r="K102">
        <v>10</v>
      </c>
      <c r="L102">
        <v>11</v>
      </c>
      <c r="M102">
        <v>12</v>
      </c>
      <c r="N102">
        <v>13</v>
      </c>
      <c r="O102">
        <v>14</v>
      </c>
      <c r="P102">
        <v>15</v>
      </c>
      <c r="Q102">
        <v>16</v>
      </c>
      <c r="R102">
        <v>17</v>
      </c>
      <c r="S102">
        <v>18</v>
      </c>
      <c r="T102">
        <v>19</v>
      </c>
      <c r="U102">
        <v>20</v>
      </c>
    </row>
    <row r="103" spans="1:22" x14ac:dyDescent="0.25">
      <c r="A103" t="s">
        <v>2</v>
      </c>
      <c r="B103">
        <v>22</v>
      </c>
      <c r="C103">
        <v>39</v>
      </c>
      <c r="D103">
        <v>50</v>
      </c>
      <c r="E103">
        <v>53</v>
      </c>
      <c r="F103">
        <v>55</v>
      </c>
      <c r="G103">
        <v>59</v>
      </c>
      <c r="H103">
        <v>61</v>
      </c>
      <c r="I103">
        <v>63</v>
      </c>
      <c r="J103">
        <v>63</v>
      </c>
      <c r="K103">
        <v>64</v>
      </c>
      <c r="L103">
        <v>65</v>
      </c>
      <c r="M103">
        <v>66</v>
      </c>
      <c r="N103">
        <v>66</v>
      </c>
      <c r="O103">
        <v>67</v>
      </c>
      <c r="P103">
        <v>67</v>
      </c>
      <c r="Q103">
        <v>68</v>
      </c>
      <c r="R103">
        <v>71</v>
      </c>
      <c r="S103">
        <v>69</v>
      </c>
      <c r="T103">
        <v>70</v>
      </c>
      <c r="U103">
        <v>69</v>
      </c>
    </row>
    <row r="104" spans="1:22" x14ac:dyDescent="0.25">
      <c r="A104" t="s">
        <v>16</v>
      </c>
      <c r="B104">
        <f>(B103/(0.366*9.81))/20</f>
        <v>0.3063674292430496</v>
      </c>
      <c r="C104">
        <f t="shared" ref="C104:T104" si="66">(C103/(0.366*9.81))/20</f>
        <v>0.54310589729449699</v>
      </c>
      <c r="D104">
        <f t="shared" si="66"/>
        <v>0.69628961191602179</v>
      </c>
      <c r="E104">
        <f t="shared" si="66"/>
        <v>0.73806698863098319</v>
      </c>
      <c r="F104">
        <f t="shared" si="66"/>
        <v>0.76591857310762401</v>
      </c>
      <c r="G104">
        <f t="shared" si="66"/>
        <v>0.82162174206090577</v>
      </c>
      <c r="H104">
        <f t="shared" si="66"/>
        <v>0.8494733265375467</v>
      </c>
      <c r="I104">
        <f t="shared" si="66"/>
        <v>0.87732491101418764</v>
      </c>
      <c r="J104">
        <f t="shared" si="66"/>
        <v>0.87732491101418764</v>
      </c>
      <c r="K104">
        <f t="shared" si="66"/>
        <v>0.89125070325250788</v>
      </c>
      <c r="L104">
        <f t="shared" si="66"/>
        <v>0.90517649549082846</v>
      </c>
      <c r="M104">
        <f t="shared" si="66"/>
        <v>0.91910228772914881</v>
      </c>
      <c r="N104">
        <f t="shared" si="66"/>
        <v>0.91910228772914881</v>
      </c>
      <c r="O104">
        <f t="shared" si="66"/>
        <v>0.93302807996746928</v>
      </c>
      <c r="P104">
        <f t="shared" si="66"/>
        <v>0.93302807996746928</v>
      </c>
      <c r="Q104">
        <f t="shared" si="66"/>
        <v>0.94695387220578975</v>
      </c>
      <c r="R104">
        <f t="shared" si="66"/>
        <v>0.98873124892075093</v>
      </c>
      <c r="S104">
        <f t="shared" si="66"/>
        <v>0.9608796644441101</v>
      </c>
      <c r="T104">
        <f t="shared" si="66"/>
        <v>0.97480545668243068</v>
      </c>
      <c r="U104">
        <f>(U103/(0.366*9.81))/20</f>
        <v>0.9608796644441101</v>
      </c>
    </row>
    <row r="105" spans="1:22" x14ac:dyDescent="0.25">
      <c r="A105" t="s">
        <v>13</v>
      </c>
      <c r="K105" s="3"/>
      <c r="U105">
        <f>(99+100+102)/3</f>
        <v>100.33333333333333</v>
      </c>
    </row>
    <row r="106" spans="1:22" x14ac:dyDescent="0.25">
      <c r="A106" t="s">
        <v>14</v>
      </c>
      <c r="B106" s="4"/>
      <c r="C106" s="4"/>
      <c r="D106" s="4"/>
      <c r="E106" s="4"/>
      <c r="F106" s="4"/>
      <c r="G106" s="4"/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>
        <f>((U102-1)*$K$1*$E$1)/U105</f>
        <v>0.92857834977391807</v>
      </c>
    </row>
    <row r="108" spans="1:22" x14ac:dyDescent="0.25">
      <c r="A108" t="s">
        <v>0</v>
      </c>
      <c r="B108" s="31">
        <v>40823.5</v>
      </c>
      <c r="D108" t="s">
        <v>58</v>
      </c>
      <c r="V108" s="19"/>
    </row>
    <row r="109" spans="1:22" x14ac:dyDescent="0.25">
      <c r="A109" s="1" t="s">
        <v>1</v>
      </c>
      <c r="B109">
        <v>1</v>
      </c>
      <c r="C109">
        <v>2</v>
      </c>
      <c r="D109">
        <v>3</v>
      </c>
      <c r="E109">
        <v>4</v>
      </c>
      <c r="F109">
        <v>5</v>
      </c>
      <c r="G109">
        <v>6</v>
      </c>
      <c r="H109">
        <v>7</v>
      </c>
      <c r="I109">
        <v>8</v>
      </c>
      <c r="J109">
        <v>9</v>
      </c>
      <c r="K109">
        <v>10</v>
      </c>
      <c r="L109">
        <v>11</v>
      </c>
      <c r="M109">
        <v>12</v>
      </c>
      <c r="N109">
        <v>13</v>
      </c>
      <c r="O109">
        <v>14</v>
      </c>
      <c r="P109">
        <v>15</v>
      </c>
      <c r="Q109">
        <v>16</v>
      </c>
      <c r="R109">
        <v>17</v>
      </c>
      <c r="S109">
        <v>18</v>
      </c>
      <c r="T109">
        <v>19</v>
      </c>
      <c r="U109">
        <v>20</v>
      </c>
      <c r="V109" s="19"/>
    </row>
    <row r="110" spans="1:22" x14ac:dyDescent="0.25">
      <c r="A110" t="s">
        <v>2</v>
      </c>
      <c r="B110">
        <v>24</v>
      </c>
      <c r="C110">
        <v>32</v>
      </c>
      <c r="D110">
        <v>48</v>
      </c>
      <c r="E110">
        <v>64</v>
      </c>
      <c r="F110">
        <v>71</v>
      </c>
      <c r="G110">
        <v>93</v>
      </c>
      <c r="H110">
        <v>98</v>
      </c>
      <c r="I110">
        <v>101</v>
      </c>
      <c r="J110">
        <v>110</v>
      </c>
      <c r="K110">
        <v>112</v>
      </c>
      <c r="L110">
        <v>114</v>
      </c>
      <c r="M110">
        <v>115</v>
      </c>
      <c r="N110">
        <v>117</v>
      </c>
      <c r="O110">
        <v>121</v>
      </c>
      <c r="P110">
        <v>123</v>
      </c>
      <c r="Q110">
        <v>124</v>
      </c>
      <c r="R110">
        <v>123</v>
      </c>
      <c r="S110">
        <v>127</v>
      </c>
      <c r="T110">
        <v>128</v>
      </c>
      <c r="U110">
        <v>128</v>
      </c>
      <c r="V110" s="19"/>
    </row>
    <row r="111" spans="1:22" x14ac:dyDescent="0.25">
      <c r="A111" t="s">
        <v>16</v>
      </c>
      <c r="B111">
        <f>(B110/(0.366*9.81))/20</f>
        <v>0.33421901371969048</v>
      </c>
      <c r="C111">
        <f t="shared" ref="C111:T111" si="67">(C110/(0.366*9.81))/20</f>
        <v>0.44562535162625394</v>
      </c>
      <c r="D111">
        <f t="shared" si="67"/>
        <v>0.66843802743938097</v>
      </c>
      <c r="E111">
        <f t="shared" si="67"/>
        <v>0.89125070325250788</v>
      </c>
      <c r="F111">
        <f t="shared" si="67"/>
        <v>0.98873124892075093</v>
      </c>
      <c r="G111">
        <f t="shared" si="67"/>
        <v>1.2950986781638005</v>
      </c>
      <c r="H111">
        <f t="shared" si="67"/>
        <v>1.3647276393554029</v>
      </c>
      <c r="I111">
        <f t="shared" si="67"/>
        <v>1.4065050160703643</v>
      </c>
      <c r="J111">
        <f t="shared" si="67"/>
        <v>1.531837146215248</v>
      </c>
      <c r="K111">
        <f t="shared" si="67"/>
        <v>1.559688730691889</v>
      </c>
      <c r="L111">
        <f t="shared" si="67"/>
        <v>1.5875403151685297</v>
      </c>
      <c r="M111">
        <f t="shared" si="67"/>
        <v>1.6014661074068504</v>
      </c>
      <c r="N111">
        <f t="shared" si="67"/>
        <v>1.6293176918834913</v>
      </c>
      <c r="O111">
        <f t="shared" si="67"/>
        <v>1.6850208608367729</v>
      </c>
      <c r="P111">
        <f t="shared" si="67"/>
        <v>1.7128724453134136</v>
      </c>
      <c r="Q111">
        <f t="shared" si="67"/>
        <v>1.7267982375517341</v>
      </c>
      <c r="R111">
        <f t="shared" si="67"/>
        <v>1.7128724453134136</v>
      </c>
      <c r="S111">
        <f t="shared" si="67"/>
        <v>1.7685756142666957</v>
      </c>
      <c r="T111">
        <f t="shared" si="67"/>
        <v>1.7825014065050158</v>
      </c>
      <c r="U111">
        <f>(U110/(0.366*9.81))/20</f>
        <v>1.7825014065050158</v>
      </c>
      <c r="V111" s="19"/>
    </row>
    <row r="112" spans="1:22" x14ac:dyDescent="0.25">
      <c r="A112" t="s">
        <v>13</v>
      </c>
      <c r="K112" s="3"/>
      <c r="U112">
        <f>(81+81+82.5)/3</f>
        <v>81.5</v>
      </c>
      <c r="V112" s="19"/>
    </row>
    <row r="113" spans="1:22" x14ac:dyDescent="0.25">
      <c r="A113" t="s">
        <v>14</v>
      </c>
      <c r="B113" s="4"/>
      <c r="C113" s="4"/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>
        <f>((U109-1)*$K$1*$E$1)/U112</f>
        <v>1.1431578048341484</v>
      </c>
      <c r="V113" s="19"/>
    </row>
    <row r="114" spans="1:22" x14ac:dyDescent="0.25">
      <c r="A114" s="19"/>
      <c r="B114" s="19"/>
      <c r="C114" s="19"/>
      <c r="D114" s="19"/>
      <c r="E114" s="19"/>
      <c r="F114" s="19"/>
      <c r="G114" s="19"/>
      <c r="H114" s="19"/>
      <c r="I114" s="19"/>
      <c r="J114" s="19"/>
      <c r="K114" s="19"/>
      <c r="L114" s="19"/>
      <c r="M114" s="19"/>
      <c r="N114" s="19"/>
      <c r="O114" s="19"/>
      <c r="P114" s="19"/>
      <c r="Q114" s="19"/>
      <c r="R114" s="19"/>
      <c r="S114" s="19"/>
      <c r="T114" s="19"/>
      <c r="U114" s="19"/>
      <c r="V114" s="19"/>
    </row>
    <row r="115" spans="1:22" x14ac:dyDescent="0.25">
      <c r="A115" t="s">
        <v>0</v>
      </c>
      <c r="B115" s="20">
        <v>40823.625</v>
      </c>
      <c r="V115" s="19"/>
    </row>
    <row r="116" spans="1:22" x14ac:dyDescent="0.25">
      <c r="A116" s="1" t="s">
        <v>1</v>
      </c>
      <c r="B116">
        <v>1</v>
      </c>
      <c r="C116">
        <v>2</v>
      </c>
      <c r="D116">
        <v>3</v>
      </c>
      <c r="E116">
        <v>4</v>
      </c>
      <c r="F116">
        <v>5</v>
      </c>
      <c r="G116">
        <v>6</v>
      </c>
      <c r="H116">
        <v>7</v>
      </c>
      <c r="I116">
        <v>8</v>
      </c>
      <c r="J116">
        <v>9</v>
      </c>
      <c r="K116">
        <v>10</v>
      </c>
      <c r="L116">
        <v>11</v>
      </c>
      <c r="M116">
        <v>12</v>
      </c>
      <c r="N116">
        <v>13</v>
      </c>
      <c r="O116">
        <v>14</v>
      </c>
      <c r="P116">
        <v>15</v>
      </c>
      <c r="Q116">
        <v>16</v>
      </c>
      <c r="R116">
        <v>17</v>
      </c>
      <c r="S116">
        <v>18</v>
      </c>
      <c r="T116">
        <v>19</v>
      </c>
      <c r="U116">
        <v>20</v>
      </c>
    </row>
    <row r="117" spans="1:22" x14ac:dyDescent="0.25">
      <c r="A117" t="s">
        <v>2</v>
      </c>
      <c r="B117">
        <v>30</v>
      </c>
      <c r="C117">
        <v>42</v>
      </c>
      <c r="D117">
        <v>54</v>
      </c>
      <c r="E117">
        <v>61</v>
      </c>
      <c r="F117">
        <v>65</v>
      </c>
      <c r="G117">
        <v>69</v>
      </c>
      <c r="H117">
        <v>75</v>
      </c>
      <c r="I117">
        <v>76</v>
      </c>
      <c r="J117">
        <v>79</v>
      </c>
      <c r="K117">
        <v>80</v>
      </c>
      <c r="L117">
        <v>81</v>
      </c>
      <c r="M117">
        <v>81</v>
      </c>
      <c r="N117">
        <v>82</v>
      </c>
      <c r="O117">
        <v>83</v>
      </c>
      <c r="P117">
        <v>84</v>
      </c>
      <c r="Q117">
        <v>91</v>
      </c>
      <c r="R117">
        <v>93</v>
      </c>
      <c r="S117">
        <v>93</v>
      </c>
      <c r="T117">
        <v>94</v>
      </c>
      <c r="U117">
        <v>92</v>
      </c>
    </row>
    <row r="118" spans="1:22" x14ac:dyDescent="0.25">
      <c r="A118" t="s">
        <v>16</v>
      </c>
      <c r="B118">
        <f>(B117/(0.366*9.81))/20</f>
        <v>0.41777376714961312</v>
      </c>
      <c r="C118">
        <f t="shared" ref="C118:T118" si="68">(C117/(0.366*9.81))/20</f>
        <v>0.58488327400945839</v>
      </c>
      <c r="D118">
        <f t="shared" si="68"/>
        <v>0.75199278086930366</v>
      </c>
      <c r="E118">
        <f t="shared" si="68"/>
        <v>0.8494733265375467</v>
      </c>
      <c r="F118">
        <f t="shared" si="68"/>
        <v>0.90517649549082846</v>
      </c>
      <c r="G118">
        <f t="shared" si="68"/>
        <v>0.9608796644441101</v>
      </c>
      <c r="H118">
        <f t="shared" si="68"/>
        <v>1.0444344178740328</v>
      </c>
      <c r="I118">
        <f t="shared" si="68"/>
        <v>1.0583602101123533</v>
      </c>
      <c r="J118">
        <f t="shared" si="68"/>
        <v>1.1001375868273144</v>
      </c>
      <c r="K118">
        <f t="shared" si="68"/>
        <v>1.1140633790656351</v>
      </c>
      <c r="L118">
        <f t="shared" si="68"/>
        <v>1.1279891713039554</v>
      </c>
      <c r="M118">
        <f t="shared" si="68"/>
        <v>1.1279891713039554</v>
      </c>
      <c r="N118">
        <f t="shared" si="68"/>
        <v>1.1419149635422758</v>
      </c>
      <c r="O118">
        <f t="shared" si="68"/>
        <v>1.1558407557805963</v>
      </c>
      <c r="P118">
        <f t="shared" si="68"/>
        <v>1.1697665480189168</v>
      </c>
      <c r="Q118">
        <f t="shared" si="68"/>
        <v>1.2672470936871598</v>
      </c>
      <c r="R118">
        <f t="shared" si="68"/>
        <v>1.2950986781638005</v>
      </c>
      <c r="S118">
        <f t="shared" si="68"/>
        <v>1.2950986781638005</v>
      </c>
      <c r="T118">
        <f t="shared" si="68"/>
        <v>1.3090244704021212</v>
      </c>
      <c r="U118">
        <f>(U117/(0.366*9.81))/20</f>
        <v>1.2811728859254803</v>
      </c>
    </row>
    <row r="119" spans="1:22" x14ac:dyDescent="0.25">
      <c r="A119" t="s">
        <v>13</v>
      </c>
      <c r="K119" s="3"/>
      <c r="U119">
        <f>(92+93+90)/3</f>
        <v>91.666666666666671</v>
      </c>
    </row>
    <row r="120" spans="1:22" x14ac:dyDescent="0.25">
      <c r="A120" t="s">
        <v>14</v>
      </c>
      <c r="B120" s="4"/>
      <c r="C120" s="4"/>
      <c r="D120" s="4"/>
      <c r="E120" s="4"/>
      <c r="F120" s="4"/>
      <c r="G120" s="4"/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>
        <f>((U116-1)*$K$1*$E$1)/U119</f>
        <v>1.0163712119343611</v>
      </c>
    </row>
    <row r="121" spans="1:22" x14ac:dyDescent="0.25">
      <c r="A121" t="s">
        <v>0</v>
      </c>
      <c r="B121" s="20">
        <v>40824.375</v>
      </c>
    </row>
    <row r="122" spans="1:22" x14ac:dyDescent="0.25">
      <c r="A122" s="1" t="s">
        <v>1</v>
      </c>
      <c r="B122">
        <v>1</v>
      </c>
      <c r="C122">
        <v>2</v>
      </c>
      <c r="D122">
        <v>3</v>
      </c>
      <c r="E122">
        <v>4</v>
      </c>
      <c r="F122">
        <v>5</v>
      </c>
      <c r="G122">
        <v>6</v>
      </c>
      <c r="H122">
        <v>7</v>
      </c>
      <c r="I122">
        <v>8</v>
      </c>
      <c r="J122">
        <v>9</v>
      </c>
      <c r="K122">
        <v>10</v>
      </c>
      <c r="L122">
        <v>11</v>
      </c>
      <c r="M122">
        <v>12</v>
      </c>
      <c r="N122">
        <v>13</v>
      </c>
      <c r="O122">
        <v>14</v>
      </c>
      <c r="P122">
        <v>15</v>
      </c>
      <c r="Q122">
        <v>16</v>
      </c>
      <c r="R122">
        <v>17</v>
      </c>
      <c r="S122">
        <v>18</v>
      </c>
      <c r="T122">
        <v>19</v>
      </c>
      <c r="U122">
        <v>20</v>
      </c>
    </row>
    <row r="123" spans="1:22" x14ac:dyDescent="0.25">
      <c r="A123" t="s">
        <v>2</v>
      </c>
      <c r="B123">
        <v>26</v>
      </c>
      <c r="C123">
        <v>36</v>
      </c>
      <c r="D123">
        <v>46</v>
      </c>
      <c r="E123">
        <v>54</v>
      </c>
      <c r="F123">
        <v>59</v>
      </c>
      <c r="G123">
        <v>64</v>
      </c>
      <c r="H123">
        <v>69</v>
      </c>
      <c r="I123">
        <v>70</v>
      </c>
      <c r="J123">
        <v>72</v>
      </c>
      <c r="K123">
        <v>73</v>
      </c>
      <c r="L123">
        <v>75</v>
      </c>
      <c r="M123">
        <v>76</v>
      </c>
      <c r="N123">
        <v>77</v>
      </c>
      <c r="O123">
        <v>77</v>
      </c>
      <c r="P123">
        <v>77</v>
      </c>
      <c r="Q123">
        <v>78</v>
      </c>
      <c r="R123">
        <v>77</v>
      </c>
      <c r="S123">
        <v>78</v>
      </c>
      <c r="T123">
        <v>78</v>
      </c>
      <c r="U123">
        <v>79</v>
      </c>
    </row>
    <row r="124" spans="1:22" x14ac:dyDescent="0.25">
      <c r="A124" t="s">
        <v>16</v>
      </c>
      <c r="B124">
        <f>(B123/(0.366*9.81))/20</f>
        <v>0.36207059819633136</v>
      </c>
      <c r="C124">
        <f t="shared" ref="C124:T124" si="69">(C123/(0.366*9.81))/20</f>
        <v>0.5013285205795357</v>
      </c>
      <c r="D124">
        <f t="shared" si="69"/>
        <v>0.64058644296274014</v>
      </c>
      <c r="E124">
        <f t="shared" si="69"/>
        <v>0.75199278086930366</v>
      </c>
      <c r="F124">
        <f t="shared" si="69"/>
        <v>0.82162174206090577</v>
      </c>
      <c r="G124">
        <f t="shared" si="69"/>
        <v>0.89125070325250788</v>
      </c>
      <c r="H124">
        <f t="shared" si="69"/>
        <v>0.9608796644441101</v>
      </c>
      <c r="I124">
        <f t="shared" si="69"/>
        <v>0.97480545668243068</v>
      </c>
      <c r="J124">
        <f t="shared" si="69"/>
        <v>1.0026570411590714</v>
      </c>
      <c r="K124">
        <f t="shared" si="69"/>
        <v>1.0165828333973921</v>
      </c>
      <c r="L124">
        <f t="shared" si="69"/>
        <v>1.0444344178740328</v>
      </c>
      <c r="M124">
        <f t="shared" si="69"/>
        <v>1.0583602101123533</v>
      </c>
      <c r="N124">
        <f t="shared" si="69"/>
        <v>1.0722860023506737</v>
      </c>
      <c r="O124">
        <f t="shared" si="69"/>
        <v>1.0722860023506737</v>
      </c>
      <c r="P124">
        <f t="shared" si="69"/>
        <v>1.0722860023506737</v>
      </c>
      <c r="Q124">
        <f t="shared" si="69"/>
        <v>1.086211794588994</v>
      </c>
      <c r="R124">
        <f t="shared" si="69"/>
        <v>1.0722860023506737</v>
      </c>
      <c r="S124">
        <f t="shared" si="69"/>
        <v>1.086211794588994</v>
      </c>
      <c r="T124">
        <f t="shared" si="69"/>
        <v>1.086211794588994</v>
      </c>
      <c r="U124">
        <f>(U123/(0.366*9.81))/20</f>
        <v>1.1001375868273144</v>
      </c>
    </row>
    <row r="125" spans="1:22" x14ac:dyDescent="0.25">
      <c r="A125" t="s">
        <v>13</v>
      </c>
      <c r="K125" s="3"/>
      <c r="U125">
        <f>(92+91+89.5)/3</f>
        <v>90.833333333333329</v>
      </c>
    </row>
    <row r="126" spans="1:22" x14ac:dyDescent="0.25">
      <c r="A126" t="s">
        <v>14</v>
      </c>
      <c r="B126" s="4"/>
      <c r="C126" s="4"/>
      <c r="D126" s="4"/>
      <c r="E126" s="4"/>
      <c r="F126" s="4"/>
      <c r="G126" s="4"/>
      <c r="H126" s="4"/>
      <c r="I126" s="4"/>
      <c r="J126" s="4"/>
      <c r="K126" s="4"/>
      <c r="L126" s="4"/>
      <c r="M126" s="4"/>
      <c r="N126" s="4"/>
      <c r="O126" s="4"/>
      <c r="P126" s="4"/>
      <c r="Q126" s="4"/>
      <c r="R126" s="4"/>
      <c r="S126" s="4"/>
      <c r="T126" s="4"/>
      <c r="U126" s="4">
        <f>((U122-1)*$K$1*$E$1)/U125</f>
        <v>1.025695718465869</v>
      </c>
    </row>
    <row r="131" spans="1:27" x14ac:dyDescent="0.25">
      <c r="U131" t="s">
        <v>105</v>
      </c>
      <c r="AA131" t="s">
        <v>107</v>
      </c>
    </row>
    <row r="132" spans="1:27" x14ac:dyDescent="0.25">
      <c r="A132" t="s">
        <v>104</v>
      </c>
      <c r="B132" s="2">
        <f t="shared" ref="B132:T132" si="70">AVERAGE(B35,B45,B55,B62,B76)</f>
        <v>0.35928543974866728</v>
      </c>
      <c r="C132" s="2">
        <f t="shared" si="70"/>
        <v>0.53196526350384077</v>
      </c>
      <c r="D132" s="2">
        <f t="shared" si="70"/>
        <v>0.63780128451507601</v>
      </c>
      <c r="E132" s="2">
        <f t="shared" si="70"/>
        <v>0.71857087949733445</v>
      </c>
      <c r="F132" s="2">
        <f t="shared" si="70"/>
        <v>0.80491079137492128</v>
      </c>
      <c r="G132" s="2">
        <f t="shared" si="70"/>
        <v>0.85504364343287487</v>
      </c>
      <c r="H132" s="2">
        <f t="shared" si="70"/>
        <v>0.89960617859550018</v>
      </c>
      <c r="I132" s="2">
        <f t="shared" si="70"/>
        <v>0.94973903065345378</v>
      </c>
      <c r="J132" s="2">
        <f t="shared" si="70"/>
        <v>0.97480545668243068</v>
      </c>
      <c r="K132" s="2">
        <f t="shared" si="70"/>
        <v>0.99151640736841529</v>
      </c>
      <c r="L132" s="2">
        <f t="shared" si="70"/>
        <v>1.0165828333973921</v>
      </c>
      <c r="M132" s="2">
        <f t="shared" si="70"/>
        <v>1.0472195763216969</v>
      </c>
      <c r="N132" s="2">
        <f t="shared" si="70"/>
        <v>1.0527898932170252</v>
      </c>
      <c r="O132" s="2">
        <f t="shared" si="70"/>
        <v>1.0639305270076815</v>
      </c>
      <c r="P132" s="2">
        <f t="shared" si="70"/>
        <v>1.0750711607983379</v>
      </c>
      <c r="Q132" s="2">
        <f t="shared" si="70"/>
        <v>1.0917821114843225</v>
      </c>
      <c r="R132" s="2">
        <f t="shared" si="70"/>
        <v>1.1001375868273144</v>
      </c>
      <c r="S132" s="2">
        <f t="shared" si="70"/>
        <v>1.1084930621703069</v>
      </c>
      <c r="T132" s="2">
        <f t="shared" si="70"/>
        <v>1.111278220617971</v>
      </c>
      <c r="U132" s="2">
        <f>AVERAGE(U35,U45,U55,U62,U76)</f>
        <v>1.1224188544086275</v>
      </c>
      <c r="AA132">
        <f>1</f>
        <v>1</v>
      </c>
    </row>
    <row r="133" spans="1:27" x14ac:dyDescent="0.25">
      <c r="B133" s="2">
        <f>B132</f>
        <v>0.35928543974866728</v>
      </c>
      <c r="C133" s="2">
        <f>C132-B132</f>
        <v>0.17267982375517349</v>
      </c>
      <c r="D133" s="2">
        <f t="shared" ref="D133:U133" si="71">D132-C132</f>
        <v>0.10583602101123524</v>
      </c>
      <c r="E133" s="2">
        <f t="shared" si="71"/>
        <v>8.0769594982258441E-2</v>
      </c>
      <c r="F133" s="2">
        <f t="shared" si="71"/>
        <v>8.6339911877586828E-2</v>
      </c>
      <c r="G133" s="2">
        <f t="shared" si="71"/>
        <v>5.0132852057953592E-2</v>
      </c>
      <c r="H133" s="2">
        <f t="shared" si="71"/>
        <v>4.4562535162625316E-2</v>
      </c>
      <c r="I133" s="2">
        <f t="shared" si="71"/>
        <v>5.0132852057953592E-2</v>
      </c>
      <c r="J133" s="2">
        <f t="shared" si="71"/>
        <v>2.5066426028976907E-2</v>
      </c>
      <c r="K133" s="2">
        <f t="shared" si="71"/>
        <v>1.6710950685984605E-2</v>
      </c>
      <c r="L133" s="2">
        <f t="shared" si="71"/>
        <v>2.5066426028976796E-2</v>
      </c>
      <c r="M133" s="2">
        <f t="shared" si="71"/>
        <v>3.0636742924304849E-2</v>
      </c>
      <c r="N133" s="2">
        <f t="shared" si="71"/>
        <v>5.5703168953282756E-3</v>
      </c>
      <c r="O133" s="2">
        <f t="shared" si="71"/>
        <v>1.1140633790656329E-2</v>
      </c>
      <c r="P133" s="2">
        <f t="shared" si="71"/>
        <v>1.1140633790656329E-2</v>
      </c>
      <c r="Q133" s="2">
        <f t="shared" si="71"/>
        <v>1.6710950685984605E-2</v>
      </c>
      <c r="R133" s="2">
        <f t="shared" si="71"/>
        <v>8.3554753429919693E-3</v>
      </c>
      <c r="S133" s="2">
        <f t="shared" si="71"/>
        <v>8.3554753429924133E-3</v>
      </c>
      <c r="T133" s="2">
        <f t="shared" si="71"/>
        <v>2.7851584476641378E-3</v>
      </c>
      <c r="U133" s="2">
        <f t="shared" si="71"/>
        <v>1.1140633790656551E-2</v>
      </c>
    </row>
    <row r="134" spans="1:27" x14ac:dyDescent="0.25">
      <c r="B134" s="34">
        <f>B133/$B$133</f>
        <v>1</v>
      </c>
      <c r="C134" s="34">
        <f t="shared" ref="C134:U134" si="72">C133/$B$133</f>
        <v>0.48062015503875988</v>
      </c>
      <c r="D134" s="34">
        <f t="shared" si="72"/>
        <v>0.29457364341085246</v>
      </c>
      <c r="E134" s="34">
        <f t="shared" si="72"/>
        <v>0.22480620155038733</v>
      </c>
      <c r="F134" s="34">
        <f t="shared" si="72"/>
        <v>0.24031007751938016</v>
      </c>
      <c r="G134" s="34">
        <f t="shared" si="72"/>
        <v>0.13953488372093029</v>
      </c>
      <c r="H134" s="34">
        <f t="shared" si="72"/>
        <v>0.12403100775193776</v>
      </c>
      <c r="I134" s="34">
        <f t="shared" si="72"/>
        <v>0.13953488372093029</v>
      </c>
      <c r="J134" s="34">
        <f t="shared" si="72"/>
        <v>6.9767441860465448E-2</v>
      </c>
      <c r="K134" s="34">
        <f t="shared" si="72"/>
        <v>4.6511627906976966E-2</v>
      </c>
      <c r="L134" s="34">
        <f t="shared" si="72"/>
        <v>6.9767441860465143E-2</v>
      </c>
      <c r="M134" s="34">
        <f t="shared" si="72"/>
        <v>8.5271317829457058E-2</v>
      </c>
      <c r="N134" s="34">
        <f t="shared" si="72"/>
        <v>1.5503875968992529E-2</v>
      </c>
      <c r="O134" s="34">
        <f t="shared" si="72"/>
        <v>3.100775193798444E-2</v>
      </c>
      <c r="P134" s="34">
        <f t="shared" si="72"/>
        <v>3.100775193798444E-2</v>
      </c>
      <c r="Q134" s="34">
        <f t="shared" si="72"/>
        <v>4.6511627906976966E-2</v>
      </c>
      <c r="R134" s="34">
        <f t="shared" si="72"/>
        <v>2.3255813953487556E-2</v>
      </c>
      <c r="S134" s="34">
        <f t="shared" si="72"/>
        <v>2.3255813953488792E-2</v>
      </c>
      <c r="T134" s="34">
        <f t="shared" si="72"/>
        <v>7.7519379844962644E-3</v>
      </c>
      <c r="U134" s="34">
        <f t="shared" si="72"/>
        <v>3.1007751937985058E-2</v>
      </c>
    </row>
  </sheetData>
  <pageMargins left="0.7" right="0.7" top="0.75" bottom="0.75" header="0.3" footer="0.3"/>
  <pageSetup paperSize="9" orientation="portrait" verticalDpi="0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78"/>
  <sheetViews>
    <sheetView topLeftCell="A46" workbookViewId="0">
      <selection activeCell="M68" sqref="M68:M75"/>
    </sheetView>
  </sheetViews>
  <sheetFormatPr defaultRowHeight="15" x14ac:dyDescent="0.25"/>
  <cols>
    <col min="1" max="1" width="14.28515625" style="5" bestFit="1" customWidth="1"/>
    <col min="2" max="4" width="9.140625" style="5"/>
    <col min="5" max="5" width="11.5703125" style="5" bestFit="1" customWidth="1"/>
    <col min="6" max="6" width="12.85546875" style="6" customWidth="1"/>
    <col min="7" max="8" width="9.140625" style="5"/>
    <col min="9" max="9" width="13.42578125" style="6" customWidth="1"/>
    <col min="10" max="10" width="12.5703125" style="6" customWidth="1"/>
    <col min="11" max="11" width="13.5703125" style="6" customWidth="1"/>
    <col min="12" max="12" width="9.140625" style="5"/>
    <col min="13" max="13" width="11.5703125" style="5" customWidth="1"/>
    <col min="14" max="16" width="9.140625" style="5"/>
    <col min="17" max="17" width="10.7109375" style="5" bestFit="1" customWidth="1"/>
    <col min="18" max="18" width="15.28515625" style="5" bestFit="1" customWidth="1"/>
    <col min="19" max="19" width="11.28515625" style="5" bestFit="1" customWidth="1"/>
    <col min="20" max="21" width="9.140625" style="5"/>
    <col min="22" max="22" width="11.85546875" style="5" customWidth="1"/>
    <col min="23" max="256" width="9.140625" style="5"/>
    <col min="257" max="257" width="14.28515625" style="5" bestFit="1" customWidth="1"/>
    <col min="258" max="260" width="9.140625" style="5"/>
    <col min="261" max="261" width="11.5703125" style="5" bestFit="1" customWidth="1"/>
    <col min="262" max="262" width="12.85546875" style="5" customWidth="1"/>
    <col min="263" max="264" width="9.140625" style="5"/>
    <col min="265" max="265" width="13.42578125" style="5" customWidth="1"/>
    <col min="266" max="266" width="12.5703125" style="5" customWidth="1"/>
    <col min="267" max="267" width="13.5703125" style="5" customWidth="1"/>
    <col min="268" max="268" width="9.140625" style="5"/>
    <col min="269" max="269" width="11.5703125" style="5" customWidth="1"/>
    <col min="270" max="272" width="9.140625" style="5"/>
    <col min="273" max="273" width="10.7109375" style="5" bestFit="1" customWidth="1"/>
    <col min="274" max="274" width="15.28515625" style="5" bestFit="1" customWidth="1"/>
    <col min="275" max="275" width="11.28515625" style="5" bestFit="1" customWidth="1"/>
    <col min="276" max="277" width="9.140625" style="5"/>
    <col min="278" max="278" width="11.85546875" style="5" customWidth="1"/>
    <col min="279" max="512" width="9.140625" style="5"/>
    <col min="513" max="513" width="14.28515625" style="5" bestFit="1" customWidth="1"/>
    <col min="514" max="516" width="9.140625" style="5"/>
    <col min="517" max="517" width="11.5703125" style="5" bestFit="1" customWidth="1"/>
    <col min="518" max="518" width="12.85546875" style="5" customWidth="1"/>
    <col min="519" max="520" width="9.140625" style="5"/>
    <col min="521" max="521" width="13.42578125" style="5" customWidth="1"/>
    <col min="522" max="522" width="12.5703125" style="5" customWidth="1"/>
    <col min="523" max="523" width="13.5703125" style="5" customWidth="1"/>
    <col min="524" max="524" width="9.140625" style="5"/>
    <col min="525" max="525" width="11.5703125" style="5" customWidth="1"/>
    <col min="526" max="528" width="9.140625" style="5"/>
    <col min="529" max="529" width="10.7109375" style="5" bestFit="1" customWidth="1"/>
    <col min="530" max="530" width="15.28515625" style="5" bestFit="1" customWidth="1"/>
    <col min="531" max="531" width="11.28515625" style="5" bestFit="1" customWidth="1"/>
    <col min="532" max="533" width="9.140625" style="5"/>
    <col min="534" max="534" width="11.85546875" style="5" customWidth="1"/>
    <col min="535" max="768" width="9.140625" style="5"/>
    <col min="769" max="769" width="14.28515625" style="5" bestFit="1" customWidth="1"/>
    <col min="770" max="772" width="9.140625" style="5"/>
    <col min="773" max="773" width="11.5703125" style="5" bestFit="1" customWidth="1"/>
    <col min="774" max="774" width="12.85546875" style="5" customWidth="1"/>
    <col min="775" max="776" width="9.140625" style="5"/>
    <col min="777" max="777" width="13.42578125" style="5" customWidth="1"/>
    <col min="778" max="778" width="12.5703125" style="5" customWidth="1"/>
    <col min="779" max="779" width="13.5703125" style="5" customWidth="1"/>
    <col min="780" max="780" width="9.140625" style="5"/>
    <col min="781" max="781" width="11.5703125" style="5" customWidth="1"/>
    <col min="782" max="784" width="9.140625" style="5"/>
    <col min="785" max="785" width="10.7109375" style="5" bestFit="1" customWidth="1"/>
    <col min="786" max="786" width="15.28515625" style="5" bestFit="1" customWidth="1"/>
    <col min="787" max="787" width="11.28515625" style="5" bestFit="1" customWidth="1"/>
    <col min="788" max="789" width="9.140625" style="5"/>
    <col min="790" max="790" width="11.85546875" style="5" customWidth="1"/>
    <col min="791" max="1024" width="9.140625" style="5"/>
    <col min="1025" max="1025" width="14.28515625" style="5" bestFit="1" customWidth="1"/>
    <col min="1026" max="1028" width="9.140625" style="5"/>
    <col min="1029" max="1029" width="11.5703125" style="5" bestFit="1" customWidth="1"/>
    <col min="1030" max="1030" width="12.85546875" style="5" customWidth="1"/>
    <col min="1031" max="1032" width="9.140625" style="5"/>
    <col min="1033" max="1033" width="13.42578125" style="5" customWidth="1"/>
    <col min="1034" max="1034" width="12.5703125" style="5" customWidth="1"/>
    <col min="1035" max="1035" width="13.5703125" style="5" customWidth="1"/>
    <col min="1036" max="1036" width="9.140625" style="5"/>
    <col min="1037" max="1037" width="11.5703125" style="5" customWidth="1"/>
    <col min="1038" max="1040" width="9.140625" style="5"/>
    <col min="1041" max="1041" width="10.7109375" style="5" bestFit="1" customWidth="1"/>
    <col min="1042" max="1042" width="15.28515625" style="5" bestFit="1" customWidth="1"/>
    <col min="1043" max="1043" width="11.28515625" style="5" bestFit="1" customWidth="1"/>
    <col min="1044" max="1045" width="9.140625" style="5"/>
    <col min="1046" max="1046" width="11.85546875" style="5" customWidth="1"/>
    <col min="1047" max="1280" width="9.140625" style="5"/>
    <col min="1281" max="1281" width="14.28515625" style="5" bestFit="1" customWidth="1"/>
    <col min="1282" max="1284" width="9.140625" style="5"/>
    <col min="1285" max="1285" width="11.5703125" style="5" bestFit="1" customWidth="1"/>
    <col min="1286" max="1286" width="12.85546875" style="5" customWidth="1"/>
    <col min="1287" max="1288" width="9.140625" style="5"/>
    <col min="1289" max="1289" width="13.42578125" style="5" customWidth="1"/>
    <col min="1290" max="1290" width="12.5703125" style="5" customWidth="1"/>
    <col min="1291" max="1291" width="13.5703125" style="5" customWidth="1"/>
    <col min="1292" max="1292" width="9.140625" style="5"/>
    <col min="1293" max="1293" width="11.5703125" style="5" customWidth="1"/>
    <col min="1294" max="1296" width="9.140625" style="5"/>
    <col min="1297" max="1297" width="10.7109375" style="5" bestFit="1" customWidth="1"/>
    <col min="1298" max="1298" width="15.28515625" style="5" bestFit="1" customWidth="1"/>
    <col min="1299" max="1299" width="11.28515625" style="5" bestFit="1" customWidth="1"/>
    <col min="1300" max="1301" width="9.140625" style="5"/>
    <col min="1302" max="1302" width="11.85546875" style="5" customWidth="1"/>
    <col min="1303" max="1536" width="9.140625" style="5"/>
    <col min="1537" max="1537" width="14.28515625" style="5" bestFit="1" customWidth="1"/>
    <col min="1538" max="1540" width="9.140625" style="5"/>
    <col min="1541" max="1541" width="11.5703125" style="5" bestFit="1" customWidth="1"/>
    <col min="1542" max="1542" width="12.85546875" style="5" customWidth="1"/>
    <col min="1543" max="1544" width="9.140625" style="5"/>
    <col min="1545" max="1545" width="13.42578125" style="5" customWidth="1"/>
    <col min="1546" max="1546" width="12.5703125" style="5" customWidth="1"/>
    <col min="1547" max="1547" width="13.5703125" style="5" customWidth="1"/>
    <col min="1548" max="1548" width="9.140625" style="5"/>
    <col min="1549" max="1549" width="11.5703125" style="5" customWidth="1"/>
    <col min="1550" max="1552" width="9.140625" style="5"/>
    <col min="1553" max="1553" width="10.7109375" style="5" bestFit="1" customWidth="1"/>
    <col min="1554" max="1554" width="15.28515625" style="5" bestFit="1" customWidth="1"/>
    <col min="1555" max="1555" width="11.28515625" style="5" bestFit="1" customWidth="1"/>
    <col min="1556" max="1557" width="9.140625" style="5"/>
    <col min="1558" max="1558" width="11.85546875" style="5" customWidth="1"/>
    <col min="1559" max="1792" width="9.140625" style="5"/>
    <col min="1793" max="1793" width="14.28515625" style="5" bestFit="1" customWidth="1"/>
    <col min="1794" max="1796" width="9.140625" style="5"/>
    <col min="1797" max="1797" width="11.5703125" style="5" bestFit="1" customWidth="1"/>
    <col min="1798" max="1798" width="12.85546875" style="5" customWidth="1"/>
    <col min="1799" max="1800" width="9.140625" style="5"/>
    <col min="1801" max="1801" width="13.42578125" style="5" customWidth="1"/>
    <col min="1802" max="1802" width="12.5703125" style="5" customWidth="1"/>
    <col min="1803" max="1803" width="13.5703125" style="5" customWidth="1"/>
    <col min="1804" max="1804" width="9.140625" style="5"/>
    <col min="1805" max="1805" width="11.5703125" style="5" customWidth="1"/>
    <col min="1806" max="1808" width="9.140625" style="5"/>
    <col min="1809" max="1809" width="10.7109375" style="5" bestFit="1" customWidth="1"/>
    <col min="1810" max="1810" width="15.28515625" style="5" bestFit="1" customWidth="1"/>
    <col min="1811" max="1811" width="11.28515625" style="5" bestFit="1" customWidth="1"/>
    <col min="1812" max="1813" width="9.140625" style="5"/>
    <col min="1814" max="1814" width="11.85546875" style="5" customWidth="1"/>
    <col min="1815" max="2048" width="9.140625" style="5"/>
    <col min="2049" max="2049" width="14.28515625" style="5" bestFit="1" customWidth="1"/>
    <col min="2050" max="2052" width="9.140625" style="5"/>
    <col min="2053" max="2053" width="11.5703125" style="5" bestFit="1" customWidth="1"/>
    <col min="2054" max="2054" width="12.85546875" style="5" customWidth="1"/>
    <col min="2055" max="2056" width="9.140625" style="5"/>
    <col min="2057" max="2057" width="13.42578125" style="5" customWidth="1"/>
    <col min="2058" max="2058" width="12.5703125" style="5" customWidth="1"/>
    <col min="2059" max="2059" width="13.5703125" style="5" customWidth="1"/>
    <col min="2060" max="2060" width="9.140625" style="5"/>
    <col min="2061" max="2061" width="11.5703125" style="5" customWidth="1"/>
    <col min="2062" max="2064" width="9.140625" style="5"/>
    <col min="2065" max="2065" width="10.7109375" style="5" bestFit="1" customWidth="1"/>
    <col min="2066" max="2066" width="15.28515625" style="5" bestFit="1" customWidth="1"/>
    <col min="2067" max="2067" width="11.28515625" style="5" bestFit="1" customWidth="1"/>
    <col min="2068" max="2069" width="9.140625" style="5"/>
    <col min="2070" max="2070" width="11.85546875" style="5" customWidth="1"/>
    <col min="2071" max="2304" width="9.140625" style="5"/>
    <col min="2305" max="2305" width="14.28515625" style="5" bestFit="1" customWidth="1"/>
    <col min="2306" max="2308" width="9.140625" style="5"/>
    <col min="2309" max="2309" width="11.5703125" style="5" bestFit="1" customWidth="1"/>
    <col min="2310" max="2310" width="12.85546875" style="5" customWidth="1"/>
    <col min="2311" max="2312" width="9.140625" style="5"/>
    <col min="2313" max="2313" width="13.42578125" style="5" customWidth="1"/>
    <col min="2314" max="2314" width="12.5703125" style="5" customWidth="1"/>
    <col min="2315" max="2315" width="13.5703125" style="5" customWidth="1"/>
    <col min="2316" max="2316" width="9.140625" style="5"/>
    <col min="2317" max="2317" width="11.5703125" style="5" customWidth="1"/>
    <col min="2318" max="2320" width="9.140625" style="5"/>
    <col min="2321" max="2321" width="10.7109375" style="5" bestFit="1" customWidth="1"/>
    <col min="2322" max="2322" width="15.28515625" style="5" bestFit="1" customWidth="1"/>
    <col min="2323" max="2323" width="11.28515625" style="5" bestFit="1" customWidth="1"/>
    <col min="2324" max="2325" width="9.140625" style="5"/>
    <col min="2326" max="2326" width="11.85546875" style="5" customWidth="1"/>
    <col min="2327" max="2560" width="9.140625" style="5"/>
    <col min="2561" max="2561" width="14.28515625" style="5" bestFit="1" customWidth="1"/>
    <col min="2562" max="2564" width="9.140625" style="5"/>
    <col min="2565" max="2565" width="11.5703125" style="5" bestFit="1" customWidth="1"/>
    <col min="2566" max="2566" width="12.85546875" style="5" customWidth="1"/>
    <col min="2567" max="2568" width="9.140625" style="5"/>
    <col min="2569" max="2569" width="13.42578125" style="5" customWidth="1"/>
    <col min="2570" max="2570" width="12.5703125" style="5" customWidth="1"/>
    <col min="2571" max="2571" width="13.5703125" style="5" customWidth="1"/>
    <col min="2572" max="2572" width="9.140625" style="5"/>
    <col min="2573" max="2573" width="11.5703125" style="5" customWidth="1"/>
    <col min="2574" max="2576" width="9.140625" style="5"/>
    <col min="2577" max="2577" width="10.7109375" style="5" bestFit="1" customWidth="1"/>
    <col min="2578" max="2578" width="15.28515625" style="5" bestFit="1" customWidth="1"/>
    <col min="2579" max="2579" width="11.28515625" style="5" bestFit="1" customWidth="1"/>
    <col min="2580" max="2581" width="9.140625" style="5"/>
    <col min="2582" max="2582" width="11.85546875" style="5" customWidth="1"/>
    <col min="2583" max="2816" width="9.140625" style="5"/>
    <col min="2817" max="2817" width="14.28515625" style="5" bestFit="1" customWidth="1"/>
    <col min="2818" max="2820" width="9.140625" style="5"/>
    <col min="2821" max="2821" width="11.5703125" style="5" bestFit="1" customWidth="1"/>
    <col min="2822" max="2822" width="12.85546875" style="5" customWidth="1"/>
    <col min="2823" max="2824" width="9.140625" style="5"/>
    <col min="2825" max="2825" width="13.42578125" style="5" customWidth="1"/>
    <col min="2826" max="2826" width="12.5703125" style="5" customWidth="1"/>
    <col min="2827" max="2827" width="13.5703125" style="5" customWidth="1"/>
    <col min="2828" max="2828" width="9.140625" style="5"/>
    <col min="2829" max="2829" width="11.5703125" style="5" customWidth="1"/>
    <col min="2830" max="2832" width="9.140625" style="5"/>
    <col min="2833" max="2833" width="10.7109375" style="5" bestFit="1" customWidth="1"/>
    <col min="2834" max="2834" width="15.28515625" style="5" bestFit="1" customWidth="1"/>
    <col min="2835" max="2835" width="11.28515625" style="5" bestFit="1" customWidth="1"/>
    <col min="2836" max="2837" width="9.140625" style="5"/>
    <col min="2838" max="2838" width="11.85546875" style="5" customWidth="1"/>
    <col min="2839" max="3072" width="9.140625" style="5"/>
    <col min="3073" max="3073" width="14.28515625" style="5" bestFit="1" customWidth="1"/>
    <col min="3074" max="3076" width="9.140625" style="5"/>
    <col min="3077" max="3077" width="11.5703125" style="5" bestFit="1" customWidth="1"/>
    <col min="3078" max="3078" width="12.85546875" style="5" customWidth="1"/>
    <col min="3079" max="3080" width="9.140625" style="5"/>
    <col min="3081" max="3081" width="13.42578125" style="5" customWidth="1"/>
    <col min="3082" max="3082" width="12.5703125" style="5" customWidth="1"/>
    <col min="3083" max="3083" width="13.5703125" style="5" customWidth="1"/>
    <col min="3084" max="3084" width="9.140625" style="5"/>
    <col min="3085" max="3085" width="11.5703125" style="5" customWidth="1"/>
    <col min="3086" max="3088" width="9.140625" style="5"/>
    <col min="3089" max="3089" width="10.7109375" style="5" bestFit="1" customWidth="1"/>
    <col min="3090" max="3090" width="15.28515625" style="5" bestFit="1" customWidth="1"/>
    <col min="3091" max="3091" width="11.28515625" style="5" bestFit="1" customWidth="1"/>
    <col min="3092" max="3093" width="9.140625" style="5"/>
    <col min="3094" max="3094" width="11.85546875" style="5" customWidth="1"/>
    <col min="3095" max="3328" width="9.140625" style="5"/>
    <col min="3329" max="3329" width="14.28515625" style="5" bestFit="1" customWidth="1"/>
    <col min="3330" max="3332" width="9.140625" style="5"/>
    <col min="3333" max="3333" width="11.5703125" style="5" bestFit="1" customWidth="1"/>
    <col min="3334" max="3334" width="12.85546875" style="5" customWidth="1"/>
    <col min="3335" max="3336" width="9.140625" style="5"/>
    <col min="3337" max="3337" width="13.42578125" style="5" customWidth="1"/>
    <col min="3338" max="3338" width="12.5703125" style="5" customWidth="1"/>
    <col min="3339" max="3339" width="13.5703125" style="5" customWidth="1"/>
    <col min="3340" max="3340" width="9.140625" style="5"/>
    <col min="3341" max="3341" width="11.5703125" style="5" customWidth="1"/>
    <col min="3342" max="3344" width="9.140625" style="5"/>
    <col min="3345" max="3345" width="10.7109375" style="5" bestFit="1" customWidth="1"/>
    <col min="3346" max="3346" width="15.28515625" style="5" bestFit="1" customWidth="1"/>
    <col min="3347" max="3347" width="11.28515625" style="5" bestFit="1" customWidth="1"/>
    <col min="3348" max="3349" width="9.140625" style="5"/>
    <col min="3350" max="3350" width="11.85546875" style="5" customWidth="1"/>
    <col min="3351" max="3584" width="9.140625" style="5"/>
    <col min="3585" max="3585" width="14.28515625" style="5" bestFit="1" customWidth="1"/>
    <col min="3586" max="3588" width="9.140625" style="5"/>
    <col min="3589" max="3589" width="11.5703125" style="5" bestFit="1" customWidth="1"/>
    <col min="3590" max="3590" width="12.85546875" style="5" customWidth="1"/>
    <col min="3591" max="3592" width="9.140625" style="5"/>
    <col min="3593" max="3593" width="13.42578125" style="5" customWidth="1"/>
    <col min="3594" max="3594" width="12.5703125" style="5" customWidth="1"/>
    <col min="3595" max="3595" width="13.5703125" style="5" customWidth="1"/>
    <col min="3596" max="3596" width="9.140625" style="5"/>
    <col min="3597" max="3597" width="11.5703125" style="5" customWidth="1"/>
    <col min="3598" max="3600" width="9.140625" style="5"/>
    <col min="3601" max="3601" width="10.7109375" style="5" bestFit="1" customWidth="1"/>
    <col min="3602" max="3602" width="15.28515625" style="5" bestFit="1" customWidth="1"/>
    <col min="3603" max="3603" width="11.28515625" style="5" bestFit="1" customWidth="1"/>
    <col min="3604" max="3605" width="9.140625" style="5"/>
    <col min="3606" max="3606" width="11.85546875" style="5" customWidth="1"/>
    <col min="3607" max="3840" width="9.140625" style="5"/>
    <col min="3841" max="3841" width="14.28515625" style="5" bestFit="1" customWidth="1"/>
    <col min="3842" max="3844" width="9.140625" style="5"/>
    <col min="3845" max="3845" width="11.5703125" style="5" bestFit="1" customWidth="1"/>
    <col min="3846" max="3846" width="12.85546875" style="5" customWidth="1"/>
    <col min="3847" max="3848" width="9.140625" style="5"/>
    <col min="3849" max="3849" width="13.42578125" style="5" customWidth="1"/>
    <col min="3850" max="3850" width="12.5703125" style="5" customWidth="1"/>
    <col min="3851" max="3851" width="13.5703125" style="5" customWidth="1"/>
    <col min="3852" max="3852" width="9.140625" style="5"/>
    <col min="3853" max="3853" width="11.5703125" style="5" customWidth="1"/>
    <col min="3854" max="3856" width="9.140625" style="5"/>
    <col min="3857" max="3857" width="10.7109375" style="5" bestFit="1" customWidth="1"/>
    <col min="3858" max="3858" width="15.28515625" style="5" bestFit="1" customWidth="1"/>
    <col min="3859" max="3859" width="11.28515625" style="5" bestFit="1" customWidth="1"/>
    <col min="3860" max="3861" width="9.140625" style="5"/>
    <col min="3862" max="3862" width="11.85546875" style="5" customWidth="1"/>
    <col min="3863" max="4096" width="9.140625" style="5"/>
    <col min="4097" max="4097" width="14.28515625" style="5" bestFit="1" customWidth="1"/>
    <col min="4098" max="4100" width="9.140625" style="5"/>
    <col min="4101" max="4101" width="11.5703125" style="5" bestFit="1" customWidth="1"/>
    <col min="4102" max="4102" width="12.85546875" style="5" customWidth="1"/>
    <col min="4103" max="4104" width="9.140625" style="5"/>
    <col min="4105" max="4105" width="13.42578125" style="5" customWidth="1"/>
    <col min="4106" max="4106" width="12.5703125" style="5" customWidth="1"/>
    <col min="4107" max="4107" width="13.5703125" style="5" customWidth="1"/>
    <col min="4108" max="4108" width="9.140625" style="5"/>
    <col min="4109" max="4109" width="11.5703125" style="5" customWidth="1"/>
    <col min="4110" max="4112" width="9.140625" style="5"/>
    <col min="4113" max="4113" width="10.7109375" style="5" bestFit="1" customWidth="1"/>
    <col min="4114" max="4114" width="15.28515625" style="5" bestFit="1" customWidth="1"/>
    <col min="4115" max="4115" width="11.28515625" style="5" bestFit="1" customWidth="1"/>
    <col min="4116" max="4117" width="9.140625" style="5"/>
    <col min="4118" max="4118" width="11.85546875" style="5" customWidth="1"/>
    <col min="4119" max="4352" width="9.140625" style="5"/>
    <col min="4353" max="4353" width="14.28515625" style="5" bestFit="1" customWidth="1"/>
    <col min="4354" max="4356" width="9.140625" style="5"/>
    <col min="4357" max="4357" width="11.5703125" style="5" bestFit="1" customWidth="1"/>
    <col min="4358" max="4358" width="12.85546875" style="5" customWidth="1"/>
    <col min="4359" max="4360" width="9.140625" style="5"/>
    <col min="4361" max="4361" width="13.42578125" style="5" customWidth="1"/>
    <col min="4362" max="4362" width="12.5703125" style="5" customWidth="1"/>
    <col min="4363" max="4363" width="13.5703125" style="5" customWidth="1"/>
    <col min="4364" max="4364" width="9.140625" style="5"/>
    <col min="4365" max="4365" width="11.5703125" style="5" customWidth="1"/>
    <col min="4366" max="4368" width="9.140625" style="5"/>
    <col min="4369" max="4369" width="10.7109375" style="5" bestFit="1" customWidth="1"/>
    <col min="4370" max="4370" width="15.28515625" style="5" bestFit="1" customWidth="1"/>
    <col min="4371" max="4371" width="11.28515625" style="5" bestFit="1" customWidth="1"/>
    <col min="4372" max="4373" width="9.140625" style="5"/>
    <col min="4374" max="4374" width="11.85546875" style="5" customWidth="1"/>
    <col min="4375" max="4608" width="9.140625" style="5"/>
    <col min="4609" max="4609" width="14.28515625" style="5" bestFit="1" customWidth="1"/>
    <col min="4610" max="4612" width="9.140625" style="5"/>
    <col min="4613" max="4613" width="11.5703125" style="5" bestFit="1" customWidth="1"/>
    <col min="4614" max="4614" width="12.85546875" style="5" customWidth="1"/>
    <col min="4615" max="4616" width="9.140625" style="5"/>
    <col min="4617" max="4617" width="13.42578125" style="5" customWidth="1"/>
    <col min="4618" max="4618" width="12.5703125" style="5" customWidth="1"/>
    <col min="4619" max="4619" width="13.5703125" style="5" customWidth="1"/>
    <col min="4620" max="4620" width="9.140625" style="5"/>
    <col min="4621" max="4621" width="11.5703125" style="5" customWidth="1"/>
    <col min="4622" max="4624" width="9.140625" style="5"/>
    <col min="4625" max="4625" width="10.7109375" style="5" bestFit="1" customWidth="1"/>
    <col min="4626" max="4626" width="15.28515625" style="5" bestFit="1" customWidth="1"/>
    <col min="4627" max="4627" width="11.28515625" style="5" bestFit="1" customWidth="1"/>
    <col min="4628" max="4629" width="9.140625" style="5"/>
    <col min="4630" max="4630" width="11.85546875" style="5" customWidth="1"/>
    <col min="4631" max="4864" width="9.140625" style="5"/>
    <col min="4865" max="4865" width="14.28515625" style="5" bestFit="1" customWidth="1"/>
    <col min="4866" max="4868" width="9.140625" style="5"/>
    <col min="4869" max="4869" width="11.5703125" style="5" bestFit="1" customWidth="1"/>
    <col min="4870" max="4870" width="12.85546875" style="5" customWidth="1"/>
    <col min="4871" max="4872" width="9.140625" style="5"/>
    <col min="4873" max="4873" width="13.42578125" style="5" customWidth="1"/>
    <col min="4874" max="4874" width="12.5703125" style="5" customWidth="1"/>
    <col min="4875" max="4875" width="13.5703125" style="5" customWidth="1"/>
    <col min="4876" max="4876" width="9.140625" style="5"/>
    <col min="4877" max="4877" width="11.5703125" style="5" customWidth="1"/>
    <col min="4878" max="4880" width="9.140625" style="5"/>
    <col min="4881" max="4881" width="10.7109375" style="5" bestFit="1" customWidth="1"/>
    <col min="4882" max="4882" width="15.28515625" style="5" bestFit="1" customWidth="1"/>
    <col min="4883" max="4883" width="11.28515625" style="5" bestFit="1" customWidth="1"/>
    <col min="4884" max="4885" width="9.140625" style="5"/>
    <col min="4886" max="4886" width="11.85546875" style="5" customWidth="1"/>
    <col min="4887" max="5120" width="9.140625" style="5"/>
    <col min="5121" max="5121" width="14.28515625" style="5" bestFit="1" customWidth="1"/>
    <col min="5122" max="5124" width="9.140625" style="5"/>
    <col min="5125" max="5125" width="11.5703125" style="5" bestFit="1" customWidth="1"/>
    <col min="5126" max="5126" width="12.85546875" style="5" customWidth="1"/>
    <col min="5127" max="5128" width="9.140625" style="5"/>
    <col min="5129" max="5129" width="13.42578125" style="5" customWidth="1"/>
    <col min="5130" max="5130" width="12.5703125" style="5" customWidth="1"/>
    <col min="5131" max="5131" width="13.5703125" style="5" customWidth="1"/>
    <col min="5132" max="5132" width="9.140625" style="5"/>
    <col min="5133" max="5133" width="11.5703125" style="5" customWidth="1"/>
    <col min="5134" max="5136" width="9.140625" style="5"/>
    <col min="5137" max="5137" width="10.7109375" style="5" bestFit="1" customWidth="1"/>
    <col min="5138" max="5138" width="15.28515625" style="5" bestFit="1" customWidth="1"/>
    <col min="5139" max="5139" width="11.28515625" style="5" bestFit="1" customWidth="1"/>
    <col min="5140" max="5141" width="9.140625" style="5"/>
    <col min="5142" max="5142" width="11.85546875" style="5" customWidth="1"/>
    <col min="5143" max="5376" width="9.140625" style="5"/>
    <col min="5377" max="5377" width="14.28515625" style="5" bestFit="1" customWidth="1"/>
    <col min="5378" max="5380" width="9.140625" style="5"/>
    <col min="5381" max="5381" width="11.5703125" style="5" bestFit="1" customWidth="1"/>
    <col min="5382" max="5382" width="12.85546875" style="5" customWidth="1"/>
    <col min="5383" max="5384" width="9.140625" style="5"/>
    <col min="5385" max="5385" width="13.42578125" style="5" customWidth="1"/>
    <col min="5386" max="5386" width="12.5703125" style="5" customWidth="1"/>
    <col min="5387" max="5387" width="13.5703125" style="5" customWidth="1"/>
    <col min="5388" max="5388" width="9.140625" style="5"/>
    <col min="5389" max="5389" width="11.5703125" style="5" customWidth="1"/>
    <col min="5390" max="5392" width="9.140625" style="5"/>
    <col min="5393" max="5393" width="10.7109375" style="5" bestFit="1" customWidth="1"/>
    <col min="5394" max="5394" width="15.28515625" style="5" bestFit="1" customWidth="1"/>
    <col min="5395" max="5395" width="11.28515625" style="5" bestFit="1" customWidth="1"/>
    <col min="5396" max="5397" width="9.140625" style="5"/>
    <col min="5398" max="5398" width="11.85546875" style="5" customWidth="1"/>
    <col min="5399" max="5632" width="9.140625" style="5"/>
    <col min="5633" max="5633" width="14.28515625" style="5" bestFit="1" customWidth="1"/>
    <col min="5634" max="5636" width="9.140625" style="5"/>
    <col min="5637" max="5637" width="11.5703125" style="5" bestFit="1" customWidth="1"/>
    <col min="5638" max="5638" width="12.85546875" style="5" customWidth="1"/>
    <col min="5639" max="5640" width="9.140625" style="5"/>
    <col min="5641" max="5641" width="13.42578125" style="5" customWidth="1"/>
    <col min="5642" max="5642" width="12.5703125" style="5" customWidth="1"/>
    <col min="5643" max="5643" width="13.5703125" style="5" customWidth="1"/>
    <col min="5644" max="5644" width="9.140625" style="5"/>
    <col min="5645" max="5645" width="11.5703125" style="5" customWidth="1"/>
    <col min="5646" max="5648" width="9.140625" style="5"/>
    <col min="5649" max="5649" width="10.7109375" style="5" bestFit="1" customWidth="1"/>
    <col min="5650" max="5650" width="15.28515625" style="5" bestFit="1" customWidth="1"/>
    <col min="5651" max="5651" width="11.28515625" style="5" bestFit="1" customWidth="1"/>
    <col min="5652" max="5653" width="9.140625" style="5"/>
    <col min="5654" max="5654" width="11.85546875" style="5" customWidth="1"/>
    <col min="5655" max="5888" width="9.140625" style="5"/>
    <col min="5889" max="5889" width="14.28515625" style="5" bestFit="1" customWidth="1"/>
    <col min="5890" max="5892" width="9.140625" style="5"/>
    <col min="5893" max="5893" width="11.5703125" style="5" bestFit="1" customWidth="1"/>
    <col min="5894" max="5894" width="12.85546875" style="5" customWidth="1"/>
    <col min="5895" max="5896" width="9.140625" style="5"/>
    <col min="5897" max="5897" width="13.42578125" style="5" customWidth="1"/>
    <col min="5898" max="5898" width="12.5703125" style="5" customWidth="1"/>
    <col min="5899" max="5899" width="13.5703125" style="5" customWidth="1"/>
    <col min="5900" max="5900" width="9.140625" style="5"/>
    <col min="5901" max="5901" width="11.5703125" style="5" customWidth="1"/>
    <col min="5902" max="5904" width="9.140625" style="5"/>
    <col min="5905" max="5905" width="10.7109375" style="5" bestFit="1" customWidth="1"/>
    <col min="5906" max="5906" width="15.28515625" style="5" bestFit="1" customWidth="1"/>
    <col min="5907" max="5907" width="11.28515625" style="5" bestFit="1" customWidth="1"/>
    <col min="5908" max="5909" width="9.140625" style="5"/>
    <col min="5910" max="5910" width="11.85546875" style="5" customWidth="1"/>
    <col min="5911" max="6144" width="9.140625" style="5"/>
    <col min="6145" max="6145" width="14.28515625" style="5" bestFit="1" customWidth="1"/>
    <col min="6146" max="6148" width="9.140625" style="5"/>
    <col min="6149" max="6149" width="11.5703125" style="5" bestFit="1" customWidth="1"/>
    <col min="6150" max="6150" width="12.85546875" style="5" customWidth="1"/>
    <col min="6151" max="6152" width="9.140625" style="5"/>
    <col min="6153" max="6153" width="13.42578125" style="5" customWidth="1"/>
    <col min="6154" max="6154" width="12.5703125" style="5" customWidth="1"/>
    <col min="6155" max="6155" width="13.5703125" style="5" customWidth="1"/>
    <col min="6156" max="6156" width="9.140625" style="5"/>
    <col min="6157" max="6157" width="11.5703125" style="5" customWidth="1"/>
    <col min="6158" max="6160" width="9.140625" style="5"/>
    <col min="6161" max="6161" width="10.7109375" style="5" bestFit="1" customWidth="1"/>
    <col min="6162" max="6162" width="15.28515625" style="5" bestFit="1" customWidth="1"/>
    <col min="6163" max="6163" width="11.28515625" style="5" bestFit="1" customWidth="1"/>
    <col min="6164" max="6165" width="9.140625" style="5"/>
    <col min="6166" max="6166" width="11.85546875" style="5" customWidth="1"/>
    <col min="6167" max="6400" width="9.140625" style="5"/>
    <col min="6401" max="6401" width="14.28515625" style="5" bestFit="1" customWidth="1"/>
    <col min="6402" max="6404" width="9.140625" style="5"/>
    <col min="6405" max="6405" width="11.5703125" style="5" bestFit="1" customWidth="1"/>
    <col min="6406" max="6406" width="12.85546875" style="5" customWidth="1"/>
    <col min="6407" max="6408" width="9.140625" style="5"/>
    <col min="6409" max="6409" width="13.42578125" style="5" customWidth="1"/>
    <col min="6410" max="6410" width="12.5703125" style="5" customWidth="1"/>
    <col min="6411" max="6411" width="13.5703125" style="5" customWidth="1"/>
    <col min="6412" max="6412" width="9.140625" style="5"/>
    <col min="6413" max="6413" width="11.5703125" style="5" customWidth="1"/>
    <col min="6414" max="6416" width="9.140625" style="5"/>
    <col min="6417" max="6417" width="10.7109375" style="5" bestFit="1" customWidth="1"/>
    <col min="6418" max="6418" width="15.28515625" style="5" bestFit="1" customWidth="1"/>
    <col min="6419" max="6419" width="11.28515625" style="5" bestFit="1" customWidth="1"/>
    <col min="6420" max="6421" width="9.140625" style="5"/>
    <col min="6422" max="6422" width="11.85546875" style="5" customWidth="1"/>
    <col min="6423" max="6656" width="9.140625" style="5"/>
    <col min="6657" max="6657" width="14.28515625" style="5" bestFit="1" customWidth="1"/>
    <col min="6658" max="6660" width="9.140625" style="5"/>
    <col min="6661" max="6661" width="11.5703125" style="5" bestFit="1" customWidth="1"/>
    <col min="6662" max="6662" width="12.85546875" style="5" customWidth="1"/>
    <col min="6663" max="6664" width="9.140625" style="5"/>
    <col min="6665" max="6665" width="13.42578125" style="5" customWidth="1"/>
    <col min="6666" max="6666" width="12.5703125" style="5" customWidth="1"/>
    <col min="6667" max="6667" width="13.5703125" style="5" customWidth="1"/>
    <col min="6668" max="6668" width="9.140625" style="5"/>
    <col min="6669" max="6669" width="11.5703125" style="5" customWidth="1"/>
    <col min="6670" max="6672" width="9.140625" style="5"/>
    <col min="6673" max="6673" width="10.7109375" style="5" bestFit="1" customWidth="1"/>
    <col min="6674" max="6674" width="15.28515625" style="5" bestFit="1" customWidth="1"/>
    <col min="6675" max="6675" width="11.28515625" style="5" bestFit="1" customWidth="1"/>
    <col min="6676" max="6677" width="9.140625" style="5"/>
    <col min="6678" max="6678" width="11.85546875" style="5" customWidth="1"/>
    <col min="6679" max="6912" width="9.140625" style="5"/>
    <col min="6913" max="6913" width="14.28515625" style="5" bestFit="1" customWidth="1"/>
    <col min="6914" max="6916" width="9.140625" style="5"/>
    <col min="6917" max="6917" width="11.5703125" style="5" bestFit="1" customWidth="1"/>
    <col min="6918" max="6918" width="12.85546875" style="5" customWidth="1"/>
    <col min="6919" max="6920" width="9.140625" style="5"/>
    <col min="6921" max="6921" width="13.42578125" style="5" customWidth="1"/>
    <col min="6922" max="6922" width="12.5703125" style="5" customWidth="1"/>
    <col min="6923" max="6923" width="13.5703125" style="5" customWidth="1"/>
    <col min="6924" max="6924" width="9.140625" style="5"/>
    <col min="6925" max="6925" width="11.5703125" style="5" customWidth="1"/>
    <col min="6926" max="6928" width="9.140625" style="5"/>
    <col min="6929" max="6929" width="10.7109375" style="5" bestFit="1" customWidth="1"/>
    <col min="6930" max="6930" width="15.28515625" style="5" bestFit="1" customWidth="1"/>
    <col min="6931" max="6931" width="11.28515625" style="5" bestFit="1" customWidth="1"/>
    <col min="6932" max="6933" width="9.140625" style="5"/>
    <col min="6934" max="6934" width="11.85546875" style="5" customWidth="1"/>
    <col min="6935" max="7168" width="9.140625" style="5"/>
    <col min="7169" max="7169" width="14.28515625" style="5" bestFit="1" customWidth="1"/>
    <col min="7170" max="7172" width="9.140625" style="5"/>
    <col min="7173" max="7173" width="11.5703125" style="5" bestFit="1" customWidth="1"/>
    <col min="7174" max="7174" width="12.85546875" style="5" customWidth="1"/>
    <col min="7175" max="7176" width="9.140625" style="5"/>
    <col min="7177" max="7177" width="13.42578125" style="5" customWidth="1"/>
    <col min="7178" max="7178" width="12.5703125" style="5" customWidth="1"/>
    <col min="7179" max="7179" width="13.5703125" style="5" customWidth="1"/>
    <col min="7180" max="7180" width="9.140625" style="5"/>
    <col min="7181" max="7181" width="11.5703125" style="5" customWidth="1"/>
    <col min="7182" max="7184" width="9.140625" style="5"/>
    <col min="7185" max="7185" width="10.7109375" style="5" bestFit="1" customWidth="1"/>
    <col min="7186" max="7186" width="15.28515625" style="5" bestFit="1" customWidth="1"/>
    <col min="7187" max="7187" width="11.28515625" style="5" bestFit="1" customWidth="1"/>
    <col min="7188" max="7189" width="9.140625" style="5"/>
    <col min="7190" max="7190" width="11.85546875" style="5" customWidth="1"/>
    <col min="7191" max="7424" width="9.140625" style="5"/>
    <col min="7425" max="7425" width="14.28515625" style="5" bestFit="1" customWidth="1"/>
    <col min="7426" max="7428" width="9.140625" style="5"/>
    <col min="7429" max="7429" width="11.5703125" style="5" bestFit="1" customWidth="1"/>
    <col min="7430" max="7430" width="12.85546875" style="5" customWidth="1"/>
    <col min="7431" max="7432" width="9.140625" style="5"/>
    <col min="7433" max="7433" width="13.42578125" style="5" customWidth="1"/>
    <col min="7434" max="7434" width="12.5703125" style="5" customWidth="1"/>
    <col min="7435" max="7435" width="13.5703125" style="5" customWidth="1"/>
    <col min="7436" max="7436" width="9.140625" style="5"/>
    <col min="7437" max="7437" width="11.5703125" style="5" customWidth="1"/>
    <col min="7438" max="7440" width="9.140625" style="5"/>
    <col min="7441" max="7441" width="10.7109375" style="5" bestFit="1" customWidth="1"/>
    <col min="7442" max="7442" width="15.28515625" style="5" bestFit="1" customWidth="1"/>
    <col min="7443" max="7443" width="11.28515625" style="5" bestFit="1" customWidth="1"/>
    <col min="7444" max="7445" width="9.140625" style="5"/>
    <col min="7446" max="7446" width="11.85546875" style="5" customWidth="1"/>
    <col min="7447" max="7680" width="9.140625" style="5"/>
    <col min="7681" max="7681" width="14.28515625" style="5" bestFit="1" customWidth="1"/>
    <col min="7682" max="7684" width="9.140625" style="5"/>
    <col min="7685" max="7685" width="11.5703125" style="5" bestFit="1" customWidth="1"/>
    <col min="7686" max="7686" width="12.85546875" style="5" customWidth="1"/>
    <col min="7687" max="7688" width="9.140625" style="5"/>
    <col min="7689" max="7689" width="13.42578125" style="5" customWidth="1"/>
    <col min="7690" max="7690" width="12.5703125" style="5" customWidth="1"/>
    <col min="7691" max="7691" width="13.5703125" style="5" customWidth="1"/>
    <col min="7692" max="7692" width="9.140625" style="5"/>
    <col min="7693" max="7693" width="11.5703125" style="5" customWidth="1"/>
    <col min="7694" max="7696" width="9.140625" style="5"/>
    <col min="7697" max="7697" width="10.7109375" style="5" bestFit="1" customWidth="1"/>
    <col min="7698" max="7698" width="15.28515625" style="5" bestFit="1" customWidth="1"/>
    <col min="7699" max="7699" width="11.28515625" style="5" bestFit="1" customWidth="1"/>
    <col min="7700" max="7701" width="9.140625" style="5"/>
    <col min="7702" max="7702" width="11.85546875" style="5" customWidth="1"/>
    <col min="7703" max="7936" width="9.140625" style="5"/>
    <col min="7937" max="7937" width="14.28515625" style="5" bestFit="1" customWidth="1"/>
    <col min="7938" max="7940" width="9.140625" style="5"/>
    <col min="7941" max="7941" width="11.5703125" style="5" bestFit="1" customWidth="1"/>
    <col min="7942" max="7942" width="12.85546875" style="5" customWidth="1"/>
    <col min="7943" max="7944" width="9.140625" style="5"/>
    <col min="7945" max="7945" width="13.42578125" style="5" customWidth="1"/>
    <col min="7946" max="7946" width="12.5703125" style="5" customWidth="1"/>
    <col min="7947" max="7947" width="13.5703125" style="5" customWidth="1"/>
    <col min="7948" max="7948" width="9.140625" style="5"/>
    <col min="7949" max="7949" width="11.5703125" style="5" customWidth="1"/>
    <col min="7950" max="7952" width="9.140625" style="5"/>
    <col min="7953" max="7953" width="10.7109375" style="5" bestFit="1" customWidth="1"/>
    <col min="7954" max="7954" width="15.28515625" style="5" bestFit="1" customWidth="1"/>
    <col min="7955" max="7955" width="11.28515625" style="5" bestFit="1" customWidth="1"/>
    <col min="7956" max="7957" width="9.140625" style="5"/>
    <col min="7958" max="7958" width="11.85546875" style="5" customWidth="1"/>
    <col min="7959" max="8192" width="9.140625" style="5"/>
    <col min="8193" max="8193" width="14.28515625" style="5" bestFit="1" customWidth="1"/>
    <col min="8194" max="8196" width="9.140625" style="5"/>
    <col min="8197" max="8197" width="11.5703125" style="5" bestFit="1" customWidth="1"/>
    <col min="8198" max="8198" width="12.85546875" style="5" customWidth="1"/>
    <col min="8199" max="8200" width="9.140625" style="5"/>
    <col min="8201" max="8201" width="13.42578125" style="5" customWidth="1"/>
    <col min="8202" max="8202" width="12.5703125" style="5" customWidth="1"/>
    <col min="8203" max="8203" width="13.5703125" style="5" customWidth="1"/>
    <col min="8204" max="8204" width="9.140625" style="5"/>
    <col min="8205" max="8205" width="11.5703125" style="5" customWidth="1"/>
    <col min="8206" max="8208" width="9.140625" style="5"/>
    <col min="8209" max="8209" width="10.7109375" style="5" bestFit="1" customWidth="1"/>
    <col min="8210" max="8210" width="15.28515625" style="5" bestFit="1" customWidth="1"/>
    <col min="8211" max="8211" width="11.28515625" style="5" bestFit="1" customWidth="1"/>
    <col min="8212" max="8213" width="9.140625" style="5"/>
    <col min="8214" max="8214" width="11.85546875" style="5" customWidth="1"/>
    <col min="8215" max="8448" width="9.140625" style="5"/>
    <col min="8449" max="8449" width="14.28515625" style="5" bestFit="1" customWidth="1"/>
    <col min="8450" max="8452" width="9.140625" style="5"/>
    <col min="8453" max="8453" width="11.5703125" style="5" bestFit="1" customWidth="1"/>
    <col min="8454" max="8454" width="12.85546875" style="5" customWidth="1"/>
    <col min="8455" max="8456" width="9.140625" style="5"/>
    <col min="8457" max="8457" width="13.42578125" style="5" customWidth="1"/>
    <col min="8458" max="8458" width="12.5703125" style="5" customWidth="1"/>
    <col min="8459" max="8459" width="13.5703125" style="5" customWidth="1"/>
    <col min="8460" max="8460" width="9.140625" style="5"/>
    <col min="8461" max="8461" width="11.5703125" style="5" customWidth="1"/>
    <col min="8462" max="8464" width="9.140625" style="5"/>
    <col min="8465" max="8465" width="10.7109375" style="5" bestFit="1" customWidth="1"/>
    <col min="8466" max="8466" width="15.28515625" style="5" bestFit="1" customWidth="1"/>
    <col min="8467" max="8467" width="11.28515625" style="5" bestFit="1" customWidth="1"/>
    <col min="8468" max="8469" width="9.140625" style="5"/>
    <col min="8470" max="8470" width="11.85546875" style="5" customWidth="1"/>
    <col min="8471" max="8704" width="9.140625" style="5"/>
    <col min="8705" max="8705" width="14.28515625" style="5" bestFit="1" customWidth="1"/>
    <col min="8706" max="8708" width="9.140625" style="5"/>
    <col min="8709" max="8709" width="11.5703125" style="5" bestFit="1" customWidth="1"/>
    <col min="8710" max="8710" width="12.85546875" style="5" customWidth="1"/>
    <col min="8711" max="8712" width="9.140625" style="5"/>
    <col min="8713" max="8713" width="13.42578125" style="5" customWidth="1"/>
    <col min="8714" max="8714" width="12.5703125" style="5" customWidth="1"/>
    <col min="8715" max="8715" width="13.5703125" style="5" customWidth="1"/>
    <col min="8716" max="8716" width="9.140625" style="5"/>
    <col min="8717" max="8717" width="11.5703125" style="5" customWidth="1"/>
    <col min="8718" max="8720" width="9.140625" style="5"/>
    <col min="8721" max="8721" width="10.7109375" style="5" bestFit="1" customWidth="1"/>
    <col min="8722" max="8722" width="15.28515625" style="5" bestFit="1" customWidth="1"/>
    <col min="8723" max="8723" width="11.28515625" style="5" bestFit="1" customWidth="1"/>
    <col min="8724" max="8725" width="9.140625" style="5"/>
    <col min="8726" max="8726" width="11.85546875" style="5" customWidth="1"/>
    <col min="8727" max="8960" width="9.140625" style="5"/>
    <col min="8961" max="8961" width="14.28515625" style="5" bestFit="1" customWidth="1"/>
    <col min="8962" max="8964" width="9.140625" style="5"/>
    <col min="8965" max="8965" width="11.5703125" style="5" bestFit="1" customWidth="1"/>
    <col min="8966" max="8966" width="12.85546875" style="5" customWidth="1"/>
    <col min="8967" max="8968" width="9.140625" style="5"/>
    <col min="8969" max="8969" width="13.42578125" style="5" customWidth="1"/>
    <col min="8970" max="8970" width="12.5703125" style="5" customWidth="1"/>
    <col min="8971" max="8971" width="13.5703125" style="5" customWidth="1"/>
    <col min="8972" max="8972" width="9.140625" style="5"/>
    <col min="8973" max="8973" width="11.5703125" style="5" customWidth="1"/>
    <col min="8974" max="8976" width="9.140625" style="5"/>
    <col min="8977" max="8977" width="10.7109375" style="5" bestFit="1" customWidth="1"/>
    <col min="8978" max="8978" width="15.28515625" style="5" bestFit="1" customWidth="1"/>
    <col min="8979" max="8979" width="11.28515625" style="5" bestFit="1" customWidth="1"/>
    <col min="8980" max="8981" width="9.140625" style="5"/>
    <col min="8982" max="8982" width="11.85546875" style="5" customWidth="1"/>
    <col min="8983" max="9216" width="9.140625" style="5"/>
    <col min="9217" max="9217" width="14.28515625" style="5" bestFit="1" customWidth="1"/>
    <col min="9218" max="9220" width="9.140625" style="5"/>
    <col min="9221" max="9221" width="11.5703125" style="5" bestFit="1" customWidth="1"/>
    <col min="9222" max="9222" width="12.85546875" style="5" customWidth="1"/>
    <col min="9223" max="9224" width="9.140625" style="5"/>
    <col min="9225" max="9225" width="13.42578125" style="5" customWidth="1"/>
    <col min="9226" max="9226" width="12.5703125" style="5" customWidth="1"/>
    <col min="9227" max="9227" width="13.5703125" style="5" customWidth="1"/>
    <col min="9228" max="9228" width="9.140625" style="5"/>
    <col min="9229" max="9229" width="11.5703125" style="5" customWidth="1"/>
    <col min="9230" max="9232" width="9.140625" style="5"/>
    <col min="9233" max="9233" width="10.7109375" style="5" bestFit="1" customWidth="1"/>
    <col min="9234" max="9234" width="15.28515625" style="5" bestFit="1" customWidth="1"/>
    <col min="9235" max="9235" width="11.28515625" style="5" bestFit="1" customWidth="1"/>
    <col min="9236" max="9237" width="9.140625" style="5"/>
    <col min="9238" max="9238" width="11.85546875" style="5" customWidth="1"/>
    <col min="9239" max="9472" width="9.140625" style="5"/>
    <col min="9473" max="9473" width="14.28515625" style="5" bestFit="1" customWidth="1"/>
    <col min="9474" max="9476" width="9.140625" style="5"/>
    <col min="9477" max="9477" width="11.5703125" style="5" bestFit="1" customWidth="1"/>
    <col min="9478" max="9478" width="12.85546875" style="5" customWidth="1"/>
    <col min="9479" max="9480" width="9.140625" style="5"/>
    <col min="9481" max="9481" width="13.42578125" style="5" customWidth="1"/>
    <col min="9482" max="9482" width="12.5703125" style="5" customWidth="1"/>
    <col min="9483" max="9483" width="13.5703125" style="5" customWidth="1"/>
    <col min="9484" max="9484" width="9.140625" style="5"/>
    <col min="9485" max="9485" width="11.5703125" style="5" customWidth="1"/>
    <col min="9486" max="9488" width="9.140625" style="5"/>
    <col min="9489" max="9489" width="10.7109375" style="5" bestFit="1" customWidth="1"/>
    <col min="9490" max="9490" width="15.28515625" style="5" bestFit="1" customWidth="1"/>
    <col min="9491" max="9491" width="11.28515625" style="5" bestFit="1" customWidth="1"/>
    <col min="9492" max="9493" width="9.140625" style="5"/>
    <col min="9494" max="9494" width="11.85546875" style="5" customWidth="1"/>
    <col min="9495" max="9728" width="9.140625" style="5"/>
    <col min="9729" max="9729" width="14.28515625" style="5" bestFit="1" customWidth="1"/>
    <col min="9730" max="9732" width="9.140625" style="5"/>
    <col min="9733" max="9733" width="11.5703125" style="5" bestFit="1" customWidth="1"/>
    <col min="9734" max="9734" width="12.85546875" style="5" customWidth="1"/>
    <col min="9735" max="9736" width="9.140625" style="5"/>
    <col min="9737" max="9737" width="13.42578125" style="5" customWidth="1"/>
    <col min="9738" max="9738" width="12.5703125" style="5" customWidth="1"/>
    <col min="9739" max="9739" width="13.5703125" style="5" customWidth="1"/>
    <col min="9740" max="9740" width="9.140625" style="5"/>
    <col min="9741" max="9741" width="11.5703125" style="5" customWidth="1"/>
    <col min="9742" max="9744" width="9.140625" style="5"/>
    <col min="9745" max="9745" width="10.7109375" style="5" bestFit="1" customWidth="1"/>
    <col min="9746" max="9746" width="15.28515625" style="5" bestFit="1" customWidth="1"/>
    <col min="9747" max="9747" width="11.28515625" style="5" bestFit="1" customWidth="1"/>
    <col min="9748" max="9749" width="9.140625" style="5"/>
    <col min="9750" max="9750" width="11.85546875" style="5" customWidth="1"/>
    <col min="9751" max="9984" width="9.140625" style="5"/>
    <col min="9985" max="9985" width="14.28515625" style="5" bestFit="1" customWidth="1"/>
    <col min="9986" max="9988" width="9.140625" style="5"/>
    <col min="9989" max="9989" width="11.5703125" style="5" bestFit="1" customWidth="1"/>
    <col min="9990" max="9990" width="12.85546875" style="5" customWidth="1"/>
    <col min="9991" max="9992" width="9.140625" style="5"/>
    <col min="9993" max="9993" width="13.42578125" style="5" customWidth="1"/>
    <col min="9994" max="9994" width="12.5703125" style="5" customWidth="1"/>
    <col min="9995" max="9995" width="13.5703125" style="5" customWidth="1"/>
    <col min="9996" max="9996" width="9.140625" style="5"/>
    <col min="9997" max="9997" width="11.5703125" style="5" customWidth="1"/>
    <col min="9998" max="10000" width="9.140625" style="5"/>
    <col min="10001" max="10001" width="10.7109375" style="5" bestFit="1" customWidth="1"/>
    <col min="10002" max="10002" width="15.28515625" style="5" bestFit="1" customWidth="1"/>
    <col min="10003" max="10003" width="11.28515625" style="5" bestFit="1" customWidth="1"/>
    <col min="10004" max="10005" width="9.140625" style="5"/>
    <col min="10006" max="10006" width="11.85546875" style="5" customWidth="1"/>
    <col min="10007" max="10240" width="9.140625" style="5"/>
    <col min="10241" max="10241" width="14.28515625" style="5" bestFit="1" customWidth="1"/>
    <col min="10242" max="10244" width="9.140625" style="5"/>
    <col min="10245" max="10245" width="11.5703125" style="5" bestFit="1" customWidth="1"/>
    <col min="10246" max="10246" width="12.85546875" style="5" customWidth="1"/>
    <col min="10247" max="10248" width="9.140625" style="5"/>
    <col min="10249" max="10249" width="13.42578125" style="5" customWidth="1"/>
    <col min="10250" max="10250" width="12.5703125" style="5" customWidth="1"/>
    <col min="10251" max="10251" width="13.5703125" style="5" customWidth="1"/>
    <col min="10252" max="10252" width="9.140625" style="5"/>
    <col min="10253" max="10253" width="11.5703125" style="5" customWidth="1"/>
    <col min="10254" max="10256" width="9.140625" style="5"/>
    <col min="10257" max="10257" width="10.7109375" style="5" bestFit="1" customWidth="1"/>
    <col min="10258" max="10258" width="15.28515625" style="5" bestFit="1" customWidth="1"/>
    <col min="10259" max="10259" width="11.28515625" style="5" bestFit="1" customWidth="1"/>
    <col min="10260" max="10261" width="9.140625" style="5"/>
    <col min="10262" max="10262" width="11.85546875" style="5" customWidth="1"/>
    <col min="10263" max="10496" width="9.140625" style="5"/>
    <col min="10497" max="10497" width="14.28515625" style="5" bestFit="1" customWidth="1"/>
    <col min="10498" max="10500" width="9.140625" style="5"/>
    <col min="10501" max="10501" width="11.5703125" style="5" bestFit="1" customWidth="1"/>
    <col min="10502" max="10502" width="12.85546875" style="5" customWidth="1"/>
    <col min="10503" max="10504" width="9.140625" style="5"/>
    <col min="10505" max="10505" width="13.42578125" style="5" customWidth="1"/>
    <col min="10506" max="10506" width="12.5703125" style="5" customWidth="1"/>
    <col min="10507" max="10507" width="13.5703125" style="5" customWidth="1"/>
    <col min="10508" max="10508" width="9.140625" style="5"/>
    <col min="10509" max="10509" width="11.5703125" style="5" customWidth="1"/>
    <col min="10510" max="10512" width="9.140625" style="5"/>
    <col min="10513" max="10513" width="10.7109375" style="5" bestFit="1" customWidth="1"/>
    <col min="10514" max="10514" width="15.28515625" style="5" bestFit="1" customWidth="1"/>
    <col min="10515" max="10515" width="11.28515625" style="5" bestFit="1" customWidth="1"/>
    <col min="10516" max="10517" width="9.140625" style="5"/>
    <col min="10518" max="10518" width="11.85546875" style="5" customWidth="1"/>
    <col min="10519" max="10752" width="9.140625" style="5"/>
    <col min="10753" max="10753" width="14.28515625" style="5" bestFit="1" customWidth="1"/>
    <col min="10754" max="10756" width="9.140625" style="5"/>
    <col min="10757" max="10757" width="11.5703125" style="5" bestFit="1" customWidth="1"/>
    <col min="10758" max="10758" width="12.85546875" style="5" customWidth="1"/>
    <col min="10759" max="10760" width="9.140625" style="5"/>
    <col min="10761" max="10761" width="13.42578125" style="5" customWidth="1"/>
    <col min="10762" max="10762" width="12.5703125" style="5" customWidth="1"/>
    <col min="10763" max="10763" width="13.5703125" style="5" customWidth="1"/>
    <col min="10764" max="10764" width="9.140625" style="5"/>
    <col min="10765" max="10765" width="11.5703125" style="5" customWidth="1"/>
    <col min="10766" max="10768" width="9.140625" style="5"/>
    <col min="10769" max="10769" width="10.7109375" style="5" bestFit="1" customWidth="1"/>
    <col min="10770" max="10770" width="15.28515625" style="5" bestFit="1" customWidth="1"/>
    <col min="10771" max="10771" width="11.28515625" style="5" bestFit="1" customWidth="1"/>
    <col min="10772" max="10773" width="9.140625" style="5"/>
    <col min="10774" max="10774" width="11.85546875" style="5" customWidth="1"/>
    <col min="10775" max="11008" width="9.140625" style="5"/>
    <col min="11009" max="11009" width="14.28515625" style="5" bestFit="1" customWidth="1"/>
    <col min="11010" max="11012" width="9.140625" style="5"/>
    <col min="11013" max="11013" width="11.5703125" style="5" bestFit="1" customWidth="1"/>
    <col min="11014" max="11014" width="12.85546875" style="5" customWidth="1"/>
    <col min="11015" max="11016" width="9.140625" style="5"/>
    <col min="11017" max="11017" width="13.42578125" style="5" customWidth="1"/>
    <col min="11018" max="11018" width="12.5703125" style="5" customWidth="1"/>
    <col min="11019" max="11019" width="13.5703125" style="5" customWidth="1"/>
    <col min="11020" max="11020" width="9.140625" style="5"/>
    <col min="11021" max="11021" width="11.5703125" style="5" customWidth="1"/>
    <col min="11022" max="11024" width="9.140625" style="5"/>
    <col min="11025" max="11025" width="10.7109375" style="5" bestFit="1" customWidth="1"/>
    <col min="11026" max="11026" width="15.28515625" style="5" bestFit="1" customWidth="1"/>
    <col min="11027" max="11027" width="11.28515625" style="5" bestFit="1" customWidth="1"/>
    <col min="11028" max="11029" width="9.140625" style="5"/>
    <col min="11030" max="11030" width="11.85546875" style="5" customWidth="1"/>
    <col min="11031" max="11264" width="9.140625" style="5"/>
    <col min="11265" max="11265" width="14.28515625" style="5" bestFit="1" customWidth="1"/>
    <col min="11266" max="11268" width="9.140625" style="5"/>
    <col min="11269" max="11269" width="11.5703125" style="5" bestFit="1" customWidth="1"/>
    <col min="11270" max="11270" width="12.85546875" style="5" customWidth="1"/>
    <col min="11271" max="11272" width="9.140625" style="5"/>
    <col min="11273" max="11273" width="13.42578125" style="5" customWidth="1"/>
    <col min="11274" max="11274" width="12.5703125" style="5" customWidth="1"/>
    <col min="11275" max="11275" width="13.5703125" style="5" customWidth="1"/>
    <col min="11276" max="11276" width="9.140625" style="5"/>
    <col min="11277" max="11277" width="11.5703125" style="5" customWidth="1"/>
    <col min="11278" max="11280" width="9.140625" style="5"/>
    <col min="11281" max="11281" width="10.7109375" style="5" bestFit="1" customWidth="1"/>
    <col min="11282" max="11282" width="15.28515625" style="5" bestFit="1" customWidth="1"/>
    <col min="11283" max="11283" width="11.28515625" style="5" bestFit="1" customWidth="1"/>
    <col min="11284" max="11285" width="9.140625" style="5"/>
    <col min="11286" max="11286" width="11.85546875" style="5" customWidth="1"/>
    <col min="11287" max="11520" width="9.140625" style="5"/>
    <col min="11521" max="11521" width="14.28515625" style="5" bestFit="1" customWidth="1"/>
    <col min="11522" max="11524" width="9.140625" style="5"/>
    <col min="11525" max="11525" width="11.5703125" style="5" bestFit="1" customWidth="1"/>
    <col min="11526" max="11526" width="12.85546875" style="5" customWidth="1"/>
    <col min="11527" max="11528" width="9.140625" style="5"/>
    <col min="11529" max="11529" width="13.42578125" style="5" customWidth="1"/>
    <col min="11530" max="11530" width="12.5703125" style="5" customWidth="1"/>
    <col min="11531" max="11531" width="13.5703125" style="5" customWidth="1"/>
    <col min="11532" max="11532" width="9.140625" style="5"/>
    <col min="11533" max="11533" width="11.5703125" style="5" customWidth="1"/>
    <col min="11534" max="11536" width="9.140625" style="5"/>
    <col min="11537" max="11537" width="10.7109375" style="5" bestFit="1" customWidth="1"/>
    <col min="11538" max="11538" width="15.28515625" style="5" bestFit="1" customWidth="1"/>
    <col min="11539" max="11539" width="11.28515625" style="5" bestFit="1" customWidth="1"/>
    <col min="11540" max="11541" width="9.140625" style="5"/>
    <col min="11542" max="11542" width="11.85546875" style="5" customWidth="1"/>
    <col min="11543" max="11776" width="9.140625" style="5"/>
    <col min="11777" max="11777" width="14.28515625" style="5" bestFit="1" customWidth="1"/>
    <col min="11778" max="11780" width="9.140625" style="5"/>
    <col min="11781" max="11781" width="11.5703125" style="5" bestFit="1" customWidth="1"/>
    <col min="11782" max="11782" width="12.85546875" style="5" customWidth="1"/>
    <col min="11783" max="11784" width="9.140625" style="5"/>
    <col min="11785" max="11785" width="13.42578125" style="5" customWidth="1"/>
    <col min="11786" max="11786" width="12.5703125" style="5" customWidth="1"/>
    <col min="11787" max="11787" width="13.5703125" style="5" customWidth="1"/>
    <col min="11788" max="11788" width="9.140625" style="5"/>
    <col min="11789" max="11789" width="11.5703125" style="5" customWidth="1"/>
    <col min="11790" max="11792" width="9.140625" style="5"/>
    <col min="11793" max="11793" width="10.7109375" style="5" bestFit="1" customWidth="1"/>
    <col min="11794" max="11794" width="15.28515625" style="5" bestFit="1" customWidth="1"/>
    <col min="11795" max="11795" width="11.28515625" style="5" bestFit="1" customWidth="1"/>
    <col min="11796" max="11797" width="9.140625" style="5"/>
    <col min="11798" max="11798" width="11.85546875" style="5" customWidth="1"/>
    <col min="11799" max="12032" width="9.140625" style="5"/>
    <col min="12033" max="12033" width="14.28515625" style="5" bestFit="1" customWidth="1"/>
    <col min="12034" max="12036" width="9.140625" style="5"/>
    <col min="12037" max="12037" width="11.5703125" style="5" bestFit="1" customWidth="1"/>
    <col min="12038" max="12038" width="12.85546875" style="5" customWidth="1"/>
    <col min="12039" max="12040" width="9.140625" style="5"/>
    <col min="12041" max="12041" width="13.42578125" style="5" customWidth="1"/>
    <col min="12042" max="12042" width="12.5703125" style="5" customWidth="1"/>
    <col min="12043" max="12043" width="13.5703125" style="5" customWidth="1"/>
    <col min="12044" max="12044" width="9.140625" style="5"/>
    <col min="12045" max="12045" width="11.5703125" style="5" customWidth="1"/>
    <col min="12046" max="12048" width="9.140625" style="5"/>
    <col min="12049" max="12049" width="10.7109375" style="5" bestFit="1" customWidth="1"/>
    <col min="12050" max="12050" width="15.28515625" style="5" bestFit="1" customWidth="1"/>
    <col min="12051" max="12051" width="11.28515625" style="5" bestFit="1" customWidth="1"/>
    <col min="12052" max="12053" width="9.140625" style="5"/>
    <col min="12054" max="12054" width="11.85546875" style="5" customWidth="1"/>
    <col min="12055" max="12288" width="9.140625" style="5"/>
    <col min="12289" max="12289" width="14.28515625" style="5" bestFit="1" customWidth="1"/>
    <col min="12290" max="12292" width="9.140625" style="5"/>
    <col min="12293" max="12293" width="11.5703125" style="5" bestFit="1" customWidth="1"/>
    <col min="12294" max="12294" width="12.85546875" style="5" customWidth="1"/>
    <col min="12295" max="12296" width="9.140625" style="5"/>
    <col min="12297" max="12297" width="13.42578125" style="5" customWidth="1"/>
    <col min="12298" max="12298" width="12.5703125" style="5" customWidth="1"/>
    <col min="12299" max="12299" width="13.5703125" style="5" customWidth="1"/>
    <col min="12300" max="12300" width="9.140625" style="5"/>
    <col min="12301" max="12301" width="11.5703125" style="5" customWidth="1"/>
    <col min="12302" max="12304" width="9.140625" style="5"/>
    <col min="12305" max="12305" width="10.7109375" style="5" bestFit="1" customWidth="1"/>
    <col min="12306" max="12306" width="15.28515625" style="5" bestFit="1" customWidth="1"/>
    <col min="12307" max="12307" width="11.28515625" style="5" bestFit="1" customWidth="1"/>
    <col min="12308" max="12309" width="9.140625" style="5"/>
    <col min="12310" max="12310" width="11.85546875" style="5" customWidth="1"/>
    <col min="12311" max="12544" width="9.140625" style="5"/>
    <col min="12545" max="12545" width="14.28515625" style="5" bestFit="1" customWidth="1"/>
    <col min="12546" max="12548" width="9.140625" style="5"/>
    <col min="12549" max="12549" width="11.5703125" style="5" bestFit="1" customWidth="1"/>
    <col min="12550" max="12550" width="12.85546875" style="5" customWidth="1"/>
    <col min="12551" max="12552" width="9.140625" style="5"/>
    <col min="12553" max="12553" width="13.42578125" style="5" customWidth="1"/>
    <col min="12554" max="12554" width="12.5703125" style="5" customWidth="1"/>
    <col min="12555" max="12555" width="13.5703125" style="5" customWidth="1"/>
    <col min="12556" max="12556" width="9.140625" style="5"/>
    <col min="12557" max="12557" width="11.5703125" style="5" customWidth="1"/>
    <col min="12558" max="12560" width="9.140625" style="5"/>
    <col min="12561" max="12561" width="10.7109375" style="5" bestFit="1" customWidth="1"/>
    <col min="12562" max="12562" width="15.28515625" style="5" bestFit="1" customWidth="1"/>
    <col min="12563" max="12563" width="11.28515625" style="5" bestFit="1" customWidth="1"/>
    <col min="12564" max="12565" width="9.140625" style="5"/>
    <col min="12566" max="12566" width="11.85546875" style="5" customWidth="1"/>
    <col min="12567" max="12800" width="9.140625" style="5"/>
    <col min="12801" max="12801" width="14.28515625" style="5" bestFit="1" customWidth="1"/>
    <col min="12802" max="12804" width="9.140625" style="5"/>
    <col min="12805" max="12805" width="11.5703125" style="5" bestFit="1" customWidth="1"/>
    <col min="12806" max="12806" width="12.85546875" style="5" customWidth="1"/>
    <col min="12807" max="12808" width="9.140625" style="5"/>
    <col min="12809" max="12809" width="13.42578125" style="5" customWidth="1"/>
    <col min="12810" max="12810" width="12.5703125" style="5" customWidth="1"/>
    <col min="12811" max="12811" width="13.5703125" style="5" customWidth="1"/>
    <col min="12812" max="12812" width="9.140625" style="5"/>
    <col min="12813" max="12813" width="11.5703125" style="5" customWidth="1"/>
    <col min="12814" max="12816" width="9.140625" style="5"/>
    <col min="12817" max="12817" width="10.7109375" style="5" bestFit="1" customWidth="1"/>
    <col min="12818" max="12818" width="15.28515625" style="5" bestFit="1" customWidth="1"/>
    <col min="12819" max="12819" width="11.28515625" style="5" bestFit="1" customWidth="1"/>
    <col min="12820" max="12821" width="9.140625" style="5"/>
    <col min="12822" max="12822" width="11.85546875" style="5" customWidth="1"/>
    <col min="12823" max="13056" width="9.140625" style="5"/>
    <col min="13057" max="13057" width="14.28515625" style="5" bestFit="1" customWidth="1"/>
    <col min="13058" max="13060" width="9.140625" style="5"/>
    <col min="13061" max="13061" width="11.5703125" style="5" bestFit="1" customWidth="1"/>
    <col min="13062" max="13062" width="12.85546875" style="5" customWidth="1"/>
    <col min="13063" max="13064" width="9.140625" style="5"/>
    <col min="13065" max="13065" width="13.42578125" style="5" customWidth="1"/>
    <col min="13066" max="13066" width="12.5703125" style="5" customWidth="1"/>
    <col min="13067" max="13067" width="13.5703125" style="5" customWidth="1"/>
    <col min="13068" max="13068" width="9.140625" style="5"/>
    <col min="13069" max="13069" width="11.5703125" style="5" customWidth="1"/>
    <col min="13070" max="13072" width="9.140625" style="5"/>
    <col min="13073" max="13073" width="10.7109375" style="5" bestFit="1" customWidth="1"/>
    <col min="13074" max="13074" width="15.28515625" style="5" bestFit="1" customWidth="1"/>
    <col min="13075" max="13075" width="11.28515625" style="5" bestFit="1" customWidth="1"/>
    <col min="13076" max="13077" width="9.140625" style="5"/>
    <col min="13078" max="13078" width="11.85546875" style="5" customWidth="1"/>
    <col min="13079" max="13312" width="9.140625" style="5"/>
    <col min="13313" max="13313" width="14.28515625" style="5" bestFit="1" customWidth="1"/>
    <col min="13314" max="13316" width="9.140625" style="5"/>
    <col min="13317" max="13317" width="11.5703125" style="5" bestFit="1" customWidth="1"/>
    <col min="13318" max="13318" width="12.85546875" style="5" customWidth="1"/>
    <col min="13319" max="13320" width="9.140625" style="5"/>
    <col min="13321" max="13321" width="13.42578125" style="5" customWidth="1"/>
    <col min="13322" max="13322" width="12.5703125" style="5" customWidth="1"/>
    <col min="13323" max="13323" width="13.5703125" style="5" customWidth="1"/>
    <col min="13324" max="13324" width="9.140625" style="5"/>
    <col min="13325" max="13325" width="11.5703125" style="5" customWidth="1"/>
    <col min="13326" max="13328" width="9.140625" style="5"/>
    <col min="13329" max="13329" width="10.7109375" style="5" bestFit="1" customWidth="1"/>
    <col min="13330" max="13330" width="15.28515625" style="5" bestFit="1" customWidth="1"/>
    <col min="13331" max="13331" width="11.28515625" style="5" bestFit="1" customWidth="1"/>
    <col min="13332" max="13333" width="9.140625" style="5"/>
    <col min="13334" max="13334" width="11.85546875" style="5" customWidth="1"/>
    <col min="13335" max="13568" width="9.140625" style="5"/>
    <col min="13569" max="13569" width="14.28515625" style="5" bestFit="1" customWidth="1"/>
    <col min="13570" max="13572" width="9.140625" style="5"/>
    <col min="13573" max="13573" width="11.5703125" style="5" bestFit="1" customWidth="1"/>
    <col min="13574" max="13574" width="12.85546875" style="5" customWidth="1"/>
    <col min="13575" max="13576" width="9.140625" style="5"/>
    <col min="13577" max="13577" width="13.42578125" style="5" customWidth="1"/>
    <col min="13578" max="13578" width="12.5703125" style="5" customWidth="1"/>
    <col min="13579" max="13579" width="13.5703125" style="5" customWidth="1"/>
    <col min="13580" max="13580" width="9.140625" style="5"/>
    <col min="13581" max="13581" width="11.5703125" style="5" customWidth="1"/>
    <col min="13582" max="13584" width="9.140625" style="5"/>
    <col min="13585" max="13585" width="10.7109375" style="5" bestFit="1" customWidth="1"/>
    <col min="13586" max="13586" width="15.28515625" style="5" bestFit="1" customWidth="1"/>
    <col min="13587" max="13587" width="11.28515625" style="5" bestFit="1" customWidth="1"/>
    <col min="13588" max="13589" width="9.140625" style="5"/>
    <col min="13590" max="13590" width="11.85546875" style="5" customWidth="1"/>
    <col min="13591" max="13824" width="9.140625" style="5"/>
    <col min="13825" max="13825" width="14.28515625" style="5" bestFit="1" customWidth="1"/>
    <col min="13826" max="13828" width="9.140625" style="5"/>
    <col min="13829" max="13829" width="11.5703125" style="5" bestFit="1" customWidth="1"/>
    <col min="13830" max="13830" width="12.85546875" style="5" customWidth="1"/>
    <col min="13831" max="13832" width="9.140625" style="5"/>
    <col min="13833" max="13833" width="13.42578125" style="5" customWidth="1"/>
    <col min="13834" max="13834" width="12.5703125" style="5" customWidth="1"/>
    <col min="13835" max="13835" width="13.5703125" style="5" customWidth="1"/>
    <col min="13836" max="13836" width="9.140625" style="5"/>
    <col min="13837" max="13837" width="11.5703125" style="5" customWidth="1"/>
    <col min="13838" max="13840" width="9.140625" style="5"/>
    <col min="13841" max="13841" width="10.7109375" style="5" bestFit="1" customWidth="1"/>
    <col min="13842" max="13842" width="15.28515625" style="5" bestFit="1" customWidth="1"/>
    <col min="13843" max="13843" width="11.28515625" style="5" bestFit="1" customWidth="1"/>
    <col min="13844" max="13845" width="9.140625" style="5"/>
    <col min="13846" max="13846" width="11.85546875" style="5" customWidth="1"/>
    <col min="13847" max="14080" width="9.140625" style="5"/>
    <col min="14081" max="14081" width="14.28515625" style="5" bestFit="1" customWidth="1"/>
    <col min="14082" max="14084" width="9.140625" style="5"/>
    <col min="14085" max="14085" width="11.5703125" style="5" bestFit="1" customWidth="1"/>
    <col min="14086" max="14086" width="12.85546875" style="5" customWidth="1"/>
    <col min="14087" max="14088" width="9.140625" style="5"/>
    <col min="14089" max="14089" width="13.42578125" style="5" customWidth="1"/>
    <col min="14090" max="14090" width="12.5703125" style="5" customWidth="1"/>
    <col min="14091" max="14091" width="13.5703125" style="5" customWidth="1"/>
    <col min="14092" max="14092" width="9.140625" style="5"/>
    <col min="14093" max="14093" width="11.5703125" style="5" customWidth="1"/>
    <col min="14094" max="14096" width="9.140625" style="5"/>
    <col min="14097" max="14097" width="10.7109375" style="5" bestFit="1" customWidth="1"/>
    <col min="14098" max="14098" width="15.28515625" style="5" bestFit="1" customWidth="1"/>
    <col min="14099" max="14099" width="11.28515625" style="5" bestFit="1" customWidth="1"/>
    <col min="14100" max="14101" width="9.140625" style="5"/>
    <col min="14102" max="14102" width="11.85546875" style="5" customWidth="1"/>
    <col min="14103" max="14336" width="9.140625" style="5"/>
    <col min="14337" max="14337" width="14.28515625" style="5" bestFit="1" customWidth="1"/>
    <col min="14338" max="14340" width="9.140625" style="5"/>
    <col min="14341" max="14341" width="11.5703125" style="5" bestFit="1" customWidth="1"/>
    <col min="14342" max="14342" width="12.85546875" style="5" customWidth="1"/>
    <col min="14343" max="14344" width="9.140625" style="5"/>
    <col min="14345" max="14345" width="13.42578125" style="5" customWidth="1"/>
    <col min="14346" max="14346" width="12.5703125" style="5" customWidth="1"/>
    <col min="14347" max="14347" width="13.5703125" style="5" customWidth="1"/>
    <col min="14348" max="14348" width="9.140625" style="5"/>
    <col min="14349" max="14349" width="11.5703125" style="5" customWidth="1"/>
    <col min="14350" max="14352" width="9.140625" style="5"/>
    <col min="14353" max="14353" width="10.7109375" style="5" bestFit="1" customWidth="1"/>
    <col min="14354" max="14354" width="15.28515625" style="5" bestFit="1" customWidth="1"/>
    <col min="14355" max="14355" width="11.28515625" style="5" bestFit="1" customWidth="1"/>
    <col min="14356" max="14357" width="9.140625" style="5"/>
    <col min="14358" max="14358" width="11.85546875" style="5" customWidth="1"/>
    <col min="14359" max="14592" width="9.140625" style="5"/>
    <col min="14593" max="14593" width="14.28515625" style="5" bestFit="1" customWidth="1"/>
    <col min="14594" max="14596" width="9.140625" style="5"/>
    <col min="14597" max="14597" width="11.5703125" style="5" bestFit="1" customWidth="1"/>
    <col min="14598" max="14598" width="12.85546875" style="5" customWidth="1"/>
    <col min="14599" max="14600" width="9.140625" style="5"/>
    <col min="14601" max="14601" width="13.42578125" style="5" customWidth="1"/>
    <col min="14602" max="14602" width="12.5703125" style="5" customWidth="1"/>
    <col min="14603" max="14603" width="13.5703125" style="5" customWidth="1"/>
    <col min="14604" max="14604" width="9.140625" style="5"/>
    <col min="14605" max="14605" width="11.5703125" style="5" customWidth="1"/>
    <col min="14606" max="14608" width="9.140625" style="5"/>
    <col min="14609" max="14609" width="10.7109375" style="5" bestFit="1" customWidth="1"/>
    <col min="14610" max="14610" width="15.28515625" style="5" bestFit="1" customWidth="1"/>
    <col min="14611" max="14611" width="11.28515625" style="5" bestFit="1" customWidth="1"/>
    <col min="14612" max="14613" width="9.140625" style="5"/>
    <col min="14614" max="14614" width="11.85546875" style="5" customWidth="1"/>
    <col min="14615" max="14848" width="9.140625" style="5"/>
    <col min="14849" max="14849" width="14.28515625" style="5" bestFit="1" customWidth="1"/>
    <col min="14850" max="14852" width="9.140625" style="5"/>
    <col min="14853" max="14853" width="11.5703125" style="5" bestFit="1" customWidth="1"/>
    <col min="14854" max="14854" width="12.85546875" style="5" customWidth="1"/>
    <col min="14855" max="14856" width="9.140625" style="5"/>
    <col min="14857" max="14857" width="13.42578125" style="5" customWidth="1"/>
    <col min="14858" max="14858" width="12.5703125" style="5" customWidth="1"/>
    <col min="14859" max="14859" width="13.5703125" style="5" customWidth="1"/>
    <col min="14860" max="14860" width="9.140625" style="5"/>
    <col min="14861" max="14861" width="11.5703125" style="5" customWidth="1"/>
    <col min="14862" max="14864" width="9.140625" style="5"/>
    <col min="14865" max="14865" width="10.7109375" style="5" bestFit="1" customWidth="1"/>
    <col min="14866" max="14866" width="15.28515625" style="5" bestFit="1" customWidth="1"/>
    <col min="14867" max="14867" width="11.28515625" style="5" bestFit="1" customWidth="1"/>
    <col min="14868" max="14869" width="9.140625" style="5"/>
    <col min="14870" max="14870" width="11.85546875" style="5" customWidth="1"/>
    <col min="14871" max="15104" width="9.140625" style="5"/>
    <col min="15105" max="15105" width="14.28515625" style="5" bestFit="1" customWidth="1"/>
    <col min="15106" max="15108" width="9.140625" style="5"/>
    <col min="15109" max="15109" width="11.5703125" style="5" bestFit="1" customWidth="1"/>
    <col min="15110" max="15110" width="12.85546875" style="5" customWidth="1"/>
    <col min="15111" max="15112" width="9.140625" style="5"/>
    <col min="15113" max="15113" width="13.42578125" style="5" customWidth="1"/>
    <col min="15114" max="15114" width="12.5703125" style="5" customWidth="1"/>
    <col min="15115" max="15115" width="13.5703125" style="5" customWidth="1"/>
    <col min="15116" max="15116" width="9.140625" style="5"/>
    <col min="15117" max="15117" width="11.5703125" style="5" customWidth="1"/>
    <col min="15118" max="15120" width="9.140625" style="5"/>
    <col min="15121" max="15121" width="10.7109375" style="5" bestFit="1" customWidth="1"/>
    <col min="15122" max="15122" width="15.28515625" style="5" bestFit="1" customWidth="1"/>
    <col min="15123" max="15123" width="11.28515625" style="5" bestFit="1" customWidth="1"/>
    <col min="15124" max="15125" width="9.140625" style="5"/>
    <col min="15126" max="15126" width="11.85546875" style="5" customWidth="1"/>
    <col min="15127" max="15360" width="9.140625" style="5"/>
    <col min="15361" max="15361" width="14.28515625" style="5" bestFit="1" customWidth="1"/>
    <col min="15362" max="15364" width="9.140625" style="5"/>
    <col min="15365" max="15365" width="11.5703125" style="5" bestFit="1" customWidth="1"/>
    <col min="15366" max="15366" width="12.85546875" style="5" customWidth="1"/>
    <col min="15367" max="15368" width="9.140625" style="5"/>
    <col min="15369" max="15369" width="13.42578125" style="5" customWidth="1"/>
    <col min="15370" max="15370" width="12.5703125" style="5" customWidth="1"/>
    <col min="15371" max="15371" width="13.5703125" style="5" customWidth="1"/>
    <col min="15372" max="15372" width="9.140625" style="5"/>
    <col min="15373" max="15373" width="11.5703125" style="5" customWidth="1"/>
    <col min="15374" max="15376" width="9.140625" style="5"/>
    <col min="15377" max="15377" width="10.7109375" style="5" bestFit="1" customWidth="1"/>
    <col min="15378" max="15378" width="15.28515625" style="5" bestFit="1" customWidth="1"/>
    <col min="15379" max="15379" width="11.28515625" style="5" bestFit="1" customWidth="1"/>
    <col min="15380" max="15381" width="9.140625" style="5"/>
    <col min="15382" max="15382" width="11.85546875" style="5" customWidth="1"/>
    <col min="15383" max="15616" width="9.140625" style="5"/>
    <col min="15617" max="15617" width="14.28515625" style="5" bestFit="1" customWidth="1"/>
    <col min="15618" max="15620" width="9.140625" style="5"/>
    <col min="15621" max="15621" width="11.5703125" style="5" bestFit="1" customWidth="1"/>
    <col min="15622" max="15622" width="12.85546875" style="5" customWidth="1"/>
    <col min="15623" max="15624" width="9.140625" style="5"/>
    <col min="15625" max="15625" width="13.42578125" style="5" customWidth="1"/>
    <col min="15626" max="15626" width="12.5703125" style="5" customWidth="1"/>
    <col min="15627" max="15627" width="13.5703125" style="5" customWidth="1"/>
    <col min="15628" max="15628" width="9.140625" style="5"/>
    <col min="15629" max="15629" width="11.5703125" style="5" customWidth="1"/>
    <col min="15630" max="15632" width="9.140625" style="5"/>
    <col min="15633" max="15633" width="10.7109375" style="5" bestFit="1" customWidth="1"/>
    <col min="15634" max="15634" width="15.28515625" style="5" bestFit="1" customWidth="1"/>
    <col min="15635" max="15635" width="11.28515625" style="5" bestFit="1" customWidth="1"/>
    <col min="15636" max="15637" width="9.140625" style="5"/>
    <col min="15638" max="15638" width="11.85546875" style="5" customWidth="1"/>
    <col min="15639" max="15872" width="9.140625" style="5"/>
    <col min="15873" max="15873" width="14.28515625" style="5" bestFit="1" customWidth="1"/>
    <col min="15874" max="15876" width="9.140625" style="5"/>
    <col min="15877" max="15877" width="11.5703125" style="5" bestFit="1" customWidth="1"/>
    <col min="15878" max="15878" width="12.85546875" style="5" customWidth="1"/>
    <col min="15879" max="15880" width="9.140625" style="5"/>
    <col min="15881" max="15881" width="13.42578125" style="5" customWidth="1"/>
    <col min="15882" max="15882" width="12.5703125" style="5" customWidth="1"/>
    <col min="15883" max="15883" width="13.5703125" style="5" customWidth="1"/>
    <col min="15884" max="15884" width="9.140625" style="5"/>
    <col min="15885" max="15885" width="11.5703125" style="5" customWidth="1"/>
    <col min="15886" max="15888" width="9.140625" style="5"/>
    <col min="15889" max="15889" width="10.7109375" style="5" bestFit="1" customWidth="1"/>
    <col min="15890" max="15890" width="15.28515625" style="5" bestFit="1" customWidth="1"/>
    <col min="15891" max="15891" width="11.28515625" style="5" bestFit="1" customWidth="1"/>
    <col min="15892" max="15893" width="9.140625" style="5"/>
    <col min="15894" max="15894" width="11.85546875" style="5" customWidth="1"/>
    <col min="15895" max="16128" width="9.140625" style="5"/>
    <col min="16129" max="16129" width="14.28515625" style="5" bestFit="1" customWidth="1"/>
    <col min="16130" max="16132" width="9.140625" style="5"/>
    <col min="16133" max="16133" width="11.5703125" style="5" bestFit="1" customWidth="1"/>
    <col min="16134" max="16134" width="12.85546875" style="5" customWidth="1"/>
    <col min="16135" max="16136" width="9.140625" style="5"/>
    <col min="16137" max="16137" width="13.42578125" style="5" customWidth="1"/>
    <col min="16138" max="16138" width="12.5703125" style="5" customWidth="1"/>
    <col min="16139" max="16139" width="13.5703125" style="5" customWidth="1"/>
    <col min="16140" max="16140" width="9.140625" style="5"/>
    <col min="16141" max="16141" width="11.5703125" style="5" customWidth="1"/>
    <col min="16142" max="16144" width="9.140625" style="5"/>
    <col min="16145" max="16145" width="10.7109375" style="5" bestFit="1" customWidth="1"/>
    <col min="16146" max="16146" width="15.28515625" style="5" bestFit="1" customWidth="1"/>
    <col min="16147" max="16147" width="11.28515625" style="5" bestFit="1" customWidth="1"/>
    <col min="16148" max="16149" width="9.140625" style="5"/>
    <col min="16150" max="16150" width="11.85546875" style="5" customWidth="1"/>
    <col min="16151" max="16384" width="9.140625" style="5"/>
  </cols>
  <sheetData>
    <row r="1" spans="1:24" x14ac:dyDescent="0.25">
      <c r="A1" s="5" t="s">
        <v>21</v>
      </c>
      <c r="B1" s="5">
        <v>0.182</v>
      </c>
      <c r="C1" s="5" t="s">
        <v>22</v>
      </c>
    </row>
    <row r="2" spans="1:24" x14ac:dyDescent="0.25">
      <c r="A2" s="5" t="s">
        <v>23</v>
      </c>
      <c r="B2" s="5">
        <f>0.64*D</f>
        <v>0.11648</v>
      </c>
      <c r="C2" s="5" t="s">
        <v>22</v>
      </c>
    </row>
    <row r="3" spans="1:24" x14ac:dyDescent="0.25">
      <c r="A3" s="5" t="s">
        <v>24</v>
      </c>
      <c r="B3" s="5">
        <f>4.8*9.81</f>
        <v>47.088000000000001</v>
      </c>
      <c r="C3" s="5" t="s">
        <v>25</v>
      </c>
    </row>
    <row r="4" spans="1:24" x14ac:dyDescent="0.25">
      <c r="A4" s="5" t="s">
        <v>26</v>
      </c>
      <c r="B4" s="5">
        <v>8</v>
      </c>
      <c r="C4" s="5" t="s">
        <v>27</v>
      </c>
    </row>
    <row r="6" spans="1:24" x14ac:dyDescent="0.25">
      <c r="A6" s="7" t="s">
        <v>28</v>
      </c>
    </row>
    <row r="7" spans="1:24" s="7" customFormat="1" ht="36" customHeight="1" x14ac:dyDescent="0.2">
      <c r="A7" s="7" t="s">
        <v>29</v>
      </c>
      <c r="B7" s="7" t="s">
        <v>30</v>
      </c>
      <c r="C7" s="7" t="s">
        <v>31</v>
      </c>
      <c r="D7" s="7" t="s">
        <v>32</v>
      </c>
      <c r="E7" s="8" t="s">
        <v>33</v>
      </c>
      <c r="F7" s="9" t="s">
        <v>34</v>
      </c>
      <c r="I7" s="9" t="s">
        <v>35</v>
      </c>
      <c r="J7" s="9" t="s">
        <v>36</v>
      </c>
      <c r="K7" s="9" t="s">
        <v>37</v>
      </c>
      <c r="M7" s="9" t="s">
        <v>38</v>
      </c>
      <c r="O7" s="7" t="s">
        <v>39</v>
      </c>
      <c r="P7" s="8" t="s">
        <v>40</v>
      </c>
      <c r="Q7" s="8" t="s">
        <v>41</v>
      </c>
      <c r="R7" s="7" t="s">
        <v>42</v>
      </c>
    </row>
    <row r="8" spans="1:24" x14ac:dyDescent="0.25">
      <c r="A8" s="5">
        <v>1</v>
      </c>
      <c r="B8" s="5">
        <v>53</v>
      </c>
      <c r="C8" s="5">
        <v>50</v>
      </c>
      <c r="D8" s="5">
        <f>C8+B8</f>
        <v>103</v>
      </c>
      <c r="E8" s="5">
        <f>D8</f>
        <v>103</v>
      </c>
      <c r="F8" s="6">
        <f t="shared" ref="F8:F16" si="0">E8/W</f>
        <v>2.1873938158341826</v>
      </c>
      <c r="I8" s="6">
        <f t="shared" ref="I8:I16" si="1">D8/N</f>
        <v>12.875</v>
      </c>
      <c r="J8" s="6">
        <f t="shared" ref="J8:J16" si="2">E8/N</f>
        <v>12.875</v>
      </c>
      <c r="K8" s="6">
        <f t="shared" ref="K8:K16" si="3">F8/8</f>
        <v>0.27342422697927282</v>
      </c>
      <c r="M8" s="10">
        <f t="shared" ref="M8:M16" si="4">I8/W</f>
        <v>0.27342422697927282</v>
      </c>
      <c r="O8" s="5">
        <v>8</v>
      </c>
      <c r="Q8" s="6">
        <f t="shared" ref="Q8:Q16" si="5">(A8-1)*Dy+D</f>
        <v>0.182</v>
      </c>
      <c r="S8" s="11"/>
      <c r="T8" s="12"/>
    </row>
    <row r="9" spans="1:24" x14ac:dyDescent="0.25">
      <c r="A9" s="5">
        <v>2</v>
      </c>
      <c r="B9" s="5">
        <v>80</v>
      </c>
      <c r="C9" s="5">
        <v>76</v>
      </c>
      <c r="D9" s="5">
        <f t="shared" ref="D9:D18" si="6">C9+B9</f>
        <v>156</v>
      </c>
      <c r="E9" s="5">
        <f>D9-D8</f>
        <v>53</v>
      </c>
      <c r="F9" s="6">
        <f t="shared" si="0"/>
        <v>1.1255521576622494</v>
      </c>
      <c r="I9" s="6">
        <f t="shared" si="1"/>
        <v>19.5</v>
      </c>
      <c r="J9" s="6">
        <f t="shared" si="2"/>
        <v>6.625</v>
      </c>
      <c r="K9" s="6">
        <f t="shared" si="3"/>
        <v>0.14069401970778117</v>
      </c>
      <c r="M9" s="10">
        <f t="shared" si="4"/>
        <v>0.41411824668705399</v>
      </c>
      <c r="O9" s="5">
        <v>9</v>
      </c>
      <c r="Q9" s="6">
        <f t="shared" si="5"/>
        <v>0.29847999999999997</v>
      </c>
      <c r="S9" s="11"/>
      <c r="T9" s="12"/>
    </row>
    <row r="10" spans="1:24" x14ac:dyDescent="0.25">
      <c r="A10" s="5">
        <v>3</v>
      </c>
      <c r="B10" s="5">
        <v>82</v>
      </c>
      <c r="C10" s="5">
        <v>90</v>
      </c>
      <c r="D10" s="5">
        <f t="shared" si="6"/>
        <v>172</v>
      </c>
      <c r="E10" s="5">
        <f t="shared" ref="E10:E16" si="7">D10-D9</f>
        <v>16</v>
      </c>
      <c r="F10" s="6">
        <f t="shared" si="0"/>
        <v>0.3397893306150187</v>
      </c>
      <c r="I10" s="6">
        <f t="shared" si="1"/>
        <v>21.5</v>
      </c>
      <c r="J10" s="6">
        <f t="shared" si="2"/>
        <v>2</v>
      </c>
      <c r="K10" s="6">
        <f t="shared" si="3"/>
        <v>4.2473666326877338E-2</v>
      </c>
      <c r="M10" s="10">
        <f t="shared" si="4"/>
        <v>0.45659191301393137</v>
      </c>
      <c r="O10" s="5">
        <v>9</v>
      </c>
      <c r="Q10" s="6">
        <f t="shared" si="5"/>
        <v>0.41496</v>
      </c>
      <c r="S10" s="11"/>
      <c r="T10" s="12"/>
    </row>
    <row r="11" spans="1:24" x14ac:dyDescent="0.25">
      <c r="A11" s="5">
        <v>4</v>
      </c>
      <c r="B11" s="5">
        <v>115</v>
      </c>
      <c r="C11" s="5">
        <v>106</v>
      </c>
      <c r="D11" s="5">
        <f t="shared" si="6"/>
        <v>221</v>
      </c>
      <c r="E11" s="5">
        <f t="shared" si="7"/>
        <v>49</v>
      </c>
      <c r="F11" s="6">
        <f t="shared" si="0"/>
        <v>1.0406048250084947</v>
      </c>
      <c r="I11" s="6">
        <f t="shared" si="1"/>
        <v>27.625</v>
      </c>
      <c r="J11" s="6">
        <f t="shared" si="2"/>
        <v>6.125</v>
      </c>
      <c r="K11" s="6">
        <f t="shared" si="3"/>
        <v>0.13007560312606184</v>
      </c>
      <c r="M11" s="10">
        <f t="shared" si="4"/>
        <v>0.58666751613999324</v>
      </c>
      <c r="O11" s="5">
        <v>9</v>
      </c>
      <c r="Q11" s="6">
        <f t="shared" si="5"/>
        <v>0.53143999999999991</v>
      </c>
      <c r="S11" s="11"/>
      <c r="T11" s="12"/>
    </row>
    <row r="12" spans="1:24" x14ac:dyDescent="0.25">
      <c r="A12" s="5">
        <v>5</v>
      </c>
      <c r="B12" s="5">
        <v>122</v>
      </c>
      <c r="C12" s="5">
        <v>119</v>
      </c>
      <c r="D12" s="5">
        <f t="shared" si="6"/>
        <v>241</v>
      </c>
      <c r="E12" s="5">
        <f t="shared" si="7"/>
        <v>20</v>
      </c>
      <c r="F12" s="6">
        <f t="shared" si="0"/>
        <v>0.42473666326877335</v>
      </c>
      <c r="I12" s="6">
        <f t="shared" si="1"/>
        <v>30.125</v>
      </c>
      <c r="J12" s="6">
        <f t="shared" si="2"/>
        <v>2.5</v>
      </c>
      <c r="K12" s="6">
        <f t="shared" si="3"/>
        <v>5.3092082908596669E-2</v>
      </c>
      <c r="M12" s="10">
        <f t="shared" si="4"/>
        <v>0.63975959904858981</v>
      </c>
      <c r="O12" s="5">
        <v>9</v>
      </c>
      <c r="Q12" s="6">
        <f t="shared" si="5"/>
        <v>0.64792000000000005</v>
      </c>
      <c r="S12" s="11"/>
      <c r="T12" s="12"/>
    </row>
    <row r="13" spans="1:24" x14ac:dyDescent="0.25">
      <c r="A13" s="5">
        <v>6</v>
      </c>
      <c r="B13" s="5">
        <v>123</v>
      </c>
      <c r="C13" s="5">
        <v>120</v>
      </c>
      <c r="D13" s="5">
        <f t="shared" si="6"/>
        <v>243</v>
      </c>
      <c r="E13" s="5">
        <f t="shared" si="7"/>
        <v>2</v>
      </c>
      <c r="F13" s="6">
        <f t="shared" si="0"/>
        <v>4.2473666326877338E-2</v>
      </c>
      <c r="I13" s="6">
        <f t="shared" si="1"/>
        <v>30.375</v>
      </c>
      <c r="J13" s="6">
        <f t="shared" si="2"/>
        <v>0.25</v>
      </c>
      <c r="K13" s="6">
        <f t="shared" si="3"/>
        <v>5.3092082908596672E-3</v>
      </c>
      <c r="M13" s="10">
        <f t="shared" si="4"/>
        <v>0.64506880733944949</v>
      </c>
      <c r="O13" s="5">
        <v>9</v>
      </c>
      <c r="Q13" s="6">
        <f t="shared" si="5"/>
        <v>0.76439999999999997</v>
      </c>
      <c r="S13" s="11"/>
      <c r="T13" s="12"/>
    </row>
    <row r="14" spans="1:24" x14ac:dyDescent="0.25">
      <c r="A14" s="5">
        <v>7</v>
      </c>
      <c r="B14" s="5">
        <v>127</v>
      </c>
      <c r="C14" s="5">
        <v>119</v>
      </c>
      <c r="D14" s="5">
        <f t="shared" si="6"/>
        <v>246</v>
      </c>
      <c r="E14" s="5">
        <f t="shared" si="7"/>
        <v>3</v>
      </c>
      <c r="F14" s="6">
        <f t="shared" si="0"/>
        <v>6.3710499490316E-2</v>
      </c>
      <c r="I14" s="6">
        <f t="shared" si="1"/>
        <v>30.75</v>
      </c>
      <c r="J14" s="6">
        <f t="shared" si="2"/>
        <v>0.375</v>
      </c>
      <c r="K14" s="6">
        <f t="shared" si="3"/>
        <v>7.9638124362895E-3</v>
      </c>
      <c r="M14" s="10">
        <f t="shared" si="4"/>
        <v>0.65303261977573901</v>
      </c>
      <c r="O14" s="5">
        <v>9</v>
      </c>
      <c r="Q14" s="6">
        <f t="shared" si="5"/>
        <v>0.88087999999999989</v>
      </c>
      <c r="S14" s="11"/>
      <c r="T14" s="12"/>
    </row>
    <row r="15" spans="1:24" x14ac:dyDescent="0.25">
      <c r="A15" s="5">
        <v>8</v>
      </c>
      <c r="B15" s="5">
        <v>134</v>
      </c>
      <c r="C15" s="5">
        <v>122</v>
      </c>
      <c r="D15" s="5">
        <f t="shared" si="6"/>
        <v>256</v>
      </c>
      <c r="E15" s="5">
        <f t="shared" si="7"/>
        <v>10</v>
      </c>
      <c r="F15" s="6">
        <f t="shared" si="0"/>
        <v>0.21236833163438668</v>
      </c>
      <c r="I15" s="6">
        <f t="shared" si="1"/>
        <v>32</v>
      </c>
      <c r="J15" s="6">
        <f t="shared" si="2"/>
        <v>1.25</v>
      </c>
      <c r="K15" s="6">
        <f t="shared" si="3"/>
        <v>2.6546041454298334E-2</v>
      </c>
      <c r="M15" s="10">
        <f t="shared" si="4"/>
        <v>0.67957866123003741</v>
      </c>
      <c r="O15" s="5">
        <v>9</v>
      </c>
      <c r="Q15" s="6">
        <f t="shared" si="5"/>
        <v>0.99736000000000002</v>
      </c>
      <c r="S15" s="11"/>
      <c r="T15" s="12"/>
    </row>
    <row r="16" spans="1:24" ht="39" x14ac:dyDescent="0.25">
      <c r="A16" s="5">
        <v>9</v>
      </c>
      <c r="B16" s="5">
        <v>130</v>
      </c>
      <c r="C16" s="5">
        <v>120</v>
      </c>
      <c r="D16" s="5">
        <f t="shared" si="6"/>
        <v>250</v>
      </c>
      <c r="E16" s="5">
        <f t="shared" si="7"/>
        <v>-6</v>
      </c>
      <c r="F16" s="6">
        <f t="shared" si="0"/>
        <v>-0.127420998980632</v>
      </c>
      <c r="I16" s="6">
        <f t="shared" si="1"/>
        <v>31.25</v>
      </c>
      <c r="J16" s="6">
        <f t="shared" si="2"/>
        <v>-0.75</v>
      </c>
      <c r="K16" s="6">
        <f t="shared" si="3"/>
        <v>-1.5927624872579E-2</v>
      </c>
      <c r="M16" s="10">
        <f t="shared" si="4"/>
        <v>0.66365103635745837</v>
      </c>
      <c r="O16" s="5">
        <v>9</v>
      </c>
      <c r="P16" s="5">
        <v>1.1499999999999999</v>
      </c>
      <c r="Q16" s="6">
        <f t="shared" si="5"/>
        <v>1.1138399999999999</v>
      </c>
      <c r="R16" s="13">
        <f>Q16/P16:P16</f>
        <v>0.96855652173913043</v>
      </c>
      <c r="S16" s="11"/>
      <c r="T16" s="12"/>
      <c r="V16" s="9" t="s">
        <v>38</v>
      </c>
      <c r="W16" s="9" t="s">
        <v>43</v>
      </c>
      <c r="X16" s="5" t="s">
        <v>44</v>
      </c>
    </row>
    <row r="17" spans="1:24" x14ac:dyDescent="0.25">
      <c r="H17" s="5">
        <v>0</v>
      </c>
      <c r="I17" s="6">
        <v>0</v>
      </c>
      <c r="M17" s="5">
        <v>0</v>
      </c>
      <c r="Q17" s="6"/>
      <c r="R17" s="13"/>
      <c r="S17" s="11"/>
      <c r="T17" s="12"/>
      <c r="U17" s="5" t="s">
        <v>28</v>
      </c>
      <c r="V17" s="10">
        <f>M18</f>
        <v>0.70612470268433569</v>
      </c>
      <c r="W17" s="14">
        <f>R16</f>
        <v>0.96855652173913043</v>
      </c>
      <c r="X17" s="10">
        <f>(3/5*W-V17/H18*W)/(W*4/5)</f>
        <v>0.65192712462717561</v>
      </c>
    </row>
    <row r="18" spans="1:24" x14ac:dyDescent="0.25">
      <c r="A18" s="5" t="s">
        <v>45</v>
      </c>
      <c r="B18" s="5">
        <v>121</v>
      </c>
      <c r="C18" s="5">
        <v>145</v>
      </c>
      <c r="D18" s="5">
        <f t="shared" si="6"/>
        <v>266</v>
      </c>
      <c r="E18" s="5">
        <f>D18-D16</f>
        <v>16</v>
      </c>
      <c r="F18" s="6">
        <f>E18/W</f>
        <v>0.3397893306150187</v>
      </c>
      <c r="H18" s="5">
        <v>9</v>
      </c>
      <c r="I18" s="6">
        <f>D18/N</f>
        <v>33.25</v>
      </c>
      <c r="J18" s="6">
        <f>E18/N</f>
        <v>2</v>
      </c>
      <c r="K18" s="6">
        <f>F18/8</f>
        <v>4.2473666326877338E-2</v>
      </c>
      <c r="M18" s="10">
        <f>I18/W</f>
        <v>0.70612470268433569</v>
      </c>
      <c r="O18" s="5">
        <f>SUM(O8:O16)</f>
        <v>80</v>
      </c>
      <c r="S18" s="11"/>
      <c r="T18" s="11"/>
      <c r="U18" s="5" t="s">
        <v>46</v>
      </c>
      <c r="V18" s="10">
        <f>M31</f>
        <v>0.60790434930343185</v>
      </c>
      <c r="W18" s="14">
        <f>R31</f>
        <v>0.94393220338983053</v>
      </c>
      <c r="X18" s="10">
        <f>(3/5*W-V18/H31*W)/(W*4/5)</f>
        <v>0.66556884037452335</v>
      </c>
    </row>
    <row r="19" spans="1:24" x14ac:dyDescent="0.25">
      <c r="U19" s="5" t="s">
        <v>47</v>
      </c>
      <c r="V19" s="10">
        <f>M46</f>
        <v>0.70081549439347601</v>
      </c>
      <c r="W19" s="14">
        <f>R46</f>
        <v>0.97278602620087329</v>
      </c>
      <c r="X19" s="10">
        <f>(3/5*W-V19/H49*W)/(W*4/5)</f>
        <v>0.65266451466757269</v>
      </c>
    </row>
    <row r="20" spans="1:24" x14ac:dyDescent="0.25">
      <c r="U20" s="5" t="s">
        <v>48</v>
      </c>
      <c r="V20" s="10">
        <f>M48</f>
        <v>0.98220353380903835</v>
      </c>
      <c r="W20" s="14">
        <f>R48</f>
        <v>0.99007999999999996</v>
      </c>
      <c r="X20" s="10">
        <f>(3/5*W-V20/H49*W)/(W*4/5)</f>
        <v>0.6135828425265224</v>
      </c>
    </row>
    <row r="21" spans="1:24" x14ac:dyDescent="0.25">
      <c r="A21" s="7" t="s">
        <v>46</v>
      </c>
      <c r="U21" s="5" t="s">
        <v>49</v>
      </c>
      <c r="V21" s="10">
        <f>M49</f>
        <v>1.2742099898063202</v>
      </c>
      <c r="W21" s="14">
        <f>R49</f>
        <v>1.008</v>
      </c>
      <c r="X21" s="10">
        <f>(3/5*W-V21/H49*W)/(W*4/5)</f>
        <v>0.57302639030467772</v>
      </c>
    </row>
    <row r="22" spans="1:24" s="7" customFormat="1" ht="38.25" x14ac:dyDescent="0.2">
      <c r="A22" s="7" t="str">
        <f>A7</f>
        <v>rij</v>
      </c>
      <c r="B22" s="7" t="s">
        <v>50</v>
      </c>
      <c r="C22" s="7" t="s">
        <v>51</v>
      </c>
      <c r="D22" s="7" t="s">
        <v>32</v>
      </c>
      <c r="E22" s="8" t="s">
        <v>33</v>
      </c>
      <c r="F22" s="9" t="s">
        <v>34</v>
      </c>
      <c r="I22" s="9" t="s">
        <v>35</v>
      </c>
      <c r="J22" s="15"/>
      <c r="K22" s="9" t="s">
        <v>52</v>
      </c>
      <c r="M22" s="9" t="s">
        <v>38</v>
      </c>
      <c r="O22" s="7" t="s">
        <v>39</v>
      </c>
      <c r="P22" s="8" t="s">
        <v>40</v>
      </c>
      <c r="Q22" s="8" t="s">
        <v>41</v>
      </c>
      <c r="R22" s="7" t="s">
        <v>42</v>
      </c>
      <c r="U22" s="16" t="s">
        <v>53</v>
      </c>
      <c r="V22" s="17">
        <f>M60</f>
        <v>1.306065239551478</v>
      </c>
      <c r="W22" s="18">
        <f>R60</f>
        <v>1.0229333333333335</v>
      </c>
      <c r="X22" s="10">
        <f>(3/5*W-V22/H63*W)/(W*4/5)</f>
        <v>0.54592730632008157</v>
      </c>
    </row>
    <row r="23" spans="1:24" x14ac:dyDescent="0.25">
      <c r="A23" s="5">
        <v>1</v>
      </c>
      <c r="B23" s="5">
        <v>57</v>
      </c>
      <c r="C23" s="5">
        <v>68</v>
      </c>
      <c r="D23" s="5">
        <f>C23+B23</f>
        <v>125</v>
      </c>
      <c r="E23" s="5">
        <f>D23</f>
        <v>125</v>
      </c>
      <c r="F23" s="6">
        <f t="shared" ref="F23:F31" si="8">E23/W</f>
        <v>2.6546041454298335</v>
      </c>
      <c r="I23" s="6">
        <f t="shared" ref="I23:I31" si="9">D23/N</f>
        <v>15.625</v>
      </c>
      <c r="J23" s="6">
        <f t="shared" ref="J23:J31" si="10">E23/N</f>
        <v>15.625</v>
      </c>
      <c r="K23" s="6">
        <f t="shared" ref="K23:K31" si="11">F23/8</f>
        <v>0.33182551817872918</v>
      </c>
      <c r="M23" s="10">
        <f t="shared" ref="M23:M31" si="12">I23/W</f>
        <v>0.33182551817872918</v>
      </c>
      <c r="O23" s="5">
        <v>8</v>
      </c>
      <c r="Q23" s="6">
        <f t="shared" ref="Q23:Q31" si="13">(A23-1)*Dy+D</f>
        <v>0.182</v>
      </c>
      <c r="S23" s="11"/>
      <c r="T23" s="12"/>
      <c r="U23" s="5" t="s">
        <v>53</v>
      </c>
      <c r="V23" s="10">
        <f>M63</f>
        <v>1.6193085287121984</v>
      </c>
      <c r="W23" s="14">
        <f>R63</f>
        <v>1.0389166666666667</v>
      </c>
      <c r="X23" s="10">
        <f>(3/5*W-V23/H63*W)/(W*4/5)</f>
        <v>0.49698304238871899</v>
      </c>
    </row>
    <row r="24" spans="1:24" x14ac:dyDescent="0.25">
      <c r="A24" s="5">
        <v>2</v>
      </c>
      <c r="B24" s="5">
        <v>78</v>
      </c>
      <c r="C24" s="5">
        <v>80</v>
      </c>
      <c r="D24" s="5">
        <f t="shared" ref="D24:D31" si="14">C24+B24</f>
        <v>158</v>
      </c>
      <c r="E24" s="5">
        <f>D24-D23</f>
        <v>33</v>
      </c>
      <c r="F24" s="6">
        <f t="shared" si="8"/>
        <v>0.70081549439347601</v>
      </c>
      <c r="I24" s="6">
        <f t="shared" si="9"/>
        <v>19.75</v>
      </c>
      <c r="J24" s="6">
        <f t="shared" si="10"/>
        <v>4.125</v>
      </c>
      <c r="K24" s="6">
        <f t="shared" si="11"/>
        <v>8.7601936799184502E-2</v>
      </c>
      <c r="M24" s="10">
        <f t="shared" si="12"/>
        <v>0.41942745497791367</v>
      </c>
      <c r="O24" s="5">
        <v>8</v>
      </c>
      <c r="Q24" s="6">
        <f t="shared" si="13"/>
        <v>0.29847999999999997</v>
      </c>
      <c r="S24" s="11"/>
      <c r="T24" s="12"/>
      <c r="U24" s="5" t="s">
        <v>54</v>
      </c>
      <c r="V24" s="10">
        <f>M75</f>
        <v>1.2635915732246008</v>
      </c>
      <c r="W24" s="14">
        <f>R75</f>
        <v>1.0074343434343436</v>
      </c>
      <c r="X24" s="10">
        <f>(3/5*W-V24/H63*W)/(W*4/5)</f>
        <v>0.55256381668365617</v>
      </c>
    </row>
    <row r="25" spans="1:24" x14ac:dyDescent="0.25">
      <c r="A25" s="5">
        <v>3</v>
      </c>
      <c r="B25" s="5">
        <v>102</v>
      </c>
      <c r="C25" s="5">
        <v>93</v>
      </c>
      <c r="D25" s="5">
        <f t="shared" si="14"/>
        <v>195</v>
      </c>
      <c r="E25" s="5">
        <f t="shared" ref="E25:E31" si="15">D25-D24</f>
        <v>37</v>
      </c>
      <c r="F25" s="6">
        <f t="shared" si="8"/>
        <v>0.78576282704723066</v>
      </c>
      <c r="I25" s="6">
        <f t="shared" si="9"/>
        <v>24.375</v>
      </c>
      <c r="J25" s="6">
        <f t="shared" si="10"/>
        <v>4.625</v>
      </c>
      <c r="K25" s="6">
        <f t="shared" si="11"/>
        <v>9.8220353380903833E-2</v>
      </c>
      <c r="M25" s="10">
        <f t="shared" si="12"/>
        <v>0.51764780835881752</v>
      </c>
      <c r="O25" s="5">
        <v>8</v>
      </c>
      <c r="Q25" s="6">
        <f t="shared" si="13"/>
        <v>0.41496</v>
      </c>
      <c r="S25" s="11"/>
      <c r="T25" s="12"/>
      <c r="U25" s="5" t="s">
        <v>55</v>
      </c>
      <c r="V25" s="10">
        <f>M78</f>
        <v>1.5502888209310228</v>
      </c>
      <c r="W25" s="14">
        <f>R78</f>
        <v>1.0443560209424085</v>
      </c>
      <c r="X25" s="10">
        <f>(3/5*W-V25/H63*W)/(W*4/5)</f>
        <v>0.50776737172952768</v>
      </c>
    </row>
    <row r="26" spans="1:24" x14ac:dyDescent="0.25">
      <c r="A26" s="5">
        <v>4</v>
      </c>
      <c r="B26" s="5">
        <v>122</v>
      </c>
      <c r="C26" s="5">
        <v>89</v>
      </c>
      <c r="D26" s="5">
        <f t="shared" si="14"/>
        <v>211</v>
      </c>
      <c r="E26" s="5">
        <f t="shared" si="15"/>
        <v>16</v>
      </c>
      <c r="F26" s="6">
        <f t="shared" si="8"/>
        <v>0.3397893306150187</v>
      </c>
      <c r="I26" s="6">
        <f t="shared" si="9"/>
        <v>26.375</v>
      </c>
      <c r="J26" s="6">
        <f t="shared" si="10"/>
        <v>2</v>
      </c>
      <c r="K26" s="6">
        <f t="shared" si="11"/>
        <v>4.2473666326877338E-2</v>
      </c>
      <c r="M26" s="10">
        <f t="shared" si="12"/>
        <v>0.56012147468569484</v>
      </c>
      <c r="O26" s="5">
        <v>8</v>
      </c>
      <c r="Q26" s="6">
        <f t="shared" si="13"/>
        <v>0.53143999999999991</v>
      </c>
      <c r="S26" s="11"/>
      <c r="T26" s="12"/>
    </row>
    <row r="27" spans="1:24" x14ac:dyDescent="0.25">
      <c r="A27" s="5">
        <v>5</v>
      </c>
      <c r="B27" s="5">
        <v>122</v>
      </c>
      <c r="C27" s="5">
        <v>89</v>
      </c>
      <c r="D27" s="5">
        <f t="shared" si="14"/>
        <v>211</v>
      </c>
      <c r="E27" s="5">
        <f t="shared" si="15"/>
        <v>0</v>
      </c>
      <c r="F27" s="6">
        <f t="shared" si="8"/>
        <v>0</v>
      </c>
      <c r="I27" s="6">
        <f t="shared" si="9"/>
        <v>26.375</v>
      </c>
      <c r="J27" s="6">
        <f t="shared" si="10"/>
        <v>0</v>
      </c>
      <c r="K27" s="6">
        <f t="shared" si="11"/>
        <v>0</v>
      </c>
      <c r="M27" s="10">
        <f t="shared" si="12"/>
        <v>0.56012147468569484</v>
      </c>
      <c r="O27" s="5">
        <v>8</v>
      </c>
      <c r="Q27" s="6">
        <f t="shared" si="13"/>
        <v>0.64792000000000005</v>
      </c>
      <c r="S27" s="11"/>
      <c r="T27" s="12"/>
    </row>
    <row r="28" spans="1:24" x14ac:dyDescent="0.25">
      <c r="A28" s="5">
        <v>6</v>
      </c>
      <c r="B28" s="5">
        <v>125</v>
      </c>
      <c r="C28" s="5">
        <v>92</v>
      </c>
      <c r="D28" s="5">
        <f t="shared" si="14"/>
        <v>217</v>
      </c>
      <c r="E28" s="5">
        <f t="shared" si="15"/>
        <v>6</v>
      </c>
      <c r="F28" s="6">
        <f t="shared" si="8"/>
        <v>0.127420998980632</v>
      </c>
      <c r="I28" s="6">
        <f t="shared" si="9"/>
        <v>27.125</v>
      </c>
      <c r="J28" s="6">
        <f t="shared" si="10"/>
        <v>0.75</v>
      </c>
      <c r="K28" s="6">
        <f t="shared" si="11"/>
        <v>1.5927624872579E-2</v>
      </c>
      <c r="M28" s="10">
        <f t="shared" si="12"/>
        <v>0.57604909955827388</v>
      </c>
      <c r="O28" s="5">
        <v>8</v>
      </c>
      <c r="Q28" s="6">
        <f t="shared" si="13"/>
        <v>0.76439999999999997</v>
      </c>
      <c r="S28" s="11"/>
      <c r="T28" s="12"/>
    </row>
    <row r="29" spans="1:24" x14ac:dyDescent="0.25">
      <c r="A29" s="5">
        <v>7</v>
      </c>
      <c r="B29" s="5">
        <v>130</v>
      </c>
      <c r="C29" s="5">
        <v>90</v>
      </c>
      <c r="D29" s="5">
        <f t="shared" si="14"/>
        <v>220</v>
      </c>
      <c r="E29" s="5">
        <f t="shared" si="15"/>
        <v>3</v>
      </c>
      <c r="F29" s="6">
        <f t="shared" si="8"/>
        <v>6.3710499490316E-2</v>
      </c>
      <c r="I29" s="6">
        <f t="shared" si="9"/>
        <v>27.5</v>
      </c>
      <c r="J29" s="6">
        <f t="shared" si="10"/>
        <v>0.375</v>
      </c>
      <c r="K29" s="6">
        <f t="shared" si="11"/>
        <v>7.9638124362895E-3</v>
      </c>
      <c r="M29" s="10">
        <f t="shared" si="12"/>
        <v>0.5840129119945634</v>
      </c>
      <c r="O29" s="5">
        <v>8</v>
      </c>
      <c r="Q29" s="6">
        <f t="shared" si="13"/>
        <v>0.88087999999999989</v>
      </c>
      <c r="S29" s="11"/>
      <c r="T29" s="12"/>
    </row>
    <row r="30" spans="1:24" x14ac:dyDescent="0.25">
      <c r="A30" s="5">
        <v>8</v>
      </c>
      <c r="B30" s="5">
        <v>130</v>
      </c>
      <c r="C30" s="5">
        <v>98</v>
      </c>
      <c r="D30" s="5">
        <f t="shared" si="14"/>
        <v>228</v>
      </c>
      <c r="E30" s="5">
        <f t="shared" si="15"/>
        <v>8</v>
      </c>
      <c r="F30" s="6">
        <f t="shared" si="8"/>
        <v>0.16989466530750935</v>
      </c>
      <c r="I30" s="6">
        <f t="shared" si="9"/>
        <v>28.5</v>
      </c>
      <c r="J30" s="6">
        <f t="shared" si="10"/>
        <v>1</v>
      </c>
      <c r="K30" s="6">
        <f t="shared" si="11"/>
        <v>2.1236833163438669E-2</v>
      </c>
      <c r="M30" s="10">
        <f t="shared" si="12"/>
        <v>0.60524974515800201</v>
      </c>
      <c r="O30" s="5">
        <v>8</v>
      </c>
      <c r="Q30" s="6">
        <f t="shared" si="13"/>
        <v>0.99736000000000002</v>
      </c>
      <c r="S30" s="11"/>
      <c r="T30" s="12"/>
    </row>
    <row r="31" spans="1:24" x14ac:dyDescent="0.25">
      <c r="A31" s="5">
        <v>9</v>
      </c>
      <c r="B31" s="5">
        <v>132</v>
      </c>
      <c r="C31" s="5">
        <v>97</v>
      </c>
      <c r="D31" s="5">
        <f t="shared" si="14"/>
        <v>229</v>
      </c>
      <c r="E31" s="5">
        <f t="shared" si="15"/>
        <v>1</v>
      </c>
      <c r="F31" s="6">
        <f t="shared" si="8"/>
        <v>2.1236833163438669E-2</v>
      </c>
      <c r="H31" s="5">
        <v>9</v>
      </c>
      <c r="I31" s="6">
        <f t="shared" si="9"/>
        <v>28.625</v>
      </c>
      <c r="J31" s="6">
        <f t="shared" si="10"/>
        <v>0.125</v>
      </c>
      <c r="K31" s="6">
        <f t="shared" si="11"/>
        <v>2.6546041454298336E-3</v>
      </c>
      <c r="M31" s="10">
        <f t="shared" si="12"/>
        <v>0.60790434930343185</v>
      </c>
      <c r="O31" s="5">
        <v>8</v>
      </c>
      <c r="P31" s="5">
        <v>1.18</v>
      </c>
      <c r="Q31" s="6">
        <f t="shared" si="13"/>
        <v>1.1138399999999999</v>
      </c>
      <c r="R31" s="13">
        <f>Q31/P31:P31</f>
        <v>0.94393220338983053</v>
      </c>
      <c r="S31" s="11"/>
      <c r="T31" s="12"/>
    </row>
    <row r="32" spans="1:24" x14ac:dyDescent="0.25">
      <c r="S32" s="11"/>
      <c r="T32" s="12"/>
    </row>
    <row r="33" spans="1:24" x14ac:dyDescent="0.25">
      <c r="A33" s="5" t="s">
        <v>45</v>
      </c>
      <c r="O33" s="5">
        <f>SUM(O23:O31)</f>
        <v>72</v>
      </c>
      <c r="Q33" s="10"/>
      <c r="R33" s="13"/>
      <c r="T33" s="11"/>
      <c r="U33" s="12"/>
    </row>
    <row r="36" spans="1:24" x14ac:dyDescent="0.25">
      <c r="A36" s="7" t="s">
        <v>56</v>
      </c>
    </row>
    <row r="37" spans="1:24" s="7" customFormat="1" ht="38.25" x14ac:dyDescent="0.2">
      <c r="A37" s="7" t="s">
        <v>29</v>
      </c>
      <c r="B37" s="7" t="s">
        <v>50</v>
      </c>
      <c r="C37" s="7" t="s">
        <v>51</v>
      </c>
      <c r="D37" s="7" t="s">
        <v>32</v>
      </c>
      <c r="E37" s="8" t="s">
        <v>33</v>
      </c>
      <c r="F37" s="9" t="s">
        <v>34</v>
      </c>
      <c r="I37" s="9" t="s">
        <v>35</v>
      </c>
      <c r="J37" s="15"/>
      <c r="K37" s="9" t="s">
        <v>52</v>
      </c>
      <c r="M37" s="9" t="s">
        <v>38</v>
      </c>
      <c r="O37" s="7" t="s">
        <v>39</v>
      </c>
      <c r="P37" s="8" t="s">
        <v>40</v>
      </c>
      <c r="Q37" s="8" t="s">
        <v>41</v>
      </c>
      <c r="R37" s="7" t="s">
        <v>42</v>
      </c>
    </row>
    <row r="38" spans="1:24" x14ac:dyDescent="0.25">
      <c r="A38" s="5">
        <v>1</v>
      </c>
      <c r="B38" s="5">
        <v>60</v>
      </c>
      <c r="C38" s="5">
        <v>64</v>
      </c>
      <c r="D38" s="5">
        <f>C38+B38</f>
        <v>124</v>
      </c>
      <c r="E38" s="5">
        <f>D38</f>
        <v>124</v>
      </c>
      <c r="F38" s="6">
        <f t="shared" ref="F38:F46" si="16">E38/W</f>
        <v>2.6333673122663948</v>
      </c>
      <c r="I38" s="6">
        <f t="shared" ref="I38:I46" si="17">D38/N</f>
        <v>15.5</v>
      </c>
      <c r="J38" s="6">
        <f t="shared" ref="J38:J46" si="18">E38/N</f>
        <v>15.5</v>
      </c>
      <c r="K38" s="6">
        <f t="shared" ref="K38:K46" si="19">F38/8</f>
        <v>0.32917091403329934</v>
      </c>
      <c r="M38" s="10">
        <f t="shared" ref="M38:M46" si="20">I38/W</f>
        <v>0.32917091403329934</v>
      </c>
      <c r="O38" s="5">
        <v>8</v>
      </c>
      <c r="Q38" s="6">
        <f t="shared" ref="Q38:Q46" si="21">(A38-1)*Dy+D</f>
        <v>0.182</v>
      </c>
      <c r="S38" s="11"/>
      <c r="T38" s="12"/>
    </row>
    <row r="39" spans="1:24" x14ac:dyDescent="0.25">
      <c r="A39" s="5">
        <v>2</v>
      </c>
      <c r="B39" s="5">
        <v>98</v>
      </c>
      <c r="C39" s="5">
        <v>111</v>
      </c>
      <c r="D39" s="5">
        <f t="shared" ref="D39:D49" si="22">C39+B39</f>
        <v>209</v>
      </c>
      <c r="E39" s="5">
        <f>D39-D38</f>
        <v>85</v>
      </c>
      <c r="F39" s="6">
        <f t="shared" si="16"/>
        <v>1.8051308188922868</v>
      </c>
      <c r="I39" s="6">
        <f t="shared" si="17"/>
        <v>26.125</v>
      </c>
      <c r="J39" s="6">
        <f t="shared" si="18"/>
        <v>10.625</v>
      </c>
      <c r="K39" s="6">
        <f t="shared" si="19"/>
        <v>0.22564135236153585</v>
      </c>
      <c r="M39" s="10">
        <f t="shared" si="20"/>
        <v>0.55481226639483516</v>
      </c>
      <c r="O39" s="5">
        <v>9</v>
      </c>
      <c r="Q39" s="6">
        <f t="shared" si="21"/>
        <v>0.29847999999999997</v>
      </c>
      <c r="S39" s="11"/>
      <c r="T39" s="12"/>
    </row>
    <row r="40" spans="1:24" x14ac:dyDescent="0.25">
      <c r="A40" s="5">
        <v>3</v>
      </c>
      <c r="B40" s="5">
        <v>115</v>
      </c>
      <c r="C40" s="5">
        <v>128</v>
      </c>
      <c r="D40" s="5">
        <f t="shared" si="22"/>
        <v>243</v>
      </c>
      <c r="E40" s="5">
        <f t="shared" ref="E40:E46" si="23">D40-D39</f>
        <v>34</v>
      </c>
      <c r="F40" s="6">
        <f t="shared" si="16"/>
        <v>0.72205232755691473</v>
      </c>
      <c r="I40" s="6">
        <f t="shared" si="17"/>
        <v>30.375</v>
      </c>
      <c r="J40" s="6">
        <f t="shared" si="18"/>
        <v>4.25</v>
      </c>
      <c r="K40" s="6">
        <f t="shared" si="19"/>
        <v>9.0256540944614341E-2</v>
      </c>
      <c r="M40" s="10">
        <f t="shared" si="20"/>
        <v>0.64506880733944949</v>
      </c>
      <c r="O40" s="5">
        <v>8</v>
      </c>
      <c r="Q40" s="6">
        <f t="shared" si="21"/>
        <v>0.41496</v>
      </c>
      <c r="S40" s="11"/>
      <c r="T40" s="12"/>
    </row>
    <row r="41" spans="1:24" x14ac:dyDescent="0.25">
      <c r="A41" s="5">
        <v>4</v>
      </c>
      <c r="B41" s="5">
        <v>128</v>
      </c>
      <c r="C41" s="5">
        <v>129</v>
      </c>
      <c r="D41" s="5">
        <f t="shared" si="22"/>
        <v>257</v>
      </c>
      <c r="E41" s="5">
        <f t="shared" si="23"/>
        <v>14</v>
      </c>
      <c r="F41" s="6">
        <f t="shared" si="16"/>
        <v>0.29731566428814132</v>
      </c>
      <c r="I41" s="6">
        <f t="shared" si="17"/>
        <v>32.125</v>
      </c>
      <c r="J41" s="6">
        <f t="shared" si="18"/>
        <v>1.75</v>
      </c>
      <c r="K41" s="6">
        <f t="shared" si="19"/>
        <v>3.7164458036017665E-2</v>
      </c>
      <c r="M41" s="10">
        <f t="shared" si="20"/>
        <v>0.68223326537546725</v>
      </c>
      <c r="O41" s="5">
        <v>9</v>
      </c>
      <c r="Q41" s="6">
        <f t="shared" si="21"/>
        <v>0.53143999999999991</v>
      </c>
      <c r="S41" s="11"/>
      <c r="T41" s="12"/>
    </row>
    <row r="42" spans="1:24" x14ac:dyDescent="0.25">
      <c r="A42" s="5">
        <v>5</v>
      </c>
      <c r="B42" s="5">
        <v>126</v>
      </c>
      <c r="C42" s="5">
        <v>133</v>
      </c>
      <c r="D42" s="5">
        <f t="shared" si="22"/>
        <v>259</v>
      </c>
      <c r="E42" s="5">
        <f t="shared" si="23"/>
        <v>2</v>
      </c>
      <c r="F42" s="6">
        <f t="shared" si="16"/>
        <v>4.2473666326877338E-2</v>
      </c>
      <c r="I42" s="6">
        <f t="shared" si="17"/>
        <v>32.375</v>
      </c>
      <c r="J42" s="6">
        <f t="shared" si="18"/>
        <v>0.25</v>
      </c>
      <c r="K42" s="6">
        <f t="shared" si="19"/>
        <v>5.3092082908596672E-3</v>
      </c>
      <c r="M42" s="10">
        <f t="shared" si="20"/>
        <v>0.68754247366632681</v>
      </c>
      <c r="O42" s="5">
        <v>8</v>
      </c>
      <c r="Q42" s="6">
        <f t="shared" si="21"/>
        <v>0.64792000000000005</v>
      </c>
      <c r="S42" s="11"/>
      <c r="T42" s="12"/>
    </row>
    <row r="43" spans="1:24" x14ac:dyDescent="0.25">
      <c r="A43" s="5">
        <v>6</v>
      </c>
      <c r="B43" s="5">
        <v>131</v>
      </c>
      <c r="C43" s="5">
        <v>121</v>
      </c>
      <c r="D43" s="5">
        <f t="shared" si="22"/>
        <v>252</v>
      </c>
      <c r="E43" s="5">
        <f t="shared" si="23"/>
        <v>-7</v>
      </c>
      <c r="F43" s="6">
        <f t="shared" si="16"/>
        <v>-0.14865783214407066</v>
      </c>
      <c r="I43" s="6">
        <f t="shared" si="17"/>
        <v>31.5</v>
      </c>
      <c r="J43" s="6">
        <f t="shared" si="18"/>
        <v>-0.875</v>
      </c>
      <c r="K43" s="6">
        <f t="shared" si="19"/>
        <v>-1.8582229018008833E-2</v>
      </c>
      <c r="M43" s="10">
        <f t="shared" si="20"/>
        <v>0.66896024464831805</v>
      </c>
      <c r="O43" s="5">
        <v>9</v>
      </c>
      <c r="Q43" s="6">
        <f t="shared" si="21"/>
        <v>0.76439999999999997</v>
      </c>
      <c r="S43" s="11"/>
      <c r="T43" s="12"/>
    </row>
    <row r="44" spans="1:24" x14ac:dyDescent="0.25">
      <c r="A44" s="5">
        <v>7</v>
      </c>
      <c r="B44" s="5">
        <v>135</v>
      </c>
      <c r="C44" s="5">
        <v>125</v>
      </c>
      <c r="D44" s="5">
        <f t="shared" si="22"/>
        <v>260</v>
      </c>
      <c r="E44" s="5">
        <f t="shared" si="23"/>
        <v>8</v>
      </c>
      <c r="F44" s="6">
        <f t="shared" si="16"/>
        <v>0.16989466530750935</v>
      </c>
      <c r="I44" s="6">
        <f t="shared" si="17"/>
        <v>32.5</v>
      </c>
      <c r="J44" s="6">
        <f t="shared" si="18"/>
        <v>1</v>
      </c>
      <c r="K44" s="6">
        <f t="shared" si="19"/>
        <v>2.1236833163438669E-2</v>
      </c>
      <c r="M44" s="10">
        <f t="shared" si="20"/>
        <v>0.69019707781175665</v>
      </c>
      <c r="O44" s="5">
        <v>8</v>
      </c>
      <c r="Q44" s="6">
        <f t="shared" si="21"/>
        <v>0.88087999999999989</v>
      </c>
      <c r="S44" s="11"/>
      <c r="T44" s="12"/>
    </row>
    <row r="45" spans="1:24" x14ac:dyDescent="0.25">
      <c r="A45" s="5">
        <v>8</v>
      </c>
      <c r="B45" s="5">
        <v>140</v>
      </c>
      <c r="C45" s="5">
        <v>126</v>
      </c>
      <c r="D45" s="5">
        <f t="shared" si="22"/>
        <v>266</v>
      </c>
      <c r="E45" s="5">
        <f t="shared" si="23"/>
        <v>6</v>
      </c>
      <c r="F45" s="6">
        <f t="shared" si="16"/>
        <v>0.127420998980632</v>
      </c>
      <c r="I45" s="6">
        <f t="shared" si="17"/>
        <v>33.25</v>
      </c>
      <c r="J45" s="6">
        <f t="shared" si="18"/>
        <v>0.75</v>
      </c>
      <c r="K45" s="6">
        <f t="shared" si="19"/>
        <v>1.5927624872579E-2</v>
      </c>
      <c r="M45" s="10">
        <f t="shared" si="20"/>
        <v>0.70612470268433569</v>
      </c>
      <c r="O45" s="5">
        <v>9</v>
      </c>
      <c r="Q45" s="6">
        <f t="shared" si="21"/>
        <v>0.99736000000000002</v>
      </c>
      <c r="S45" s="11"/>
      <c r="T45" s="12"/>
    </row>
    <row r="46" spans="1:24" x14ac:dyDescent="0.25">
      <c r="A46" s="5">
        <v>9</v>
      </c>
      <c r="B46" s="5">
        <v>130</v>
      </c>
      <c r="C46" s="5">
        <v>134</v>
      </c>
      <c r="D46" s="5">
        <f t="shared" si="22"/>
        <v>264</v>
      </c>
      <c r="E46" s="5">
        <f t="shared" si="23"/>
        <v>-2</v>
      </c>
      <c r="F46" s="6">
        <f t="shared" si="16"/>
        <v>-4.2473666326877338E-2</v>
      </c>
      <c r="I46" s="6">
        <f t="shared" si="17"/>
        <v>33</v>
      </c>
      <c r="J46" s="6">
        <f t="shared" si="18"/>
        <v>-0.25</v>
      </c>
      <c r="K46" s="6">
        <f t="shared" si="19"/>
        <v>-5.3092082908596672E-3</v>
      </c>
      <c r="M46" s="10">
        <f t="shared" si="20"/>
        <v>0.70081549439347601</v>
      </c>
      <c r="O46" s="5">
        <v>8</v>
      </c>
      <c r="P46" s="5">
        <v>1.145</v>
      </c>
      <c r="Q46" s="6">
        <f t="shared" si="21"/>
        <v>1.1138399999999999</v>
      </c>
      <c r="R46" s="13">
        <f>Q46/P46:P46</f>
        <v>0.97278602620087329</v>
      </c>
      <c r="S46" s="11"/>
      <c r="T46" s="12"/>
    </row>
    <row r="47" spans="1:24" x14ac:dyDescent="0.25">
      <c r="S47" s="11"/>
      <c r="T47" s="12"/>
    </row>
    <row r="48" spans="1:24" x14ac:dyDescent="0.25">
      <c r="A48" s="5" t="s">
        <v>45</v>
      </c>
      <c r="B48" s="5">
        <v>167</v>
      </c>
      <c r="C48" s="5">
        <v>203</v>
      </c>
      <c r="D48" s="5">
        <f t="shared" si="22"/>
        <v>370</v>
      </c>
      <c r="E48" s="5">
        <f>D48-D46</f>
        <v>106</v>
      </c>
      <c r="F48" s="6">
        <f>E48/W</f>
        <v>2.2511043153244987</v>
      </c>
      <c r="I48" s="6">
        <f>D48/N</f>
        <v>46.25</v>
      </c>
      <c r="J48" s="6">
        <f>E48/N</f>
        <v>13.25</v>
      </c>
      <c r="K48" s="6">
        <f>F48/8</f>
        <v>0.28138803941556234</v>
      </c>
      <c r="M48" s="10">
        <f>I48/W</f>
        <v>0.98220353380903835</v>
      </c>
      <c r="O48" s="5">
        <f>SUM(O38:O46)</f>
        <v>76</v>
      </c>
      <c r="P48" s="5">
        <v>1.125</v>
      </c>
      <c r="Q48" s="10">
        <f>Q46</f>
        <v>1.1138399999999999</v>
      </c>
      <c r="R48" s="13">
        <f>Q48/P48:P48</f>
        <v>0.99007999999999996</v>
      </c>
      <c r="V48" s="11"/>
      <c r="W48" s="11"/>
      <c r="X48" s="12"/>
    </row>
    <row r="49" spans="1:22" x14ac:dyDescent="0.25">
      <c r="B49" s="5">
        <v>240</v>
      </c>
      <c r="C49" s="5">
        <v>240</v>
      </c>
      <c r="D49" s="5">
        <f t="shared" si="22"/>
        <v>480</v>
      </c>
      <c r="E49" s="5">
        <f>D49-D48</f>
        <v>110</v>
      </c>
      <c r="F49" s="6">
        <f>E49/W</f>
        <v>2.3360516479782536</v>
      </c>
      <c r="H49" s="5">
        <v>9</v>
      </c>
      <c r="I49" s="6">
        <f>D49/N</f>
        <v>60</v>
      </c>
      <c r="J49" s="6">
        <f>E49/N</f>
        <v>13.75</v>
      </c>
      <c r="K49" s="6">
        <f>F49/8</f>
        <v>0.2920064559972817</v>
      </c>
      <c r="M49" s="10">
        <f>I49/W</f>
        <v>1.2742099898063202</v>
      </c>
      <c r="P49" s="5">
        <v>1.105</v>
      </c>
      <c r="Q49" s="6">
        <f>Q46</f>
        <v>1.1138399999999999</v>
      </c>
      <c r="R49" s="13">
        <f>Q49/P49:P49</f>
        <v>1.008</v>
      </c>
      <c r="V49" s="11"/>
    </row>
    <row r="50" spans="1:22" x14ac:dyDescent="0.25">
      <c r="H50" s="5">
        <v>0</v>
      </c>
      <c r="I50" s="6">
        <v>0</v>
      </c>
      <c r="M50" s="5">
        <v>0</v>
      </c>
    </row>
    <row r="51" spans="1:22" x14ac:dyDescent="0.25">
      <c r="A51" s="7" t="s">
        <v>53</v>
      </c>
    </row>
    <row r="52" spans="1:22" s="7" customFormat="1" ht="38.25" x14ac:dyDescent="0.2">
      <c r="A52" s="7" t="s">
        <v>29</v>
      </c>
      <c r="B52" s="7" t="s">
        <v>50</v>
      </c>
      <c r="C52" s="7" t="s">
        <v>51</v>
      </c>
      <c r="D52" s="7" t="s">
        <v>32</v>
      </c>
      <c r="E52" s="8" t="s">
        <v>33</v>
      </c>
      <c r="F52" s="9" t="s">
        <v>34</v>
      </c>
      <c r="I52" s="9" t="s">
        <v>35</v>
      </c>
      <c r="J52" s="15"/>
      <c r="K52" s="9" t="s">
        <v>52</v>
      </c>
      <c r="M52" s="9" t="s">
        <v>38</v>
      </c>
      <c r="O52" s="7" t="s">
        <v>39</v>
      </c>
      <c r="P52" s="8" t="s">
        <v>40</v>
      </c>
      <c r="Q52" s="8" t="s">
        <v>41</v>
      </c>
      <c r="R52" s="7" t="s">
        <v>42</v>
      </c>
    </row>
    <row r="53" spans="1:22" x14ac:dyDescent="0.25">
      <c r="A53" s="5">
        <v>1</v>
      </c>
      <c r="B53" s="5">
        <v>77</v>
      </c>
      <c r="C53" s="5">
        <v>79</v>
      </c>
      <c r="D53" s="5">
        <f>C53+B53</f>
        <v>156</v>
      </c>
      <c r="E53" s="5">
        <f>D53</f>
        <v>156</v>
      </c>
      <c r="F53" s="6">
        <f t="shared" ref="F53:F60" si="24">E53/W</f>
        <v>3.3129459734964319</v>
      </c>
      <c r="I53" s="6">
        <f t="shared" ref="I53:J60" si="25">D53/N</f>
        <v>19.5</v>
      </c>
      <c r="J53" s="6">
        <f t="shared" si="25"/>
        <v>19.5</v>
      </c>
      <c r="K53" s="6">
        <f t="shared" ref="K53:K60" si="26">F53/8</f>
        <v>0.41411824668705399</v>
      </c>
      <c r="M53" s="10">
        <f t="shared" ref="M53:M60" si="27">I53/W</f>
        <v>0.41411824668705399</v>
      </c>
      <c r="O53" s="5">
        <v>8</v>
      </c>
      <c r="Q53" s="6">
        <f t="shared" ref="Q53:Q60" si="28">(A53-1)*Dy+D</f>
        <v>0.182</v>
      </c>
      <c r="S53" s="11"/>
      <c r="T53" s="12"/>
    </row>
    <row r="54" spans="1:22" x14ac:dyDescent="0.25">
      <c r="A54" s="5">
        <v>2</v>
      </c>
      <c r="B54" s="5">
        <v>127</v>
      </c>
      <c r="C54" s="5">
        <v>121</v>
      </c>
      <c r="D54" s="5">
        <f t="shared" ref="D54:D60" si="29">C54+B54</f>
        <v>248</v>
      </c>
      <c r="E54" s="5">
        <f>D54-D53</f>
        <v>92</v>
      </c>
      <c r="F54" s="6">
        <f t="shared" si="24"/>
        <v>1.9537886510363573</v>
      </c>
      <c r="I54" s="6">
        <f t="shared" si="25"/>
        <v>31</v>
      </c>
      <c r="J54" s="6">
        <f t="shared" si="25"/>
        <v>11.5</v>
      </c>
      <c r="K54" s="6">
        <f t="shared" si="26"/>
        <v>0.24422358137954467</v>
      </c>
      <c r="M54" s="10">
        <f t="shared" si="27"/>
        <v>0.65834182806659869</v>
      </c>
      <c r="O54" s="5">
        <v>9</v>
      </c>
      <c r="Q54" s="6">
        <f t="shared" si="28"/>
        <v>0.29847999999999997</v>
      </c>
      <c r="S54" s="11"/>
      <c r="T54" s="12"/>
    </row>
    <row r="55" spans="1:22" x14ac:dyDescent="0.25">
      <c r="A55" s="5">
        <v>3</v>
      </c>
      <c r="B55" s="5">
        <v>135</v>
      </c>
      <c r="C55" s="5">
        <v>165</v>
      </c>
      <c r="D55" s="5">
        <f t="shared" si="29"/>
        <v>300</v>
      </c>
      <c r="E55" s="5">
        <f t="shared" ref="E55:E60" si="30">D55-D54</f>
        <v>52</v>
      </c>
      <c r="F55" s="6">
        <f t="shared" si="24"/>
        <v>1.1043153244988106</v>
      </c>
      <c r="I55" s="6">
        <f t="shared" si="25"/>
        <v>37.5</v>
      </c>
      <c r="J55" s="6">
        <f t="shared" si="25"/>
        <v>6.5</v>
      </c>
      <c r="K55" s="6">
        <f t="shared" si="26"/>
        <v>0.13803941556235133</v>
      </c>
      <c r="M55" s="10">
        <f t="shared" si="27"/>
        <v>0.79638124362895002</v>
      </c>
      <c r="O55" s="5">
        <v>8</v>
      </c>
      <c r="Q55" s="6">
        <f t="shared" si="28"/>
        <v>0.41496</v>
      </c>
      <c r="S55" s="11"/>
      <c r="T55" s="12"/>
    </row>
    <row r="56" spans="1:22" x14ac:dyDescent="0.25">
      <c r="A56" s="5">
        <v>4</v>
      </c>
      <c r="B56" s="5">
        <v>152</v>
      </c>
      <c r="C56" s="5">
        <v>211</v>
      </c>
      <c r="D56" s="5">
        <f t="shared" si="29"/>
        <v>363</v>
      </c>
      <c r="E56" s="5">
        <f t="shared" si="30"/>
        <v>63</v>
      </c>
      <c r="F56" s="6">
        <f t="shared" si="24"/>
        <v>1.3379204892966361</v>
      </c>
      <c r="I56" s="6">
        <f t="shared" si="25"/>
        <v>45.375</v>
      </c>
      <c r="J56" s="6">
        <f t="shared" si="25"/>
        <v>7.875</v>
      </c>
      <c r="K56" s="6">
        <f t="shared" si="26"/>
        <v>0.16724006116207951</v>
      </c>
      <c r="M56" s="10">
        <f t="shared" si="27"/>
        <v>0.96362130479102959</v>
      </c>
      <c r="O56" s="5">
        <v>9</v>
      </c>
      <c r="Q56" s="6">
        <f t="shared" si="28"/>
        <v>0.53143999999999991</v>
      </c>
      <c r="S56" s="11"/>
      <c r="T56" s="12"/>
    </row>
    <row r="57" spans="1:22" x14ac:dyDescent="0.25">
      <c r="A57" s="5">
        <v>5</v>
      </c>
      <c r="B57" s="5">
        <v>161</v>
      </c>
      <c r="C57" s="5">
        <v>264</v>
      </c>
      <c r="D57" s="5">
        <f t="shared" si="29"/>
        <v>425</v>
      </c>
      <c r="E57" s="5">
        <f t="shared" si="30"/>
        <v>62</v>
      </c>
      <c r="F57" s="6">
        <f t="shared" si="24"/>
        <v>1.3166836561331974</v>
      </c>
      <c r="I57" s="6">
        <f t="shared" si="25"/>
        <v>53.125</v>
      </c>
      <c r="J57" s="6">
        <f t="shared" si="25"/>
        <v>7.75</v>
      </c>
      <c r="K57" s="6">
        <f t="shared" si="26"/>
        <v>0.16458545701664967</v>
      </c>
      <c r="M57" s="10">
        <f t="shared" si="27"/>
        <v>1.1282067618076792</v>
      </c>
      <c r="O57" s="5">
        <v>8</v>
      </c>
      <c r="Q57" s="6">
        <f t="shared" si="28"/>
        <v>0.64792000000000005</v>
      </c>
      <c r="S57" s="11"/>
      <c r="T57" s="12"/>
    </row>
    <row r="58" spans="1:22" x14ac:dyDescent="0.25">
      <c r="A58" s="5">
        <v>6</v>
      </c>
      <c r="B58" s="5">
        <v>189</v>
      </c>
      <c r="C58" s="5">
        <v>274</v>
      </c>
      <c r="D58" s="5">
        <f t="shared" si="29"/>
        <v>463</v>
      </c>
      <c r="E58" s="5">
        <f t="shared" si="30"/>
        <v>38</v>
      </c>
      <c r="F58" s="6">
        <f t="shared" si="24"/>
        <v>0.80699966021066938</v>
      </c>
      <c r="I58" s="6">
        <f t="shared" si="25"/>
        <v>57.875</v>
      </c>
      <c r="J58" s="6">
        <f t="shared" si="25"/>
        <v>4.75</v>
      </c>
      <c r="K58" s="6">
        <f t="shared" si="26"/>
        <v>0.10087495752633367</v>
      </c>
      <c r="M58" s="10">
        <f t="shared" si="27"/>
        <v>1.2290817193340129</v>
      </c>
      <c r="O58" s="5">
        <v>9</v>
      </c>
      <c r="Q58" s="6">
        <f t="shared" si="28"/>
        <v>0.76439999999999997</v>
      </c>
      <c r="S58" s="11"/>
      <c r="T58" s="12"/>
    </row>
    <row r="59" spans="1:22" x14ac:dyDescent="0.25">
      <c r="A59" s="5">
        <v>7</v>
      </c>
      <c r="B59" s="5">
        <v>191</v>
      </c>
      <c r="C59" s="5">
        <v>288</v>
      </c>
      <c r="D59" s="5">
        <f t="shared" si="29"/>
        <v>479</v>
      </c>
      <c r="E59" s="5">
        <f t="shared" si="30"/>
        <v>16</v>
      </c>
      <c r="F59" s="6">
        <f t="shared" si="24"/>
        <v>0.3397893306150187</v>
      </c>
      <c r="I59" s="6">
        <f t="shared" si="25"/>
        <v>59.875</v>
      </c>
      <c r="J59" s="6">
        <f t="shared" si="25"/>
        <v>2</v>
      </c>
      <c r="K59" s="6">
        <f t="shared" si="26"/>
        <v>4.2473666326877338E-2</v>
      </c>
      <c r="M59" s="10">
        <f t="shared" si="27"/>
        <v>1.2715553856608903</v>
      </c>
      <c r="O59" s="5">
        <v>8</v>
      </c>
      <c r="Q59" s="6">
        <f t="shared" si="28"/>
        <v>0.88087999999999989</v>
      </c>
      <c r="S59" s="11"/>
      <c r="T59" s="12"/>
    </row>
    <row r="60" spans="1:22" x14ac:dyDescent="0.25">
      <c r="A60" s="5">
        <v>8</v>
      </c>
      <c r="B60" s="5">
        <v>201</v>
      </c>
      <c r="C60" s="5">
        <v>291</v>
      </c>
      <c r="D60" s="5">
        <f t="shared" si="29"/>
        <v>492</v>
      </c>
      <c r="E60" s="5">
        <f t="shared" si="30"/>
        <v>13</v>
      </c>
      <c r="F60" s="6">
        <f t="shared" si="24"/>
        <v>0.27607883112470266</v>
      </c>
      <c r="I60" s="6">
        <f t="shared" si="25"/>
        <v>61.5</v>
      </c>
      <c r="J60" s="6">
        <f t="shared" si="25"/>
        <v>1.625</v>
      </c>
      <c r="K60" s="6">
        <f t="shared" si="26"/>
        <v>3.4509853890587833E-2</v>
      </c>
      <c r="M60" s="10">
        <f t="shared" si="27"/>
        <v>1.306065239551478</v>
      </c>
      <c r="O60" s="5">
        <v>9</v>
      </c>
      <c r="P60" s="5">
        <v>0.97499999999999998</v>
      </c>
      <c r="Q60" s="6">
        <f t="shared" si="28"/>
        <v>0.99736000000000002</v>
      </c>
      <c r="R60" s="13">
        <f>Q60/P60:P60</f>
        <v>1.0229333333333335</v>
      </c>
      <c r="S60" s="11"/>
      <c r="T60" s="12"/>
    </row>
    <row r="61" spans="1:22" x14ac:dyDescent="0.25">
      <c r="A61" s="5">
        <v>9</v>
      </c>
      <c r="Q61" s="6"/>
      <c r="R61" s="13"/>
      <c r="S61" s="11"/>
      <c r="T61" s="12"/>
    </row>
    <row r="62" spans="1:22" x14ac:dyDescent="0.25">
      <c r="H62" s="5">
        <v>0</v>
      </c>
      <c r="I62" s="6">
        <v>0</v>
      </c>
      <c r="M62" s="5">
        <v>0</v>
      </c>
      <c r="S62" s="11"/>
      <c r="T62" s="12"/>
    </row>
    <row r="63" spans="1:22" x14ac:dyDescent="0.25">
      <c r="A63" s="5" t="s">
        <v>57</v>
      </c>
      <c r="B63" s="5">
        <v>280</v>
      </c>
      <c r="C63" s="5">
        <v>330</v>
      </c>
      <c r="D63" s="5">
        <f>C63+B63</f>
        <v>610</v>
      </c>
      <c r="E63" s="5">
        <f>D63-D60</f>
        <v>118</v>
      </c>
      <c r="F63" s="6">
        <f>E63/W</f>
        <v>2.5059463132857629</v>
      </c>
      <c r="H63" s="5">
        <v>8</v>
      </c>
      <c r="I63" s="6">
        <f>D63/N</f>
        <v>76.25</v>
      </c>
      <c r="J63" s="6">
        <f>E63/N</f>
        <v>14.75</v>
      </c>
      <c r="K63" s="6">
        <f>F63/8</f>
        <v>0.31324328916072036</v>
      </c>
      <c r="M63" s="10">
        <f>I63/W</f>
        <v>1.6193085287121984</v>
      </c>
      <c r="O63" s="5">
        <f>SUM(O53:O61)</f>
        <v>68</v>
      </c>
      <c r="P63" s="5">
        <v>0.96</v>
      </c>
      <c r="Q63" s="6">
        <f>Q60</f>
        <v>0.99736000000000002</v>
      </c>
      <c r="R63" s="13">
        <f>Q63/P63:P63</f>
        <v>1.0389166666666667</v>
      </c>
      <c r="S63" s="11"/>
      <c r="T63" s="11"/>
      <c r="U63" s="12"/>
    </row>
    <row r="66" spans="1:21" x14ac:dyDescent="0.25">
      <c r="A66" s="7" t="s">
        <v>54</v>
      </c>
    </row>
    <row r="67" spans="1:21" s="7" customFormat="1" ht="38.25" x14ac:dyDescent="0.2">
      <c r="A67" s="7" t="s">
        <v>29</v>
      </c>
      <c r="B67" s="7" t="s">
        <v>50</v>
      </c>
      <c r="C67" s="7" t="s">
        <v>51</v>
      </c>
      <c r="D67" s="7" t="s">
        <v>32</v>
      </c>
      <c r="E67" s="8" t="s">
        <v>33</v>
      </c>
      <c r="F67" s="9" t="s">
        <v>34</v>
      </c>
      <c r="I67" s="9" t="s">
        <v>35</v>
      </c>
      <c r="J67" s="15"/>
      <c r="K67" s="9" t="s">
        <v>52</v>
      </c>
      <c r="M67" s="9" t="s">
        <v>38</v>
      </c>
      <c r="O67" s="7" t="s">
        <v>39</v>
      </c>
      <c r="P67" s="8" t="s">
        <v>40</v>
      </c>
      <c r="Q67" s="8" t="s">
        <v>41</v>
      </c>
      <c r="R67" s="7" t="s">
        <v>42</v>
      </c>
    </row>
    <row r="68" spans="1:21" x14ac:dyDescent="0.25">
      <c r="A68" s="5">
        <v>1</v>
      </c>
      <c r="B68" s="5">
        <v>84</v>
      </c>
      <c r="C68" s="5">
        <v>87</v>
      </c>
      <c r="D68" s="5">
        <f>C68+B68</f>
        <v>171</v>
      </c>
      <c r="E68" s="5">
        <f>D68</f>
        <v>171</v>
      </c>
      <c r="F68" s="6">
        <f t="shared" ref="F68:F75" si="31">E68/W</f>
        <v>3.6314984709480123</v>
      </c>
      <c r="I68" s="6">
        <f t="shared" ref="I68:J75" si="32">D68/N</f>
        <v>21.375</v>
      </c>
      <c r="J68" s="6">
        <f t="shared" si="32"/>
        <v>21.375</v>
      </c>
      <c r="K68" s="6">
        <f t="shared" ref="K68:K75" si="33">F68/8</f>
        <v>0.45393730886850153</v>
      </c>
      <c r="M68" s="10">
        <f t="shared" ref="M68:M75" si="34">I68/W</f>
        <v>0.45393730886850153</v>
      </c>
      <c r="O68" s="5">
        <v>8</v>
      </c>
      <c r="Q68" s="6">
        <f t="shared" ref="Q68:Q75" si="35">(A68-1)*Dy+D</f>
        <v>0.182</v>
      </c>
      <c r="S68" s="11"/>
      <c r="T68" s="12"/>
    </row>
    <row r="69" spans="1:21" x14ac:dyDescent="0.25">
      <c r="A69" s="5">
        <v>2</v>
      </c>
      <c r="B69" s="5">
        <v>121</v>
      </c>
      <c r="C69" s="5">
        <v>158</v>
      </c>
      <c r="D69" s="5">
        <f t="shared" ref="D69:D78" si="36">C69+B69</f>
        <v>279</v>
      </c>
      <c r="E69" s="5">
        <f>D69-D68</f>
        <v>108</v>
      </c>
      <c r="F69" s="6">
        <f t="shared" si="31"/>
        <v>2.2935779816513762</v>
      </c>
      <c r="I69" s="6">
        <f t="shared" si="32"/>
        <v>34.875</v>
      </c>
      <c r="J69" s="6">
        <f t="shared" si="32"/>
        <v>13.5</v>
      </c>
      <c r="K69" s="6">
        <f t="shared" si="33"/>
        <v>0.28669724770642202</v>
      </c>
      <c r="M69" s="10">
        <f t="shared" si="34"/>
        <v>0.7406345565749235</v>
      </c>
      <c r="O69" s="5">
        <v>9</v>
      </c>
      <c r="Q69" s="6">
        <f t="shared" si="35"/>
        <v>0.29847999999999997</v>
      </c>
      <c r="S69" s="11"/>
      <c r="T69" s="12"/>
    </row>
    <row r="70" spans="1:21" x14ac:dyDescent="0.25">
      <c r="A70" s="5">
        <v>3</v>
      </c>
      <c r="B70" s="5">
        <v>134</v>
      </c>
      <c r="C70" s="5">
        <v>199</v>
      </c>
      <c r="D70" s="5">
        <f t="shared" si="36"/>
        <v>333</v>
      </c>
      <c r="E70" s="5">
        <f t="shared" ref="E70:E75" si="37">D70-D69</f>
        <v>54</v>
      </c>
      <c r="F70" s="6">
        <f t="shared" si="31"/>
        <v>1.1467889908256881</v>
      </c>
      <c r="I70" s="6">
        <f t="shared" si="32"/>
        <v>41.625</v>
      </c>
      <c r="J70" s="6">
        <f t="shared" si="32"/>
        <v>6.75</v>
      </c>
      <c r="K70" s="6">
        <f t="shared" si="33"/>
        <v>0.14334862385321101</v>
      </c>
      <c r="M70" s="10">
        <f t="shared" si="34"/>
        <v>0.88398318042813451</v>
      </c>
      <c r="O70" s="5">
        <v>8</v>
      </c>
      <c r="Q70" s="6">
        <f t="shared" si="35"/>
        <v>0.41496</v>
      </c>
      <c r="S70" s="11"/>
      <c r="T70" s="12"/>
    </row>
    <row r="71" spans="1:21" x14ac:dyDescent="0.25">
      <c r="A71" s="5">
        <v>4</v>
      </c>
      <c r="B71" s="5">
        <v>157</v>
      </c>
      <c r="C71" s="5">
        <v>262</v>
      </c>
      <c r="D71" s="5">
        <f t="shared" si="36"/>
        <v>419</v>
      </c>
      <c r="E71" s="5">
        <f t="shared" si="37"/>
        <v>86</v>
      </c>
      <c r="F71" s="6">
        <f t="shared" si="31"/>
        <v>1.8263676520557255</v>
      </c>
      <c r="I71" s="6">
        <f t="shared" si="32"/>
        <v>52.375</v>
      </c>
      <c r="J71" s="6">
        <f t="shared" si="32"/>
        <v>10.75</v>
      </c>
      <c r="K71" s="6">
        <f t="shared" si="33"/>
        <v>0.22829595650696569</v>
      </c>
      <c r="M71" s="10">
        <f t="shared" si="34"/>
        <v>1.1122791369351002</v>
      </c>
      <c r="O71" s="5">
        <v>9</v>
      </c>
      <c r="Q71" s="6">
        <f t="shared" si="35"/>
        <v>0.53143999999999991</v>
      </c>
      <c r="S71" s="11"/>
      <c r="T71" s="12"/>
    </row>
    <row r="72" spans="1:21" x14ac:dyDescent="0.25">
      <c r="A72" s="5">
        <v>5</v>
      </c>
      <c r="B72" s="5">
        <v>173</v>
      </c>
      <c r="C72" s="5">
        <v>265</v>
      </c>
      <c r="D72" s="5">
        <f t="shared" si="36"/>
        <v>438</v>
      </c>
      <c r="E72" s="5">
        <f t="shared" si="37"/>
        <v>19</v>
      </c>
      <c r="F72" s="6">
        <f t="shared" si="31"/>
        <v>0.40349983010533469</v>
      </c>
      <c r="I72" s="6">
        <f t="shared" si="32"/>
        <v>54.75</v>
      </c>
      <c r="J72" s="6">
        <f t="shared" si="32"/>
        <v>2.375</v>
      </c>
      <c r="K72" s="6">
        <f t="shared" si="33"/>
        <v>5.0437478763166836E-2</v>
      </c>
      <c r="M72" s="10">
        <f t="shared" si="34"/>
        <v>1.1627166156982671</v>
      </c>
      <c r="O72" s="5">
        <v>8</v>
      </c>
      <c r="Q72" s="6">
        <f t="shared" si="35"/>
        <v>0.64792000000000005</v>
      </c>
      <c r="S72" s="11"/>
      <c r="T72" s="12"/>
    </row>
    <row r="73" spans="1:21" x14ac:dyDescent="0.25">
      <c r="A73" s="5">
        <v>6</v>
      </c>
      <c r="B73" s="5">
        <v>186</v>
      </c>
      <c r="C73" s="5">
        <v>274</v>
      </c>
      <c r="D73" s="5">
        <f t="shared" si="36"/>
        <v>460</v>
      </c>
      <c r="E73" s="5">
        <f t="shared" si="37"/>
        <v>22</v>
      </c>
      <c r="F73" s="6">
        <f t="shared" si="31"/>
        <v>0.46721032959565068</v>
      </c>
      <c r="I73" s="6">
        <f t="shared" si="32"/>
        <v>57.5</v>
      </c>
      <c r="J73" s="6">
        <f t="shared" si="32"/>
        <v>2.75</v>
      </c>
      <c r="K73" s="6">
        <f t="shared" si="33"/>
        <v>5.8401291199456334E-2</v>
      </c>
      <c r="M73" s="10">
        <f t="shared" si="34"/>
        <v>1.2211179068977234</v>
      </c>
      <c r="O73" s="5">
        <v>9</v>
      </c>
      <c r="Q73" s="6">
        <f t="shared" si="35"/>
        <v>0.76439999999999997</v>
      </c>
      <c r="S73" s="11"/>
      <c r="T73" s="12"/>
    </row>
    <row r="74" spans="1:21" x14ac:dyDescent="0.25">
      <c r="A74" s="5">
        <v>7</v>
      </c>
      <c r="B74" s="5">
        <v>190</v>
      </c>
      <c r="C74" s="5">
        <v>290</v>
      </c>
      <c r="D74" s="5">
        <f t="shared" si="36"/>
        <v>480</v>
      </c>
      <c r="E74" s="5">
        <f t="shared" si="37"/>
        <v>20</v>
      </c>
      <c r="F74" s="6">
        <f t="shared" si="31"/>
        <v>0.42473666326877335</v>
      </c>
      <c r="I74" s="6">
        <f t="shared" si="32"/>
        <v>60</v>
      </c>
      <c r="J74" s="6">
        <f t="shared" si="32"/>
        <v>2.5</v>
      </c>
      <c r="K74" s="6">
        <f t="shared" si="33"/>
        <v>5.3092082908596669E-2</v>
      </c>
      <c r="M74" s="10">
        <f t="shared" si="34"/>
        <v>1.2742099898063202</v>
      </c>
      <c r="O74" s="5">
        <v>8</v>
      </c>
      <c r="Q74" s="6">
        <f t="shared" si="35"/>
        <v>0.88087999999999989</v>
      </c>
      <c r="S74" s="11"/>
      <c r="T74" s="12"/>
    </row>
    <row r="75" spans="1:21" x14ac:dyDescent="0.25">
      <c r="A75" s="5">
        <v>8</v>
      </c>
      <c r="B75" s="5">
        <v>194</v>
      </c>
      <c r="C75" s="5">
        <v>282</v>
      </c>
      <c r="D75" s="5">
        <f t="shared" si="36"/>
        <v>476</v>
      </c>
      <c r="E75" s="5">
        <f t="shared" si="37"/>
        <v>-4</v>
      </c>
      <c r="F75" s="6">
        <f t="shared" si="31"/>
        <v>-8.4947332653754676E-2</v>
      </c>
      <c r="I75" s="6">
        <f t="shared" si="32"/>
        <v>59.5</v>
      </c>
      <c r="J75" s="6">
        <f t="shared" si="32"/>
        <v>-0.5</v>
      </c>
      <c r="K75" s="6">
        <f t="shared" si="33"/>
        <v>-1.0618416581719334E-2</v>
      </c>
      <c r="M75" s="10">
        <f t="shared" si="34"/>
        <v>1.2635915732246008</v>
      </c>
      <c r="O75" s="5">
        <v>9</v>
      </c>
      <c r="P75" s="5">
        <v>0.99</v>
      </c>
      <c r="Q75" s="6">
        <f t="shared" si="35"/>
        <v>0.99736000000000002</v>
      </c>
      <c r="R75" s="13">
        <f>Q75/P75:P75</f>
        <v>1.0074343434343436</v>
      </c>
      <c r="S75" s="11"/>
      <c r="T75" s="12"/>
    </row>
    <row r="76" spans="1:21" x14ac:dyDescent="0.25">
      <c r="A76" s="5">
        <v>9</v>
      </c>
      <c r="Q76" s="6"/>
      <c r="R76" s="13"/>
      <c r="S76" s="11"/>
      <c r="T76" s="12"/>
    </row>
    <row r="77" spans="1:21" x14ac:dyDescent="0.25">
      <c r="H77" s="5">
        <v>0</v>
      </c>
      <c r="I77" s="6">
        <v>0</v>
      </c>
      <c r="M77" s="5">
        <v>0</v>
      </c>
      <c r="S77" s="11"/>
      <c r="T77" s="12"/>
    </row>
    <row r="78" spans="1:21" x14ac:dyDescent="0.25">
      <c r="A78" s="5" t="s">
        <v>57</v>
      </c>
      <c r="B78" s="5">
        <v>250</v>
      </c>
      <c r="C78" s="5">
        <v>334</v>
      </c>
      <c r="D78" s="5">
        <f t="shared" si="36"/>
        <v>584</v>
      </c>
      <c r="E78" s="5">
        <f>D78-D75</f>
        <v>108</v>
      </c>
      <c r="F78" s="6">
        <f>E78/W</f>
        <v>2.2935779816513762</v>
      </c>
      <c r="H78" s="5">
        <v>8</v>
      </c>
      <c r="I78" s="6">
        <f>D78/N</f>
        <v>73</v>
      </c>
      <c r="J78" s="6">
        <f>E78/N</f>
        <v>13.5</v>
      </c>
      <c r="K78" s="6">
        <f>F78/8</f>
        <v>0.28669724770642202</v>
      </c>
      <c r="M78" s="10">
        <f>I78/W</f>
        <v>1.5502888209310228</v>
      </c>
      <c r="O78" s="5">
        <f>SUM(O68:O76)</f>
        <v>68</v>
      </c>
      <c r="P78" s="5">
        <v>0.95499999999999996</v>
      </c>
      <c r="Q78" s="6">
        <f>Q75</f>
        <v>0.99736000000000002</v>
      </c>
      <c r="R78" s="13">
        <f>Q78/P78:P78</f>
        <v>1.0443560209424085</v>
      </c>
      <c r="S78" s="11"/>
      <c r="T78" s="11"/>
      <c r="U78" s="12"/>
    </row>
  </sheetData>
  <pageMargins left="0.75" right="0.75" top="1" bottom="1" header="0.5" footer="0.5"/>
  <pageSetup paperSize="9" orientation="portrait" verticalDpi="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2" sqref="B2"/>
    </sheetView>
  </sheetViews>
  <sheetFormatPr defaultRowHeight="15" x14ac:dyDescent="0.25"/>
  <sheetData>
    <row r="1" spans="1:2" x14ac:dyDescent="0.25">
      <c r="A1" s="23" t="s">
        <v>63</v>
      </c>
      <c r="B1" s="23" t="s">
        <v>61</v>
      </c>
    </row>
    <row r="2" spans="1:2" x14ac:dyDescent="0.25">
      <c r="A2" s="24">
        <v>30</v>
      </c>
      <c r="B2" s="21">
        <v>10</v>
      </c>
    </row>
    <row r="3" spans="1:2" x14ac:dyDescent="0.25">
      <c r="A3" s="24">
        <v>50</v>
      </c>
      <c r="B3" s="21">
        <v>20</v>
      </c>
    </row>
    <row r="4" spans="1:2" x14ac:dyDescent="0.25">
      <c r="A4" s="24">
        <v>70</v>
      </c>
      <c r="B4" s="21">
        <v>13</v>
      </c>
    </row>
    <row r="5" spans="1:2" x14ac:dyDescent="0.25">
      <c r="A5" s="24">
        <v>90</v>
      </c>
      <c r="B5" s="21">
        <v>3</v>
      </c>
    </row>
    <row r="6" spans="1:2" x14ac:dyDescent="0.25">
      <c r="A6" s="24">
        <v>110</v>
      </c>
      <c r="B6" s="21">
        <v>0</v>
      </c>
    </row>
    <row r="7" spans="1:2" x14ac:dyDescent="0.25">
      <c r="A7" s="24">
        <v>130</v>
      </c>
      <c r="B7" s="21">
        <v>2</v>
      </c>
    </row>
    <row r="8" spans="1:2" x14ac:dyDescent="0.25">
      <c r="A8" s="24">
        <v>150</v>
      </c>
      <c r="B8" s="21">
        <v>1</v>
      </c>
    </row>
    <row r="9" spans="1:2" ht="15.75" thickBot="1" x14ac:dyDescent="0.3">
      <c r="A9" s="22" t="s">
        <v>60</v>
      </c>
      <c r="B9" s="22">
        <v>0</v>
      </c>
    </row>
  </sheetData>
  <sortState ref="A2:A8">
    <sortCondition ref="A2"/>
  </sortState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7"/>
  <sheetViews>
    <sheetView workbookViewId="0">
      <selection activeCell="B2" sqref="B2:B16"/>
    </sheetView>
  </sheetViews>
  <sheetFormatPr defaultRowHeight="15" x14ac:dyDescent="0.25"/>
  <sheetData>
    <row r="1" spans="1:2" x14ac:dyDescent="0.25">
      <c r="A1" s="23" t="s">
        <v>63</v>
      </c>
      <c r="B1" s="23" t="s">
        <v>61</v>
      </c>
    </row>
    <row r="2" spans="1:2" x14ac:dyDescent="0.25">
      <c r="A2" s="24">
        <v>20</v>
      </c>
      <c r="B2" s="21">
        <v>6</v>
      </c>
    </row>
    <row r="3" spans="1:2" x14ac:dyDescent="0.25">
      <c r="A3" s="24">
        <v>30</v>
      </c>
      <c r="B3" s="21">
        <v>4</v>
      </c>
    </row>
    <row r="4" spans="1:2" x14ac:dyDescent="0.25">
      <c r="A4" s="24">
        <v>40</v>
      </c>
      <c r="B4" s="21">
        <v>10</v>
      </c>
    </row>
    <row r="5" spans="1:2" x14ac:dyDescent="0.25">
      <c r="A5" s="24">
        <v>50</v>
      </c>
      <c r="B5" s="21">
        <v>10</v>
      </c>
    </row>
    <row r="6" spans="1:2" x14ac:dyDescent="0.25">
      <c r="A6" s="24">
        <v>60</v>
      </c>
      <c r="B6" s="21">
        <v>8</v>
      </c>
    </row>
    <row r="7" spans="1:2" x14ac:dyDescent="0.25">
      <c r="A7" s="24">
        <v>70</v>
      </c>
      <c r="B7" s="21">
        <v>5</v>
      </c>
    </row>
    <row r="8" spans="1:2" x14ac:dyDescent="0.25">
      <c r="A8" s="24">
        <v>80</v>
      </c>
      <c r="B8" s="21">
        <v>1</v>
      </c>
    </row>
    <row r="9" spans="1:2" x14ac:dyDescent="0.25">
      <c r="A9" s="24">
        <v>90</v>
      </c>
      <c r="B9" s="21">
        <v>2</v>
      </c>
    </row>
    <row r="10" spans="1:2" x14ac:dyDescent="0.25">
      <c r="A10" s="24">
        <v>100</v>
      </c>
      <c r="B10" s="21">
        <v>0</v>
      </c>
    </row>
    <row r="11" spans="1:2" x14ac:dyDescent="0.25">
      <c r="A11" s="24">
        <v>110</v>
      </c>
      <c r="B11" s="21">
        <v>0</v>
      </c>
    </row>
    <row r="12" spans="1:2" x14ac:dyDescent="0.25">
      <c r="A12" s="24">
        <v>120</v>
      </c>
      <c r="B12" s="21">
        <v>2</v>
      </c>
    </row>
    <row r="13" spans="1:2" x14ac:dyDescent="0.25">
      <c r="A13" s="24">
        <v>130</v>
      </c>
      <c r="B13" s="21">
        <v>0</v>
      </c>
    </row>
    <row r="14" spans="1:2" x14ac:dyDescent="0.25">
      <c r="A14" s="24">
        <v>140</v>
      </c>
      <c r="B14" s="21">
        <v>0</v>
      </c>
    </row>
    <row r="15" spans="1:2" x14ac:dyDescent="0.25">
      <c r="A15" s="24">
        <v>150</v>
      </c>
      <c r="B15" s="21">
        <v>1</v>
      </c>
    </row>
    <row r="16" spans="1:2" x14ac:dyDescent="0.25">
      <c r="A16" s="24">
        <v>160</v>
      </c>
      <c r="B16" s="21">
        <v>0</v>
      </c>
    </row>
    <row r="17" spans="1:2" ht="15.75" thickBot="1" x14ac:dyDescent="0.3">
      <c r="A17" s="22" t="s">
        <v>60</v>
      </c>
      <c r="B17" s="22">
        <v>0</v>
      </c>
    </row>
  </sheetData>
  <sortState ref="A2:A16">
    <sortCondition ref="A2"/>
  </sortState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1"/>
  <sheetViews>
    <sheetView workbookViewId="0">
      <selection activeCell="G17" sqref="G17"/>
    </sheetView>
  </sheetViews>
  <sheetFormatPr defaultRowHeight="15" x14ac:dyDescent="0.25"/>
  <sheetData>
    <row r="1" spans="1:3" x14ac:dyDescent="0.25">
      <c r="A1" t="s">
        <v>59</v>
      </c>
      <c r="C1" t="s">
        <v>62</v>
      </c>
    </row>
    <row r="2" spans="1:3" x14ac:dyDescent="0.25">
      <c r="A2">
        <v>98</v>
      </c>
      <c r="C2">
        <v>10</v>
      </c>
    </row>
    <row r="3" spans="1:3" x14ac:dyDescent="0.25">
      <c r="A3">
        <v>50</v>
      </c>
      <c r="C3">
        <v>20</v>
      </c>
    </row>
    <row r="4" spans="1:3" x14ac:dyDescent="0.25">
      <c r="A4">
        <v>70</v>
      </c>
      <c r="C4">
        <v>30</v>
      </c>
    </row>
    <row r="5" spans="1:3" x14ac:dyDescent="0.25">
      <c r="A5">
        <v>42</v>
      </c>
      <c r="C5">
        <v>40</v>
      </c>
    </row>
    <row r="6" spans="1:3" x14ac:dyDescent="0.25">
      <c r="A6">
        <v>35</v>
      </c>
      <c r="C6">
        <v>50</v>
      </c>
    </row>
    <row r="7" spans="1:3" x14ac:dyDescent="0.25">
      <c r="A7">
        <v>81</v>
      </c>
      <c r="C7">
        <v>60</v>
      </c>
    </row>
    <row r="8" spans="1:3" x14ac:dyDescent="0.25">
      <c r="A8">
        <v>149</v>
      </c>
      <c r="C8">
        <v>70</v>
      </c>
    </row>
    <row r="9" spans="1:3" x14ac:dyDescent="0.25">
      <c r="A9">
        <v>41</v>
      </c>
      <c r="C9">
        <v>80</v>
      </c>
    </row>
    <row r="10" spans="1:3" x14ac:dyDescent="0.25">
      <c r="A10">
        <v>114</v>
      </c>
      <c r="C10">
        <v>90</v>
      </c>
    </row>
    <row r="11" spans="1:3" x14ac:dyDescent="0.25">
      <c r="A11">
        <v>37</v>
      </c>
      <c r="C11">
        <v>100</v>
      </c>
    </row>
    <row r="12" spans="1:3" x14ac:dyDescent="0.25">
      <c r="A12">
        <v>20</v>
      </c>
      <c r="C12">
        <v>110</v>
      </c>
    </row>
    <row r="13" spans="1:3" x14ac:dyDescent="0.25">
      <c r="A13">
        <v>62</v>
      </c>
      <c r="C13">
        <v>120</v>
      </c>
    </row>
    <row r="14" spans="1:3" x14ac:dyDescent="0.25">
      <c r="A14">
        <v>72</v>
      </c>
      <c r="C14">
        <v>130</v>
      </c>
    </row>
    <row r="15" spans="1:3" x14ac:dyDescent="0.25">
      <c r="A15">
        <v>46</v>
      </c>
      <c r="C15">
        <v>140</v>
      </c>
    </row>
    <row r="16" spans="1:3" x14ac:dyDescent="0.25">
      <c r="A16">
        <v>90</v>
      </c>
      <c r="C16">
        <v>150</v>
      </c>
    </row>
    <row r="17" spans="1:3" x14ac:dyDescent="0.25">
      <c r="A17">
        <v>39</v>
      </c>
      <c r="C17">
        <v>160</v>
      </c>
    </row>
    <row r="18" spans="1:3" x14ac:dyDescent="0.25">
      <c r="A18">
        <v>59</v>
      </c>
    </row>
    <row r="19" spans="1:3" x14ac:dyDescent="0.25">
      <c r="A19">
        <v>51</v>
      </c>
    </row>
    <row r="20" spans="1:3" x14ac:dyDescent="0.25">
      <c r="A20">
        <v>57</v>
      </c>
    </row>
    <row r="21" spans="1:3" x14ac:dyDescent="0.25">
      <c r="A21">
        <v>47</v>
      </c>
    </row>
    <row r="22" spans="1:3" x14ac:dyDescent="0.25">
      <c r="A22">
        <v>15</v>
      </c>
    </row>
    <row r="23" spans="1:3" x14ac:dyDescent="0.25">
      <c r="A23">
        <v>29</v>
      </c>
    </row>
    <row r="24" spans="1:3" x14ac:dyDescent="0.25">
      <c r="A24">
        <v>51</v>
      </c>
    </row>
    <row r="25" spans="1:3" x14ac:dyDescent="0.25">
      <c r="A25">
        <v>34</v>
      </c>
    </row>
    <row r="26" spans="1:3" x14ac:dyDescent="0.25">
      <c r="A26">
        <v>65</v>
      </c>
    </row>
    <row r="27" spans="1:3" x14ac:dyDescent="0.25">
      <c r="A27">
        <v>20</v>
      </c>
    </row>
    <row r="28" spans="1:3" x14ac:dyDescent="0.25">
      <c r="A28">
        <v>15</v>
      </c>
    </row>
    <row r="29" spans="1:3" x14ac:dyDescent="0.25">
      <c r="A29">
        <v>49</v>
      </c>
    </row>
    <row r="30" spans="1:3" x14ac:dyDescent="0.25">
      <c r="A30">
        <v>33</v>
      </c>
    </row>
    <row r="31" spans="1:3" x14ac:dyDescent="0.25">
      <c r="A31">
        <v>55</v>
      </c>
    </row>
    <row r="32" spans="1:3" x14ac:dyDescent="0.25">
      <c r="A32">
        <v>47</v>
      </c>
    </row>
    <row r="33" spans="1:1" x14ac:dyDescent="0.25">
      <c r="A33">
        <v>55</v>
      </c>
    </row>
    <row r="34" spans="1:1" x14ac:dyDescent="0.25">
      <c r="A34">
        <v>63</v>
      </c>
    </row>
    <row r="35" spans="1:1" x14ac:dyDescent="0.25">
      <c r="A35">
        <v>42</v>
      </c>
    </row>
    <row r="36" spans="1:1" x14ac:dyDescent="0.25">
      <c r="A36">
        <v>16</v>
      </c>
    </row>
    <row r="37" spans="1:1" x14ac:dyDescent="0.25">
      <c r="A37">
        <v>32</v>
      </c>
    </row>
    <row r="38" spans="1:1" x14ac:dyDescent="0.25">
      <c r="A38">
        <v>19</v>
      </c>
    </row>
    <row r="39" spans="1:1" x14ac:dyDescent="0.25">
      <c r="A39">
        <v>21</v>
      </c>
    </row>
    <row r="40" spans="1:1" x14ac:dyDescent="0.25">
      <c r="A40">
        <v>31</v>
      </c>
    </row>
    <row r="41" spans="1:1" x14ac:dyDescent="0.25">
      <c r="A41">
        <v>34</v>
      </c>
    </row>
    <row r="42" spans="1:1" x14ac:dyDescent="0.25">
      <c r="A42">
        <v>46</v>
      </c>
    </row>
    <row r="43" spans="1:1" x14ac:dyDescent="0.25">
      <c r="A43">
        <v>111</v>
      </c>
    </row>
    <row r="44" spans="1:1" x14ac:dyDescent="0.25">
      <c r="A44">
        <v>35</v>
      </c>
    </row>
    <row r="45" spans="1:1" x14ac:dyDescent="0.25">
      <c r="A45">
        <v>23</v>
      </c>
    </row>
    <row r="46" spans="1:1" x14ac:dyDescent="0.25">
      <c r="A46">
        <v>53</v>
      </c>
    </row>
    <row r="47" spans="1:1" x14ac:dyDescent="0.25">
      <c r="A47">
        <v>69</v>
      </c>
    </row>
    <row r="48" spans="1:1" x14ac:dyDescent="0.25">
      <c r="A48">
        <v>37</v>
      </c>
    </row>
    <row r="49" spans="1:1" x14ac:dyDescent="0.25">
      <c r="A49">
        <v>54</v>
      </c>
    </row>
    <row r="50" spans="1:1" x14ac:dyDescent="0.25">
      <c r="A50">
        <v>22</v>
      </c>
    </row>
    <row r="51" spans="1:1" x14ac:dyDescent="0.25">
      <c r="A51">
        <v>47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3"/>
  <sheetViews>
    <sheetView topLeftCell="A16" workbookViewId="0">
      <selection activeCell="V27" sqref="V27"/>
    </sheetView>
  </sheetViews>
  <sheetFormatPr defaultRowHeight="15" x14ac:dyDescent="0.25"/>
  <sheetData>
    <row r="1" spans="1:22" ht="15.75" thickBot="1" x14ac:dyDescent="0.3">
      <c r="A1" s="26"/>
      <c r="B1" s="27" t="s">
        <v>70</v>
      </c>
      <c r="C1" s="27" t="s">
        <v>71</v>
      </c>
      <c r="D1" s="27" t="s">
        <v>72</v>
      </c>
      <c r="E1" s="27" t="s">
        <v>73</v>
      </c>
      <c r="F1" s="27" t="s">
        <v>74</v>
      </c>
      <c r="G1" s="27" t="s">
        <v>75</v>
      </c>
      <c r="H1" s="27" t="s">
        <v>76</v>
      </c>
      <c r="I1" s="27" t="s">
        <v>77</v>
      </c>
      <c r="J1" s="27" t="s">
        <v>78</v>
      </c>
      <c r="K1" s="27" t="s">
        <v>79</v>
      </c>
      <c r="L1" s="27" t="s">
        <v>80</v>
      </c>
      <c r="M1" s="27" t="s">
        <v>81</v>
      </c>
      <c r="N1" s="27" t="s">
        <v>82</v>
      </c>
      <c r="O1" s="27" t="s">
        <v>83</v>
      </c>
      <c r="P1" s="27" t="s">
        <v>84</v>
      </c>
      <c r="Q1" s="27" t="s">
        <v>85</v>
      </c>
      <c r="R1" s="27" t="s">
        <v>86</v>
      </c>
      <c r="S1" s="27" t="s">
        <v>87</v>
      </c>
      <c r="T1" s="27" t="s">
        <v>88</v>
      </c>
      <c r="U1" s="27" t="s">
        <v>89</v>
      </c>
      <c r="V1" s="27" t="s">
        <v>14</v>
      </c>
    </row>
    <row r="2" spans="1:22" ht="23.25" thickBot="1" x14ac:dyDescent="0.3">
      <c r="A2" s="28" t="s">
        <v>69</v>
      </c>
      <c r="B2" s="29">
        <v>0.33</v>
      </c>
      <c r="C2" s="29">
        <v>0.49</v>
      </c>
      <c r="D2" s="29">
        <v>0.64</v>
      </c>
      <c r="E2" s="29">
        <v>0.71</v>
      </c>
      <c r="F2" s="29">
        <v>0.74</v>
      </c>
      <c r="G2" s="29">
        <v>0.75</v>
      </c>
      <c r="H2" s="29">
        <v>0.82</v>
      </c>
      <c r="I2" s="29">
        <v>0.84</v>
      </c>
      <c r="J2" s="29">
        <v>0.85</v>
      </c>
      <c r="K2" s="29">
        <v>0.85</v>
      </c>
      <c r="L2" s="29">
        <v>0.86</v>
      </c>
      <c r="M2" s="29">
        <v>0.88</v>
      </c>
      <c r="N2" s="29">
        <v>0.88</v>
      </c>
      <c r="O2" s="29">
        <v>0.88</v>
      </c>
      <c r="P2" s="29">
        <v>0.89</v>
      </c>
      <c r="Q2" s="29">
        <v>0.89</v>
      </c>
      <c r="R2" s="29">
        <v>0.91</v>
      </c>
      <c r="S2" s="29">
        <v>0.92</v>
      </c>
      <c r="T2" s="29">
        <v>0.92</v>
      </c>
      <c r="U2" s="29">
        <v>0.92</v>
      </c>
      <c r="V2" s="30">
        <v>0.92900000000000005</v>
      </c>
    </row>
    <row r="3" spans="1:22" ht="23.25" thickBot="1" x14ac:dyDescent="0.3">
      <c r="A3" s="28" t="s">
        <v>90</v>
      </c>
      <c r="B3" s="29">
        <v>0.39</v>
      </c>
      <c r="C3" s="29">
        <v>0.53</v>
      </c>
      <c r="D3" s="29">
        <v>0.64</v>
      </c>
      <c r="E3" s="29">
        <v>0.67</v>
      </c>
      <c r="F3" s="29">
        <v>0.74</v>
      </c>
      <c r="G3" s="29">
        <v>0.78</v>
      </c>
      <c r="H3" s="29">
        <v>0.79</v>
      </c>
      <c r="I3" s="29">
        <v>0.85</v>
      </c>
      <c r="J3" s="29">
        <v>0.89</v>
      </c>
      <c r="K3" s="29">
        <v>0.91</v>
      </c>
      <c r="L3" s="29">
        <v>0.93</v>
      </c>
      <c r="M3" s="29">
        <v>0.95</v>
      </c>
      <c r="N3" s="29">
        <v>0.95</v>
      </c>
      <c r="O3" s="29">
        <v>0.97</v>
      </c>
      <c r="P3" s="29">
        <v>0.97</v>
      </c>
      <c r="Q3" s="29">
        <v>1</v>
      </c>
      <c r="R3" s="29">
        <v>1</v>
      </c>
      <c r="S3" s="29">
        <v>1.02</v>
      </c>
      <c r="T3" s="29">
        <v>1.02</v>
      </c>
      <c r="U3" s="29">
        <v>1.03</v>
      </c>
      <c r="V3" s="30">
        <v>0.92900000000000005</v>
      </c>
    </row>
    <row r="4" spans="1:22" ht="23.25" thickBot="1" x14ac:dyDescent="0.3">
      <c r="A4" s="28" t="s">
        <v>91</v>
      </c>
      <c r="B4" s="29">
        <v>0.36</v>
      </c>
      <c r="C4" s="29">
        <v>0.5</v>
      </c>
      <c r="D4" s="29">
        <v>0.57999999999999996</v>
      </c>
      <c r="E4" s="29">
        <v>0.63</v>
      </c>
      <c r="F4" s="29">
        <v>0.64</v>
      </c>
      <c r="G4" s="29">
        <v>0.67</v>
      </c>
      <c r="H4" s="29">
        <v>0.67</v>
      </c>
      <c r="I4" s="29">
        <v>0.7</v>
      </c>
      <c r="J4" s="29">
        <v>0.7</v>
      </c>
      <c r="K4" s="29">
        <v>0.74</v>
      </c>
      <c r="L4" s="29">
        <v>0.75</v>
      </c>
      <c r="M4" s="29">
        <v>0.75</v>
      </c>
      <c r="N4" s="29">
        <v>0.77</v>
      </c>
      <c r="O4" s="29">
        <v>0.75</v>
      </c>
      <c r="P4" s="29">
        <v>0.77</v>
      </c>
      <c r="Q4" s="29">
        <v>0.78</v>
      </c>
      <c r="R4" s="29">
        <v>0.78</v>
      </c>
      <c r="S4" s="29">
        <v>0.78</v>
      </c>
      <c r="T4" s="29">
        <v>0.78</v>
      </c>
      <c r="U4" s="29">
        <v>0.78</v>
      </c>
      <c r="V4" s="30">
        <v>0.94399999999999995</v>
      </c>
    </row>
    <row r="5" spans="1:22" ht="23.25" thickBot="1" x14ac:dyDescent="0.3">
      <c r="A5" s="28" t="s">
        <v>92</v>
      </c>
      <c r="B5" s="29">
        <v>0.47</v>
      </c>
      <c r="C5" s="29">
        <v>0.57999999999999996</v>
      </c>
      <c r="D5" s="29">
        <v>0.7</v>
      </c>
      <c r="E5" s="29">
        <v>0.77</v>
      </c>
      <c r="F5" s="29">
        <v>0.85</v>
      </c>
      <c r="G5" s="29">
        <v>0.91</v>
      </c>
      <c r="H5" s="29">
        <v>0.93</v>
      </c>
      <c r="I5" s="29">
        <v>0.97</v>
      </c>
      <c r="J5" s="29">
        <v>1</v>
      </c>
      <c r="K5" s="29">
        <v>1.03</v>
      </c>
      <c r="L5" s="29">
        <v>1.1100000000000001</v>
      </c>
      <c r="M5" s="29">
        <v>1.1299999999999999</v>
      </c>
      <c r="N5" s="29">
        <v>1.1399999999999999</v>
      </c>
      <c r="O5" s="29">
        <v>1.1599999999999999</v>
      </c>
      <c r="P5" s="29">
        <v>1.1599999999999999</v>
      </c>
      <c r="Q5" s="29">
        <v>1.18</v>
      </c>
      <c r="R5" s="29">
        <v>1.18</v>
      </c>
      <c r="S5" s="29">
        <v>1.21</v>
      </c>
      <c r="T5" s="29">
        <v>1.23</v>
      </c>
      <c r="U5" s="29">
        <v>1.24</v>
      </c>
      <c r="V5" s="30">
        <v>0.96399999999999997</v>
      </c>
    </row>
    <row r="6" spans="1:22" ht="23.25" thickBot="1" x14ac:dyDescent="0.3">
      <c r="A6" s="28" t="s">
        <v>93</v>
      </c>
      <c r="B6" s="29">
        <v>0.36</v>
      </c>
      <c r="C6" s="29">
        <v>0.65</v>
      </c>
      <c r="D6" s="29">
        <v>0.74</v>
      </c>
      <c r="E6" s="29">
        <v>0.75</v>
      </c>
      <c r="F6" s="29">
        <v>0.91</v>
      </c>
      <c r="G6" s="29">
        <v>0.92</v>
      </c>
      <c r="H6" s="29">
        <v>0.92</v>
      </c>
      <c r="I6" s="29">
        <v>0.92</v>
      </c>
      <c r="J6" s="29">
        <v>0.92</v>
      </c>
      <c r="K6" s="29">
        <v>0.93</v>
      </c>
      <c r="L6" s="29">
        <v>0.92</v>
      </c>
      <c r="M6" s="29">
        <v>0.95</v>
      </c>
      <c r="N6" s="29">
        <v>0.96</v>
      </c>
      <c r="O6" s="29">
        <v>0.96</v>
      </c>
      <c r="P6" s="29">
        <v>0.97</v>
      </c>
      <c r="Q6" s="29">
        <v>0.97</v>
      </c>
      <c r="R6" s="29">
        <v>0.99</v>
      </c>
      <c r="S6" s="29">
        <v>0.99</v>
      </c>
      <c r="T6" s="29">
        <v>1</v>
      </c>
      <c r="U6" s="29">
        <v>1</v>
      </c>
      <c r="V6" s="30">
        <v>0.96499999999999997</v>
      </c>
    </row>
    <row r="7" spans="1:22" ht="23.25" thickBot="1" x14ac:dyDescent="0.3">
      <c r="A7" s="28" t="s">
        <v>94</v>
      </c>
      <c r="B7" s="29">
        <v>0.33</v>
      </c>
      <c r="C7" s="29">
        <v>0.45</v>
      </c>
      <c r="D7" s="29">
        <v>0.52</v>
      </c>
      <c r="E7" s="29">
        <v>0.61</v>
      </c>
      <c r="F7" s="29">
        <v>0.68</v>
      </c>
      <c r="G7" s="29">
        <v>0.72</v>
      </c>
      <c r="H7" s="29">
        <v>0.77</v>
      </c>
      <c r="I7" s="29">
        <v>0.78</v>
      </c>
      <c r="J7" s="29">
        <v>0.81</v>
      </c>
      <c r="K7" s="29">
        <v>0.84</v>
      </c>
      <c r="L7" s="29">
        <v>0.84</v>
      </c>
      <c r="M7" s="29">
        <v>0.85</v>
      </c>
      <c r="N7" s="29">
        <v>0.85</v>
      </c>
      <c r="O7" s="29">
        <v>0.86</v>
      </c>
      <c r="P7" s="29">
        <v>0.86</v>
      </c>
      <c r="Q7" s="29">
        <v>0.89</v>
      </c>
      <c r="R7" s="29">
        <v>0.89</v>
      </c>
      <c r="S7" s="29">
        <v>0.89</v>
      </c>
      <c r="T7" s="29">
        <v>0.89</v>
      </c>
      <c r="U7" s="29">
        <v>0.91</v>
      </c>
      <c r="V7" s="30">
        <v>0.99099999999999999</v>
      </c>
    </row>
    <row r="8" spans="1:22" ht="23.25" thickBot="1" x14ac:dyDescent="0.3">
      <c r="A8" s="28" t="s">
        <v>95</v>
      </c>
      <c r="B8" s="29">
        <v>0.43</v>
      </c>
      <c r="C8" s="29">
        <v>0.63</v>
      </c>
      <c r="D8" s="29">
        <v>0.75</v>
      </c>
      <c r="E8" s="29">
        <v>0.84</v>
      </c>
      <c r="F8" s="29">
        <v>0.95</v>
      </c>
      <c r="G8" s="29">
        <v>0.99</v>
      </c>
      <c r="H8" s="29">
        <v>1.03</v>
      </c>
      <c r="I8" s="29">
        <v>1.1000000000000001</v>
      </c>
      <c r="J8" s="29">
        <v>1.1100000000000001</v>
      </c>
      <c r="K8" s="29">
        <v>1.1100000000000001</v>
      </c>
      <c r="L8" s="29">
        <v>1.1599999999999999</v>
      </c>
      <c r="M8" s="29">
        <v>1.21</v>
      </c>
      <c r="N8" s="29">
        <v>1.21</v>
      </c>
      <c r="O8" s="29">
        <v>1.23</v>
      </c>
      <c r="P8" s="29">
        <v>1.24</v>
      </c>
      <c r="Q8" s="29">
        <v>1.24</v>
      </c>
      <c r="R8" s="29">
        <v>1.24</v>
      </c>
      <c r="S8" s="29">
        <v>1.24</v>
      </c>
      <c r="T8" s="29">
        <v>1.25</v>
      </c>
      <c r="U8" s="29">
        <v>1.27</v>
      </c>
      <c r="V8" s="30">
        <v>0.99099999999999999</v>
      </c>
    </row>
    <row r="9" spans="1:22" ht="23.25" thickBot="1" x14ac:dyDescent="0.3">
      <c r="A9" s="28" t="s">
        <v>96</v>
      </c>
      <c r="B9" s="29">
        <v>0.42</v>
      </c>
      <c r="C9" s="29">
        <v>0.56999999999999995</v>
      </c>
      <c r="D9" s="29">
        <v>0.72</v>
      </c>
      <c r="E9" s="29">
        <v>0.81</v>
      </c>
      <c r="F9" s="29">
        <v>0.88</v>
      </c>
      <c r="G9" s="29">
        <v>0.89</v>
      </c>
      <c r="H9" s="29">
        <v>0.91</v>
      </c>
      <c r="I9" s="29">
        <v>0.91</v>
      </c>
      <c r="J9" s="29">
        <v>0.92</v>
      </c>
      <c r="K9" s="29">
        <v>0.92</v>
      </c>
      <c r="L9" s="29">
        <v>0.93</v>
      </c>
      <c r="M9" s="29">
        <v>0.95</v>
      </c>
      <c r="N9" s="29">
        <v>0.97</v>
      </c>
      <c r="O9" s="29">
        <v>0.97</v>
      </c>
      <c r="P9" s="29">
        <v>0.97</v>
      </c>
      <c r="Q9" s="29">
        <v>0.99</v>
      </c>
      <c r="R9" s="29">
        <v>0.99</v>
      </c>
      <c r="S9" s="29">
        <v>1</v>
      </c>
      <c r="T9" s="29">
        <v>1</v>
      </c>
      <c r="U9" s="29">
        <v>1</v>
      </c>
      <c r="V9" s="30">
        <v>0.99099999999999999</v>
      </c>
    </row>
    <row r="10" spans="1:22" ht="23.25" thickBot="1" x14ac:dyDescent="0.3">
      <c r="A10" s="28" t="s">
        <v>97</v>
      </c>
      <c r="B10" s="29">
        <v>0.28999999999999998</v>
      </c>
      <c r="C10" s="29">
        <v>0.53</v>
      </c>
      <c r="D10" s="29">
        <v>0.61</v>
      </c>
      <c r="E10" s="29">
        <v>0.68</v>
      </c>
      <c r="F10" s="29">
        <v>0.78</v>
      </c>
      <c r="G10" s="29">
        <v>0.86</v>
      </c>
      <c r="H10" s="29">
        <v>0.92</v>
      </c>
      <c r="I10" s="29">
        <v>0.96</v>
      </c>
      <c r="J10" s="29">
        <v>0.99</v>
      </c>
      <c r="K10" s="29">
        <v>1.02</v>
      </c>
      <c r="L10" s="29">
        <v>1.04</v>
      </c>
      <c r="M10" s="29">
        <v>1.06</v>
      </c>
      <c r="N10" s="29">
        <v>1.06</v>
      </c>
      <c r="O10" s="29">
        <v>1.07</v>
      </c>
      <c r="P10" s="29">
        <v>1.0900000000000001</v>
      </c>
      <c r="Q10" s="29">
        <v>1.1100000000000001</v>
      </c>
      <c r="R10" s="29">
        <v>1.1299999999999999</v>
      </c>
      <c r="S10" s="29">
        <v>1.1399999999999999</v>
      </c>
      <c r="T10" s="29">
        <v>1.1399999999999999</v>
      </c>
      <c r="U10" s="29">
        <v>1.1599999999999999</v>
      </c>
      <c r="V10" s="30">
        <v>1.0069999999999999</v>
      </c>
    </row>
    <row r="11" spans="1:22" ht="23.25" thickBot="1" x14ac:dyDescent="0.3">
      <c r="A11" s="28" t="s">
        <v>98</v>
      </c>
      <c r="B11" s="29">
        <v>0.32</v>
      </c>
      <c r="C11" s="29">
        <v>0.49</v>
      </c>
      <c r="D11" s="29">
        <v>0.57999999999999996</v>
      </c>
      <c r="E11" s="29">
        <v>0.65</v>
      </c>
      <c r="F11" s="29">
        <v>0.74</v>
      </c>
      <c r="G11" s="29">
        <v>0.81</v>
      </c>
      <c r="H11" s="29">
        <v>0.88</v>
      </c>
      <c r="I11" s="29">
        <v>1</v>
      </c>
      <c r="J11" s="29">
        <v>1.04</v>
      </c>
      <c r="K11" s="29">
        <v>1.07</v>
      </c>
      <c r="L11" s="29">
        <v>1.1100000000000001</v>
      </c>
      <c r="M11" s="29">
        <v>1.17</v>
      </c>
      <c r="N11" s="29">
        <v>1.17</v>
      </c>
      <c r="O11" s="29">
        <v>1.18</v>
      </c>
      <c r="P11" s="29">
        <v>1.21</v>
      </c>
      <c r="Q11" s="29">
        <v>1.23</v>
      </c>
      <c r="R11" s="29">
        <v>1.25</v>
      </c>
      <c r="S11" s="29">
        <v>1.27</v>
      </c>
      <c r="T11" s="29">
        <v>1.27</v>
      </c>
      <c r="U11" s="29">
        <v>1.28</v>
      </c>
      <c r="V11" s="30">
        <v>1.002</v>
      </c>
    </row>
    <row r="12" spans="1:22" ht="23.25" thickBot="1" x14ac:dyDescent="0.3">
      <c r="A12" s="28" t="s">
        <v>99</v>
      </c>
      <c r="B12" s="29">
        <v>0.46</v>
      </c>
      <c r="C12" s="29">
        <v>0.56000000000000005</v>
      </c>
      <c r="D12" s="29">
        <v>0.64</v>
      </c>
      <c r="E12" s="29">
        <v>0.71</v>
      </c>
      <c r="F12" s="29">
        <v>0.81</v>
      </c>
      <c r="G12" s="29">
        <v>0.91</v>
      </c>
      <c r="H12" s="29">
        <v>1.02</v>
      </c>
      <c r="I12" s="29">
        <v>1.06</v>
      </c>
      <c r="J12" s="29">
        <v>1.0900000000000001</v>
      </c>
      <c r="K12" s="29">
        <v>1.1299999999999999</v>
      </c>
      <c r="L12" s="29">
        <v>1.1299999999999999</v>
      </c>
      <c r="M12" s="29">
        <v>1.1399999999999999</v>
      </c>
      <c r="N12" s="29">
        <v>1.17</v>
      </c>
      <c r="O12" s="29">
        <v>1.18</v>
      </c>
      <c r="P12" s="29">
        <v>1.2</v>
      </c>
      <c r="Q12" s="29">
        <v>1.21</v>
      </c>
      <c r="R12" s="29">
        <v>1.24</v>
      </c>
      <c r="S12" s="29">
        <v>1.27</v>
      </c>
      <c r="T12" s="29">
        <v>1.28</v>
      </c>
      <c r="U12" s="29">
        <v>1.28</v>
      </c>
      <c r="V12" s="30">
        <v>1.028</v>
      </c>
    </row>
    <row r="13" spans="1:22" ht="23.25" thickBot="1" x14ac:dyDescent="0.3">
      <c r="A13" s="28" t="s">
        <v>100</v>
      </c>
      <c r="B13" s="29">
        <v>0.39</v>
      </c>
      <c r="C13" s="29">
        <v>0.54</v>
      </c>
      <c r="D13" s="29">
        <v>0.74</v>
      </c>
      <c r="E13" s="29">
        <v>0.93</v>
      </c>
      <c r="F13" s="29">
        <v>1.02</v>
      </c>
      <c r="G13" s="29">
        <v>1.06</v>
      </c>
      <c r="H13" s="29">
        <v>1.0900000000000001</v>
      </c>
      <c r="I13" s="29">
        <v>1.17</v>
      </c>
      <c r="J13" s="29">
        <v>1.2</v>
      </c>
      <c r="K13" s="29">
        <v>1.2</v>
      </c>
      <c r="L13" s="29">
        <v>1.23</v>
      </c>
      <c r="M13" s="29">
        <v>1.25</v>
      </c>
      <c r="N13" s="29">
        <v>1.24</v>
      </c>
      <c r="O13" s="29">
        <v>1.25</v>
      </c>
      <c r="P13" s="29">
        <v>1.25</v>
      </c>
      <c r="Q13" s="29">
        <v>1.27</v>
      </c>
      <c r="R13" s="29">
        <v>1.27</v>
      </c>
      <c r="S13" s="29">
        <v>1.27</v>
      </c>
      <c r="T13" s="29">
        <v>1.28</v>
      </c>
      <c r="U13" s="29">
        <v>1.3</v>
      </c>
      <c r="V13" s="30">
        <v>1.0309999999999999</v>
      </c>
    </row>
    <row r="14" spans="1:22" ht="23.25" thickBot="1" x14ac:dyDescent="0.3">
      <c r="A14" s="28" t="s">
        <v>101</v>
      </c>
      <c r="B14" s="29">
        <v>0.36</v>
      </c>
      <c r="C14" s="29">
        <v>0.5</v>
      </c>
      <c r="D14" s="29">
        <v>0.57999999999999996</v>
      </c>
      <c r="E14" s="29">
        <v>0.68</v>
      </c>
      <c r="F14" s="29">
        <v>0.78</v>
      </c>
      <c r="G14" s="29">
        <v>0.86</v>
      </c>
      <c r="H14" s="29">
        <v>0.93</v>
      </c>
      <c r="I14" s="29">
        <v>1.02</v>
      </c>
      <c r="J14" s="29">
        <v>1.04</v>
      </c>
      <c r="K14" s="29">
        <v>1.04</v>
      </c>
      <c r="L14" s="29">
        <v>1.07</v>
      </c>
      <c r="M14" s="29">
        <v>1.0900000000000001</v>
      </c>
      <c r="N14" s="29">
        <v>1.1000000000000001</v>
      </c>
      <c r="O14" s="29">
        <v>1.1299999999999999</v>
      </c>
      <c r="P14" s="29">
        <v>1.1399999999999999</v>
      </c>
      <c r="Q14" s="29">
        <v>1.1599999999999999</v>
      </c>
      <c r="R14" s="29">
        <v>1.1599999999999999</v>
      </c>
      <c r="S14" s="29">
        <v>1.17</v>
      </c>
      <c r="T14" s="29">
        <v>1.17</v>
      </c>
      <c r="U14" s="29">
        <v>1.18</v>
      </c>
      <c r="V14" s="30">
        <v>1.028</v>
      </c>
    </row>
    <row r="15" spans="1:22" ht="23.25" thickBot="1" x14ac:dyDescent="0.3">
      <c r="A15" s="28" t="s">
        <v>102</v>
      </c>
      <c r="B15" s="29">
        <v>0.42</v>
      </c>
      <c r="C15" s="29">
        <v>0.57999999999999996</v>
      </c>
      <c r="D15" s="29">
        <v>0.75</v>
      </c>
      <c r="E15" s="29">
        <v>0.85</v>
      </c>
      <c r="F15" s="29">
        <v>0.91</v>
      </c>
      <c r="G15" s="29">
        <v>0.96</v>
      </c>
      <c r="H15" s="29">
        <v>1.04</v>
      </c>
      <c r="I15" s="29">
        <v>1.06</v>
      </c>
      <c r="J15" s="29">
        <v>1.1000000000000001</v>
      </c>
      <c r="K15" s="29">
        <v>1.1100000000000001</v>
      </c>
      <c r="L15" s="29">
        <v>1.1299999999999999</v>
      </c>
      <c r="M15" s="29">
        <v>1.1299999999999999</v>
      </c>
      <c r="N15" s="29">
        <v>1.1399999999999999</v>
      </c>
      <c r="O15" s="29">
        <v>1.1599999999999999</v>
      </c>
      <c r="P15" s="29">
        <v>1.17</v>
      </c>
      <c r="Q15" s="29">
        <v>1.27</v>
      </c>
      <c r="R15" s="29">
        <v>1.3</v>
      </c>
      <c r="S15" s="29">
        <v>1.3</v>
      </c>
      <c r="T15" s="29">
        <v>1.31</v>
      </c>
      <c r="U15" s="29">
        <v>1.28</v>
      </c>
      <c r="V15" s="30">
        <v>1.016</v>
      </c>
    </row>
    <row r="16" spans="1:22" ht="23.25" thickBot="1" x14ac:dyDescent="0.3">
      <c r="A16" s="28" t="s">
        <v>103</v>
      </c>
      <c r="B16" s="29">
        <v>0.36</v>
      </c>
      <c r="C16" s="29">
        <v>0.5</v>
      </c>
      <c r="D16" s="29">
        <v>0.64</v>
      </c>
      <c r="E16" s="29">
        <v>0.75</v>
      </c>
      <c r="F16" s="29">
        <v>0.82</v>
      </c>
      <c r="G16" s="29">
        <v>0.89</v>
      </c>
      <c r="H16" s="29">
        <v>0.96</v>
      </c>
      <c r="I16" s="29">
        <v>0.97</v>
      </c>
      <c r="J16" s="29">
        <v>1</v>
      </c>
      <c r="K16" s="29">
        <v>1.02</v>
      </c>
      <c r="L16" s="29">
        <v>1.04</v>
      </c>
      <c r="M16" s="29">
        <v>1.06</v>
      </c>
      <c r="N16" s="29">
        <v>1.07</v>
      </c>
      <c r="O16" s="29">
        <v>1.07</v>
      </c>
      <c r="P16" s="29">
        <v>1.07</v>
      </c>
      <c r="Q16" s="29">
        <v>1.0900000000000001</v>
      </c>
      <c r="R16" s="29">
        <v>1.07</v>
      </c>
      <c r="S16" s="29">
        <v>1.0900000000000001</v>
      </c>
      <c r="T16" s="29">
        <v>1.0900000000000001</v>
      </c>
      <c r="U16" s="29">
        <v>1.1000000000000001</v>
      </c>
      <c r="V16" s="30">
        <v>1.026</v>
      </c>
    </row>
    <row r="21" spans="3:18" ht="15.75" thickBot="1" x14ac:dyDescent="0.3"/>
    <row r="22" spans="3:18" ht="23.25" thickBot="1" x14ac:dyDescent="0.3">
      <c r="C22" s="26"/>
      <c r="D22" s="28" t="s">
        <v>69</v>
      </c>
      <c r="E22" s="28" t="s">
        <v>90</v>
      </c>
      <c r="F22" s="28" t="s">
        <v>91</v>
      </c>
      <c r="G22" s="28" t="s">
        <v>92</v>
      </c>
      <c r="H22" s="28" t="s">
        <v>93</v>
      </c>
      <c r="I22" s="28" t="s">
        <v>94</v>
      </c>
      <c r="J22" s="28" t="s">
        <v>95</v>
      </c>
      <c r="K22" s="28" t="s">
        <v>96</v>
      </c>
      <c r="L22" s="28" t="s">
        <v>97</v>
      </c>
      <c r="M22" s="28" t="s">
        <v>98</v>
      </c>
      <c r="N22" s="28" t="s">
        <v>99</v>
      </c>
      <c r="O22" s="28" t="s">
        <v>100</v>
      </c>
      <c r="P22" s="28" t="s">
        <v>101</v>
      </c>
      <c r="Q22" s="28" t="s">
        <v>102</v>
      </c>
      <c r="R22" s="28" t="s">
        <v>103</v>
      </c>
    </row>
    <row r="23" spans="3:18" ht="15.75" thickBot="1" x14ac:dyDescent="0.3">
      <c r="C23" s="27" t="s">
        <v>70</v>
      </c>
      <c r="D23" s="29">
        <v>0.33</v>
      </c>
      <c r="E23" s="29">
        <v>0.39</v>
      </c>
      <c r="F23" s="29">
        <v>0.36</v>
      </c>
      <c r="G23" s="29">
        <v>0.47</v>
      </c>
      <c r="H23" s="29">
        <v>0.36</v>
      </c>
      <c r="I23" s="29">
        <v>0.33</v>
      </c>
      <c r="J23" s="29">
        <v>0.43</v>
      </c>
      <c r="K23" s="29">
        <v>0.42</v>
      </c>
      <c r="L23" s="29">
        <v>0.28999999999999998</v>
      </c>
      <c r="M23" s="29">
        <v>0.32</v>
      </c>
      <c r="N23" s="29">
        <v>0.46</v>
      </c>
      <c r="O23" s="29">
        <v>0.39</v>
      </c>
      <c r="P23" s="29">
        <v>0.36</v>
      </c>
      <c r="Q23" s="29">
        <v>0.42</v>
      </c>
      <c r="R23" s="29">
        <v>0.36</v>
      </c>
    </row>
    <row r="24" spans="3:18" ht="15.75" thickBot="1" x14ac:dyDescent="0.3">
      <c r="C24" s="27" t="s">
        <v>71</v>
      </c>
      <c r="D24" s="29">
        <v>0.49</v>
      </c>
      <c r="E24" s="29">
        <v>0.53</v>
      </c>
      <c r="F24" s="29">
        <v>0.5</v>
      </c>
      <c r="G24" s="29">
        <v>0.57999999999999996</v>
      </c>
      <c r="H24" s="29">
        <v>0.65</v>
      </c>
      <c r="I24" s="29">
        <v>0.45</v>
      </c>
      <c r="J24" s="29">
        <v>0.63</v>
      </c>
      <c r="K24" s="29">
        <v>0.56999999999999995</v>
      </c>
      <c r="L24" s="29">
        <v>0.53</v>
      </c>
      <c r="M24" s="29">
        <v>0.49</v>
      </c>
      <c r="N24" s="29">
        <v>0.56000000000000005</v>
      </c>
      <c r="O24" s="29">
        <v>0.54</v>
      </c>
      <c r="P24" s="29">
        <v>0.5</v>
      </c>
      <c r="Q24" s="29">
        <v>0.57999999999999996</v>
      </c>
      <c r="R24" s="29">
        <v>0.5</v>
      </c>
    </row>
    <row r="25" spans="3:18" ht="15.75" thickBot="1" x14ac:dyDescent="0.3">
      <c r="C25" s="27" t="s">
        <v>72</v>
      </c>
      <c r="D25" s="29">
        <v>0.64</v>
      </c>
      <c r="E25" s="29">
        <v>0.64</v>
      </c>
      <c r="F25" s="29">
        <v>0.57999999999999996</v>
      </c>
      <c r="G25" s="29">
        <v>0.7</v>
      </c>
      <c r="H25" s="29">
        <v>0.74</v>
      </c>
      <c r="I25" s="29">
        <v>0.52</v>
      </c>
      <c r="J25" s="29">
        <v>0.75</v>
      </c>
      <c r="K25" s="29">
        <v>0.72</v>
      </c>
      <c r="L25" s="29">
        <v>0.61</v>
      </c>
      <c r="M25" s="29">
        <v>0.57999999999999996</v>
      </c>
      <c r="N25" s="29">
        <v>0.64</v>
      </c>
      <c r="O25" s="29">
        <v>0.74</v>
      </c>
      <c r="P25" s="29">
        <v>0.57999999999999996</v>
      </c>
      <c r="Q25" s="29">
        <v>0.75</v>
      </c>
      <c r="R25" s="29">
        <v>0.64</v>
      </c>
    </row>
    <row r="26" spans="3:18" ht="15.75" thickBot="1" x14ac:dyDescent="0.3">
      <c r="C26" s="27" t="s">
        <v>73</v>
      </c>
      <c r="D26" s="29">
        <v>0.71</v>
      </c>
      <c r="E26" s="29">
        <v>0.67</v>
      </c>
      <c r="F26" s="29">
        <v>0.63</v>
      </c>
      <c r="G26" s="29">
        <v>0.77</v>
      </c>
      <c r="H26" s="29">
        <v>0.75</v>
      </c>
      <c r="I26" s="29">
        <v>0.61</v>
      </c>
      <c r="J26" s="29">
        <v>0.84</v>
      </c>
      <c r="K26" s="29">
        <v>0.81</v>
      </c>
      <c r="L26" s="29">
        <v>0.68</v>
      </c>
      <c r="M26" s="29">
        <v>0.65</v>
      </c>
      <c r="N26" s="29">
        <v>0.71</v>
      </c>
      <c r="O26" s="29">
        <v>0.93</v>
      </c>
      <c r="P26" s="29">
        <v>0.68</v>
      </c>
      <c r="Q26" s="29">
        <v>0.85</v>
      </c>
      <c r="R26" s="29">
        <v>0.75</v>
      </c>
    </row>
    <row r="27" spans="3:18" ht="15.75" thickBot="1" x14ac:dyDescent="0.3">
      <c r="C27" s="27" t="s">
        <v>74</v>
      </c>
      <c r="D27" s="29">
        <v>0.74</v>
      </c>
      <c r="E27" s="29">
        <v>0.74</v>
      </c>
      <c r="F27" s="29">
        <v>0.64</v>
      </c>
      <c r="G27" s="29">
        <v>0.85</v>
      </c>
      <c r="H27" s="29">
        <v>0.91</v>
      </c>
      <c r="I27" s="29">
        <v>0.68</v>
      </c>
      <c r="J27" s="29">
        <v>0.95</v>
      </c>
      <c r="K27" s="29">
        <v>0.88</v>
      </c>
      <c r="L27" s="29">
        <v>0.78</v>
      </c>
      <c r="M27" s="29">
        <v>0.74</v>
      </c>
      <c r="N27" s="29">
        <v>0.81</v>
      </c>
      <c r="O27" s="29">
        <v>1.02</v>
      </c>
      <c r="P27" s="29">
        <v>0.78</v>
      </c>
      <c r="Q27" s="29">
        <v>0.91</v>
      </c>
      <c r="R27" s="29">
        <v>0.82</v>
      </c>
    </row>
    <row r="28" spans="3:18" ht="15.75" thickBot="1" x14ac:dyDescent="0.3">
      <c r="C28" s="27" t="s">
        <v>75</v>
      </c>
      <c r="D28" s="29">
        <v>0.75</v>
      </c>
      <c r="E28" s="29">
        <v>0.78</v>
      </c>
      <c r="F28" s="29">
        <v>0.67</v>
      </c>
      <c r="G28" s="29">
        <v>0.91</v>
      </c>
      <c r="H28" s="29">
        <v>0.92</v>
      </c>
      <c r="I28" s="29">
        <v>0.72</v>
      </c>
      <c r="J28" s="29">
        <v>0.99</v>
      </c>
      <c r="K28" s="29">
        <v>0.89</v>
      </c>
      <c r="L28" s="29">
        <v>0.86</v>
      </c>
      <c r="M28" s="29">
        <v>0.81</v>
      </c>
      <c r="N28" s="29">
        <v>0.91</v>
      </c>
      <c r="O28" s="29">
        <v>1.06</v>
      </c>
      <c r="P28" s="29">
        <v>0.86</v>
      </c>
      <c r="Q28" s="29">
        <v>0.96</v>
      </c>
      <c r="R28" s="29">
        <v>0.89</v>
      </c>
    </row>
    <row r="29" spans="3:18" ht="15.75" thickBot="1" x14ac:dyDescent="0.3">
      <c r="C29" s="27" t="s">
        <v>76</v>
      </c>
      <c r="D29" s="29">
        <v>0.82</v>
      </c>
      <c r="E29" s="29">
        <v>0.79</v>
      </c>
      <c r="F29" s="29">
        <v>0.67</v>
      </c>
      <c r="G29" s="29">
        <v>0.93</v>
      </c>
      <c r="H29" s="29">
        <v>0.92</v>
      </c>
      <c r="I29" s="29">
        <v>0.77</v>
      </c>
      <c r="J29" s="29">
        <v>1.03</v>
      </c>
      <c r="K29" s="29">
        <v>0.91</v>
      </c>
      <c r="L29" s="29">
        <v>0.92</v>
      </c>
      <c r="M29" s="29">
        <v>0.88</v>
      </c>
      <c r="N29" s="29">
        <v>1.02</v>
      </c>
      <c r="O29" s="29">
        <v>1.0900000000000001</v>
      </c>
      <c r="P29" s="29">
        <v>0.93</v>
      </c>
      <c r="Q29" s="29">
        <v>1.04</v>
      </c>
      <c r="R29" s="29">
        <v>0.96</v>
      </c>
    </row>
    <row r="30" spans="3:18" ht="15.75" thickBot="1" x14ac:dyDescent="0.3">
      <c r="C30" s="27" t="s">
        <v>77</v>
      </c>
      <c r="D30" s="29">
        <v>0.84</v>
      </c>
      <c r="E30" s="29">
        <v>0.85</v>
      </c>
      <c r="F30" s="29">
        <v>0.7</v>
      </c>
      <c r="G30" s="29">
        <v>0.97</v>
      </c>
      <c r="H30" s="29">
        <v>0.92</v>
      </c>
      <c r="I30" s="29">
        <v>0.78</v>
      </c>
      <c r="J30" s="29">
        <v>1.1000000000000001</v>
      </c>
      <c r="K30" s="29">
        <v>0.91</v>
      </c>
      <c r="L30" s="29">
        <v>0.96</v>
      </c>
      <c r="M30" s="29">
        <v>1</v>
      </c>
      <c r="N30" s="29">
        <v>1.06</v>
      </c>
      <c r="O30" s="29">
        <v>1.17</v>
      </c>
      <c r="P30" s="29">
        <v>1.02</v>
      </c>
      <c r="Q30" s="29">
        <v>1.06</v>
      </c>
      <c r="R30" s="29">
        <v>0.97</v>
      </c>
    </row>
    <row r="31" spans="3:18" ht="15.75" thickBot="1" x14ac:dyDescent="0.3">
      <c r="C31" s="27" t="s">
        <v>78</v>
      </c>
      <c r="D31" s="29">
        <v>0.85</v>
      </c>
      <c r="E31" s="29">
        <v>0.89</v>
      </c>
      <c r="F31" s="29">
        <v>0.7</v>
      </c>
      <c r="G31" s="29">
        <v>1</v>
      </c>
      <c r="H31" s="29">
        <v>0.92</v>
      </c>
      <c r="I31" s="29">
        <v>0.81</v>
      </c>
      <c r="J31" s="29">
        <v>1.1100000000000001</v>
      </c>
      <c r="K31" s="29">
        <v>0.92</v>
      </c>
      <c r="L31" s="29">
        <v>0.99</v>
      </c>
      <c r="M31" s="29">
        <v>1.04</v>
      </c>
      <c r="N31" s="29">
        <v>1.0900000000000001</v>
      </c>
      <c r="O31" s="29">
        <v>1.2</v>
      </c>
      <c r="P31" s="29">
        <v>1.04</v>
      </c>
      <c r="Q31" s="29">
        <v>1.1000000000000001</v>
      </c>
      <c r="R31" s="29">
        <v>1</v>
      </c>
    </row>
    <row r="32" spans="3:18" ht="15.75" thickBot="1" x14ac:dyDescent="0.3">
      <c r="C32" s="27" t="s">
        <v>79</v>
      </c>
      <c r="D32" s="29">
        <v>0.85</v>
      </c>
      <c r="E32" s="29">
        <v>0.91</v>
      </c>
      <c r="F32" s="29">
        <v>0.74</v>
      </c>
      <c r="G32" s="29">
        <v>1.03</v>
      </c>
      <c r="H32" s="29">
        <v>0.93</v>
      </c>
      <c r="I32" s="29">
        <v>0.84</v>
      </c>
      <c r="J32" s="29">
        <v>1.1100000000000001</v>
      </c>
      <c r="K32" s="29">
        <v>0.92</v>
      </c>
      <c r="L32" s="29">
        <v>1.02</v>
      </c>
      <c r="M32" s="29">
        <v>1.07</v>
      </c>
      <c r="N32" s="29">
        <v>1.1299999999999999</v>
      </c>
      <c r="O32" s="29">
        <v>1.2</v>
      </c>
      <c r="P32" s="29">
        <v>1.04</v>
      </c>
      <c r="Q32" s="29">
        <v>1.1100000000000001</v>
      </c>
      <c r="R32" s="29">
        <v>1.02</v>
      </c>
    </row>
    <row r="33" spans="3:18" ht="15.75" thickBot="1" x14ac:dyDescent="0.3">
      <c r="C33" s="27" t="s">
        <v>80</v>
      </c>
      <c r="D33" s="29">
        <v>0.86</v>
      </c>
      <c r="E33" s="29">
        <v>0.93</v>
      </c>
      <c r="F33" s="29">
        <v>0.75</v>
      </c>
      <c r="G33" s="29">
        <v>1.1100000000000001</v>
      </c>
      <c r="H33" s="29">
        <v>0.92</v>
      </c>
      <c r="I33" s="29">
        <v>0.84</v>
      </c>
      <c r="J33" s="29">
        <v>1.1599999999999999</v>
      </c>
      <c r="K33" s="29">
        <v>0.93</v>
      </c>
      <c r="L33" s="29">
        <v>1.04</v>
      </c>
      <c r="M33" s="29">
        <v>1.1100000000000001</v>
      </c>
      <c r="N33" s="29">
        <v>1.1299999999999999</v>
      </c>
      <c r="O33" s="29">
        <v>1.23</v>
      </c>
      <c r="P33" s="29">
        <v>1.07</v>
      </c>
      <c r="Q33" s="29">
        <v>1.1299999999999999</v>
      </c>
      <c r="R33" s="29">
        <v>1.04</v>
      </c>
    </row>
    <row r="34" spans="3:18" ht="15.75" thickBot="1" x14ac:dyDescent="0.3">
      <c r="C34" s="27" t="s">
        <v>81</v>
      </c>
      <c r="D34" s="29">
        <v>0.88</v>
      </c>
      <c r="E34" s="29">
        <v>0.95</v>
      </c>
      <c r="F34" s="29">
        <v>0.75</v>
      </c>
      <c r="G34" s="29">
        <v>1.1299999999999999</v>
      </c>
      <c r="H34" s="29">
        <v>0.95</v>
      </c>
      <c r="I34" s="29">
        <v>0.85</v>
      </c>
      <c r="J34" s="29">
        <v>1.21</v>
      </c>
      <c r="K34" s="29">
        <v>0.95</v>
      </c>
      <c r="L34" s="29">
        <v>1.06</v>
      </c>
      <c r="M34" s="29">
        <v>1.17</v>
      </c>
      <c r="N34" s="29">
        <v>1.1399999999999999</v>
      </c>
      <c r="O34" s="29">
        <v>1.25</v>
      </c>
      <c r="P34" s="29">
        <v>1.0900000000000001</v>
      </c>
      <c r="Q34" s="29">
        <v>1.1299999999999999</v>
      </c>
      <c r="R34" s="29">
        <v>1.06</v>
      </c>
    </row>
    <row r="35" spans="3:18" ht="15.75" thickBot="1" x14ac:dyDescent="0.3">
      <c r="C35" s="27" t="s">
        <v>82</v>
      </c>
      <c r="D35" s="29">
        <v>0.88</v>
      </c>
      <c r="E35" s="29">
        <v>0.95</v>
      </c>
      <c r="F35" s="29">
        <v>0.77</v>
      </c>
      <c r="G35" s="29">
        <v>1.1399999999999999</v>
      </c>
      <c r="H35" s="29">
        <v>0.96</v>
      </c>
      <c r="I35" s="29">
        <v>0.85</v>
      </c>
      <c r="J35" s="29">
        <v>1.21</v>
      </c>
      <c r="K35" s="29">
        <v>0.97</v>
      </c>
      <c r="L35" s="29">
        <v>1.06</v>
      </c>
      <c r="M35" s="29">
        <v>1.17</v>
      </c>
      <c r="N35" s="29">
        <v>1.17</v>
      </c>
      <c r="O35" s="29">
        <v>1.24</v>
      </c>
      <c r="P35" s="29">
        <v>1.1000000000000001</v>
      </c>
      <c r="Q35" s="29">
        <v>1.1399999999999999</v>
      </c>
      <c r="R35" s="29">
        <v>1.07</v>
      </c>
    </row>
    <row r="36" spans="3:18" ht="15.75" thickBot="1" x14ac:dyDescent="0.3">
      <c r="C36" s="27" t="s">
        <v>83</v>
      </c>
      <c r="D36" s="29">
        <v>0.88</v>
      </c>
      <c r="E36" s="29">
        <v>0.97</v>
      </c>
      <c r="F36" s="29">
        <v>0.75</v>
      </c>
      <c r="G36" s="29">
        <v>1.1599999999999999</v>
      </c>
      <c r="H36" s="29">
        <v>0.96</v>
      </c>
      <c r="I36" s="29">
        <v>0.86</v>
      </c>
      <c r="J36" s="29">
        <v>1.23</v>
      </c>
      <c r="K36" s="29">
        <v>0.97</v>
      </c>
      <c r="L36" s="29">
        <v>1.07</v>
      </c>
      <c r="M36" s="29">
        <v>1.18</v>
      </c>
      <c r="N36" s="29">
        <v>1.18</v>
      </c>
      <c r="O36" s="29">
        <v>1.25</v>
      </c>
      <c r="P36" s="29">
        <v>1.1299999999999999</v>
      </c>
      <c r="Q36" s="29">
        <v>1.1599999999999999</v>
      </c>
      <c r="R36" s="29">
        <v>1.07</v>
      </c>
    </row>
    <row r="37" spans="3:18" ht="15.75" thickBot="1" x14ac:dyDescent="0.3">
      <c r="C37" s="27" t="s">
        <v>84</v>
      </c>
      <c r="D37" s="29">
        <v>0.89</v>
      </c>
      <c r="E37" s="29">
        <v>0.97</v>
      </c>
      <c r="F37" s="29">
        <v>0.77</v>
      </c>
      <c r="G37" s="29">
        <v>1.1599999999999999</v>
      </c>
      <c r="H37" s="29">
        <v>0.97</v>
      </c>
      <c r="I37" s="29">
        <v>0.86</v>
      </c>
      <c r="J37" s="29">
        <v>1.24</v>
      </c>
      <c r="K37" s="29">
        <v>0.97</v>
      </c>
      <c r="L37" s="29">
        <v>1.0900000000000001</v>
      </c>
      <c r="M37" s="29">
        <v>1.21</v>
      </c>
      <c r="N37" s="29">
        <v>1.2</v>
      </c>
      <c r="O37" s="29">
        <v>1.25</v>
      </c>
      <c r="P37" s="29">
        <v>1.1399999999999999</v>
      </c>
      <c r="Q37" s="29">
        <v>1.17</v>
      </c>
      <c r="R37" s="29">
        <v>1.07</v>
      </c>
    </row>
    <row r="38" spans="3:18" ht="15.75" thickBot="1" x14ac:dyDescent="0.3">
      <c r="C38" s="27" t="s">
        <v>85</v>
      </c>
      <c r="D38" s="29">
        <v>0.89</v>
      </c>
      <c r="E38" s="29">
        <v>1</v>
      </c>
      <c r="F38" s="29">
        <v>0.78</v>
      </c>
      <c r="G38" s="29">
        <v>1.18</v>
      </c>
      <c r="H38" s="29">
        <v>0.97</v>
      </c>
      <c r="I38" s="29">
        <v>0.89</v>
      </c>
      <c r="J38" s="29">
        <v>1.24</v>
      </c>
      <c r="K38" s="29">
        <v>0.99</v>
      </c>
      <c r="L38" s="29">
        <v>1.1100000000000001</v>
      </c>
      <c r="M38" s="29">
        <v>1.23</v>
      </c>
      <c r="N38" s="29">
        <v>1.21</v>
      </c>
      <c r="O38" s="29">
        <v>1.27</v>
      </c>
      <c r="P38" s="29">
        <v>1.1599999999999999</v>
      </c>
      <c r="Q38" s="29">
        <v>1.27</v>
      </c>
      <c r="R38" s="29">
        <v>1.0900000000000001</v>
      </c>
    </row>
    <row r="39" spans="3:18" ht="15.75" thickBot="1" x14ac:dyDescent="0.3">
      <c r="C39" s="27" t="s">
        <v>86</v>
      </c>
      <c r="D39" s="29">
        <v>0.91</v>
      </c>
      <c r="E39" s="29">
        <v>1</v>
      </c>
      <c r="F39" s="29">
        <v>0.78</v>
      </c>
      <c r="G39" s="29">
        <v>1.18</v>
      </c>
      <c r="H39" s="29">
        <v>0.99</v>
      </c>
      <c r="I39" s="29">
        <v>0.89</v>
      </c>
      <c r="J39" s="29">
        <v>1.24</v>
      </c>
      <c r="K39" s="29">
        <v>0.99</v>
      </c>
      <c r="L39" s="29">
        <v>1.1299999999999999</v>
      </c>
      <c r="M39" s="29">
        <v>1.25</v>
      </c>
      <c r="N39" s="29">
        <v>1.24</v>
      </c>
      <c r="O39" s="29">
        <v>1.27</v>
      </c>
      <c r="P39" s="29">
        <v>1.1599999999999999</v>
      </c>
      <c r="Q39" s="29">
        <v>1.3</v>
      </c>
      <c r="R39" s="29">
        <v>1.07</v>
      </c>
    </row>
    <row r="40" spans="3:18" ht="15.75" thickBot="1" x14ac:dyDescent="0.3">
      <c r="C40" s="27" t="s">
        <v>87</v>
      </c>
      <c r="D40" s="29">
        <v>0.92</v>
      </c>
      <c r="E40" s="29">
        <v>1.02</v>
      </c>
      <c r="F40" s="29">
        <v>0.78</v>
      </c>
      <c r="G40" s="29">
        <v>1.21</v>
      </c>
      <c r="H40" s="29">
        <v>0.99</v>
      </c>
      <c r="I40" s="29">
        <v>0.89</v>
      </c>
      <c r="J40" s="29">
        <v>1.24</v>
      </c>
      <c r="K40" s="29">
        <v>1</v>
      </c>
      <c r="L40" s="29">
        <v>1.1399999999999999</v>
      </c>
      <c r="M40" s="29">
        <v>1.27</v>
      </c>
      <c r="N40" s="29">
        <v>1.27</v>
      </c>
      <c r="O40" s="29">
        <v>1.27</v>
      </c>
      <c r="P40" s="29">
        <v>1.17</v>
      </c>
      <c r="Q40" s="29">
        <v>1.3</v>
      </c>
      <c r="R40" s="29">
        <v>1.0900000000000001</v>
      </c>
    </row>
    <row r="41" spans="3:18" ht="15.75" thickBot="1" x14ac:dyDescent="0.3">
      <c r="C41" s="27" t="s">
        <v>88</v>
      </c>
      <c r="D41" s="29">
        <v>0.92</v>
      </c>
      <c r="E41" s="29">
        <v>1.02</v>
      </c>
      <c r="F41" s="29">
        <v>0.78</v>
      </c>
      <c r="G41" s="29">
        <v>1.23</v>
      </c>
      <c r="H41" s="29">
        <v>1</v>
      </c>
      <c r="I41" s="29">
        <v>0.89</v>
      </c>
      <c r="J41" s="29">
        <v>1.25</v>
      </c>
      <c r="K41" s="29">
        <v>1</v>
      </c>
      <c r="L41" s="29">
        <v>1.1399999999999999</v>
      </c>
      <c r="M41" s="29">
        <v>1.27</v>
      </c>
      <c r="N41" s="29">
        <v>1.28</v>
      </c>
      <c r="O41" s="29">
        <v>1.28</v>
      </c>
      <c r="P41" s="29">
        <v>1.17</v>
      </c>
      <c r="Q41" s="29">
        <v>1.31</v>
      </c>
      <c r="R41" s="29">
        <v>1.0900000000000001</v>
      </c>
    </row>
    <row r="42" spans="3:18" ht="15.75" thickBot="1" x14ac:dyDescent="0.3">
      <c r="C42" s="27" t="s">
        <v>89</v>
      </c>
      <c r="D42" s="29">
        <v>0.92</v>
      </c>
      <c r="E42" s="29">
        <v>1.03</v>
      </c>
      <c r="F42" s="29">
        <v>0.78</v>
      </c>
      <c r="G42" s="29">
        <v>1.24</v>
      </c>
      <c r="H42" s="29">
        <v>1</v>
      </c>
      <c r="I42" s="29">
        <v>0.91</v>
      </c>
      <c r="J42" s="29">
        <v>1.27</v>
      </c>
      <c r="K42" s="29">
        <v>1</v>
      </c>
      <c r="L42" s="29">
        <v>1.1599999999999999</v>
      </c>
      <c r="M42" s="29">
        <v>1.28</v>
      </c>
      <c r="N42" s="29">
        <v>1.28</v>
      </c>
      <c r="O42" s="29">
        <v>1.3</v>
      </c>
      <c r="P42" s="29">
        <v>1.18</v>
      </c>
      <c r="Q42" s="29">
        <v>1.28</v>
      </c>
      <c r="R42" s="29">
        <v>1.1000000000000001</v>
      </c>
    </row>
    <row r="43" spans="3:18" ht="15.75" thickBot="1" x14ac:dyDescent="0.3">
      <c r="C43" s="27" t="s">
        <v>14</v>
      </c>
      <c r="D43" s="30">
        <v>0.92900000000000005</v>
      </c>
      <c r="E43" s="30">
        <v>0.92900000000000005</v>
      </c>
      <c r="F43" s="30">
        <v>0.94399999999999995</v>
      </c>
      <c r="G43" s="30">
        <v>0.96399999999999997</v>
      </c>
      <c r="H43" s="30">
        <v>0.96499999999999997</v>
      </c>
      <c r="I43" s="30">
        <v>0.99099999999999999</v>
      </c>
      <c r="J43" s="30">
        <v>0.99099999999999999</v>
      </c>
      <c r="K43" s="30">
        <v>0.99099999999999999</v>
      </c>
      <c r="L43" s="30">
        <v>1.0069999999999999</v>
      </c>
      <c r="M43" s="30">
        <v>1.002</v>
      </c>
      <c r="N43" s="30">
        <v>1.028</v>
      </c>
      <c r="O43" s="30">
        <v>1.0309999999999999</v>
      </c>
      <c r="P43" s="30">
        <v>1.028</v>
      </c>
      <c r="Q43" s="30">
        <v>1.016</v>
      </c>
      <c r="R43" s="30">
        <v>1.026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Werkbladen</vt:lpstr>
      </vt:variant>
      <vt:variant>
        <vt:i4>8</vt:i4>
      </vt:variant>
      <vt:variant>
        <vt:lpstr>Grafieken</vt:lpstr>
      </vt:variant>
      <vt:variant>
        <vt:i4>2</vt:i4>
      </vt:variant>
      <vt:variant>
        <vt:lpstr>Benoemde bereiken</vt:lpstr>
      </vt:variant>
      <vt:variant>
        <vt:i4>4</vt:i4>
      </vt:variant>
    </vt:vector>
  </HeadingPairs>
  <TitlesOfParts>
    <vt:vector size="14" baseType="lpstr">
      <vt:lpstr>Resulaten voor Matlab</vt:lpstr>
      <vt:lpstr>Resultaten</vt:lpstr>
      <vt:lpstr>Resulaten Michiel</vt:lpstr>
      <vt:lpstr>Histogram gewichtsverdeling 1</vt:lpstr>
      <vt:lpstr>Histogram gewichtsverdeling 2</vt:lpstr>
      <vt:lpstr>Gewichtsverdeling onderlaag</vt:lpstr>
      <vt:lpstr>Blad3</vt:lpstr>
      <vt:lpstr>Blad2</vt:lpstr>
      <vt:lpstr>Grafiek1</vt:lpstr>
      <vt:lpstr>Grafiek2</vt:lpstr>
      <vt:lpstr>D</vt:lpstr>
      <vt:lpstr>Dy</vt:lpstr>
      <vt:lpstr>N</vt:lpstr>
      <vt:lpstr>W</vt:lpstr>
    </vt:vector>
  </TitlesOfParts>
  <Company>BAM Infraconsult B.V.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Koppel, Michael van der</dc:creator>
  <cp:lastModifiedBy>Koppel, Michael van der</cp:lastModifiedBy>
  <dcterms:created xsi:type="dcterms:W3CDTF">2011-08-31T09:37:30Z</dcterms:created>
  <dcterms:modified xsi:type="dcterms:W3CDTF">2012-05-25T06:34:49Z</dcterms:modified>
</cp:coreProperties>
</file>