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!PhD\4TU.database\Geochemical multi-surface modeling of Zn speciation in composts as affected by extraction conditions\"/>
    </mc:Choice>
  </mc:AlternateContent>
  <xr:revisionPtr revIDLastSave="0" documentId="10_ncr:100000_{604BD957-E9EC-4C45-BC47-8E290C3B704B}" xr6:coauthVersionLast="31" xr6:coauthVersionMax="31" xr10:uidLastSave="{00000000-0000-0000-0000-000000000000}"/>
  <bookViews>
    <workbookView xWindow="-60" yWindow="300" windowWidth="14400" windowHeight="11925" activeTab="6" xr2:uid="{00000000-000D-0000-FFFF-FFFF00000000}"/>
  </bookViews>
  <sheets>
    <sheet name="Code explanation" sheetId="9" r:id="rId1"/>
    <sheet name="Carbon" sheetId="4" r:id="rId2"/>
    <sheet name="Elements_CaCl2" sheetId="3" r:id="rId3"/>
    <sheet name="Elements_HNO3" sheetId="6" r:id="rId4"/>
    <sheet name="Al, Fe, HFO" sheetId="8" r:id="rId5"/>
    <sheet name="Clay" sheetId="7" r:id="rId6"/>
    <sheet name="INPUT" sheetId="1" r:id="rId7"/>
  </sheets>
  <calcPr calcId="179017"/>
</workbook>
</file>

<file path=xl/calcChain.xml><?xml version="1.0" encoding="utf-8"?>
<calcChain xmlns="http://schemas.openxmlformats.org/spreadsheetml/2006/main">
  <c r="N5" i="6" l="1"/>
  <c r="O5" i="6"/>
  <c r="P5" i="6"/>
  <c r="Q5" i="6"/>
  <c r="R5" i="6"/>
  <c r="S5" i="6"/>
  <c r="T5" i="6"/>
  <c r="U5" i="6"/>
  <c r="V5" i="6"/>
  <c r="W5" i="6"/>
  <c r="N6" i="6"/>
  <c r="O6" i="6"/>
  <c r="P6" i="6"/>
  <c r="Q6" i="6"/>
  <c r="R6" i="6"/>
  <c r="S6" i="6"/>
  <c r="T6" i="6"/>
  <c r="U6" i="6"/>
  <c r="V6" i="6"/>
  <c r="W6" i="6"/>
  <c r="N7" i="6"/>
  <c r="O7" i="6"/>
  <c r="P7" i="6"/>
  <c r="Q7" i="6"/>
  <c r="R7" i="6"/>
  <c r="S7" i="6"/>
  <c r="T7" i="6"/>
  <c r="U7" i="6"/>
  <c r="V7" i="6"/>
  <c r="W7" i="6"/>
  <c r="N8" i="6"/>
  <c r="O8" i="6"/>
  <c r="P8" i="6"/>
  <c r="Q8" i="6"/>
  <c r="R8" i="6"/>
  <c r="S8" i="6"/>
  <c r="T8" i="6"/>
  <c r="U8" i="6"/>
  <c r="V8" i="6"/>
  <c r="W8" i="6"/>
  <c r="N9" i="6"/>
  <c r="O9" i="6"/>
  <c r="P9" i="6"/>
  <c r="Q9" i="6"/>
  <c r="R9" i="6"/>
  <c r="S9" i="6"/>
  <c r="T9" i="6"/>
  <c r="U9" i="6"/>
  <c r="V9" i="6"/>
  <c r="W9" i="6"/>
  <c r="N10" i="6"/>
  <c r="O10" i="6"/>
  <c r="P10" i="6"/>
  <c r="Q10" i="6"/>
  <c r="R10" i="6"/>
  <c r="S10" i="6"/>
  <c r="T10" i="6"/>
  <c r="U10" i="6"/>
  <c r="V10" i="6"/>
  <c r="W10" i="6"/>
  <c r="N11" i="6"/>
  <c r="O11" i="6"/>
  <c r="P11" i="6"/>
  <c r="Q11" i="6"/>
  <c r="R11" i="6"/>
  <c r="S11" i="6"/>
  <c r="T11" i="6"/>
  <c r="U11" i="6"/>
  <c r="V11" i="6"/>
  <c r="W11" i="6"/>
  <c r="N12" i="6"/>
  <c r="O12" i="6"/>
  <c r="P12" i="6"/>
  <c r="Q12" i="6"/>
  <c r="R12" i="6"/>
  <c r="S12" i="6"/>
  <c r="T12" i="6"/>
  <c r="U12" i="6"/>
  <c r="V12" i="6"/>
  <c r="W12" i="6"/>
  <c r="N13" i="6"/>
  <c r="O13" i="6"/>
  <c r="P13" i="6"/>
  <c r="Q13" i="6"/>
  <c r="R13" i="6"/>
  <c r="S13" i="6"/>
  <c r="T13" i="6"/>
  <c r="U13" i="6"/>
  <c r="V13" i="6"/>
  <c r="W13" i="6"/>
  <c r="O4" i="6"/>
  <c r="P4" i="6"/>
  <c r="Q4" i="6"/>
  <c r="R4" i="6"/>
  <c r="S4" i="6"/>
  <c r="AC4" i="6" s="1"/>
  <c r="T4" i="6"/>
  <c r="U4" i="6"/>
  <c r="AE4" i="6" s="1"/>
  <c r="V4" i="6"/>
  <c r="AF4" i="6" s="1"/>
  <c r="W4" i="6"/>
  <c r="Z4" i="6"/>
  <c r="AA4" i="6"/>
  <c r="AD4" i="6"/>
  <c r="X4" i="6"/>
  <c r="Y4" i="6"/>
  <c r="AB4" i="6"/>
  <c r="AG4" i="6"/>
  <c r="N4" i="6"/>
  <c r="G7" i="8" l="1"/>
  <c r="Q8" i="4"/>
  <c r="S3" i="3"/>
  <c r="R5" i="3"/>
  <c r="AA3" i="8" l="1"/>
  <c r="I3" i="4" l="1"/>
  <c r="J3" i="4" s="1"/>
  <c r="I4" i="4"/>
  <c r="J4" i="4" s="1"/>
  <c r="I5" i="4"/>
  <c r="J5" i="4" s="1"/>
  <c r="I6" i="4"/>
  <c r="J6" i="4"/>
  <c r="I7" i="4"/>
  <c r="J7" i="4" s="1"/>
  <c r="I8" i="4"/>
  <c r="J8" i="4" s="1"/>
  <c r="I9" i="4"/>
  <c r="J9" i="4" s="1"/>
  <c r="I10" i="4"/>
  <c r="J10" i="4" s="1"/>
  <c r="I11" i="4"/>
  <c r="J11" i="4" s="1"/>
  <c r="I12" i="4"/>
  <c r="J12" i="4" s="1"/>
  <c r="I13" i="4"/>
  <c r="J13" i="4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/>
  <c r="I23" i="4"/>
  <c r="J23" i="4" s="1"/>
  <c r="AA4" i="8"/>
  <c r="W3" i="1" s="1"/>
  <c r="AA5" i="8"/>
  <c r="W4" i="1" s="1"/>
  <c r="AA6" i="8"/>
  <c r="W5" i="1" s="1"/>
  <c r="AA7" i="8"/>
  <c r="W6" i="1" s="1"/>
  <c r="AA8" i="8"/>
  <c r="W7" i="1" s="1"/>
  <c r="AA9" i="8"/>
  <c r="W8" i="1" s="1"/>
  <c r="AA10" i="8"/>
  <c r="W9" i="1" s="1"/>
  <c r="AA11" i="8"/>
  <c r="W10" i="1" s="1"/>
  <c r="AA12" i="8"/>
  <c r="W11" i="1" s="1"/>
  <c r="AA13" i="8"/>
  <c r="W12" i="1" s="1"/>
  <c r="AA14" i="8"/>
  <c r="W13" i="1" s="1"/>
  <c r="AA15" i="8"/>
  <c r="W14" i="1" s="1"/>
  <c r="AA16" i="8"/>
  <c r="W15" i="1" s="1"/>
  <c r="AA17" i="8"/>
  <c r="W16" i="1" s="1"/>
  <c r="AA18" i="8"/>
  <c r="W17" i="1" s="1"/>
  <c r="AA19" i="8"/>
  <c r="W18" i="1" s="1"/>
  <c r="AA20" i="8"/>
  <c r="W19" i="1" s="1"/>
  <c r="AA21" i="8"/>
  <c r="W20" i="1" s="1"/>
  <c r="AA22" i="8"/>
  <c r="W21" i="1" s="1"/>
  <c r="AA23" i="8"/>
  <c r="W22" i="1" s="1"/>
  <c r="W2" i="1"/>
  <c r="S8" i="4" l="1"/>
  <c r="F4" i="7" l="1"/>
  <c r="K40" i="4" l="1"/>
  <c r="U15" i="3" l="1"/>
  <c r="W3" i="3"/>
  <c r="Q4" i="4" l="1"/>
  <c r="O3" i="3" l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G4" i="7" l="1"/>
  <c r="U3" i="4"/>
  <c r="S3" i="4"/>
  <c r="M16" i="4"/>
  <c r="N15" i="4"/>
  <c r="N14" i="4"/>
  <c r="M10" i="4"/>
  <c r="N10" i="4"/>
  <c r="M11" i="4"/>
  <c r="N11" i="4"/>
  <c r="N9" i="4"/>
  <c r="M7" i="4"/>
  <c r="N7" i="4"/>
  <c r="M8" i="4"/>
  <c r="O8" i="4" s="1"/>
  <c r="N8" i="4"/>
  <c r="N6" i="4"/>
  <c r="N17" i="4"/>
  <c r="N19" i="4"/>
  <c r="N20" i="4"/>
  <c r="N21" i="4"/>
  <c r="N22" i="4"/>
  <c r="M22" i="4"/>
  <c r="M21" i="4"/>
  <c r="M20" i="4"/>
  <c r="M19" i="4"/>
  <c r="M17" i="4"/>
  <c r="M40" i="4"/>
  <c r="N40" i="4"/>
  <c r="L40" i="4"/>
  <c r="N12" i="4" s="1"/>
  <c r="M23" i="4"/>
  <c r="M15" i="4"/>
  <c r="M14" i="4"/>
  <c r="M9" i="4"/>
  <c r="M6" i="4"/>
  <c r="L39" i="4"/>
  <c r="N18" i="4" s="1"/>
  <c r="M39" i="4"/>
  <c r="N39" i="4"/>
  <c r="K39" i="4"/>
  <c r="M18" i="4" s="1"/>
  <c r="N16" i="4" l="1"/>
  <c r="H4" i="7"/>
  <c r="M12" i="4"/>
  <c r="N23" i="4"/>
  <c r="V2" i="1" l="1"/>
  <c r="E36" i="4"/>
  <c r="F36" i="4"/>
  <c r="G36" i="4"/>
  <c r="D36" i="4"/>
  <c r="M4" i="4" s="1"/>
  <c r="N4" i="4" l="1"/>
  <c r="P4" i="4" s="1"/>
  <c r="N5" i="4"/>
  <c r="N13" i="4"/>
  <c r="N3" i="4"/>
  <c r="Q5" i="8" l="1"/>
  <c r="I3" i="8" s="1"/>
  <c r="L3" i="8" s="1"/>
  <c r="I5" i="8" l="1"/>
  <c r="O5" i="8" s="1"/>
  <c r="H7" i="8"/>
  <c r="I4" i="8"/>
  <c r="L4" i="8" s="1"/>
  <c r="G14" i="8"/>
  <c r="I11" i="8"/>
  <c r="I9" i="8"/>
  <c r="G8" i="8"/>
  <c r="H13" i="8"/>
  <c r="I14" i="8"/>
  <c r="G13" i="8"/>
  <c r="I12" i="8"/>
  <c r="G11" i="8"/>
  <c r="I10" i="8"/>
  <c r="G9" i="8"/>
  <c r="I8" i="8"/>
  <c r="I6" i="8"/>
  <c r="H5" i="8"/>
  <c r="N5" i="8" s="1"/>
  <c r="H3" i="8"/>
  <c r="K3" i="8" s="1"/>
  <c r="H14" i="8"/>
  <c r="H12" i="8"/>
  <c r="H10" i="8"/>
  <c r="H8" i="8"/>
  <c r="H6" i="8"/>
  <c r="G5" i="8"/>
  <c r="M5" i="8" s="1"/>
  <c r="W3" i="8" s="1"/>
  <c r="G3" i="8"/>
  <c r="J3" i="8" s="1"/>
  <c r="I13" i="8"/>
  <c r="G12" i="8"/>
  <c r="G10" i="8"/>
  <c r="I7" i="8"/>
  <c r="G6" i="8"/>
  <c r="H4" i="8"/>
  <c r="K4" i="8" s="1"/>
  <c r="H11" i="8"/>
  <c r="G4" i="8"/>
  <c r="J4" i="8" s="1"/>
  <c r="H9" i="8"/>
  <c r="L5" i="8" l="1"/>
  <c r="N10" i="8"/>
  <c r="X20" i="8" s="1"/>
  <c r="N19" i="1" s="1"/>
  <c r="K10" i="8"/>
  <c r="K5" i="8"/>
  <c r="M13" i="8"/>
  <c r="W22" i="8" s="1"/>
  <c r="M21" i="1" s="1"/>
  <c r="J13" i="8"/>
  <c r="M14" i="8"/>
  <c r="J14" i="8"/>
  <c r="N12" i="8"/>
  <c r="X21" i="8" s="1"/>
  <c r="N20" i="1" s="1"/>
  <c r="K12" i="8"/>
  <c r="O6" i="8"/>
  <c r="L6" i="8"/>
  <c r="O14" i="8"/>
  <c r="L14" i="8"/>
  <c r="N13" i="8"/>
  <c r="X22" i="8" s="1"/>
  <c r="N21" i="1" s="1"/>
  <c r="K13" i="8"/>
  <c r="M10" i="8"/>
  <c r="W20" i="8" s="1"/>
  <c r="M19" i="1" s="1"/>
  <c r="J10" i="8"/>
  <c r="M9" i="8"/>
  <c r="W19" i="8" s="1"/>
  <c r="M18" i="1" s="1"/>
  <c r="J9" i="8"/>
  <c r="M6" i="8"/>
  <c r="W17" i="8" s="1"/>
  <c r="M16" i="1" s="1"/>
  <c r="J6" i="8"/>
  <c r="O7" i="8"/>
  <c r="L7" i="8"/>
  <c r="O8" i="8"/>
  <c r="L8" i="8"/>
  <c r="M12" i="8"/>
  <c r="W21" i="8" s="1"/>
  <c r="M20" i="1" s="1"/>
  <c r="J12" i="8"/>
  <c r="J5" i="8"/>
  <c r="O10" i="8"/>
  <c r="L10" i="8"/>
  <c r="M8" i="8"/>
  <c r="J8" i="8"/>
  <c r="N7" i="8"/>
  <c r="X18" i="8" s="1"/>
  <c r="N17" i="1" s="1"/>
  <c r="K7" i="8"/>
  <c r="N14" i="8"/>
  <c r="K14" i="8"/>
  <c r="N11" i="8"/>
  <c r="K11" i="8"/>
  <c r="N6" i="8"/>
  <c r="X17" i="8" s="1"/>
  <c r="N16" i="1" s="1"/>
  <c r="K6" i="8"/>
  <c r="M7" i="8"/>
  <c r="W18" i="8" s="1"/>
  <c r="M17" i="1" s="1"/>
  <c r="J7" i="8"/>
  <c r="N9" i="8"/>
  <c r="X19" i="8" s="1"/>
  <c r="N18" i="1" s="1"/>
  <c r="K9" i="8"/>
  <c r="O13" i="8"/>
  <c r="L13" i="8"/>
  <c r="M11" i="8"/>
  <c r="J11" i="8"/>
  <c r="O9" i="8"/>
  <c r="L9" i="8"/>
  <c r="N8" i="8"/>
  <c r="K8" i="8"/>
  <c r="O12" i="8"/>
  <c r="L12" i="8"/>
  <c r="O11" i="8"/>
  <c r="L11" i="8"/>
  <c r="X23" i="8" l="1"/>
  <c r="N22" i="1" s="1"/>
  <c r="X12" i="8"/>
  <c r="N11" i="1" s="1"/>
  <c r="X16" i="8"/>
  <c r="N15" i="1" s="1"/>
  <c r="X3" i="8"/>
  <c r="N2" i="1" s="1"/>
  <c r="X5" i="8"/>
  <c r="N4" i="1" s="1"/>
  <c r="X13" i="8"/>
  <c r="N12" i="1" s="1"/>
  <c r="X4" i="8"/>
  <c r="N3" i="1" s="1"/>
  <c r="X11" i="8"/>
  <c r="N10" i="1" s="1"/>
  <c r="X15" i="8"/>
  <c r="N14" i="1" s="1"/>
  <c r="X9" i="8"/>
  <c r="N8" i="1" s="1"/>
  <c r="X10" i="8"/>
  <c r="N9" i="1" s="1"/>
  <c r="W23" i="8"/>
  <c r="M22" i="1" s="1"/>
  <c r="W12" i="8"/>
  <c r="M11" i="1" s="1"/>
  <c r="W16" i="8"/>
  <c r="M15" i="1" s="1"/>
  <c r="X7" i="8"/>
  <c r="N6" i="1" s="1"/>
  <c r="X6" i="8"/>
  <c r="N5" i="1" s="1"/>
  <c r="X14" i="8"/>
  <c r="N13" i="1" s="1"/>
  <c r="X8" i="8"/>
  <c r="N7" i="1" s="1"/>
  <c r="M2" i="1"/>
  <c r="W4" i="8"/>
  <c r="M3" i="1" s="1"/>
  <c r="W5" i="8"/>
  <c r="M4" i="1" s="1"/>
  <c r="W13" i="8"/>
  <c r="M12" i="1" s="1"/>
  <c r="W11" i="8"/>
  <c r="M10" i="1" s="1"/>
  <c r="W15" i="8"/>
  <c r="M14" i="1" s="1"/>
  <c r="W10" i="8"/>
  <c r="M9" i="1" s="1"/>
  <c r="W9" i="8"/>
  <c r="M8" i="1" s="1"/>
  <c r="W7" i="8"/>
  <c r="M6" i="1" s="1"/>
  <c r="W8" i="8"/>
  <c r="M7" i="1" s="1"/>
  <c r="W6" i="8"/>
  <c r="M5" i="1" s="1"/>
  <c r="W14" i="8"/>
  <c r="M13" i="1" s="1"/>
  <c r="F5" i="7"/>
  <c r="G5" i="7" s="1"/>
  <c r="H5" i="7" s="1"/>
  <c r="F6" i="7"/>
  <c r="G6" i="7" s="1"/>
  <c r="H6" i="7" s="1"/>
  <c r="F7" i="7"/>
  <c r="G7" i="7" s="1"/>
  <c r="H7" i="7" s="1"/>
  <c r="F8" i="7"/>
  <c r="G8" i="7" s="1"/>
  <c r="H8" i="7" s="1"/>
  <c r="F9" i="7"/>
  <c r="G9" i="7" s="1"/>
  <c r="H9" i="7" s="1"/>
  <c r="F10" i="7"/>
  <c r="G10" i="7" s="1"/>
  <c r="H10" i="7" s="1"/>
  <c r="F11" i="7"/>
  <c r="G11" i="7" s="1"/>
  <c r="H11" i="7" s="1"/>
  <c r="F12" i="7"/>
  <c r="G12" i="7" s="1"/>
  <c r="H12" i="7" s="1"/>
  <c r="F14" i="7"/>
  <c r="G14" i="7" s="1"/>
  <c r="H14" i="7" s="1"/>
  <c r="F15" i="7"/>
  <c r="G15" i="7" s="1"/>
  <c r="H15" i="7" s="1"/>
  <c r="F16" i="7"/>
  <c r="G16" i="7" s="1"/>
  <c r="H16" i="7" s="1"/>
  <c r="F18" i="7"/>
  <c r="G18" i="7" s="1"/>
  <c r="H18" i="7" s="1"/>
  <c r="F19" i="7"/>
  <c r="G19" i="7" s="1"/>
  <c r="H19" i="7" s="1"/>
  <c r="F20" i="7"/>
  <c r="G20" i="7" s="1"/>
  <c r="H20" i="7" s="1"/>
  <c r="F21" i="7"/>
  <c r="G21" i="7" s="1"/>
  <c r="H21" i="7" s="1"/>
  <c r="F22" i="7"/>
  <c r="G22" i="7" s="1"/>
  <c r="H22" i="7" s="1"/>
  <c r="F23" i="7"/>
  <c r="G23" i="7" s="1"/>
  <c r="H23" i="7" s="1"/>
  <c r="V17" i="1" l="1"/>
  <c r="V16" i="1"/>
  <c r="V7" i="1"/>
  <c r="V6" i="1"/>
  <c r="V5" i="1"/>
  <c r="V3" i="1"/>
  <c r="V12" i="1"/>
  <c r="V20" i="1"/>
  <c r="V10" i="1"/>
  <c r="V13" i="1"/>
  <c r="V19" i="1"/>
  <c r="V14" i="1"/>
  <c r="V4" i="1"/>
  <c r="V21" i="1"/>
  <c r="V9" i="1"/>
  <c r="V18" i="1"/>
  <c r="V8" i="1"/>
  <c r="G13" i="7"/>
  <c r="H13" i="7" s="1"/>
  <c r="G17" i="7"/>
  <c r="Q3" i="4"/>
  <c r="N3" i="3"/>
  <c r="V11" i="1" l="1"/>
  <c r="G24" i="7"/>
  <c r="H24" i="7" s="1"/>
  <c r="H17" i="7"/>
  <c r="W6" i="3"/>
  <c r="V5" i="3"/>
  <c r="U4" i="3"/>
  <c r="T3" i="3"/>
  <c r="Q3" i="3"/>
  <c r="P3" i="3"/>
  <c r="R22" i="3"/>
  <c r="R3" i="3"/>
  <c r="Q17" i="4"/>
  <c r="V22" i="1" l="1"/>
  <c r="V15" i="1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S4" i="4"/>
  <c r="S5" i="4"/>
  <c r="S6" i="4"/>
  <c r="S7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I2" i="1"/>
  <c r="W12" i="3" l="1"/>
  <c r="S12" i="3"/>
  <c r="I11" i="1" s="1"/>
  <c r="AG13" i="6" l="1"/>
  <c r="AF12" i="6"/>
  <c r="AE11" i="6"/>
  <c r="AD10" i="6"/>
  <c r="AG6" i="6"/>
  <c r="Q17" i="1" s="1"/>
  <c r="AF5" i="6"/>
  <c r="AD9" i="6"/>
  <c r="AG8" i="6"/>
  <c r="Q18" i="1" s="1"/>
  <c r="AF7" i="6"/>
  <c r="G2" i="1"/>
  <c r="Q5" i="4"/>
  <c r="Q6" i="4"/>
  <c r="Q7" i="4"/>
  <c r="Q9" i="4"/>
  <c r="Q10" i="4"/>
  <c r="Q11" i="4"/>
  <c r="Q12" i="4"/>
  <c r="Q13" i="4"/>
  <c r="Q14" i="4"/>
  <c r="Q15" i="4"/>
  <c r="Q16" i="4"/>
  <c r="Q18" i="4"/>
  <c r="Q19" i="4"/>
  <c r="Q20" i="4"/>
  <c r="Q21" i="4"/>
  <c r="Q22" i="4"/>
  <c r="Q23" i="4"/>
  <c r="P23" i="4"/>
  <c r="T23" i="4" s="1"/>
  <c r="O23" i="4"/>
  <c r="R23" i="4" s="1"/>
  <c r="P22" i="4"/>
  <c r="T22" i="4" s="1"/>
  <c r="O22" i="4"/>
  <c r="R22" i="4" s="1"/>
  <c r="P21" i="4"/>
  <c r="T21" i="4" s="1"/>
  <c r="O21" i="4"/>
  <c r="R21" i="4" s="1"/>
  <c r="P20" i="4"/>
  <c r="T20" i="4" s="1"/>
  <c r="O20" i="4"/>
  <c r="R20" i="4" s="1"/>
  <c r="P19" i="4"/>
  <c r="T19" i="4" s="1"/>
  <c r="O19" i="4"/>
  <c r="R19" i="4" s="1"/>
  <c r="P17" i="4"/>
  <c r="T17" i="4" s="1"/>
  <c r="O17" i="4"/>
  <c r="R17" i="4" s="1"/>
  <c r="P16" i="4"/>
  <c r="T16" i="4" s="1"/>
  <c r="O16" i="4"/>
  <c r="R16" i="4" s="1"/>
  <c r="P15" i="4"/>
  <c r="T15" i="4" s="1"/>
  <c r="O15" i="4"/>
  <c r="R15" i="4" s="1"/>
  <c r="P14" i="4"/>
  <c r="T14" i="4" s="1"/>
  <c r="O14" i="4"/>
  <c r="R14" i="4" s="1"/>
  <c r="P12" i="4"/>
  <c r="T12" i="4" s="1"/>
  <c r="O12" i="4"/>
  <c r="R12" i="4" s="1"/>
  <c r="P11" i="4"/>
  <c r="T11" i="4" s="1"/>
  <c r="O11" i="4"/>
  <c r="R11" i="4" s="1"/>
  <c r="P10" i="4"/>
  <c r="T10" i="4" s="1"/>
  <c r="O10" i="4"/>
  <c r="R10" i="4" s="1"/>
  <c r="P9" i="4"/>
  <c r="T9" i="4" s="1"/>
  <c r="O9" i="4"/>
  <c r="R9" i="4" s="1"/>
  <c r="P8" i="4"/>
  <c r="T8" i="4" s="1"/>
  <c r="R8" i="4"/>
  <c r="P7" i="4"/>
  <c r="T7" i="4" s="1"/>
  <c r="O7" i="4"/>
  <c r="R7" i="4" s="1"/>
  <c r="P6" i="4"/>
  <c r="T6" i="4" s="1"/>
  <c r="O6" i="4"/>
  <c r="R6" i="4" s="1"/>
  <c r="P5" i="4"/>
  <c r="T5" i="4" s="1"/>
  <c r="O18" i="4"/>
  <c r="R18" i="4" s="1"/>
  <c r="P18" i="4"/>
  <c r="T18" i="4" s="1"/>
  <c r="Q11" i="1" l="1"/>
  <c r="Q15" i="1"/>
  <c r="Q22" i="1"/>
  <c r="R6" i="1"/>
  <c r="R10" i="1"/>
  <c r="R15" i="1"/>
  <c r="R20" i="1"/>
  <c r="G21" i="1"/>
  <c r="G15" i="1"/>
  <c r="G8" i="1"/>
  <c r="S7" i="1"/>
  <c r="S16" i="1"/>
  <c r="U4" i="1"/>
  <c r="U8" i="1"/>
  <c r="U14" i="1"/>
  <c r="U20" i="1"/>
  <c r="T6" i="1"/>
  <c r="T10" i="1"/>
  <c r="T15" i="1"/>
  <c r="T20" i="1"/>
  <c r="T22" i="1"/>
  <c r="G16" i="1"/>
  <c r="G11" i="1"/>
  <c r="G3" i="1"/>
  <c r="S8" i="1"/>
  <c r="S15" i="1"/>
  <c r="S17" i="1"/>
  <c r="S21" i="1"/>
  <c r="U9" i="1"/>
  <c r="U15" i="1"/>
  <c r="U17" i="1"/>
  <c r="U21" i="1"/>
  <c r="T17" i="1"/>
  <c r="R5" i="1"/>
  <c r="R7" i="1"/>
  <c r="R9" i="1"/>
  <c r="R11" i="1"/>
  <c r="R14" i="1"/>
  <c r="R16" i="1"/>
  <c r="R19" i="1"/>
  <c r="R21" i="1"/>
  <c r="G19" i="1"/>
  <c r="G13" i="1"/>
  <c r="G10" i="1"/>
  <c r="G6" i="1"/>
  <c r="S5" i="1"/>
  <c r="S9" i="1"/>
  <c r="S12" i="1"/>
  <c r="S18" i="1"/>
  <c r="S22" i="1"/>
  <c r="U2" i="1"/>
  <c r="U6" i="1"/>
  <c r="U10" i="1"/>
  <c r="U12" i="1"/>
  <c r="U18" i="1"/>
  <c r="U22" i="1"/>
  <c r="T4" i="1"/>
  <c r="R8" i="1"/>
  <c r="R13" i="1"/>
  <c r="R18" i="1"/>
  <c r="R22" i="1"/>
  <c r="G17" i="1"/>
  <c r="G4" i="1"/>
  <c r="S3" i="1"/>
  <c r="S14" i="1"/>
  <c r="S20" i="1"/>
  <c r="U16" i="1"/>
  <c r="M13" i="4"/>
  <c r="O13" i="4" s="1"/>
  <c r="R13" i="4" s="1"/>
  <c r="M5" i="4"/>
  <c r="O5" i="4" s="1"/>
  <c r="R5" i="4" s="1"/>
  <c r="T8" i="1"/>
  <c r="T13" i="1"/>
  <c r="T18" i="1"/>
  <c r="G20" i="1"/>
  <c r="G14" i="1"/>
  <c r="G7" i="1"/>
  <c r="S4" i="1"/>
  <c r="U5" i="1"/>
  <c r="R17" i="1"/>
  <c r="T5" i="1"/>
  <c r="T7" i="1"/>
  <c r="T9" i="1"/>
  <c r="T11" i="1"/>
  <c r="T14" i="1"/>
  <c r="T16" i="1"/>
  <c r="T19" i="1"/>
  <c r="T21" i="1"/>
  <c r="G22" i="1"/>
  <c r="G18" i="1"/>
  <c r="G12" i="1"/>
  <c r="G9" i="1"/>
  <c r="G5" i="1"/>
  <c r="S2" i="1"/>
  <c r="S6" i="1"/>
  <c r="S10" i="1"/>
  <c r="S13" i="1"/>
  <c r="S19" i="1"/>
  <c r="S11" i="1"/>
  <c r="U3" i="1"/>
  <c r="U7" i="1"/>
  <c r="U11" i="1"/>
  <c r="U13" i="1"/>
  <c r="U19" i="1"/>
  <c r="AB6" i="6"/>
  <c r="X10" i="6"/>
  <c r="AB9" i="6"/>
  <c r="X6" i="6"/>
  <c r="Y10" i="6"/>
  <c r="AF13" i="6"/>
  <c r="Z11" i="6"/>
  <c r="O20" i="1" s="1"/>
  <c r="AG10" i="6"/>
  <c r="AF6" i="6"/>
  <c r="AB10" i="6"/>
  <c r="AF10" i="6"/>
  <c r="AC11" i="6"/>
  <c r="AD7" i="6"/>
  <c r="Y9" i="6"/>
  <c r="AG9" i="6"/>
  <c r="Q19" i="1" s="1"/>
  <c r="AC10" i="6"/>
  <c r="Y11" i="6"/>
  <c r="AG11" i="6"/>
  <c r="Q20" i="1" s="1"/>
  <c r="AB13" i="6"/>
  <c r="AC9" i="6"/>
  <c r="Z7" i="6"/>
  <c r="X9" i="6"/>
  <c r="AF9" i="6"/>
  <c r="AD11" i="6"/>
  <c r="X13" i="6"/>
  <c r="T4" i="4"/>
  <c r="P13" i="4"/>
  <c r="T13" i="4" s="1"/>
  <c r="AE5" i="6"/>
  <c r="AE12" i="6"/>
  <c r="Y7" i="6"/>
  <c r="AC7" i="6"/>
  <c r="AG7" i="6"/>
  <c r="Z8" i="6"/>
  <c r="O18" i="1" s="1"/>
  <c r="AD8" i="6"/>
  <c r="AA9" i="6"/>
  <c r="P19" i="1" s="1"/>
  <c r="AE9" i="6"/>
  <c r="Y5" i="6"/>
  <c r="AC5" i="6"/>
  <c r="AG5" i="6"/>
  <c r="Q16" i="1" s="1"/>
  <c r="Z6" i="6"/>
  <c r="O17" i="1" s="1"/>
  <c r="AD6" i="6"/>
  <c r="AA10" i="6"/>
  <c r="AE10" i="6"/>
  <c r="X11" i="6"/>
  <c r="AB11" i="6"/>
  <c r="AF11" i="6"/>
  <c r="Y12" i="6"/>
  <c r="AC12" i="6"/>
  <c r="AG12" i="6"/>
  <c r="Q21" i="1" s="1"/>
  <c r="Z13" i="6"/>
  <c r="AD13" i="6"/>
  <c r="AA8" i="6"/>
  <c r="P18" i="1" s="1"/>
  <c r="AE8" i="6"/>
  <c r="Z5" i="6"/>
  <c r="O16" i="1" s="1"/>
  <c r="AD5" i="6"/>
  <c r="AA6" i="6"/>
  <c r="P17" i="1" s="1"/>
  <c r="AE6" i="6"/>
  <c r="Z12" i="6"/>
  <c r="O21" i="1" s="1"/>
  <c r="AD12" i="6"/>
  <c r="AA13" i="6"/>
  <c r="AE13" i="6"/>
  <c r="AA7" i="6"/>
  <c r="X8" i="6"/>
  <c r="AF8" i="6"/>
  <c r="AA5" i="6"/>
  <c r="P16" i="1" s="1"/>
  <c r="AA12" i="6"/>
  <c r="P21" i="1" s="1"/>
  <c r="AE7" i="6"/>
  <c r="AB8" i="6"/>
  <c r="X7" i="6"/>
  <c r="AB7" i="6"/>
  <c r="Y8" i="6"/>
  <c r="AC8" i="6"/>
  <c r="Z9" i="6"/>
  <c r="O19" i="1" s="1"/>
  <c r="X5" i="6"/>
  <c r="AB5" i="6"/>
  <c r="Y6" i="6"/>
  <c r="AC6" i="6"/>
  <c r="Z10" i="6"/>
  <c r="AA11" i="6"/>
  <c r="P20" i="1" s="1"/>
  <c r="X12" i="6"/>
  <c r="AB12" i="6"/>
  <c r="Y13" i="6"/>
  <c r="AC13" i="6"/>
  <c r="P3" i="4"/>
  <c r="T3" i="4" s="1"/>
  <c r="O4" i="4"/>
  <c r="R4" i="4" s="1"/>
  <c r="M3" i="4"/>
  <c r="O3" i="4" s="1"/>
  <c r="R3" i="4" s="1"/>
  <c r="Q12" i="1" l="1"/>
  <c r="Q4" i="1"/>
  <c r="Q3" i="1"/>
  <c r="Q2" i="1"/>
  <c r="Q14" i="1"/>
  <c r="Q8" i="1"/>
  <c r="Q10" i="1"/>
  <c r="Q9" i="1"/>
  <c r="O14" i="1"/>
  <c r="O9" i="1"/>
  <c r="O8" i="1"/>
  <c r="O10" i="1"/>
  <c r="Q13" i="1"/>
  <c r="Q6" i="1"/>
  <c r="Q7" i="1"/>
  <c r="Q5" i="1"/>
  <c r="O4" i="1"/>
  <c r="O12" i="1"/>
  <c r="O2" i="1"/>
  <c r="O3" i="1"/>
  <c r="P11" i="1"/>
  <c r="P15" i="1"/>
  <c r="P22" i="1"/>
  <c r="O22" i="1"/>
  <c r="O15" i="1"/>
  <c r="O11" i="1"/>
  <c r="O6" i="1"/>
  <c r="O13" i="1"/>
  <c r="O5" i="1"/>
  <c r="O7" i="1"/>
  <c r="T3" i="1"/>
  <c r="T2" i="1"/>
  <c r="R2" i="1"/>
  <c r="R12" i="1"/>
  <c r="R3" i="1"/>
  <c r="T12" i="1"/>
  <c r="R4" i="1"/>
  <c r="P12" i="1"/>
  <c r="P4" i="1"/>
  <c r="P3" i="1"/>
  <c r="P2" i="1"/>
  <c r="P7" i="1"/>
  <c r="P6" i="1"/>
  <c r="P13" i="1"/>
  <c r="P5" i="1"/>
  <c r="P8" i="1"/>
  <c r="P14" i="1"/>
  <c r="P10" i="1"/>
  <c r="P9" i="1"/>
  <c r="W33" i="3" l="1"/>
  <c r="W17" i="3"/>
  <c r="W18" i="3"/>
  <c r="W19" i="3"/>
  <c r="W20" i="3"/>
  <c r="W21" i="3"/>
  <c r="W22" i="3"/>
  <c r="W23" i="3"/>
  <c r="W32" i="3"/>
  <c r="V33" i="3"/>
  <c r="V17" i="3"/>
  <c r="L16" i="1" s="1"/>
  <c r="V18" i="3"/>
  <c r="L17" i="1" s="1"/>
  <c r="V19" i="3"/>
  <c r="L18" i="1" s="1"/>
  <c r="V20" i="3"/>
  <c r="L19" i="1" s="1"/>
  <c r="V21" i="3"/>
  <c r="L20" i="1" s="1"/>
  <c r="V22" i="3"/>
  <c r="L21" i="1" s="1"/>
  <c r="V23" i="3"/>
  <c r="L22" i="1" s="1"/>
  <c r="V32" i="3"/>
  <c r="U33" i="3"/>
  <c r="U17" i="3"/>
  <c r="U18" i="3"/>
  <c r="U19" i="3"/>
  <c r="U20" i="3"/>
  <c r="U21" i="3"/>
  <c r="U22" i="3"/>
  <c r="U23" i="3"/>
  <c r="U32" i="3"/>
  <c r="T33" i="3"/>
  <c r="T17" i="3"/>
  <c r="T18" i="3"/>
  <c r="T19" i="3"/>
  <c r="T20" i="3"/>
  <c r="T21" i="3"/>
  <c r="T22" i="3"/>
  <c r="T23" i="3"/>
  <c r="T32" i="3"/>
  <c r="W31" i="3"/>
  <c r="W13" i="3"/>
  <c r="W14" i="3"/>
  <c r="W15" i="3"/>
  <c r="W16" i="3"/>
  <c r="W30" i="3"/>
  <c r="V31" i="3"/>
  <c r="V13" i="3"/>
  <c r="L12" i="1" s="1"/>
  <c r="V14" i="3"/>
  <c r="L13" i="1" s="1"/>
  <c r="V15" i="3"/>
  <c r="L14" i="1" s="1"/>
  <c r="V16" i="3"/>
  <c r="L15" i="1" s="1"/>
  <c r="V30" i="3"/>
  <c r="U31" i="3"/>
  <c r="U13" i="3"/>
  <c r="U14" i="3"/>
  <c r="U16" i="3"/>
  <c r="U30" i="3"/>
  <c r="T31" i="3"/>
  <c r="T13" i="3"/>
  <c r="T14" i="3"/>
  <c r="T15" i="3"/>
  <c r="T16" i="3"/>
  <c r="T30" i="3"/>
  <c r="W25" i="3"/>
  <c r="W26" i="3"/>
  <c r="W27" i="3"/>
  <c r="W28" i="3"/>
  <c r="W29" i="3"/>
  <c r="W4" i="3"/>
  <c r="W5" i="3"/>
  <c r="W7" i="3"/>
  <c r="W8" i="3"/>
  <c r="W9" i="3"/>
  <c r="W10" i="3"/>
  <c r="W11" i="3"/>
  <c r="W24" i="3"/>
  <c r="V25" i="3"/>
  <c r="V26" i="3"/>
  <c r="V27" i="3"/>
  <c r="V28" i="3"/>
  <c r="V29" i="3"/>
  <c r="V3" i="3"/>
  <c r="L2" i="1" s="1"/>
  <c r="V4" i="3"/>
  <c r="L3" i="1" s="1"/>
  <c r="L4" i="1"/>
  <c r="V6" i="3"/>
  <c r="L5" i="1" s="1"/>
  <c r="V7" i="3"/>
  <c r="L6" i="1" s="1"/>
  <c r="V8" i="3"/>
  <c r="L7" i="1" s="1"/>
  <c r="V9" i="3"/>
  <c r="L8" i="1" s="1"/>
  <c r="V10" i="3"/>
  <c r="L9" i="1" s="1"/>
  <c r="V11" i="3"/>
  <c r="L10" i="1" s="1"/>
  <c r="V12" i="3"/>
  <c r="L11" i="1" s="1"/>
  <c r="V24" i="3"/>
  <c r="U25" i="3"/>
  <c r="U26" i="3"/>
  <c r="U27" i="3"/>
  <c r="U28" i="3"/>
  <c r="U29" i="3"/>
  <c r="U3" i="3"/>
  <c r="U5" i="3"/>
  <c r="U6" i="3"/>
  <c r="U7" i="3"/>
  <c r="U8" i="3"/>
  <c r="U9" i="3"/>
  <c r="U10" i="3"/>
  <c r="U11" i="3"/>
  <c r="U12" i="3"/>
  <c r="U24" i="3"/>
  <c r="T25" i="3"/>
  <c r="T26" i="3"/>
  <c r="T27" i="3"/>
  <c r="T28" i="3"/>
  <c r="T29" i="3"/>
  <c r="T4" i="3"/>
  <c r="T5" i="3"/>
  <c r="T6" i="3"/>
  <c r="T7" i="3"/>
  <c r="T8" i="3"/>
  <c r="T9" i="3"/>
  <c r="T10" i="3"/>
  <c r="T11" i="3"/>
  <c r="T12" i="3"/>
  <c r="T24" i="3"/>
  <c r="S31" i="3"/>
  <c r="S13" i="3"/>
  <c r="I12" i="1" s="1"/>
  <c r="S14" i="3"/>
  <c r="I13" i="1" s="1"/>
  <c r="S15" i="3"/>
  <c r="I14" i="1" s="1"/>
  <c r="S16" i="3"/>
  <c r="I15" i="1" s="1"/>
  <c r="S30" i="3"/>
  <c r="R31" i="3"/>
  <c r="R13" i="3"/>
  <c r="R14" i="3"/>
  <c r="R15" i="3"/>
  <c r="R16" i="3"/>
  <c r="R30" i="3"/>
  <c r="Q31" i="3"/>
  <c r="Q13" i="3"/>
  <c r="K12" i="1" s="1"/>
  <c r="Q14" i="3"/>
  <c r="K13" i="1" s="1"/>
  <c r="Q15" i="3"/>
  <c r="K14" i="1" s="1"/>
  <c r="Q16" i="3"/>
  <c r="K15" i="1" s="1"/>
  <c r="Q30" i="3"/>
  <c r="P31" i="3"/>
  <c r="P13" i="3"/>
  <c r="P14" i="3"/>
  <c r="P15" i="3"/>
  <c r="P16" i="3"/>
  <c r="P30" i="3"/>
  <c r="N31" i="3"/>
  <c r="N13" i="3"/>
  <c r="N14" i="3"/>
  <c r="N15" i="3"/>
  <c r="N16" i="3"/>
  <c r="N30" i="3"/>
  <c r="S25" i="3"/>
  <c r="S26" i="3"/>
  <c r="S27" i="3"/>
  <c r="S28" i="3"/>
  <c r="S29" i="3"/>
  <c r="S4" i="3"/>
  <c r="I3" i="1" s="1"/>
  <c r="S5" i="3"/>
  <c r="I4" i="1" s="1"/>
  <c r="S6" i="3"/>
  <c r="I5" i="1" s="1"/>
  <c r="S7" i="3"/>
  <c r="I6" i="1" s="1"/>
  <c r="S8" i="3"/>
  <c r="I7" i="1" s="1"/>
  <c r="S9" i="3"/>
  <c r="I8" i="1" s="1"/>
  <c r="S10" i="3"/>
  <c r="I9" i="1" s="1"/>
  <c r="S11" i="3"/>
  <c r="I10" i="1" s="1"/>
  <c r="S32" i="3"/>
  <c r="S33" i="3"/>
  <c r="S17" i="3"/>
  <c r="I16" i="1" s="1"/>
  <c r="S18" i="3"/>
  <c r="I17" i="1" s="1"/>
  <c r="S19" i="3"/>
  <c r="I18" i="1" s="1"/>
  <c r="S20" i="3"/>
  <c r="I19" i="1" s="1"/>
  <c r="S21" i="3"/>
  <c r="I20" i="1" s="1"/>
  <c r="S22" i="3"/>
  <c r="S23" i="3"/>
  <c r="I22" i="1" s="1"/>
  <c r="S24" i="3"/>
  <c r="R25" i="3"/>
  <c r="R26" i="3"/>
  <c r="R27" i="3"/>
  <c r="R28" i="3"/>
  <c r="R29" i="3"/>
  <c r="R4" i="3"/>
  <c r="R6" i="3"/>
  <c r="R7" i="3"/>
  <c r="R8" i="3"/>
  <c r="R9" i="3"/>
  <c r="R10" i="3"/>
  <c r="R11" i="3"/>
  <c r="R12" i="3"/>
  <c r="R32" i="3"/>
  <c r="R33" i="3"/>
  <c r="R17" i="3"/>
  <c r="R18" i="3"/>
  <c r="R19" i="3"/>
  <c r="R20" i="3"/>
  <c r="R21" i="3"/>
  <c r="R23" i="3"/>
  <c r="R24" i="3"/>
  <c r="Q25" i="3"/>
  <c r="Q26" i="3"/>
  <c r="Q27" i="3"/>
  <c r="Q28" i="3"/>
  <c r="Q29" i="3"/>
  <c r="K2" i="1"/>
  <c r="Q4" i="3"/>
  <c r="K3" i="1" s="1"/>
  <c r="Q5" i="3"/>
  <c r="K4" i="1" s="1"/>
  <c r="Q6" i="3"/>
  <c r="K5" i="1" s="1"/>
  <c r="Q7" i="3"/>
  <c r="K6" i="1" s="1"/>
  <c r="Q8" i="3"/>
  <c r="K7" i="1" s="1"/>
  <c r="Q9" i="3"/>
  <c r="K8" i="1" s="1"/>
  <c r="Q10" i="3"/>
  <c r="K9" i="1" s="1"/>
  <c r="Q11" i="3"/>
  <c r="K10" i="1" s="1"/>
  <c r="Q12" i="3"/>
  <c r="K11" i="1" s="1"/>
  <c r="Q32" i="3"/>
  <c r="Q33" i="3"/>
  <c r="Q17" i="3"/>
  <c r="K16" i="1" s="1"/>
  <c r="Q18" i="3"/>
  <c r="K17" i="1" s="1"/>
  <c r="Q19" i="3"/>
  <c r="K18" i="1" s="1"/>
  <c r="Q20" i="3"/>
  <c r="K19" i="1" s="1"/>
  <c r="Q21" i="3"/>
  <c r="K20" i="1" s="1"/>
  <c r="Q22" i="3"/>
  <c r="K21" i="1" s="1"/>
  <c r="Q23" i="3"/>
  <c r="K22" i="1" s="1"/>
  <c r="Q24" i="3"/>
  <c r="P25" i="3"/>
  <c r="P26" i="3"/>
  <c r="P27" i="3"/>
  <c r="P28" i="3"/>
  <c r="P29" i="3"/>
  <c r="P4" i="3"/>
  <c r="P5" i="3"/>
  <c r="P6" i="3"/>
  <c r="P7" i="3"/>
  <c r="P8" i="3"/>
  <c r="P9" i="3"/>
  <c r="P10" i="3"/>
  <c r="P11" i="3"/>
  <c r="P12" i="3"/>
  <c r="P32" i="3"/>
  <c r="P33" i="3"/>
  <c r="P17" i="3"/>
  <c r="P18" i="3"/>
  <c r="P19" i="3"/>
  <c r="P20" i="3"/>
  <c r="P21" i="3"/>
  <c r="P22" i="3"/>
  <c r="P23" i="3"/>
  <c r="P24" i="3"/>
  <c r="N25" i="3"/>
  <c r="N26" i="3"/>
  <c r="N27" i="3"/>
  <c r="N28" i="3"/>
  <c r="N29" i="3"/>
  <c r="N4" i="3"/>
  <c r="N5" i="3"/>
  <c r="N6" i="3"/>
  <c r="N7" i="3"/>
  <c r="N8" i="3"/>
  <c r="N9" i="3"/>
  <c r="N10" i="3"/>
  <c r="N11" i="3"/>
  <c r="N12" i="3"/>
  <c r="N32" i="3"/>
  <c r="N33" i="3"/>
  <c r="N17" i="3"/>
  <c r="N18" i="3"/>
  <c r="N19" i="3"/>
  <c r="N20" i="3"/>
  <c r="N21" i="3"/>
  <c r="N22" i="3"/>
  <c r="N23" i="3"/>
  <c r="N24" i="3"/>
  <c r="F22" i="1"/>
  <c r="F21" i="1"/>
  <c r="F20" i="1"/>
  <c r="F19" i="1"/>
  <c r="F18" i="1"/>
  <c r="F17" i="1"/>
  <c r="F16" i="1"/>
  <c r="F15" i="1"/>
  <c r="F14" i="1"/>
  <c r="F13" i="1"/>
  <c r="F12" i="1"/>
  <c r="I21" i="1" l="1"/>
  <c r="J22" i="1"/>
  <c r="J4" i="1"/>
  <c r="H21" i="1"/>
  <c r="J21" i="1"/>
  <c r="J17" i="1"/>
  <c r="J11" i="1"/>
  <c r="J7" i="1"/>
  <c r="J3" i="1"/>
  <c r="H20" i="1"/>
  <c r="H16" i="1"/>
  <c r="H10" i="1"/>
  <c r="H6" i="1"/>
  <c r="H2" i="1"/>
  <c r="J15" i="1"/>
  <c r="H13" i="1"/>
  <c r="J9" i="1"/>
  <c r="J20" i="1"/>
  <c r="J16" i="1"/>
  <c r="J10" i="1"/>
  <c r="J6" i="1"/>
  <c r="J2" i="1"/>
  <c r="H19" i="1"/>
  <c r="H9" i="1"/>
  <c r="H5" i="1"/>
  <c r="J14" i="1"/>
  <c r="H12" i="1"/>
  <c r="J5" i="1"/>
  <c r="H22" i="1"/>
  <c r="H18" i="1"/>
  <c r="H8" i="1"/>
  <c r="H4" i="1"/>
  <c r="J13" i="1"/>
  <c r="H15" i="1"/>
  <c r="J19" i="1"/>
  <c r="J18" i="1"/>
  <c r="J8" i="1"/>
  <c r="H17" i="1"/>
  <c r="H11" i="1"/>
  <c r="H7" i="1"/>
  <c r="H3" i="1"/>
  <c r="J12" i="1"/>
  <c r="H14" i="1"/>
  <c r="F10" i="1"/>
  <c r="F7" i="1"/>
  <c r="F4" i="1"/>
  <c r="F3" i="1" l="1"/>
  <c r="F6" i="1"/>
  <c r="F9" i="1"/>
  <c r="F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Klinkert, Susan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Sample volume handed in for TC/IC analysis by the SFA.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Dilution of total DOC extract before fractionation.</t>
        </r>
      </text>
    </comment>
    <comment ref="F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Dilution factor for SFA measurement.
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Concentration of inorganic carbon measured by SFA.
</t>
        </r>
      </text>
    </comment>
    <comment ref="H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Concentration of total carbon measured by SFA.
</t>
        </r>
      </text>
    </comment>
    <comment ref="I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DOC is the difference between TC and IC.
</t>
        </r>
      </text>
    </comment>
    <comment ref="J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Total DOC concentration considering  the different dilution factors.</t>
        </r>
      </text>
    </comment>
    <comment ref="R1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Assume HA = 50% C</t>
        </r>
      </text>
    </comment>
    <comment ref="S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Assume HA = 50% C</t>
        </r>
      </text>
    </comment>
    <comment ref="T1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Assume FA = 50% C</t>
        </r>
      </text>
    </comment>
    <comment ref="U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Assume FA = 50% 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Klinkert, Susan</author>
  </authors>
  <commentList>
    <comment ref="Y1" authorId="0" shapeId="0" xr:uid="{330E7AB7-3FB8-4264-AEEB-616EBA12E485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Calculated with ORCHESTRA based on oxalate extractable Al and Fe concentrations</t>
        </r>
      </text>
    </comment>
    <comment ref="Z1" authorId="0" shapeId="0" xr:uid="{FD8BC77E-7988-4653-946B-BF53077C8905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Calculated with ORCHESTRA based on oxalate extractable Al and Fe concentrations</t>
        </r>
      </text>
    </comment>
    <comment ref="R3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All composts weighed in based on 1.5 g dw at 105 degrees.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Klinkert, Susan</author>
  </authors>
  <commentList>
    <comment ref="G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Poured into measuring cylinder, not compressed.
Density of fresh material is assumed to be equal to density of dry compost (105 C).</t>
        </r>
      </text>
    </comment>
    <comment ref="C1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For M not determined, due to large amount needed for determining density.</t>
        </r>
      </text>
    </comment>
    <comment ref="G1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Average density of other composts is taken: M has resembling OM content as W, but higher packing density due to small particle size.</t>
        </r>
      </text>
    </comment>
    <comment ref="G2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Klinkert, Susan:</t>
        </r>
        <r>
          <rPr>
            <sz val="9"/>
            <color indexed="81"/>
            <rFont val="Tahoma"/>
            <family val="2"/>
          </rPr>
          <t xml:space="preserve">
50% water content: Density of MAR-wet is built up from 50% compost with density~0.39 g/cm3 and 50% water with density~1 g/cm3</t>
        </r>
      </text>
    </comment>
  </commentList>
</comments>
</file>

<file path=xl/sharedStrings.xml><?xml version="1.0" encoding="utf-8"?>
<sst xmlns="http://schemas.openxmlformats.org/spreadsheetml/2006/main" count="846" uniqueCount="390">
  <si>
    <t>Var:</t>
  </si>
  <si>
    <t>pH</t>
  </si>
  <si>
    <t>Cu+2.tot</t>
  </si>
  <si>
    <t>Zn+2.tot</t>
  </si>
  <si>
    <t>Cd+2.tot</t>
  </si>
  <si>
    <t>DHA_kgl</t>
  </si>
  <si>
    <t>SHA_kgkg</t>
  </si>
  <si>
    <t>SFA_kgkg</t>
  </si>
  <si>
    <t>DFA_kgl</t>
  </si>
  <si>
    <t>Lab</t>
  </si>
  <si>
    <t>Sample ID</t>
  </si>
  <si>
    <t>IC</t>
  </si>
  <si>
    <t>TC</t>
  </si>
  <si>
    <t>nr.</t>
  </si>
  <si>
    <t>[mg/l]</t>
  </si>
  <si>
    <t>1BL-0</t>
  </si>
  <si>
    <t>0.1</t>
  </si>
  <si>
    <t>1BL-1</t>
  </si>
  <si>
    <t>A3</t>
  </si>
  <si>
    <t>1BL-10</t>
  </si>
  <si>
    <t>A4</t>
  </si>
  <si>
    <t>2BL-0</t>
  </si>
  <si>
    <t>A5</t>
  </si>
  <si>
    <t>2BL-1</t>
  </si>
  <si>
    <t>A6</t>
  </si>
  <si>
    <t>2BL-10</t>
  </si>
  <si>
    <t>A7</t>
  </si>
  <si>
    <t>F-0</t>
  </si>
  <si>
    <t>15.1</t>
  </si>
  <si>
    <t>146</t>
  </si>
  <si>
    <t>A8</t>
  </si>
  <si>
    <t>F-1</t>
  </si>
  <si>
    <t>10.6</t>
  </si>
  <si>
    <t>115</t>
  </si>
  <si>
    <t>A9</t>
  </si>
  <si>
    <t>F-10</t>
  </si>
  <si>
    <t>7.1</t>
  </si>
  <si>
    <t>73.9</t>
  </si>
  <si>
    <t>A10</t>
  </si>
  <si>
    <t>G-0</t>
  </si>
  <si>
    <t>4.2</t>
  </si>
  <si>
    <t>121</t>
  </si>
  <si>
    <t>A11</t>
  </si>
  <si>
    <t>G-1</t>
  </si>
  <si>
    <t>2.9</t>
  </si>
  <si>
    <t>108</t>
  </si>
  <si>
    <t>A12</t>
  </si>
  <si>
    <t>G-10</t>
  </si>
  <si>
    <t>1.3</t>
  </si>
  <si>
    <t>61.8</t>
  </si>
  <si>
    <t>A13</t>
  </si>
  <si>
    <t>W-0</t>
  </si>
  <si>
    <t>0.8</t>
  </si>
  <si>
    <t>102</t>
  </si>
  <si>
    <t>A14</t>
  </si>
  <si>
    <t>W-1</t>
  </si>
  <si>
    <t>87.1</t>
  </si>
  <si>
    <t>A15</t>
  </si>
  <si>
    <t>W-10</t>
  </si>
  <si>
    <t>1.0</t>
  </si>
  <si>
    <t>320</t>
  </si>
  <si>
    <t>A16</t>
  </si>
  <si>
    <t>M-1</t>
  </si>
  <si>
    <t>0.2</t>
  </si>
  <si>
    <t>145</t>
  </si>
  <si>
    <t>M16-120</t>
  </si>
  <si>
    <t>Al</t>
  </si>
  <si>
    <t>Ca</t>
  </si>
  <si>
    <t>Fe</t>
  </si>
  <si>
    <t>Mg</t>
  </si>
  <si>
    <t>P</t>
  </si>
  <si>
    <t>S</t>
  </si>
  <si>
    <t>Cd</t>
  </si>
  <si>
    <t>Cu</t>
  </si>
  <si>
    <t>Mn</t>
  </si>
  <si>
    <t>Zn</t>
  </si>
  <si>
    <t>[µg/l]</t>
  </si>
  <si>
    <t>6.8</t>
  </si>
  <si>
    <t>MOLAR MASS</t>
  </si>
  <si>
    <t>C</t>
  </si>
  <si>
    <t>g/mol</t>
  </si>
  <si>
    <t>SAMPLE</t>
  </si>
  <si>
    <t>Sample name</t>
  </si>
  <si>
    <t>HA</t>
  </si>
  <si>
    <t>FA</t>
  </si>
  <si>
    <t>unit</t>
  </si>
  <si>
    <t>[-]</t>
  </si>
  <si>
    <t>[mg C/L]</t>
  </si>
  <si>
    <t>[%]</t>
  </si>
  <si>
    <t>DHA</t>
  </si>
  <si>
    <t>SHA</t>
  </si>
  <si>
    <t>[kg/kg]</t>
  </si>
  <si>
    <t>DFA</t>
  </si>
  <si>
    <t>SFA</t>
  </si>
  <si>
    <t>F0-1-168</t>
  </si>
  <si>
    <t>G0-1-168</t>
  </si>
  <si>
    <t>W0-1-168</t>
  </si>
  <si>
    <t>M0-1-168</t>
  </si>
  <si>
    <t>F20</t>
  </si>
  <si>
    <t>F40</t>
  </si>
  <si>
    <t>G20</t>
  </si>
  <si>
    <t>G40</t>
  </si>
  <si>
    <t>W20</t>
  </si>
  <si>
    <t>W40</t>
  </si>
  <si>
    <t>MAR-wet</t>
  </si>
  <si>
    <t>Order</t>
  </si>
  <si>
    <t>M16-130</t>
  </si>
  <si>
    <t>M16-145</t>
  </si>
  <si>
    <t>1BL-168</t>
  </si>
  <si>
    <t>2BL-168</t>
  </si>
  <si>
    <t>1BL</t>
  </si>
  <si>
    <t>2BL</t>
  </si>
  <si>
    <t>[mol/L]</t>
  </si>
  <si>
    <t>Volume sample analyses</t>
  </si>
  <si>
    <t>Total added volume to adjust pH</t>
  </si>
  <si>
    <t>Dilution factor for fractionation</t>
  </si>
  <si>
    <t>Extra dilution factor for analyses</t>
  </si>
  <si>
    <r>
      <t xml:space="preserve">Total DOC
</t>
    </r>
    <r>
      <rPr>
        <sz val="11"/>
        <rFont val="Calibri"/>
        <family val="2"/>
        <scheme val="minor"/>
      </rPr>
      <t>measured</t>
    </r>
  </si>
  <si>
    <t>Real total DOC
analysis</t>
  </si>
  <si>
    <t>[mL]</t>
  </si>
  <si>
    <t>[mg/L]</t>
  </si>
  <si>
    <t>24.0</t>
  </si>
  <si>
    <t>80.3</t>
  </si>
  <si>
    <t>14.0</t>
  </si>
  <si>
    <t>75.2</t>
  </si>
  <si>
    <t>3.4</t>
  </si>
  <si>
    <t>342</t>
  </si>
  <si>
    <t>3.3</t>
  </si>
  <si>
    <t>311</t>
  </si>
  <si>
    <t>3.8</t>
  </si>
  <si>
    <t>133</t>
  </si>
  <si>
    <t>8.6</t>
  </si>
  <si>
    <t>152</t>
  </si>
  <si>
    <t>2.1</t>
  </si>
  <si>
    <t>103</t>
  </si>
  <si>
    <t>3.1</t>
  </si>
  <si>
    <t>0.4</t>
  </si>
  <si>
    <t>124</t>
  </si>
  <si>
    <t>123</t>
  </si>
  <si>
    <t>1F</t>
  </si>
  <si>
    <t>G</t>
  </si>
  <si>
    <t>W</t>
  </si>
  <si>
    <t>MAR</t>
  </si>
  <si>
    <t>2F</t>
  </si>
  <si>
    <t>HA - CaCl2</t>
  </si>
  <si>
    <t>FA - CaCl2</t>
  </si>
  <si>
    <t>HA - acid/base</t>
  </si>
  <si>
    <t>FA - acid/base</t>
  </si>
  <si>
    <t>F_av</t>
  </si>
  <si>
    <t>2F40</t>
  </si>
  <si>
    <t>F40_av</t>
  </si>
  <si>
    <t>H2CO3</t>
  </si>
  <si>
    <t>[kg/L]</t>
  </si>
  <si>
    <t>S16-030</t>
  </si>
  <si>
    <t>Based on fresh weight</t>
  </si>
  <si>
    <t>Based on dry weight</t>
  </si>
  <si>
    <t>Monster</t>
  </si>
  <si>
    <t>Water content</t>
  </si>
  <si>
    <t>code</t>
  </si>
  <si>
    <t>[mg/kg]</t>
  </si>
  <si>
    <t xml:space="preserve">GWC 0 </t>
  </si>
  <si>
    <t>494</t>
  </si>
  <si>
    <t>5886</t>
  </si>
  <si>
    <t>0.240</t>
  </si>
  <si>
    <t>3.9</t>
  </si>
  <si>
    <t>897</t>
  </si>
  <si>
    <t>598</t>
  </si>
  <si>
    <t>169</t>
  </si>
  <si>
    <t>672</t>
  </si>
  <si>
    <t>58</t>
  </si>
  <si>
    <t>54.7</t>
  </si>
  <si>
    <t xml:space="preserve"> 20 </t>
  </si>
  <si>
    <t>821</t>
  </si>
  <si>
    <t>9742</t>
  </si>
  <si>
    <t>0.420</t>
  </si>
  <si>
    <t>1498</t>
  </si>
  <si>
    <t>964</t>
  </si>
  <si>
    <t>291</t>
  </si>
  <si>
    <t>1165</t>
  </si>
  <si>
    <t>98</t>
  </si>
  <si>
    <t>93.9</t>
  </si>
  <si>
    <t xml:space="preserve"> 40 </t>
  </si>
  <si>
    <t>771</t>
  </si>
  <si>
    <t>9424</t>
  </si>
  <si>
    <t>0.381</t>
  </si>
  <si>
    <t>6.5</t>
  </si>
  <si>
    <t>1429</t>
  </si>
  <si>
    <t>958</t>
  </si>
  <si>
    <t>272</t>
  </si>
  <si>
    <t>1074</t>
  </si>
  <si>
    <t>92</t>
  </si>
  <si>
    <t>89.4</t>
  </si>
  <si>
    <t xml:space="preserve">FL 0 </t>
  </si>
  <si>
    <t>335</t>
  </si>
  <si>
    <t>6639</t>
  </si>
  <si>
    <t>0.173</t>
  </si>
  <si>
    <t>3.2</t>
  </si>
  <si>
    <t>303</t>
  </si>
  <si>
    <t>616</t>
  </si>
  <si>
    <t>443</t>
  </si>
  <si>
    <t>91</t>
  </si>
  <si>
    <t>45.7</t>
  </si>
  <si>
    <t>767</t>
  </si>
  <si>
    <t>14017</t>
  </si>
  <si>
    <t>0.380</t>
  </si>
  <si>
    <t>7.3</t>
  </si>
  <si>
    <t>773</t>
  </si>
  <si>
    <t>1361</t>
  </si>
  <si>
    <t>384</t>
  </si>
  <si>
    <t>1014</t>
  </si>
  <si>
    <t>193</t>
  </si>
  <si>
    <t>101</t>
  </si>
  <si>
    <t>728</t>
  </si>
  <si>
    <t>13833</t>
  </si>
  <si>
    <t>0.363</t>
  </si>
  <si>
    <t>7.0</t>
  </si>
  <si>
    <t>708</t>
  </si>
  <si>
    <t>1217</t>
  </si>
  <si>
    <t>360</t>
  </si>
  <si>
    <t>996</t>
  </si>
  <si>
    <t>195</t>
  </si>
  <si>
    <t>96.8</t>
  </si>
  <si>
    <t xml:space="preserve">WC 0 </t>
  </si>
  <si>
    <t>56.3</t>
  </si>
  <si>
    <t>4665</t>
  </si>
  <si>
    <t>0.602</t>
  </si>
  <si>
    <t>26.2</t>
  </si>
  <si>
    <t>539</t>
  </si>
  <si>
    <t>110</t>
  </si>
  <si>
    <t>403</t>
  </si>
  <si>
    <t>11</t>
  </si>
  <si>
    <t>64.4</t>
  </si>
  <si>
    <t>153</t>
  </si>
  <si>
    <t>12824</t>
  </si>
  <si>
    <t>1.61</t>
  </si>
  <si>
    <t>1.1</t>
  </si>
  <si>
    <t>77.1</t>
  </si>
  <si>
    <t>1466</t>
  </si>
  <si>
    <t>286</t>
  </si>
  <si>
    <t>1081</t>
  </si>
  <si>
    <t>33</t>
  </si>
  <si>
    <t>178</t>
  </si>
  <si>
    <t>181</t>
  </si>
  <si>
    <t>13302</t>
  </si>
  <si>
    <t>1.79</t>
  </si>
  <si>
    <t>85.5</t>
  </si>
  <si>
    <t>1549</t>
  </si>
  <si>
    <t>330</t>
  </si>
  <si>
    <t>1247</t>
  </si>
  <si>
    <t>36</t>
  </si>
  <si>
    <t>191</t>
  </si>
  <si>
    <t xml:space="preserve">Marsep235  </t>
  </si>
  <si>
    <t>306</t>
  </si>
  <si>
    <t>17186</t>
  </si>
  <si>
    <t>0.162</t>
  </si>
  <si>
    <t>4.3</t>
  </si>
  <si>
    <t>212</t>
  </si>
  <si>
    <t>5125</t>
  </si>
  <si>
    <t>40.2</t>
  </si>
  <si>
    <t>436</t>
  </si>
  <si>
    <t>632</t>
  </si>
  <si>
    <t>22.0</t>
  </si>
  <si>
    <t>[mol/kg]</t>
  </si>
  <si>
    <t>Blanks</t>
  </si>
  <si>
    <t>Composts</t>
  </si>
  <si>
    <t>Moist</t>
  </si>
  <si>
    <t>Dry</t>
  </si>
  <si>
    <t>3x dilution</t>
  </si>
  <si>
    <t>PO4</t>
  </si>
  <si>
    <t>SO4</t>
  </si>
  <si>
    <t>HA - 
solid phase</t>
  </si>
  <si>
    <t>FA - 
solid phase</t>
  </si>
  <si>
    <t>Cl-.solution</t>
  </si>
  <si>
    <t>H2CO3.solution</t>
  </si>
  <si>
    <t>PO4-3.solution</t>
  </si>
  <si>
    <t>SO4-2.solution</t>
  </si>
  <si>
    <t>Ca+2.solution</t>
  </si>
  <si>
    <t>Mg+2.solution</t>
  </si>
  <si>
    <t>Mn+2.solution</t>
  </si>
  <si>
    <t>soilmass</t>
  </si>
  <si>
    <t>watervolume</t>
  </si>
  <si>
    <t>Grain Size Analyser</t>
  </si>
  <si>
    <t>[vol-%]</t>
  </si>
  <si>
    <t>Clay</t>
  </si>
  <si>
    <t>[g]</t>
  </si>
  <si>
    <t>1. 50 mL</t>
  </si>
  <si>
    <t>2. 50 mL</t>
  </si>
  <si>
    <t>3. 50 mL</t>
  </si>
  <si>
    <t>Av. Mass</t>
  </si>
  <si>
    <t>[g/cm3]</t>
  </si>
  <si>
    <t>Density compost</t>
  </si>
  <si>
    <t>Density illite</t>
  </si>
  <si>
    <t>http://www.mindat.org/min-2011.html</t>
  </si>
  <si>
    <t>CHEMISTRY OF ILLITE-SMECTITE INFERRED FROM</t>
  </si>
  <si>
    <t>TEM MEASUREMENTS OF FUNDAMENTAL</t>
  </si>
  <si>
    <t>PARTICLES</t>
  </si>
  <si>
    <t>J. SRODON, F. ELSASS, W. J. McHARDY AND D. J. MORGAN (1992)</t>
  </si>
  <si>
    <t>M16-224</t>
  </si>
  <si>
    <t>Lab #</t>
  </si>
  <si>
    <t>Short code</t>
  </si>
  <si>
    <t>Code</t>
  </si>
  <si>
    <t>3F</t>
  </si>
  <si>
    <t>4F</t>
  </si>
  <si>
    <t>5F</t>
  </si>
  <si>
    <t>6F</t>
  </si>
  <si>
    <t>7F</t>
  </si>
  <si>
    <t>8F</t>
  </si>
  <si>
    <t>9F</t>
  </si>
  <si>
    <t>10F</t>
  </si>
  <si>
    <t>11F</t>
  </si>
  <si>
    <t>12F</t>
  </si>
  <si>
    <t>Bl1</t>
  </si>
  <si>
    <t>Bl2</t>
  </si>
  <si>
    <t>F0</t>
  </si>
  <si>
    <t>G0</t>
  </si>
  <si>
    <t>g compost (105 C dw)</t>
  </si>
  <si>
    <t>ml oxalate</t>
  </si>
  <si>
    <t>L/S ratio</t>
  </si>
  <si>
    <t>dilution factor</t>
  </si>
  <si>
    <t>FeOOH</t>
  </si>
  <si>
    <t>OXALATE EXTRACTION</t>
  </si>
  <si>
    <t>CLAY_kgkg</t>
  </si>
  <si>
    <t>HFO_kgkg</t>
  </si>
  <si>
    <t>MAR_av</t>
  </si>
  <si>
    <t>Acid/base extraction</t>
  </si>
  <si>
    <t>name</t>
  </si>
  <si>
    <t>//</t>
  </si>
  <si>
    <t>treatment</t>
  </si>
  <si>
    <t>Data:</t>
  </si>
  <si>
    <t>F0-0-2</t>
  </si>
  <si>
    <t>F1</t>
  </si>
  <si>
    <t>F0-1-2</t>
  </si>
  <si>
    <t>F10</t>
  </si>
  <si>
    <t>F0-10-2</t>
  </si>
  <si>
    <t>G0-0-2</t>
  </si>
  <si>
    <t>G1</t>
  </si>
  <si>
    <t>G0-1-2</t>
  </si>
  <si>
    <t>G10</t>
  </si>
  <si>
    <t>G0-10-2</t>
  </si>
  <si>
    <t>W0</t>
  </si>
  <si>
    <t>W0-0-2</t>
  </si>
  <si>
    <t>W1</t>
  </si>
  <si>
    <t>W0-1-2</t>
  </si>
  <si>
    <t>W10</t>
  </si>
  <si>
    <t>W0-10-2</t>
  </si>
  <si>
    <t>M1</t>
  </si>
  <si>
    <t>M0-1-2</t>
  </si>
  <si>
    <t>F168</t>
  </si>
  <si>
    <t>G168</t>
  </si>
  <si>
    <t>W168</t>
  </si>
  <si>
    <t>M168</t>
  </si>
  <si>
    <t>F20-1-2</t>
  </si>
  <si>
    <t>F40-1-2</t>
  </si>
  <si>
    <t>G20-1-2</t>
  </si>
  <si>
    <t>G40-1-2</t>
  </si>
  <si>
    <t>W20-1-2</t>
  </si>
  <si>
    <t>W40-1-2</t>
  </si>
  <si>
    <t>M1-1-2</t>
  </si>
  <si>
    <t>[g/kg]</t>
  </si>
  <si>
    <t>Explanation</t>
  </si>
  <si>
    <t>Forest litter, fresh, extracted with UPW, 2h shaking</t>
  </si>
  <si>
    <t>Green waste compost, fresh, extracted with UPW, 2h shaking</t>
  </si>
  <si>
    <t>Wood chips, fresh, extracted with UPW, 2h shaking</t>
  </si>
  <si>
    <t>Forest litter, fresh, extracted with 1 mM CaCl2, 2h shaking</t>
  </si>
  <si>
    <t>Forest litter, fresh, extracted with 10 mM CaCl2, 2h shaking</t>
  </si>
  <si>
    <t>Green waste compost, fresh, extracted with 1 mM CaCl2, 2h shaking</t>
  </si>
  <si>
    <t>Green waste compost, fresh, extracted with 10 mM CaCl2, 2h shaking</t>
  </si>
  <si>
    <t>Wood chips, fresh, extracted with 1 mM CaCl2, 2h shaking</t>
  </si>
  <si>
    <t>Wood chips, fresh, extracted with 10 mM CaCl2, 2h shaking</t>
  </si>
  <si>
    <t>Forest litter, fresh, extracted with 1 mM CaCl2, 168h shaking</t>
  </si>
  <si>
    <t>Green waste compost, fresh, extracted with 1 mM CaCl2, 168h shaking</t>
  </si>
  <si>
    <t>Wood chips, fresh, extracted with 1 mM CaCl2, 168h shaking</t>
  </si>
  <si>
    <r>
      <t xml:space="preserve">Forest litter, dried at 20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</si>
  <si>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r>
      <t xml:space="preserve">Forest litter, dried at 40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</si>
  <si>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r>
      <t xml:space="preserve">Green waste compost, dried at 20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</si>
  <si>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r>
      <t xml:space="preserve">Green waste compost, dried at 40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</si>
  <si>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r>
      <t xml:space="preserve">Wood chips, dried at 20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</si>
  <si>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r>
      <t xml:space="preserve">Wood chips, dried at 40 </t>
    </r>
    <r>
      <rPr>
        <sz val="11"/>
        <color theme="1"/>
        <rFont val="Calibri"/>
        <family val="2"/>
      </rPr>
      <t>°C</t>
    </r>
    <r>
      <rPr>
        <sz val="11"/>
        <color theme="1"/>
        <rFont val="Calibri"/>
        <family val="2"/>
        <scheme val="minor"/>
      </rPr>
      <t>, extracted with 1 mM CaCl2, 2h shaking</t>
    </r>
  </si>
  <si>
    <t>MARSEP 235, dry, extracted with 1 mM CaCl2, 2h shaking</t>
  </si>
  <si>
    <t>MARSEP 235, dry, extracted with 1 mM CaCl2, 168h shaking</t>
  </si>
  <si>
    <t>MARSEP 235, rewetted, extracted with 1 mM CaCl2, 2h shaking</t>
  </si>
  <si>
    <t xml:space="preserve">Var: </t>
  </si>
  <si>
    <t xml:space="preserve"> name                    </t>
  </si>
  <si>
    <t xml:space="preserve"> Ferrihydrite.min        </t>
  </si>
  <si>
    <t xml:space="preserve"> Al[OH]3[am].min         </t>
  </si>
  <si>
    <t>HFO_predicted</t>
  </si>
  <si>
    <t>Al+3.tot</t>
  </si>
  <si>
    <t>Fe+3.tot</t>
  </si>
  <si>
    <t>Al+3 oxalate</t>
  </si>
  <si>
    <t xml:space="preserve">Fe+3 oxalate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</si>
</sst>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E+00"/>
    <numFmt numFmtId="167" formatCode="0.000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color theme="4"/>
      <name val="Calibri"/>
      <family val="2"/>
      <scheme val="minor"/>
    </font>
    <font>
      <b/>
      <sz val="11"/>
      <color rgb="FF000000"/>
      <name val="Calibri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05">
    <xf numFmtId="0" fontId="0" fillId="0" borderId="0" xfId="0"/>
    <xf numFmtId="0" fontId="0" fillId="2" borderId="1" xfId="0" applyFill="1" applyBorder="1"/>
    <xf numFmtId="11" fontId="0" fillId="2" borderId="3" xfId="0" applyNumberFormat="1" applyFill="1" applyBorder="1"/>
    <xf numFmtId="11" fontId="0" fillId="0" borderId="0" xfId="0" applyNumberFormat="1"/>
    <xf numFmtId="11" fontId="0" fillId="0" borderId="3" xfId="0" applyNumberFormat="1" applyBorder="1"/>
    <xf numFmtId="11" fontId="0" fillId="2" borderId="6" xfId="0" applyNumberFormat="1" applyFill="1" applyBorder="1"/>
    <xf numFmtId="11" fontId="0" fillId="2" borderId="4" xfId="0" applyNumberFormat="1" applyFill="1" applyBorder="1"/>
    <xf numFmtId="11" fontId="0" fillId="0" borderId="6" xfId="0" applyNumberFormat="1" applyBorder="1"/>
    <xf numFmtId="11" fontId="0" fillId="0" borderId="4" xfId="0" applyNumberFormat="1" applyBorder="1"/>
    <xf numFmtId="11" fontId="0" fillId="0" borderId="5" xfId="0" applyNumberFormat="1" applyBorder="1"/>
    <xf numFmtId="1" fontId="0" fillId="0" borderId="0" xfId="0" applyNumberFormat="1"/>
    <xf numFmtId="0" fontId="0" fillId="0" borderId="6" xfId="0" applyBorder="1"/>
    <xf numFmtId="1" fontId="8" fillId="0" borderId="0" xfId="0" applyNumberFormat="1" applyFont="1" applyAlignment="1" applyProtection="1">
      <alignment horizont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165" fontId="9" fillId="0" borderId="0" xfId="0" applyNumberFormat="1" applyFont="1" applyAlignment="1" applyProtection="1">
      <alignment horizontal="center"/>
      <protection hidden="1"/>
    </xf>
    <xf numFmtId="1" fontId="8" fillId="0" borderId="0" xfId="0" applyNumberFormat="1" applyFont="1" applyAlignment="1" applyProtection="1">
      <alignment horizontal="center"/>
      <protection hidden="1"/>
    </xf>
    <xf numFmtId="1" fontId="8" fillId="0" borderId="6" xfId="0" applyNumberFormat="1" applyFont="1" applyBorder="1" applyAlignment="1" applyProtection="1">
      <alignment horizontal="center"/>
      <protection hidden="1"/>
    </xf>
    <xf numFmtId="0" fontId="9" fillId="0" borderId="6" xfId="0" applyFont="1" applyBorder="1" applyAlignment="1" applyProtection="1">
      <alignment horizontal="center"/>
      <protection hidden="1"/>
    </xf>
    <xf numFmtId="165" fontId="9" fillId="0" borderId="6" xfId="0" applyNumberFormat="1" applyFont="1" applyBorder="1" applyAlignment="1" applyProtection="1">
      <alignment horizontal="center"/>
      <protection hidden="1"/>
    </xf>
    <xf numFmtId="0" fontId="11" fillId="0" borderId="2" xfId="0" applyFont="1" applyBorder="1"/>
    <xf numFmtId="0" fontId="0" fillId="0" borderId="0" xfId="0" applyAlignment="1">
      <alignment horizontal="right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/>
    </xf>
    <xf numFmtId="0" fontId="0" fillId="0" borderId="15" xfId="0" applyBorder="1"/>
    <xf numFmtId="0" fontId="0" fillId="0" borderId="0" xfId="0" applyNumberFormat="1"/>
    <xf numFmtId="0" fontId="0" fillId="0" borderId="6" xfId="0" applyNumberFormat="1" applyBorder="1"/>
    <xf numFmtId="1" fontId="0" fillId="0" borderId="6" xfId="0" applyNumberFormat="1" applyBorder="1"/>
    <xf numFmtId="0" fontId="0" fillId="0" borderId="3" xfId="0" applyBorder="1"/>
    <xf numFmtId="0" fontId="0" fillId="0" borderId="4" xfId="0" applyBorder="1"/>
    <xf numFmtId="0" fontId="0" fillId="0" borderId="21" xfId="0" applyBorder="1"/>
    <xf numFmtId="0" fontId="0" fillId="2" borderId="22" xfId="0" applyFill="1" applyBorder="1"/>
    <xf numFmtId="0" fontId="0" fillId="0" borderId="8" xfId="0" applyNumberFormat="1" applyBorder="1"/>
    <xf numFmtId="11" fontId="0" fillId="2" borderId="0" xfId="0" applyNumberFormat="1" applyFill="1" applyBorder="1"/>
    <xf numFmtId="11" fontId="0" fillId="0" borderId="0" xfId="0" applyNumberFormat="1" applyBorder="1"/>
    <xf numFmtId="0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7" xfId="0" applyBorder="1"/>
    <xf numFmtId="0" fontId="0" fillId="0" borderId="21" xfId="0" applyNumberFormat="1" applyBorder="1"/>
    <xf numFmtId="11" fontId="0" fillId="2" borderId="22" xfId="0" applyNumberFormat="1" applyFill="1" applyBorder="1"/>
    <xf numFmtId="11" fontId="0" fillId="2" borderId="23" xfId="0" applyNumberFormat="1" applyFill="1" applyBorder="1"/>
    <xf numFmtId="0" fontId="0" fillId="0" borderId="25" xfId="0" applyBorder="1"/>
    <xf numFmtId="0" fontId="7" fillId="0" borderId="15" xfId="0" applyNumberFormat="1" applyFont="1" applyBorder="1" applyAlignment="1" applyProtection="1">
      <alignment horizontal="center"/>
      <protection hidden="1"/>
    </xf>
    <xf numFmtId="0" fontId="7" fillId="0" borderId="0" xfId="0" applyNumberFormat="1" applyFont="1" applyBorder="1" applyAlignment="1" applyProtection="1">
      <alignment horizontal="center"/>
      <protection hidden="1"/>
    </xf>
    <xf numFmtId="0" fontId="7" fillId="0" borderId="3" xfId="0" applyNumberFormat="1" applyFont="1" applyBorder="1" applyAlignment="1" applyProtection="1">
      <alignment horizontal="center"/>
      <protection hidden="1"/>
    </xf>
    <xf numFmtId="0" fontId="7" fillId="0" borderId="6" xfId="0" applyNumberFormat="1" applyFont="1" applyBorder="1" applyAlignment="1" applyProtection="1">
      <alignment horizontal="center"/>
      <protection hidden="1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  <protection hidden="1"/>
    </xf>
    <xf numFmtId="0" fontId="11" fillId="0" borderId="33" xfId="0" applyFont="1" applyBorder="1"/>
    <xf numFmtId="0" fontId="0" fillId="0" borderId="32" xfId="0" applyBorder="1"/>
    <xf numFmtId="0" fontId="0" fillId="0" borderId="30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34" xfId="0" applyNumberFormat="1" applyFont="1" applyBorder="1" applyAlignment="1" applyProtection="1">
      <alignment horizontal="center"/>
      <protection hidden="1"/>
    </xf>
    <xf numFmtId="0" fontId="7" fillId="0" borderId="32" xfId="0" applyNumberFormat="1" applyFont="1" applyBorder="1" applyAlignment="1" applyProtection="1">
      <alignment horizontal="center"/>
      <protection hidden="1"/>
    </xf>
    <xf numFmtId="0" fontId="7" fillId="0" borderId="30" xfId="0" applyNumberFormat="1" applyFont="1" applyFill="1" applyBorder="1" applyAlignment="1" applyProtection="1">
      <alignment horizontal="center"/>
      <protection hidden="1"/>
    </xf>
    <xf numFmtId="0" fontId="7" fillId="0" borderId="3" xfId="0" applyNumberFormat="1" applyFont="1" applyFill="1" applyBorder="1" applyAlignment="1" applyProtection="1">
      <alignment horizontal="center"/>
      <protection hidden="1"/>
    </xf>
    <xf numFmtId="11" fontId="0" fillId="0" borderId="30" xfId="0" applyNumberFormat="1" applyBorder="1"/>
    <xf numFmtId="11" fontId="0" fillId="2" borderId="30" xfId="0" applyNumberFormat="1" applyFill="1" applyBorder="1"/>
    <xf numFmtId="11" fontId="0" fillId="2" borderId="5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165" fontId="0" fillId="0" borderId="0" xfId="0" applyNumberFormat="1"/>
    <xf numFmtId="0" fontId="0" fillId="0" borderId="11" xfId="0" applyBorder="1"/>
    <xf numFmtId="0" fontId="2" fillId="0" borderId="19" xfId="0" applyFont="1" applyBorder="1" applyAlignment="1">
      <alignment horizontal="center" vertical="center"/>
    </xf>
    <xf numFmtId="165" fontId="0" fillId="0" borderId="9" xfId="0" applyNumberFormat="1" applyBorder="1"/>
    <xf numFmtId="165" fontId="0" fillId="0" borderId="37" xfId="0" applyNumberFormat="1" applyBorder="1"/>
    <xf numFmtId="165" fontId="13" fillId="0" borderId="4" xfId="0" applyNumberFormat="1" applyFont="1" applyFill="1" applyBorder="1" applyAlignment="1">
      <alignment horizontal="center"/>
    </xf>
    <xf numFmtId="165" fontId="13" fillId="0" borderId="7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1" fontId="15" fillId="2" borderId="36" xfId="0" applyNumberFormat="1" applyFont="1" applyFill="1" applyBorder="1" applyAlignment="1" applyProtection="1">
      <alignment horizontal="center" vertical="center"/>
      <protection hidden="1"/>
    </xf>
    <xf numFmtId="11" fontId="15" fillId="2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2" fontId="7" fillId="0" borderId="0" xfId="0" applyNumberFormat="1" applyFont="1" applyBorder="1" applyAlignment="1" applyProtection="1">
      <alignment horizontal="center" wrapText="1"/>
      <protection hidden="1"/>
    </xf>
    <xf numFmtId="2" fontId="7" fillId="0" borderId="3" xfId="0" applyNumberFormat="1" applyFont="1" applyBorder="1" applyAlignment="1" applyProtection="1">
      <alignment horizontal="center" wrapText="1"/>
      <protection hidden="1"/>
    </xf>
    <xf numFmtId="2" fontId="7" fillId="0" borderId="8" xfId="0" applyNumberFormat="1" applyFont="1" applyFill="1" applyBorder="1" applyAlignment="1" applyProtection="1">
      <alignment horizont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Border="1" applyAlignment="1" applyProtection="1">
      <alignment horizontal="center"/>
      <protection hidden="1"/>
    </xf>
    <xf numFmtId="165" fontId="0" fillId="0" borderId="8" xfId="0" applyNumberFormat="1" applyBorder="1"/>
    <xf numFmtId="165" fontId="9" fillId="0" borderId="4" xfId="0" applyNumberFormat="1" applyFont="1" applyBorder="1" applyAlignment="1" applyProtection="1">
      <alignment horizontal="center"/>
      <protection hidden="1"/>
    </xf>
    <xf numFmtId="165" fontId="0" fillId="0" borderId="7" xfId="0" applyNumberFormat="1" applyBorder="1"/>
    <xf numFmtId="165" fontId="0" fillId="0" borderId="6" xfId="0" applyNumberFormat="1" applyBorder="1"/>
    <xf numFmtId="2" fontId="0" fillId="0" borderId="0" xfId="0" applyNumberFormat="1"/>
    <xf numFmtId="2" fontId="7" fillId="0" borderId="0" xfId="0" applyNumberFormat="1" applyFont="1" applyFill="1" applyBorder="1" applyAlignment="1" applyProtection="1">
      <alignment horizontal="center" wrapText="1"/>
      <protection hidden="1"/>
    </xf>
    <xf numFmtId="2" fontId="7" fillId="0" borderId="34" xfId="0" applyNumberFormat="1" applyFont="1" applyBorder="1" applyAlignment="1" applyProtection="1">
      <alignment horizontal="center" wrapText="1"/>
      <protection hidden="1"/>
    </xf>
    <xf numFmtId="2" fontId="7" fillId="0" borderId="15" xfId="0" applyNumberFormat="1" applyFont="1" applyBorder="1" applyAlignment="1" applyProtection="1">
      <alignment horizontal="center" wrapText="1"/>
      <protection hidden="1"/>
    </xf>
    <xf numFmtId="2" fontId="7" fillId="0" borderId="30" xfId="0" applyNumberFormat="1" applyFont="1" applyFill="1" applyBorder="1" applyAlignment="1" applyProtection="1">
      <alignment horizontal="center" wrapText="1"/>
      <protection hidden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1" fontId="0" fillId="2" borderId="29" xfId="0" applyNumberFormat="1" applyFill="1" applyBorder="1"/>
    <xf numFmtId="11" fontId="0" fillId="2" borderId="2" xfId="0" applyNumberFormat="1" applyFill="1" applyBorder="1"/>
    <xf numFmtId="11" fontId="0" fillId="2" borderId="1" xfId="0" applyNumberFormat="1" applyFill="1" applyBorder="1"/>
    <xf numFmtId="2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2" xfId="0" applyNumberFormat="1" applyBorder="1"/>
    <xf numFmtId="0" fontId="2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1" fontId="15" fillId="2" borderId="38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>
      <alignment horizontal="left"/>
    </xf>
    <xf numFmtId="0" fontId="0" fillId="0" borderId="21" xfId="0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10" fillId="0" borderId="0" xfId="0" applyNumberFormat="1" applyFont="1" applyFill="1" applyAlignment="1" applyProtection="1">
      <alignment horizontal="left"/>
      <protection hidden="1"/>
    </xf>
    <xf numFmtId="0" fontId="10" fillId="0" borderId="6" xfId="0" applyNumberFormat="1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0" borderId="2" xfId="0" applyFill="1" applyBorder="1"/>
    <xf numFmtId="0" fontId="0" fillId="0" borderId="22" xfId="0" applyFill="1" applyBorder="1"/>
    <xf numFmtId="11" fontId="0" fillId="0" borderId="0" xfId="0" applyNumberFormat="1" applyFill="1" applyBorder="1"/>
    <xf numFmtId="11" fontId="0" fillId="0" borderId="3" xfId="0" applyNumberFormat="1" applyFill="1" applyBorder="1"/>
    <xf numFmtId="11" fontId="0" fillId="0" borderId="6" xfId="0" applyNumberFormat="1" applyFill="1" applyBorder="1"/>
    <xf numFmtId="11" fontId="0" fillId="0" borderId="4" xfId="0" applyNumberFormat="1" applyFill="1" applyBorder="1"/>
    <xf numFmtId="11" fontId="0" fillId="0" borderId="22" xfId="0" applyNumberFormat="1" applyFill="1" applyBorder="1"/>
    <xf numFmtId="11" fontId="0" fillId="0" borderId="23" xfId="0" applyNumberFormat="1" applyFill="1" applyBorder="1"/>
    <xf numFmtId="11" fontId="0" fillId="0" borderId="28" xfId="0" applyNumberFormat="1" applyFill="1" applyBorder="1"/>
    <xf numFmtId="11" fontId="0" fillId="0" borderId="29" xfId="0" applyNumberFormat="1" applyFill="1" applyBorder="1"/>
    <xf numFmtId="11" fontId="0" fillId="0" borderId="30" xfId="0" applyNumberFormat="1" applyFill="1" applyBorder="1"/>
    <xf numFmtId="11" fontId="0" fillId="0" borderId="31" xfId="0" applyNumberFormat="1" applyFill="1" applyBorder="1"/>
    <xf numFmtId="11" fontId="0" fillId="0" borderId="2" xfId="0" applyNumberFormat="1" applyFill="1" applyBorder="1"/>
    <xf numFmtId="11" fontId="0" fillId="0" borderId="1" xfId="0" applyNumberFormat="1" applyFill="1" applyBorder="1"/>
    <xf numFmtId="11" fontId="0" fillId="0" borderId="5" xfId="0" applyNumberFormat="1" applyFill="1" applyBorder="1"/>
    <xf numFmtId="0" fontId="0" fillId="0" borderId="0" xfId="0" applyFill="1"/>
    <xf numFmtId="11" fontId="15" fillId="2" borderId="2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ill="1" applyBorder="1"/>
    <xf numFmtId="11" fontId="15" fillId="2" borderId="3" xfId="0" applyNumberFormat="1" applyFont="1" applyFill="1" applyBorder="1"/>
    <xf numFmtId="11" fontId="15" fillId="2" borderId="1" xfId="0" applyNumberFormat="1" applyFont="1" applyFill="1" applyBorder="1"/>
    <xf numFmtId="11" fontId="15" fillId="2" borderId="4" xfId="0" applyNumberFormat="1" applyFont="1" applyFill="1" applyBorder="1"/>
    <xf numFmtId="11" fontId="15" fillId="2" borderId="11" xfId="0" applyNumberFormat="1" applyFont="1" applyFill="1" applyBorder="1"/>
    <xf numFmtId="0" fontId="0" fillId="2" borderId="21" xfId="0" applyFill="1" applyBorder="1" applyAlignment="1">
      <alignment horizontal="left"/>
    </xf>
    <xf numFmtId="2" fontId="6" fillId="2" borderId="8" xfId="0" applyNumberFormat="1" applyFont="1" applyFill="1" applyBorder="1" applyAlignment="1">
      <alignment horizontal="left"/>
    </xf>
    <xf numFmtId="2" fontId="6" fillId="2" borderId="7" xfId="0" applyNumberFormat="1" applyFont="1" applyFill="1" applyBorder="1" applyAlignment="1">
      <alignment horizontal="left"/>
    </xf>
    <xf numFmtId="2" fontId="6" fillId="2" borderId="21" xfId="0" applyNumberFormat="1" applyFont="1" applyFill="1" applyBorder="1" applyAlignment="1">
      <alignment horizontal="left"/>
    </xf>
    <xf numFmtId="2" fontId="0" fillId="2" borderId="8" xfId="0" applyNumberFormat="1" applyFill="1" applyBorder="1" applyAlignment="1">
      <alignment horizontal="left"/>
    </xf>
    <xf numFmtId="2" fontId="0" fillId="2" borderId="25" xfId="0" applyNumberFormat="1" applyFill="1" applyBorder="1" applyAlignment="1">
      <alignment horizontal="left"/>
    </xf>
    <xf numFmtId="2" fontId="0" fillId="2" borderId="7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2" fontId="0" fillId="0" borderId="7" xfId="0" applyNumberFormat="1" applyBorder="1"/>
    <xf numFmtId="0" fontId="2" fillId="0" borderId="0" xfId="0" applyFont="1"/>
    <xf numFmtId="0" fontId="2" fillId="0" borderId="3" xfId="0" applyFont="1" applyBorder="1"/>
    <xf numFmtId="0" fontId="2" fillId="0" borderId="8" xfId="0" applyFont="1" applyBorder="1"/>
    <xf numFmtId="164" fontId="0" fillId="0" borderId="8" xfId="0" applyNumberFormat="1" applyBorder="1"/>
    <xf numFmtId="164" fontId="0" fillId="0" borderId="7" xfId="0" applyNumberFormat="1" applyBorder="1"/>
    <xf numFmtId="164" fontId="0" fillId="0" borderId="21" xfId="0" applyNumberFormat="1" applyBorder="1"/>
    <xf numFmtId="164" fontId="0" fillId="0" borderId="25" xfId="0" applyNumberFormat="1" applyBorder="1"/>
    <xf numFmtId="2" fontId="0" fillId="0" borderId="8" xfId="0" applyNumberFormat="1" applyBorder="1"/>
    <xf numFmtId="14" fontId="0" fillId="0" borderId="0" xfId="0" applyNumberFormat="1"/>
    <xf numFmtId="0" fontId="0" fillId="0" borderId="30" xfId="0" applyBorder="1"/>
    <xf numFmtId="0" fontId="0" fillId="0" borderId="5" xfId="0" applyBorder="1"/>
    <xf numFmtId="0" fontId="2" fillId="0" borderId="34" xfId="0" applyFont="1" applyFill="1" applyBorder="1"/>
    <xf numFmtId="0" fontId="0" fillId="0" borderId="6" xfId="0" applyFill="1" applyBorder="1"/>
    <xf numFmtId="0" fontId="0" fillId="0" borderId="4" xfId="0" applyFill="1" applyBorder="1"/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right"/>
    </xf>
    <xf numFmtId="165" fontId="18" fillId="0" borderId="10" xfId="0" applyNumberFormat="1" applyFont="1" applyBorder="1" applyAlignment="1">
      <alignment horizontal="center"/>
    </xf>
    <xf numFmtId="2" fontId="1" fillId="0" borderId="25" xfId="0" applyNumberFormat="1" applyFont="1" applyBorder="1"/>
    <xf numFmtId="2" fontId="1" fillId="0" borderId="21" xfId="0" applyNumberFormat="1" applyFont="1" applyBorder="1"/>
    <xf numFmtId="2" fontId="1" fillId="0" borderId="7" xfId="0" applyNumberFormat="1" applyFont="1" applyBorder="1"/>
    <xf numFmtId="11" fontId="15" fillId="0" borderId="0" xfId="0" applyNumberFormat="1" applyFont="1" applyFill="1" applyBorder="1"/>
    <xf numFmtId="11" fontId="15" fillId="0" borderId="2" xfId="0" applyNumberFormat="1" applyFont="1" applyFill="1" applyBorder="1"/>
    <xf numFmtId="11" fontId="15" fillId="0" borderId="6" xfId="0" applyNumberFormat="1" applyFont="1" applyFill="1" applyBorder="1"/>
    <xf numFmtId="11" fontId="15" fillId="0" borderId="12" xfId="0" applyNumberFormat="1" applyFont="1" applyFill="1" applyBorder="1"/>
    <xf numFmtId="11" fontId="15" fillId="2" borderId="0" xfId="0" applyNumberFormat="1" applyFont="1" applyFill="1" applyBorder="1"/>
    <xf numFmtId="11" fontId="15" fillId="2" borderId="2" xfId="0" applyNumberFormat="1" applyFont="1" applyFill="1" applyBorder="1"/>
    <xf numFmtId="11" fontId="15" fillId="2" borderId="6" xfId="0" applyNumberFormat="1" applyFont="1" applyFill="1" applyBorder="1"/>
    <xf numFmtId="11" fontId="15" fillId="2" borderId="12" xfId="0" applyNumberFormat="1" applyFont="1" applyFill="1" applyBorder="1"/>
    <xf numFmtId="11" fontId="0" fillId="0" borderId="11" xfId="0" applyNumberFormat="1" applyBorder="1"/>
    <xf numFmtId="2" fontId="0" fillId="0" borderId="0" xfId="0" applyNumberFormat="1" applyFill="1"/>
    <xf numFmtId="2" fontId="0" fillId="0" borderId="6" xfId="0" applyNumberFormat="1" applyFill="1" applyBorder="1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NumberFormat="1" applyFill="1"/>
    <xf numFmtId="2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6" xfId="0" applyNumberFormat="1" applyFill="1" applyBorder="1"/>
    <xf numFmtId="2" fontId="0" fillId="0" borderId="6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6" fontId="0" fillId="0" borderId="0" xfId="0" applyNumberFormat="1"/>
    <xf numFmtId="11" fontId="0" fillId="2" borderId="8" xfId="0" applyNumberFormat="1" applyFill="1" applyBorder="1"/>
    <xf numFmtId="11" fontId="0" fillId="2" borderId="7" xfId="0" applyNumberFormat="1" applyFill="1" applyBorder="1"/>
    <xf numFmtId="11" fontId="0" fillId="2" borderId="25" xfId="0" applyNumberFormat="1" applyFill="1" applyBorder="1"/>
    <xf numFmtId="0" fontId="1" fillId="0" borderId="0" xfId="0" applyFont="1"/>
    <xf numFmtId="11" fontId="0" fillId="0" borderId="0" xfId="0" applyNumberFormat="1" applyFill="1"/>
    <xf numFmtId="11" fontId="1" fillId="0" borderId="0" xfId="0" applyNumberFormat="1" applyFont="1"/>
    <xf numFmtId="11" fontId="15" fillId="0" borderId="3" xfId="0" applyNumberFormat="1" applyFont="1" applyFill="1" applyBorder="1"/>
    <xf numFmtId="11" fontId="15" fillId="0" borderId="1" xfId="0" applyNumberFormat="1" applyFont="1" applyFill="1" applyBorder="1"/>
    <xf numFmtId="11" fontId="15" fillId="0" borderId="4" xfId="0" applyNumberFormat="1" applyFont="1" applyFill="1" applyBorder="1"/>
    <xf numFmtId="11" fontId="15" fillId="0" borderId="11" xfId="0" applyNumberFormat="1" applyFont="1" applyFill="1" applyBorder="1"/>
    <xf numFmtId="0" fontId="7" fillId="3" borderId="15" xfId="0" applyNumberFormat="1" applyFont="1" applyFill="1" applyBorder="1" applyAlignment="1" applyProtection="1">
      <alignment horizontal="center"/>
      <protection hidden="1"/>
    </xf>
    <xf numFmtId="0" fontId="7" fillId="3" borderId="0" xfId="0" applyNumberFormat="1" applyFont="1" applyFill="1" applyBorder="1" applyAlignment="1" applyProtection="1">
      <alignment horizontal="center"/>
      <protection hidden="1"/>
    </xf>
    <xf numFmtId="0" fontId="7" fillId="3" borderId="32" xfId="0" applyNumberFormat="1" applyFont="1" applyFill="1" applyBorder="1" applyAlignment="1" applyProtection="1">
      <alignment horizontal="center"/>
      <protection hidden="1"/>
    </xf>
    <xf numFmtId="2" fontId="7" fillId="3" borderId="15" xfId="0" applyNumberFormat="1" applyFont="1" applyFill="1" applyBorder="1" applyAlignment="1" applyProtection="1">
      <alignment horizontal="center" wrapText="1"/>
      <protection hidden="1"/>
    </xf>
    <xf numFmtId="2" fontId="7" fillId="3" borderId="0" xfId="0" applyNumberFormat="1" applyFont="1" applyFill="1" applyBorder="1" applyAlignment="1" applyProtection="1">
      <alignment horizontal="center" wrapText="1"/>
      <protection hidden="1"/>
    </xf>
    <xf numFmtId="2" fontId="7" fillId="3" borderId="32" xfId="0" applyNumberFormat="1" applyFont="1" applyFill="1" applyBorder="1" applyAlignment="1" applyProtection="1">
      <alignment horizontal="center" wrapText="1"/>
      <protection hidden="1"/>
    </xf>
    <xf numFmtId="2" fontId="7" fillId="3" borderId="3" xfId="0" applyNumberFormat="1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/>
    <xf numFmtId="0" fontId="0" fillId="3" borderId="7" xfId="0" applyFill="1" applyBorder="1"/>
    <xf numFmtId="0" fontId="12" fillId="3" borderId="3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15" xfId="0" applyFont="1" applyBorder="1"/>
    <xf numFmtId="0" fontId="2" fillId="0" borderId="15" xfId="0" applyFont="1" applyFill="1" applyBorder="1"/>
    <xf numFmtId="0" fontId="2" fillId="0" borderId="32" xfId="0" applyFont="1" applyFill="1" applyBorder="1"/>
    <xf numFmtId="0" fontId="2" fillId="0" borderId="32" xfId="0" applyFont="1" applyBorder="1"/>
    <xf numFmtId="0" fontId="2" fillId="3" borderId="40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4" xfId="0" applyFont="1" applyBorder="1"/>
    <xf numFmtId="0" fontId="2" fillId="3" borderId="7" xfId="0" applyFont="1" applyFill="1" applyBorder="1"/>
    <xf numFmtId="166" fontId="0" fillId="0" borderId="0" xfId="0" applyNumberFormat="1" applyFill="1"/>
    <xf numFmtId="166" fontId="1" fillId="0" borderId="0" xfId="0" applyNumberFormat="1" applyFont="1"/>
    <xf numFmtId="0" fontId="2" fillId="0" borderId="0" xfId="0" applyFont="1" applyFill="1"/>
    <xf numFmtId="0" fontId="14" fillId="3" borderId="34" xfId="0" applyFont="1" applyFill="1" applyBorder="1"/>
    <xf numFmtId="0" fontId="2" fillId="3" borderId="6" xfId="0" applyFont="1" applyFill="1" applyBorder="1"/>
    <xf numFmtId="0" fontId="2" fillId="3" borderId="4" xfId="0" applyFont="1" applyFill="1" applyBorder="1"/>
    <xf numFmtId="0" fontId="14" fillId="3" borderId="32" xfId="0" applyFont="1" applyFill="1" applyBorder="1"/>
    <xf numFmtId="11" fontId="15" fillId="0" borderId="29" xfId="0" applyNumberFormat="1" applyFont="1" applyFill="1" applyBorder="1"/>
    <xf numFmtId="11" fontId="15" fillId="2" borderId="22" xfId="0" applyNumberFormat="1" applyFont="1" applyFill="1" applyBorder="1"/>
    <xf numFmtId="11" fontId="15" fillId="2" borderId="23" xfId="0" applyNumberFormat="1" applyFont="1" applyFill="1" applyBorder="1"/>
    <xf numFmtId="167" fontId="0" fillId="0" borderId="0" xfId="0" applyNumberFormat="1" applyFill="1"/>
    <xf numFmtId="165" fontId="0" fillId="0" borderId="11" xfId="0" applyNumberFormat="1" applyFont="1" applyBorder="1"/>
    <xf numFmtId="165" fontId="0" fillId="0" borderId="9" xfId="0" applyNumberFormat="1" applyFont="1" applyBorder="1"/>
    <xf numFmtId="165" fontId="0" fillId="0" borderId="38" xfId="0" applyNumberFormat="1" applyFont="1" applyBorder="1"/>
    <xf numFmtId="165" fontId="0" fillId="0" borderId="23" xfId="0" applyNumberFormat="1" applyFont="1" applyBorder="1"/>
    <xf numFmtId="2" fontId="7" fillId="0" borderId="6" xfId="0" applyNumberFormat="1" applyFont="1" applyFill="1" applyBorder="1" applyAlignment="1" applyProtection="1">
      <alignment horizontal="left" wrapText="1"/>
      <protection hidden="1"/>
    </xf>
    <xf numFmtId="0" fontId="2" fillId="0" borderId="3" xfId="0" applyFont="1" applyFill="1" applyBorder="1"/>
    <xf numFmtId="0" fontId="0" fillId="0" borderId="12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/>
    <xf numFmtId="2" fontId="0" fillId="0" borderId="12" xfId="0" applyNumberFormat="1" applyFill="1" applyBorder="1"/>
    <xf numFmtId="11" fontId="0" fillId="0" borderId="12" xfId="0" applyNumberFormat="1" applyBorder="1"/>
    <xf numFmtId="165" fontId="16" fillId="0" borderId="11" xfId="1" applyNumberFormat="1" applyFont="1" applyFill="1" applyBorder="1" applyAlignment="1" applyProtection="1">
      <alignment horizontal="center"/>
      <protection hidden="1"/>
    </xf>
    <xf numFmtId="165" fontId="16" fillId="0" borderId="9" xfId="1" applyNumberFormat="1" applyFont="1" applyFill="1" applyBorder="1" applyAlignment="1" applyProtection="1">
      <alignment horizontal="center"/>
      <protection hidden="1"/>
    </xf>
    <xf numFmtId="165" fontId="16" fillId="0" borderId="26" xfId="0" applyNumberFormat="1" applyFont="1" applyFill="1" applyBorder="1" applyAlignment="1" applyProtection="1">
      <alignment horizontal="center" vertical="center"/>
      <protection hidden="1"/>
    </xf>
    <xf numFmtId="165" fontId="16" fillId="0" borderId="23" xfId="1" applyNumberFormat="1" applyFont="1" applyFill="1" applyBorder="1" applyAlignment="1" applyProtection="1">
      <alignment horizontal="center"/>
      <protection hidden="1"/>
    </xf>
    <xf numFmtId="165" fontId="16" fillId="0" borderId="37" xfId="1" applyNumberFormat="1" applyFont="1" applyFill="1" applyBorder="1" applyAlignment="1" applyProtection="1">
      <alignment horizontal="center"/>
      <protection hidden="1"/>
    </xf>
    <xf numFmtId="165" fontId="16" fillId="0" borderId="27" xfId="0" applyNumberFormat="1" applyFont="1" applyFill="1" applyBorder="1" applyAlignment="1" applyProtection="1">
      <alignment horizontal="center" vertical="center"/>
      <protection hidden="1"/>
    </xf>
    <xf numFmtId="165" fontId="16" fillId="0" borderId="13" xfId="0" applyNumberFormat="1" applyFont="1" applyFill="1" applyBorder="1" applyAlignment="1" applyProtection="1">
      <alignment horizontal="center" vertical="center"/>
      <protection hidden="1"/>
    </xf>
    <xf numFmtId="165" fontId="16" fillId="0" borderId="24" xfId="0" applyNumberFormat="1" applyFont="1" applyFill="1" applyBorder="1" applyAlignment="1" applyProtection="1">
      <alignment horizontal="center" vertical="center"/>
      <protection hidden="1"/>
    </xf>
    <xf numFmtId="165" fontId="16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20" xfId="0" applyNumberFormat="1" applyFont="1" applyFill="1" applyBorder="1" applyAlignment="1">
      <alignment horizontal="center" vertical="center"/>
    </xf>
    <xf numFmtId="165" fontId="16" fillId="0" borderId="9" xfId="0" applyNumberFormat="1" applyFont="1" applyFill="1" applyBorder="1" applyAlignment="1" applyProtection="1">
      <alignment horizontal="center" vertical="center"/>
      <protection hidden="1"/>
    </xf>
    <xf numFmtId="165" fontId="0" fillId="0" borderId="11" xfId="0" applyNumberFormat="1" applyFont="1" applyFill="1" applyBorder="1"/>
    <xf numFmtId="165" fontId="16" fillId="0" borderId="14" xfId="0" applyNumberFormat="1" applyFont="1" applyFill="1" applyBorder="1" applyAlignment="1" applyProtection="1">
      <alignment horizontal="center" vertical="center"/>
      <protection hidden="1"/>
    </xf>
    <xf numFmtId="165" fontId="16" fillId="0" borderId="11" xfId="0" applyNumberFormat="1" applyFont="1" applyFill="1" applyBorder="1" applyAlignment="1" applyProtection="1">
      <alignment horizontal="center" vertical="center"/>
      <protection hidden="1"/>
    </xf>
    <xf numFmtId="165" fontId="16" fillId="0" borderId="23" xfId="0" applyNumberFormat="1" applyFont="1" applyFill="1" applyBorder="1" applyAlignment="1" applyProtection="1">
      <alignment horizontal="center" vertical="center"/>
      <protection hidden="1"/>
    </xf>
    <xf numFmtId="165" fontId="17" fillId="0" borderId="21" xfId="0" applyNumberFormat="1" applyFont="1" applyFill="1" applyBorder="1" applyAlignment="1">
      <alignment horizontal="center" vertical="center"/>
    </xf>
    <xf numFmtId="165" fontId="17" fillId="0" borderId="37" xfId="0" applyNumberFormat="1" applyFont="1" applyFill="1" applyBorder="1" applyAlignment="1">
      <alignment horizontal="center" vertical="center"/>
    </xf>
    <xf numFmtId="165" fontId="16" fillId="0" borderId="37" xfId="0" applyNumberFormat="1" applyFont="1" applyFill="1" applyBorder="1" applyAlignment="1" applyProtection="1">
      <alignment horizontal="center" vertical="center"/>
      <protection hidden="1"/>
    </xf>
    <xf numFmtId="165" fontId="0" fillId="0" borderId="38" xfId="0" applyNumberFormat="1" applyFont="1" applyFill="1" applyBorder="1"/>
    <xf numFmtId="165" fontId="16" fillId="0" borderId="20" xfId="0" applyNumberFormat="1" applyFont="1" applyFill="1" applyBorder="1" applyAlignment="1" applyProtection="1">
      <alignment horizontal="center" vertical="center"/>
      <protection hidden="1"/>
    </xf>
    <xf numFmtId="165" fontId="18" fillId="0" borderId="10" xfId="0" applyNumberFormat="1" applyFon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left"/>
    </xf>
    <xf numFmtId="11" fontId="0" fillId="2" borderId="21" xfId="0" applyNumberFormat="1" applyFill="1" applyBorder="1"/>
    <xf numFmtId="165" fontId="16" fillId="0" borderId="4" xfId="0" applyNumberFormat="1" applyFont="1" applyFill="1" applyBorder="1" applyAlignment="1" applyProtection="1">
      <alignment horizontal="left" vertical="center"/>
      <protection hidden="1"/>
    </xf>
    <xf numFmtId="165" fontId="16" fillId="0" borderId="23" xfId="0" applyNumberFormat="1" applyFont="1" applyFill="1" applyBorder="1" applyAlignment="1" applyProtection="1">
      <alignment horizontal="left" vertical="center"/>
      <protection hidden="1"/>
    </xf>
    <xf numFmtId="165" fontId="16" fillId="0" borderId="11" xfId="0" applyNumberFormat="1" applyFont="1" applyFill="1" applyBorder="1" applyAlignment="1" applyProtection="1">
      <alignment horizontal="left" vertical="center"/>
      <protection hidden="1"/>
    </xf>
    <xf numFmtId="1" fontId="0" fillId="0" borderId="4" xfId="0" applyNumberFormat="1" applyBorder="1"/>
  </cellXfs>
  <cellStyles count="2">
    <cellStyle name="Normal" xfId="0" builtinId="0"/>
    <cellStyle name="Normal 3" xfId="1" xr:uid="{00000000-0005-0000-0000-000001000000}"/>
  </cellStyles>
  <dxfs count="25"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font>
        <condense val="0"/>
        <extend val="0"/>
        <color auto="1"/>
      </font>
      <fill>
        <patternFill>
          <bgColor indexed="10"/>
        </patternFill>
      </fill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E77F0-77E4-4668-8614-BE00843A64B5}">
  <dimension ref="A1:C22"/>
  <sheetViews>
    <sheetView workbookViewId="0">
      <selection activeCell="C38" sqref="C38"/>
    </sheetView>
  </sheetViews>
  <sheetFormatPr defaultRowHeight="15" x14ac:dyDescent="0.25"/>
  <cols>
    <col min="1" max="1" width="10" bestFit="1" customWidth="1"/>
    <col min="2" max="2" width="9.28515625" bestFit="1" customWidth="1"/>
    <col min="3" max="3" width="70.28515625" customWidth="1"/>
  </cols>
  <sheetData>
    <row r="1" spans="1:3" ht="15.75" thickBot="1" x14ac:dyDescent="0.3">
      <c r="A1" s="140" t="s">
        <v>327</v>
      </c>
      <c r="B1" s="140" t="s">
        <v>300</v>
      </c>
      <c r="C1" s="140" t="s">
        <v>359</v>
      </c>
    </row>
    <row r="2" spans="1:3" ht="15.75" thickTop="1" x14ac:dyDescent="0.25">
      <c r="A2" s="142" t="s">
        <v>313</v>
      </c>
      <c r="B2" s="142" t="s">
        <v>329</v>
      </c>
      <c r="C2" s="142" t="s">
        <v>360</v>
      </c>
    </row>
    <row r="3" spans="1:3" x14ac:dyDescent="0.25">
      <c r="A3" s="142" t="s">
        <v>330</v>
      </c>
      <c r="B3" s="142" t="s">
        <v>331</v>
      </c>
      <c r="C3" s="142" t="s">
        <v>363</v>
      </c>
    </row>
    <row r="4" spans="1:3" x14ac:dyDescent="0.25">
      <c r="A4" s="144" t="s">
        <v>332</v>
      </c>
      <c r="B4" s="144" t="s">
        <v>333</v>
      </c>
      <c r="C4" s="144" t="s">
        <v>364</v>
      </c>
    </row>
    <row r="5" spans="1:3" x14ac:dyDescent="0.25">
      <c r="A5" s="142" t="s">
        <v>314</v>
      </c>
      <c r="B5" s="142" t="s">
        <v>334</v>
      </c>
      <c r="C5" s="142" t="s">
        <v>361</v>
      </c>
    </row>
    <row r="6" spans="1:3" x14ac:dyDescent="0.25">
      <c r="A6" s="142" t="s">
        <v>335</v>
      </c>
      <c r="B6" s="142" t="s">
        <v>336</v>
      </c>
      <c r="C6" s="142" t="s">
        <v>365</v>
      </c>
    </row>
    <row r="7" spans="1:3" x14ac:dyDescent="0.25">
      <c r="A7" s="144" t="s">
        <v>337</v>
      </c>
      <c r="B7" s="144" t="s">
        <v>338</v>
      </c>
      <c r="C7" s="144" t="s">
        <v>366</v>
      </c>
    </row>
    <row r="8" spans="1:3" x14ac:dyDescent="0.25">
      <c r="A8" s="142" t="s">
        <v>339</v>
      </c>
      <c r="B8" s="142" t="s">
        <v>340</v>
      </c>
      <c r="C8" s="142" t="s">
        <v>362</v>
      </c>
    </row>
    <row r="9" spans="1:3" x14ac:dyDescent="0.25">
      <c r="A9" s="142" t="s">
        <v>341</v>
      </c>
      <c r="B9" s="142" t="s">
        <v>342</v>
      </c>
      <c r="C9" s="142" t="s">
        <v>367</v>
      </c>
    </row>
    <row r="10" spans="1:3" x14ac:dyDescent="0.25">
      <c r="A10" s="144" t="s">
        <v>343</v>
      </c>
      <c r="B10" s="144" t="s">
        <v>344</v>
      </c>
      <c r="C10" s="144" t="s">
        <v>368</v>
      </c>
    </row>
    <row r="11" spans="1:3" ht="15.75" thickBot="1" x14ac:dyDescent="0.3">
      <c r="A11" s="146" t="s">
        <v>345</v>
      </c>
      <c r="B11" s="146" t="s">
        <v>346</v>
      </c>
      <c r="C11" s="146" t="s">
        <v>378</v>
      </c>
    </row>
    <row r="12" spans="1:3" ht="15.75" thickTop="1" x14ac:dyDescent="0.25">
      <c r="A12" s="192" t="s">
        <v>347</v>
      </c>
      <c r="B12" s="192" t="s">
        <v>94</v>
      </c>
      <c r="C12" s="192" t="s">
        <v>369</v>
      </c>
    </row>
    <row r="13" spans="1:3" x14ac:dyDescent="0.25">
      <c r="A13" s="192" t="s">
        <v>348</v>
      </c>
      <c r="B13" s="192" t="s">
        <v>95</v>
      </c>
      <c r="C13" s="192" t="s">
        <v>370</v>
      </c>
    </row>
    <row r="14" spans="1:3" x14ac:dyDescent="0.25">
      <c r="A14" s="192" t="s">
        <v>349</v>
      </c>
      <c r="B14" s="192" t="s">
        <v>96</v>
      </c>
      <c r="C14" s="192" t="s">
        <v>371</v>
      </c>
    </row>
    <row r="15" spans="1:3" ht="15.75" thickBot="1" x14ac:dyDescent="0.3">
      <c r="A15" s="193" t="s">
        <v>350</v>
      </c>
      <c r="B15" s="193" t="s">
        <v>97</v>
      </c>
      <c r="C15" s="193" t="s">
        <v>379</v>
      </c>
    </row>
    <row r="16" spans="1:3" ht="15.75" thickTop="1" x14ac:dyDescent="0.25">
      <c r="A16" s="192" t="s">
        <v>98</v>
      </c>
      <c r="B16" s="192" t="s">
        <v>351</v>
      </c>
      <c r="C16" s="192" t="s">
        <v>372</v>
      </c>
    </row>
    <row r="17" spans="1:3" x14ac:dyDescent="0.25">
      <c r="A17" s="194" t="s">
        <v>99</v>
      </c>
      <c r="B17" s="194" t="s">
        <v>352</v>
      </c>
      <c r="C17" s="194" t="s">
        <v>373</v>
      </c>
    </row>
    <row r="18" spans="1:3" x14ac:dyDescent="0.25">
      <c r="A18" s="192" t="s">
        <v>100</v>
      </c>
      <c r="B18" s="192" t="s">
        <v>353</v>
      </c>
      <c r="C18" s="192" t="s">
        <v>374</v>
      </c>
    </row>
    <row r="19" spans="1:3" x14ac:dyDescent="0.25">
      <c r="A19" s="194" t="s">
        <v>101</v>
      </c>
      <c r="B19" s="194" t="s">
        <v>354</v>
      </c>
      <c r="C19" s="194" t="s">
        <v>375</v>
      </c>
    </row>
    <row r="20" spans="1:3" x14ac:dyDescent="0.25">
      <c r="A20" s="192" t="s">
        <v>102</v>
      </c>
      <c r="B20" s="192" t="s">
        <v>355</v>
      </c>
      <c r="C20" s="192" t="s">
        <v>376</v>
      </c>
    </row>
    <row r="21" spans="1:3" x14ac:dyDescent="0.25">
      <c r="A21" s="194" t="s">
        <v>103</v>
      </c>
      <c r="B21" s="194" t="s">
        <v>356</v>
      </c>
      <c r="C21" s="194" t="s">
        <v>377</v>
      </c>
    </row>
    <row r="22" spans="1:3" x14ac:dyDescent="0.25">
      <c r="A22" s="195" t="s">
        <v>104</v>
      </c>
      <c r="B22" s="195" t="s">
        <v>357</v>
      </c>
      <c r="C22" s="195" t="s">
        <v>380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defaultRowHeight="15" x14ac:dyDescent="0.25"/>
  <cols>
    <col min="1" max="1" width="13.28515625" customWidth="1"/>
    <col min="2" max="2" width="13.140625" bestFit="1" customWidth="1"/>
    <col min="3" max="3" width="13.85546875" customWidth="1"/>
    <col min="4" max="4" width="10.42578125" customWidth="1"/>
    <col min="5" max="5" width="12.7109375" customWidth="1"/>
    <col min="6" max="6" width="11.140625" customWidth="1"/>
    <col min="7" max="8" width="8.85546875" bestFit="1" customWidth="1"/>
    <col min="9" max="9" width="11.140625" customWidth="1"/>
    <col min="10" max="10" width="15.42578125" customWidth="1"/>
    <col min="11" max="11" width="11" customWidth="1"/>
    <col min="12" max="12" width="12" bestFit="1" customWidth="1"/>
    <col min="13" max="13" width="13.7109375" customWidth="1"/>
    <col min="14" max="14" width="12.5703125" customWidth="1"/>
    <col min="15" max="15" width="14.42578125" customWidth="1"/>
    <col min="16" max="16" width="14.85546875" customWidth="1"/>
    <col min="17" max="17" width="12.85546875" customWidth="1"/>
    <col min="18" max="18" width="12" customWidth="1"/>
    <col min="19" max="22" width="11.85546875" customWidth="1"/>
  </cols>
  <sheetData>
    <row r="1" spans="1:21" ht="90" customHeight="1" thickTop="1" x14ac:dyDescent="0.25">
      <c r="A1" s="78" t="s">
        <v>81</v>
      </c>
      <c r="B1" s="80" t="s">
        <v>82</v>
      </c>
      <c r="C1" s="80" t="s">
        <v>113</v>
      </c>
      <c r="D1" s="81" t="s">
        <v>114</v>
      </c>
      <c r="E1" s="80" t="s">
        <v>115</v>
      </c>
      <c r="F1" s="82" t="s">
        <v>116</v>
      </c>
      <c r="G1" s="78" t="s">
        <v>11</v>
      </c>
      <c r="H1" s="83" t="s">
        <v>12</v>
      </c>
      <c r="I1" s="84" t="s">
        <v>117</v>
      </c>
      <c r="J1" s="92" t="s">
        <v>118</v>
      </c>
      <c r="K1" s="90" t="s">
        <v>144</v>
      </c>
      <c r="L1" s="82" t="s">
        <v>145</v>
      </c>
      <c r="M1" s="22" t="s">
        <v>146</v>
      </c>
      <c r="N1" s="23" t="s">
        <v>147</v>
      </c>
      <c r="O1" s="22" t="s">
        <v>270</v>
      </c>
      <c r="P1" s="23" t="s">
        <v>271</v>
      </c>
      <c r="Q1" s="240" t="s">
        <v>151</v>
      </c>
      <c r="R1" s="241" t="s">
        <v>90</v>
      </c>
      <c r="S1" s="241" t="s">
        <v>89</v>
      </c>
      <c r="T1" s="241" t="s">
        <v>93</v>
      </c>
      <c r="U1" s="241" t="s">
        <v>92</v>
      </c>
    </row>
    <row r="2" spans="1:21" ht="18.75" customHeight="1" thickBot="1" x14ac:dyDescent="0.3">
      <c r="A2" s="85" t="s">
        <v>85</v>
      </c>
      <c r="B2" s="85" t="s">
        <v>86</v>
      </c>
      <c r="C2" s="79" t="s">
        <v>119</v>
      </c>
      <c r="D2" s="85" t="s">
        <v>119</v>
      </c>
      <c r="E2" s="85" t="s">
        <v>86</v>
      </c>
      <c r="F2" s="86" t="s">
        <v>86</v>
      </c>
      <c r="G2" s="91" t="s">
        <v>87</v>
      </c>
      <c r="H2" s="96" t="s">
        <v>87</v>
      </c>
      <c r="I2" s="87" t="s">
        <v>120</v>
      </c>
      <c r="J2" s="87" t="s">
        <v>120</v>
      </c>
      <c r="K2" s="91" t="s">
        <v>87</v>
      </c>
      <c r="L2" s="96" t="s">
        <v>87</v>
      </c>
      <c r="M2" s="119" t="s">
        <v>87</v>
      </c>
      <c r="N2" s="120" t="s">
        <v>87</v>
      </c>
      <c r="O2" s="119" t="s">
        <v>87</v>
      </c>
      <c r="P2" s="120" t="s">
        <v>87</v>
      </c>
      <c r="Q2" s="242" t="s">
        <v>112</v>
      </c>
      <c r="R2" s="242" t="s">
        <v>91</v>
      </c>
      <c r="S2" s="242" t="s">
        <v>152</v>
      </c>
      <c r="T2" s="242" t="s">
        <v>91</v>
      </c>
      <c r="U2" s="242" t="s">
        <v>152</v>
      </c>
    </row>
    <row r="3" spans="1:21" x14ac:dyDescent="0.25">
      <c r="A3" s="298" t="s">
        <v>26</v>
      </c>
      <c r="B3" s="299" t="s">
        <v>27</v>
      </c>
      <c r="C3" s="283">
        <v>5</v>
      </c>
      <c r="D3" s="284">
        <v>0</v>
      </c>
      <c r="E3" s="285">
        <v>1</v>
      </c>
      <c r="F3" s="286">
        <v>1</v>
      </c>
      <c r="G3" s="275" t="s">
        <v>28</v>
      </c>
      <c r="H3" s="276" t="s">
        <v>29</v>
      </c>
      <c r="I3" s="277">
        <f>H3-G3</f>
        <v>130.9</v>
      </c>
      <c r="J3" s="281">
        <f>E3*F3*I3*((C3+D3)/C3)</f>
        <v>130.9</v>
      </c>
      <c r="K3" s="283">
        <v>25.798205822156252</v>
      </c>
      <c r="L3" s="287">
        <v>47.856366666666673</v>
      </c>
      <c r="M3" s="288">
        <f>D36</f>
        <v>1441.6358003705777</v>
      </c>
      <c r="N3" s="265">
        <f>E36</f>
        <v>256.20400000000001</v>
      </c>
      <c r="O3" s="264">
        <f t="shared" ref="O3:O23" si="0">M3-K3</f>
        <v>1415.8375945484215</v>
      </c>
      <c r="P3" s="97">
        <f t="shared" ref="P3:P23" si="1">N3-L3</f>
        <v>208.34763333333333</v>
      </c>
      <c r="Q3" s="102">
        <f t="shared" ref="Q3:Q23" si="2">((E3*F3*G3*((C3+D3)/C3))/1000)/$Q$27</f>
        <v>1.2572855953372189E-3</v>
      </c>
      <c r="R3" s="103">
        <f>((O3*10)/1000000)*2</f>
        <v>2.8316751890968429E-2</v>
      </c>
      <c r="S3" s="103">
        <f t="shared" ref="S3:S23" si="3">(K3/1000000)*2</f>
        <v>5.1596411644312501E-5</v>
      </c>
      <c r="T3" s="103">
        <f>((P3*10)/1000000)*2</f>
        <v>4.166952666666667E-3</v>
      </c>
      <c r="U3" s="103">
        <f>(L3/1000000)*2</f>
        <v>9.5712733333333343E-5</v>
      </c>
    </row>
    <row r="4" spans="1:21" x14ac:dyDescent="0.25">
      <c r="A4" s="298" t="s">
        <v>30</v>
      </c>
      <c r="B4" s="299" t="s">
        <v>31</v>
      </c>
      <c r="C4" s="283">
        <v>5</v>
      </c>
      <c r="D4" s="284">
        <v>0</v>
      </c>
      <c r="E4" s="285">
        <v>1</v>
      </c>
      <c r="F4" s="286">
        <v>1</v>
      </c>
      <c r="G4" s="275" t="s">
        <v>32</v>
      </c>
      <c r="H4" s="276" t="s">
        <v>33</v>
      </c>
      <c r="I4" s="277">
        <f t="shared" ref="I4:I23" si="4">H4-G4</f>
        <v>104.4</v>
      </c>
      <c r="J4" s="289">
        <f>E4*F4*I4*((C4+D4)/C4)</f>
        <v>104.4</v>
      </c>
      <c r="K4" s="290">
        <v>22.632789028665162</v>
      </c>
      <c r="L4" s="287">
        <v>43.317766666666671</v>
      </c>
      <c r="M4" s="288">
        <f>D36</f>
        <v>1441.6358003705777</v>
      </c>
      <c r="N4" s="265">
        <f>E36</f>
        <v>256.20400000000001</v>
      </c>
      <c r="O4" s="264">
        <f t="shared" si="0"/>
        <v>1419.0030113419125</v>
      </c>
      <c r="P4" s="97">
        <f t="shared" si="1"/>
        <v>212.88623333333334</v>
      </c>
      <c r="Q4" s="102">
        <f t="shared" si="2"/>
        <v>8.8259783513738551E-4</v>
      </c>
      <c r="R4" s="103">
        <f t="shared" ref="R4:R23" si="5">((O4*10)/1000000)*2</f>
        <v>2.8380060226838252E-2</v>
      </c>
      <c r="S4" s="103">
        <f t="shared" si="3"/>
        <v>4.5265578057330323E-5</v>
      </c>
      <c r="T4" s="103">
        <f t="shared" ref="T4:T23" si="6">((P4*10)/1000000)*2</f>
        <v>4.2577246666666672E-3</v>
      </c>
      <c r="U4" s="103">
        <f t="shared" ref="U4:U23" si="7">(L4/1000000)*2</f>
        <v>8.6635533333333348E-5</v>
      </c>
    </row>
    <row r="5" spans="1:21" x14ac:dyDescent="0.25">
      <c r="A5" s="298" t="s">
        <v>34</v>
      </c>
      <c r="B5" s="299" t="s">
        <v>35</v>
      </c>
      <c r="C5" s="283">
        <v>5</v>
      </c>
      <c r="D5" s="284">
        <v>0</v>
      </c>
      <c r="E5" s="285">
        <v>1</v>
      </c>
      <c r="F5" s="286">
        <v>1</v>
      </c>
      <c r="G5" s="275" t="s">
        <v>36</v>
      </c>
      <c r="H5" s="276" t="s">
        <v>37</v>
      </c>
      <c r="I5" s="277">
        <f t="shared" si="4"/>
        <v>66.800000000000011</v>
      </c>
      <c r="J5" s="289">
        <f t="shared" ref="J5:J12" si="8">E5*F5*I5*((C5+D5)/C5)</f>
        <v>66.800000000000011</v>
      </c>
      <c r="K5" s="290">
        <v>5.9363340749999995</v>
      </c>
      <c r="L5" s="287">
        <v>33.112966666666672</v>
      </c>
      <c r="M5" s="288">
        <f>D36</f>
        <v>1441.6358003705777</v>
      </c>
      <c r="N5" s="265">
        <f>E36</f>
        <v>256.20400000000001</v>
      </c>
      <c r="O5" s="264">
        <f t="shared" si="0"/>
        <v>1435.6994662955776</v>
      </c>
      <c r="P5" s="97">
        <f t="shared" si="1"/>
        <v>223.09103333333334</v>
      </c>
      <c r="Q5" s="102">
        <f t="shared" si="2"/>
        <v>5.9117402164862612E-4</v>
      </c>
      <c r="R5" s="103">
        <f t="shared" si="5"/>
        <v>2.8713989325911553E-2</v>
      </c>
      <c r="S5" s="103">
        <f t="shared" si="3"/>
        <v>1.1872668149999999E-5</v>
      </c>
      <c r="T5" s="103">
        <f t="shared" si="6"/>
        <v>4.4618206666666663E-3</v>
      </c>
      <c r="U5" s="103">
        <f t="shared" si="7"/>
        <v>6.6225933333333346E-5</v>
      </c>
    </row>
    <row r="6" spans="1:21" x14ac:dyDescent="0.25">
      <c r="A6" s="298" t="s">
        <v>38</v>
      </c>
      <c r="B6" s="299" t="s">
        <v>39</v>
      </c>
      <c r="C6" s="290">
        <v>5</v>
      </c>
      <c r="D6" s="284">
        <v>0</v>
      </c>
      <c r="E6" s="284">
        <v>1</v>
      </c>
      <c r="F6" s="286">
        <v>1</v>
      </c>
      <c r="G6" s="275" t="s">
        <v>40</v>
      </c>
      <c r="H6" s="276" t="s">
        <v>41</v>
      </c>
      <c r="I6" s="277">
        <f t="shared" si="4"/>
        <v>116.8</v>
      </c>
      <c r="J6" s="289">
        <f t="shared" si="8"/>
        <v>116.8</v>
      </c>
      <c r="K6" s="290">
        <v>40.402008240000008</v>
      </c>
      <c r="L6" s="287">
        <v>38.733966666666667</v>
      </c>
      <c r="M6" s="288">
        <f>D$32</f>
        <v>2148.6066119549705</v>
      </c>
      <c r="N6" s="265">
        <f>E$32</f>
        <v>205.57500000000005</v>
      </c>
      <c r="O6" s="264">
        <f t="shared" si="0"/>
        <v>2108.2046037149703</v>
      </c>
      <c r="P6" s="97">
        <f t="shared" si="1"/>
        <v>166.84103333333337</v>
      </c>
      <c r="Q6" s="102">
        <f t="shared" si="2"/>
        <v>3.4970857618651132E-4</v>
      </c>
      <c r="R6" s="103">
        <f t="shared" si="5"/>
        <v>4.2164092074299407E-2</v>
      </c>
      <c r="S6" s="103">
        <f t="shared" si="3"/>
        <v>8.0804016480000017E-5</v>
      </c>
      <c r="T6" s="103">
        <f t="shared" si="6"/>
        <v>3.3368206666666675E-3</v>
      </c>
      <c r="U6" s="103">
        <f t="shared" si="7"/>
        <v>7.7467933333333331E-5</v>
      </c>
    </row>
    <row r="7" spans="1:21" x14ac:dyDescent="0.25">
      <c r="A7" s="298" t="s">
        <v>42</v>
      </c>
      <c r="B7" s="299" t="s">
        <v>43</v>
      </c>
      <c r="C7" s="283">
        <v>5</v>
      </c>
      <c r="D7" s="284">
        <v>0</v>
      </c>
      <c r="E7" s="285">
        <v>1</v>
      </c>
      <c r="F7" s="286">
        <v>1</v>
      </c>
      <c r="G7" s="275" t="s">
        <v>44</v>
      </c>
      <c r="H7" s="276" t="s">
        <v>45</v>
      </c>
      <c r="I7" s="277">
        <f t="shared" si="4"/>
        <v>105.1</v>
      </c>
      <c r="J7" s="289">
        <f>E7*F7*I7*((C7+D7)/C7)</f>
        <v>105.1</v>
      </c>
      <c r="K7" s="290">
        <v>33.745534470000003</v>
      </c>
      <c r="L7" s="287">
        <v>36.707766666666664</v>
      </c>
      <c r="M7" s="288">
        <f t="shared" ref="M7:M8" si="9">D$32</f>
        <v>2148.6066119549705</v>
      </c>
      <c r="N7" s="265">
        <f t="shared" ref="N7:N8" si="10">E$32</f>
        <v>205.57500000000005</v>
      </c>
      <c r="O7" s="264">
        <f t="shared" si="0"/>
        <v>2114.8610774849703</v>
      </c>
      <c r="P7" s="97">
        <f t="shared" si="1"/>
        <v>168.86723333333339</v>
      </c>
      <c r="Q7" s="102">
        <f t="shared" si="2"/>
        <v>2.414654454621149E-4</v>
      </c>
      <c r="R7" s="103">
        <f t="shared" si="5"/>
        <v>4.22972215496994E-2</v>
      </c>
      <c r="S7" s="103">
        <f t="shared" si="3"/>
        <v>6.7491068940000011E-5</v>
      </c>
      <c r="T7" s="103">
        <f t="shared" si="6"/>
        <v>3.3773446666666676E-3</v>
      </c>
      <c r="U7" s="103">
        <f t="shared" si="7"/>
        <v>7.3415533333333335E-5</v>
      </c>
    </row>
    <row r="8" spans="1:21" x14ac:dyDescent="0.25">
      <c r="A8" s="298" t="s">
        <v>46</v>
      </c>
      <c r="B8" s="299" t="s">
        <v>47</v>
      </c>
      <c r="C8" s="283">
        <v>5</v>
      </c>
      <c r="D8" s="284">
        <v>0</v>
      </c>
      <c r="E8" s="285">
        <v>1</v>
      </c>
      <c r="F8" s="286">
        <v>1</v>
      </c>
      <c r="G8" s="275" t="s">
        <v>48</v>
      </c>
      <c r="H8" s="276" t="s">
        <v>49</v>
      </c>
      <c r="I8" s="277">
        <f t="shared" si="4"/>
        <v>60.5</v>
      </c>
      <c r="J8" s="289">
        <f t="shared" si="8"/>
        <v>60.5</v>
      </c>
      <c r="K8" s="290">
        <v>6.2482087499999999</v>
      </c>
      <c r="L8" s="287">
        <v>27.637166666666669</v>
      </c>
      <c r="M8" s="288">
        <f t="shared" si="9"/>
        <v>2148.6066119549705</v>
      </c>
      <c r="N8" s="265">
        <f t="shared" si="10"/>
        <v>205.57500000000005</v>
      </c>
      <c r="O8" s="264">
        <f t="shared" si="0"/>
        <v>2142.3584032049707</v>
      </c>
      <c r="P8" s="97">
        <f t="shared" si="1"/>
        <v>177.93783333333337</v>
      </c>
      <c r="Q8" s="102">
        <f>((E8*F8*G8*((C8+D8)/C8))/1000)/$Q$27</f>
        <v>1.0824313072439633E-4</v>
      </c>
      <c r="R8" s="103">
        <f t="shared" si="5"/>
        <v>4.2847168064099418E-2</v>
      </c>
      <c r="S8" s="103">
        <f>(K8/1000000)*2</f>
        <v>1.2496417499999999E-5</v>
      </c>
      <c r="T8" s="103">
        <f t="shared" si="6"/>
        <v>3.5587566666666678E-3</v>
      </c>
      <c r="U8" s="103">
        <f t="shared" si="7"/>
        <v>5.5274333333333341E-5</v>
      </c>
    </row>
    <row r="9" spans="1:21" x14ac:dyDescent="0.25">
      <c r="A9" s="298" t="s">
        <v>50</v>
      </c>
      <c r="B9" s="299" t="s">
        <v>51</v>
      </c>
      <c r="C9" s="283">
        <v>5</v>
      </c>
      <c r="D9" s="284">
        <v>0</v>
      </c>
      <c r="E9" s="285">
        <v>1</v>
      </c>
      <c r="F9" s="286">
        <v>5</v>
      </c>
      <c r="G9" s="275" t="s">
        <v>52</v>
      </c>
      <c r="H9" s="276" t="s">
        <v>53</v>
      </c>
      <c r="I9" s="277">
        <f t="shared" si="4"/>
        <v>101.2</v>
      </c>
      <c r="J9" s="289">
        <f t="shared" si="8"/>
        <v>506</v>
      </c>
      <c r="K9" s="290">
        <v>197.39818171999997</v>
      </c>
      <c r="L9" s="287">
        <v>163.07936666666666</v>
      </c>
      <c r="M9" s="288">
        <f>D$33</f>
        <v>2733.9823532522009</v>
      </c>
      <c r="N9" s="265">
        <f>E$33</f>
        <v>549.21399999999994</v>
      </c>
      <c r="O9" s="264">
        <f t="shared" si="0"/>
        <v>2536.5841715322008</v>
      </c>
      <c r="P9" s="97">
        <f t="shared" si="1"/>
        <v>386.13463333333328</v>
      </c>
      <c r="Q9" s="102">
        <f t="shared" si="2"/>
        <v>3.3305578684429644E-4</v>
      </c>
      <c r="R9" s="103">
        <f t="shared" si="5"/>
        <v>5.0731683430644013E-2</v>
      </c>
      <c r="S9" s="103">
        <f t="shared" si="3"/>
        <v>3.9479636343999993E-4</v>
      </c>
      <c r="T9" s="103">
        <f t="shared" si="6"/>
        <v>7.7226926666666661E-3</v>
      </c>
      <c r="U9" s="103">
        <f t="shared" si="7"/>
        <v>3.261587333333333E-4</v>
      </c>
    </row>
    <row r="10" spans="1:21" x14ac:dyDescent="0.25">
      <c r="A10" s="298" t="s">
        <v>54</v>
      </c>
      <c r="B10" s="299" t="s">
        <v>55</v>
      </c>
      <c r="C10" s="290">
        <v>5</v>
      </c>
      <c r="D10" s="284">
        <v>0</v>
      </c>
      <c r="E10" s="284">
        <v>1</v>
      </c>
      <c r="F10" s="286">
        <v>5</v>
      </c>
      <c r="G10" s="275" t="s">
        <v>52</v>
      </c>
      <c r="H10" s="276" t="s">
        <v>56</v>
      </c>
      <c r="I10" s="277">
        <f t="shared" si="4"/>
        <v>86.3</v>
      </c>
      <c r="J10" s="289">
        <f>E10*F10*I10*((C10+D10)/C10)</f>
        <v>431.5</v>
      </c>
      <c r="K10" s="290">
        <v>176.15468850000002</v>
      </c>
      <c r="L10" s="287">
        <v>160.40896666666669</v>
      </c>
      <c r="M10" s="288">
        <f t="shared" ref="M10:M11" si="11">D$33</f>
        <v>2733.9823532522009</v>
      </c>
      <c r="N10" s="265">
        <f t="shared" ref="N10:N11" si="12">E$33</f>
        <v>549.21399999999994</v>
      </c>
      <c r="O10" s="264">
        <f t="shared" si="0"/>
        <v>2557.8276647522007</v>
      </c>
      <c r="P10" s="97">
        <f t="shared" si="1"/>
        <v>388.80503333333326</v>
      </c>
      <c r="Q10" s="102">
        <f t="shared" si="2"/>
        <v>3.3305578684429644E-4</v>
      </c>
      <c r="R10" s="103">
        <f t="shared" si="5"/>
        <v>5.115655329504401E-2</v>
      </c>
      <c r="S10" s="103">
        <f t="shared" si="3"/>
        <v>3.5230937700000004E-4</v>
      </c>
      <c r="T10" s="103">
        <f t="shared" si="6"/>
        <v>7.7761006666666656E-3</v>
      </c>
      <c r="U10" s="103">
        <f t="shared" si="7"/>
        <v>3.2081793333333335E-4</v>
      </c>
    </row>
    <row r="11" spans="1:21" x14ac:dyDescent="0.25">
      <c r="A11" s="283" t="s">
        <v>57</v>
      </c>
      <c r="B11" s="301" t="s">
        <v>58</v>
      </c>
      <c r="C11" s="283">
        <v>5</v>
      </c>
      <c r="D11" s="284">
        <v>0</v>
      </c>
      <c r="E11" s="285">
        <v>1</v>
      </c>
      <c r="F11" s="286">
        <v>1</v>
      </c>
      <c r="G11" s="275" t="s">
        <v>59</v>
      </c>
      <c r="H11" s="276" t="s">
        <v>60</v>
      </c>
      <c r="I11" s="277">
        <f t="shared" si="4"/>
        <v>319</v>
      </c>
      <c r="J11" s="289">
        <f t="shared" si="8"/>
        <v>319</v>
      </c>
      <c r="K11" s="290">
        <v>75.934559250000007</v>
      </c>
      <c r="L11" s="287">
        <v>130.09476666666666</v>
      </c>
      <c r="M11" s="288">
        <f t="shared" si="11"/>
        <v>2733.9823532522009</v>
      </c>
      <c r="N11" s="265">
        <f t="shared" si="12"/>
        <v>549.21399999999994</v>
      </c>
      <c r="O11" s="264">
        <f t="shared" si="0"/>
        <v>2658.047794002201</v>
      </c>
      <c r="P11" s="97">
        <f t="shared" si="1"/>
        <v>419.11923333333328</v>
      </c>
      <c r="Q11" s="102">
        <f t="shared" si="2"/>
        <v>8.326394671107411E-5</v>
      </c>
      <c r="R11" s="103">
        <f t="shared" si="5"/>
        <v>5.316095588004402E-2</v>
      </c>
      <c r="S11" s="103">
        <f t="shared" si="3"/>
        <v>1.5186911850000002E-4</v>
      </c>
      <c r="T11" s="103">
        <f t="shared" si="6"/>
        <v>8.3823846666666642E-3</v>
      </c>
      <c r="U11" s="103">
        <f t="shared" si="7"/>
        <v>2.6018953333333331E-4</v>
      </c>
    </row>
    <row r="12" spans="1:21" ht="15.75" thickBot="1" x14ac:dyDescent="0.3">
      <c r="A12" s="291" t="s">
        <v>61</v>
      </c>
      <c r="B12" s="302" t="s">
        <v>62</v>
      </c>
      <c r="C12" s="291">
        <v>5</v>
      </c>
      <c r="D12" s="292">
        <v>0</v>
      </c>
      <c r="E12" s="292">
        <v>1</v>
      </c>
      <c r="F12" s="293">
        <v>5</v>
      </c>
      <c r="G12" s="278" t="s">
        <v>63</v>
      </c>
      <c r="H12" s="279" t="s">
        <v>64</v>
      </c>
      <c r="I12" s="280">
        <f t="shared" si="4"/>
        <v>144.80000000000001</v>
      </c>
      <c r="J12" s="282">
        <f t="shared" si="8"/>
        <v>724</v>
      </c>
      <c r="K12" s="291">
        <v>12.701902500000001</v>
      </c>
      <c r="L12" s="294">
        <v>317.40176666666673</v>
      </c>
      <c r="M12" s="295">
        <f>K40</f>
        <v>4862.7901148635628</v>
      </c>
      <c r="N12" s="267">
        <f>L40</f>
        <v>824.87924999999996</v>
      </c>
      <c r="O12" s="266">
        <f t="shared" si="0"/>
        <v>4850.0882123635629</v>
      </c>
      <c r="P12" s="98">
        <f t="shared" si="1"/>
        <v>507.47748333333323</v>
      </c>
      <c r="Q12" s="133">
        <f t="shared" si="2"/>
        <v>8.326394671107411E-5</v>
      </c>
      <c r="R12" s="156">
        <f>((O12*10)/1000000)*2</f>
        <v>9.7001764247271263E-2</v>
      </c>
      <c r="S12" s="156">
        <f t="shared" si="3"/>
        <v>2.5403805000000003E-5</v>
      </c>
      <c r="T12" s="156">
        <f t="shared" si="6"/>
        <v>1.0149549666666664E-2</v>
      </c>
      <c r="U12" s="156">
        <f t="shared" si="7"/>
        <v>6.3480353333333342E-4</v>
      </c>
    </row>
    <row r="13" spans="1:21" ht="15.75" thickTop="1" x14ac:dyDescent="0.25">
      <c r="A13" s="290" t="s">
        <v>18</v>
      </c>
      <c r="B13" s="303" t="s">
        <v>94</v>
      </c>
      <c r="C13" s="290">
        <v>5</v>
      </c>
      <c r="D13" s="284">
        <v>0</v>
      </c>
      <c r="E13" s="284">
        <v>3</v>
      </c>
      <c r="F13" s="286">
        <v>1</v>
      </c>
      <c r="G13" s="275" t="s">
        <v>121</v>
      </c>
      <c r="H13" s="276" t="s">
        <v>122</v>
      </c>
      <c r="I13" s="281">
        <f>H13-G13</f>
        <v>56.3</v>
      </c>
      <c r="J13" s="281">
        <f t="shared" ref="J13:J23" si="13">E13*F13*I13*((C13+D13)/C13)</f>
        <v>168.89999999999998</v>
      </c>
      <c r="K13" s="283">
        <v>54.801207210366911</v>
      </c>
      <c r="L13" s="296">
        <v>50.577600000000004</v>
      </c>
      <c r="M13" s="288">
        <f>D36</f>
        <v>1441.6358003705777</v>
      </c>
      <c r="N13" s="265">
        <f>E36</f>
        <v>256.20400000000001</v>
      </c>
      <c r="O13" s="264">
        <f t="shared" si="0"/>
        <v>1386.8345931602107</v>
      </c>
      <c r="P13" s="97">
        <f t="shared" si="1"/>
        <v>205.62639999999999</v>
      </c>
      <c r="Q13" s="102">
        <f t="shared" si="2"/>
        <v>5.9950041631973349E-3</v>
      </c>
      <c r="R13" s="103">
        <f t="shared" si="5"/>
        <v>2.7736691863204214E-2</v>
      </c>
      <c r="S13" s="103">
        <f t="shared" si="3"/>
        <v>1.0960241442073383E-4</v>
      </c>
      <c r="T13" s="103">
        <f t="shared" si="6"/>
        <v>4.1125279999999998E-3</v>
      </c>
      <c r="U13" s="103">
        <f t="shared" si="7"/>
        <v>1.011552E-4</v>
      </c>
    </row>
    <row r="14" spans="1:21" x14ac:dyDescent="0.25">
      <c r="A14" s="88" t="s">
        <v>20</v>
      </c>
      <c r="B14" s="134" t="s">
        <v>95</v>
      </c>
      <c r="C14" s="283">
        <v>5</v>
      </c>
      <c r="D14" s="284">
        <v>0</v>
      </c>
      <c r="E14" s="285">
        <v>3</v>
      </c>
      <c r="F14" s="286">
        <v>1</v>
      </c>
      <c r="G14" s="275" t="s">
        <v>123</v>
      </c>
      <c r="H14" s="276" t="s">
        <v>124</v>
      </c>
      <c r="I14" s="281">
        <f t="shared" si="4"/>
        <v>61.2</v>
      </c>
      <c r="J14" s="281">
        <f t="shared" si="13"/>
        <v>183.60000000000002</v>
      </c>
      <c r="K14" s="283">
        <v>80.187275146660596</v>
      </c>
      <c r="L14" s="296">
        <v>44.481000000000009</v>
      </c>
      <c r="M14" s="288">
        <f>D32</f>
        <v>2148.6066119549705</v>
      </c>
      <c r="N14" s="265">
        <f>E32</f>
        <v>205.57500000000005</v>
      </c>
      <c r="O14" s="264">
        <f t="shared" si="0"/>
        <v>2068.4193368083097</v>
      </c>
      <c r="P14" s="97">
        <f t="shared" si="1"/>
        <v>161.09400000000005</v>
      </c>
      <c r="Q14" s="102">
        <f t="shared" si="2"/>
        <v>3.4970857618651127E-3</v>
      </c>
      <c r="R14" s="103">
        <f t="shared" si="5"/>
        <v>4.1368386736166197E-2</v>
      </c>
      <c r="S14" s="103">
        <f t="shared" si="3"/>
        <v>1.6037455029332118E-4</v>
      </c>
      <c r="T14" s="103">
        <f t="shared" si="6"/>
        <v>3.2218800000000012E-3</v>
      </c>
      <c r="U14" s="103">
        <f t="shared" si="7"/>
        <v>8.896200000000002E-5</v>
      </c>
    </row>
    <row r="15" spans="1:21" x14ac:dyDescent="0.25">
      <c r="A15" s="88" t="s">
        <v>22</v>
      </c>
      <c r="B15" s="134" t="s">
        <v>96</v>
      </c>
      <c r="C15" s="283">
        <v>5</v>
      </c>
      <c r="D15" s="284">
        <v>0</v>
      </c>
      <c r="E15" s="285">
        <v>3</v>
      </c>
      <c r="F15" s="286">
        <v>1</v>
      </c>
      <c r="G15" s="275" t="s">
        <v>125</v>
      </c>
      <c r="H15" s="276" t="s">
        <v>126</v>
      </c>
      <c r="I15" s="281">
        <f t="shared" si="4"/>
        <v>338.6</v>
      </c>
      <c r="J15" s="281">
        <f t="shared" si="13"/>
        <v>1015.8000000000001</v>
      </c>
      <c r="K15" s="283">
        <v>504.46789608967839</v>
      </c>
      <c r="L15" s="296">
        <v>211.14359999999999</v>
      </c>
      <c r="M15" s="288">
        <f>D33</f>
        <v>2733.9823532522009</v>
      </c>
      <c r="N15" s="265">
        <f>E33</f>
        <v>549.21399999999994</v>
      </c>
      <c r="O15" s="264">
        <f t="shared" si="0"/>
        <v>2229.5144571625224</v>
      </c>
      <c r="P15" s="97">
        <f t="shared" si="1"/>
        <v>338.07039999999995</v>
      </c>
      <c r="Q15" s="102">
        <f t="shared" si="2"/>
        <v>8.4929225645295585E-4</v>
      </c>
      <c r="R15" s="103">
        <f t="shared" si="5"/>
        <v>4.4590289143250444E-2</v>
      </c>
      <c r="S15" s="103">
        <f t="shared" si="3"/>
        <v>1.0089357921793567E-3</v>
      </c>
      <c r="T15" s="103">
        <f t="shared" si="6"/>
        <v>6.7614079999999991E-3</v>
      </c>
      <c r="U15" s="103">
        <f t="shared" si="7"/>
        <v>4.2228719999999999E-4</v>
      </c>
    </row>
    <row r="16" spans="1:21" ht="15.75" thickBot="1" x14ac:dyDescent="0.3">
      <c r="A16" s="89" t="s">
        <v>24</v>
      </c>
      <c r="B16" s="135" t="s">
        <v>97</v>
      </c>
      <c r="C16" s="291">
        <v>5</v>
      </c>
      <c r="D16" s="292">
        <v>0</v>
      </c>
      <c r="E16" s="292">
        <v>3</v>
      </c>
      <c r="F16" s="293">
        <v>1</v>
      </c>
      <c r="G16" s="278" t="s">
        <v>127</v>
      </c>
      <c r="H16" s="279" t="s">
        <v>128</v>
      </c>
      <c r="I16" s="282">
        <f t="shared" si="4"/>
        <v>307.7</v>
      </c>
      <c r="J16" s="282">
        <f t="shared" si="13"/>
        <v>923.09999999999991</v>
      </c>
      <c r="K16" s="291">
        <v>124.83248280269518</v>
      </c>
      <c r="L16" s="294">
        <v>321.57719999999995</v>
      </c>
      <c r="M16" s="295">
        <f>K40</f>
        <v>4862.7901148635628</v>
      </c>
      <c r="N16" s="267">
        <f>L40</f>
        <v>824.87924999999996</v>
      </c>
      <c r="O16" s="266">
        <f t="shared" si="0"/>
        <v>4737.9576320608676</v>
      </c>
      <c r="P16" s="98">
        <f t="shared" si="1"/>
        <v>503.30205000000001</v>
      </c>
      <c r="Q16" s="133">
        <f t="shared" si="2"/>
        <v>8.2431307243963363E-4</v>
      </c>
      <c r="R16" s="156">
        <f t="shared" si="5"/>
        <v>9.4759152641217356E-2</v>
      </c>
      <c r="S16" s="156">
        <f t="shared" si="3"/>
        <v>2.4966496560539038E-4</v>
      </c>
      <c r="T16" s="156">
        <f t="shared" si="6"/>
        <v>1.0066041000000001E-2</v>
      </c>
      <c r="U16" s="156">
        <f t="shared" si="7"/>
        <v>6.4315439999999987E-4</v>
      </c>
    </row>
    <row r="17" spans="1:21" ht="15.75" thickTop="1" x14ac:dyDescent="0.25">
      <c r="A17" s="88" t="s">
        <v>18</v>
      </c>
      <c r="B17" s="134" t="s">
        <v>98</v>
      </c>
      <c r="C17" s="290">
        <v>5</v>
      </c>
      <c r="D17" s="284">
        <v>0</v>
      </c>
      <c r="E17" s="284">
        <v>1</v>
      </c>
      <c r="F17" s="286">
        <v>1</v>
      </c>
      <c r="G17" s="275" t="s">
        <v>129</v>
      </c>
      <c r="H17" s="276" t="s">
        <v>130</v>
      </c>
      <c r="I17" s="277">
        <f>H17-G17</f>
        <v>129.19999999999999</v>
      </c>
      <c r="J17" s="281">
        <f t="shared" si="13"/>
        <v>129.19999999999999</v>
      </c>
      <c r="K17" s="283">
        <v>14.08710652512805</v>
      </c>
      <c r="L17" s="296">
        <v>62.984999999999999</v>
      </c>
      <c r="M17" s="288">
        <f>VLOOKUP(B17,J29:L40,2,FALSE)</f>
        <v>1166.7788774629666</v>
      </c>
      <c r="N17" s="265">
        <f>VLOOKUP(B17,J27:L40,3,)</f>
        <v>235.70050000000001</v>
      </c>
      <c r="O17" s="264">
        <f t="shared" si="0"/>
        <v>1152.6917709378386</v>
      </c>
      <c r="P17" s="97">
        <f t="shared" si="1"/>
        <v>172.71550000000002</v>
      </c>
      <c r="Q17" s="102">
        <f t="shared" si="2"/>
        <v>3.1640299750208161E-4</v>
      </c>
      <c r="R17" s="103">
        <f t="shared" si="5"/>
        <v>2.3053835418756771E-2</v>
      </c>
      <c r="S17" s="103">
        <f t="shared" si="3"/>
        <v>2.8174213050256099E-5</v>
      </c>
      <c r="T17" s="103">
        <f t="shared" si="6"/>
        <v>3.4543100000000004E-3</v>
      </c>
      <c r="U17" s="103">
        <f t="shared" si="7"/>
        <v>1.2596999999999999E-4</v>
      </c>
    </row>
    <row r="18" spans="1:21" x14ac:dyDescent="0.25">
      <c r="A18" s="88" t="s">
        <v>20</v>
      </c>
      <c r="B18" s="134" t="s">
        <v>99</v>
      </c>
      <c r="C18" s="283">
        <v>5</v>
      </c>
      <c r="D18" s="284">
        <v>0</v>
      </c>
      <c r="E18" s="285">
        <v>1</v>
      </c>
      <c r="F18" s="286">
        <v>1</v>
      </c>
      <c r="G18" s="275" t="s">
        <v>131</v>
      </c>
      <c r="H18" s="276" t="s">
        <v>132</v>
      </c>
      <c r="I18" s="277">
        <f t="shared" si="4"/>
        <v>143.4</v>
      </c>
      <c r="J18" s="281">
        <f t="shared" si="13"/>
        <v>143.4</v>
      </c>
      <c r="K18" s="283">
        <v>14.805400871556936</v>
      </c>
      <c r="L18" s="296">
        <v>69.110199999999992</v>
      </c>
      <c r="M18" s="288">
        <f>K39</f>
        <v>1321.8768639883529</v>
      </c>
      <c r="N18" s="265">
        <f>L39</f>
        <v>248.95200000000003</v>
      </c>
      <c r="O18" s="264">
        <f t="shared" si="0"/>
        <v>1307.0714631167959</v>
      </c>
      <c r="P18" s="97">
        <f t="shared" si="1"/>
        <v>179.84180000000003</v>
      </c>
      <c r="Q18" s="102">
        <f t="shared" si="2"/>
        <v>7.1606994171523732E-4</v>
      </c>
      <c r="R18" s="103">
        <f t="shared" si="5"/>
        <v>2.6141429262335918E-2</v>
      </c>
      <c r="S18" s="103">
        <f t="shared" si="3"/>
        <v>2.961080174311387E-5</v>
      </c>
      <c r="T18" s="103">
        <f t="shared" si="6"/>
        <v>3.5968360000000008E-3</v>
      </c>
      <c r="U18" s="103">
        <f t="shared" si="7"/>
        <v>1.3822039999999999E-4</v>
      </c>
    </row>
    <row r="19" spans="1:21" x14ac:dyDescent="0.25">
      <c r="A19" s="88" t="s">
        <v>22</v>
      </c>
      <c r="B19" s="134" t="s">
        <v>100</v>
      </c>
      <c r="C19" s="283">
        <v>5</v>
      </c>
      <c r="D19" s="284">
        <v>0</v>
      </c>
      <c r="E19" s="285">
        <v>1</v>
      </c>
      <c r="F19" s="286">
        <v>1</v>
      </c>
      <c r="G19" s="275" t="s">
        <v>133</v>
      </c>
      <c r="H19" s="276" t="s">
        <v>134</v>
      </c>
      <c r="I19" s="277">
        <f t="shared" si="4"/>
        <v>100.9</v>
      </c>
      <c r="J19" s="281">
        <f t="shared" si="13"/>
        <v>100.9</v>
      </c>
      <c r="K19" s="283">
        <v>14.048940355007062</v>
      </c>
      <c r="L19" s="296">
        <v>44.201599999999999</v>
      </c>
      <c r="M19" s="288">
        <f>VLOOKUP(B19,J31:L42,2,FALSE)</f>
        <v>1918.8546201316744</v>
      </c>
      <c r="N19" s="265">
        <f>VLOOKUP(B19,J29:L42,3,)</f>
        <v>159.18350000000001</v>
      </c>
      <c r="O19" s="264">
        <f t="shared" si="0"/>
        <v>1904.8056797766674</v>
      </c>
      <c r="P19" s="97">
        <f t="shared" si="1"/>
        <v>114.98190000000001</v>
      </c>
      <c r="Q19" s="102">
        <f t="shared" si="2"/>
        <v>1.7485428809325566E-4</v>
      </c>
      <c r="R19" s="103">
        <f t="shared" si="5"/>
        <v>3.8096113595533346E-2</v>
      </c>
      <c r="S19" s="103">
        <f t="shared" si="3"/>
        <v>2.8097880710014122E-5</v>
      </c>
      <c r="T19" s="103">
        <f t="shared" si="6"/>
        <v>2.2996380000000005E-3</v>
      </c>
      <c r="U19" s="103">
        <f t="shared" si="7"/>
        <v>8.8403200000000001E-5</v>
      </c>
    </row>
    <row r="20" spans="1:21" x14ac:dyDescent="0.25">
      <c r="A20" s="88" t="s">
        <v>24</v>
      </c>
      <c r="B20" s="134" t="s">
        <v>101</v>
      </c>
      <c r="C20" s="283">
        <v>5</v>
      </c>
      <c r="D20" s="284">
        <v>0</v>
      </c>
      <c r="E20" s="285">
        <v>1</v>
      </c>
      <c r="F20" s="286">
        <v>1</v>
      </c>
      <c r="G20" s="275" t="s">
        <v>135</v>
      </c>
      <c r="H20" s="276" t="s">
        <v>130</v>
      </c>
      <c r="I20" s="277">
        <f t="shared" si="4"/>
        <v>129.9</v>
      </c>
      <c r="J20" s="281">
        <f t="shared" si="13"/>
        <v>129.9</v>
      </c>
      <c r="K20" s="283">
        <v>17.652430952112642</v>
      </c>
      <c r="L20" s="296">
        <v>58.3446</v>
      </c>
      <c r="M20" s="288">
        <f>VLOOKUP(B20,J32:L43,2,FALSE)</f>
        <v>2282.0860587815037</v>
      </c>
      <c r="N20" s="265">
        <f>VLOOKUP(B20,J30:L43,3,)</f>
        <v>173.48449999999997</v>
      </c>
      <c r="O20" s="264">
        <f t="shared" si="0"/>
        <v>2264.4336278293908</v>
      </c>
      <c r="P20" s="97">
        <f t="shared" si="1"/>
        <v>115.13989999999997</v>
      </c>
      <c r="Q20" s="102">
        <f t="shared" si="2"/>
        <v>2.5811823480432973E-4</v>
      </c>
      <c r="R20" s="103">
        <f t="shared" si="5"/>
        <v>4.5288672556587813E-2</v>
      </c>
      <c r="S20" s="103">
        <f t="shared" si="3"/>
        <v>3.5304861904225284E-5</v>
      </c>
      <c r="T20" s="103">
        <f t="shared" si="6"/>
        <v>2.3027979999999991E-3</v>
      </c>
      <c r="U20" s="103">
        <f t="shared" si="7"/>
        <v>1.1668919999999999E-4</v>
      </c>
    </row>
    <row r="21" spans="1:21" x14ac:dyDescent="0.25">
      <c r="A21" s="88" t="s">
        <v>26</v>
      </c>
      <c r="B21" s="134" t="s">
        <v>102</v>
      </c>
      <c r="C21" s="283">
        <v>5</v>
      </c>
      <c r="D21" s="284">
        <v>0</v>
      </c>
      <c r="E21" s="285">
        <v>1</v>
      </c>
      <c r="F21" s="286">
        <v>5</v>
      </c>
      <c r="G21" s="275" t="s">
        <v>136</v>
      </c>
      <c r="H21" s="276" t="s">
        <v>137</v>
      </c>
      <c r="I21" s="277">
        <f t="shared" si="4"/>
        <v>123.6</v>
      </c>
      <c r="J21" s="281">
        <f t="shared" si="13"/>
        <v>618</v>
      </c>
      <c r="K21" s="283">
        <v>187.98867659893685</v>
      </c>
      <c r="L21" s="296">
        <v>213.97019999999998</v>
      </c>
      <c r="M21" s="288">
        <f>VLOOKUP(B21,J33:L44,2,FALSE)</f>
        <v>3444.588391809039</v>
      </c>
      <c r="N21" s="265">
        <f>VLOOKUP(B21,J31:L44,3,)</f>
        <v>682.74950000000013</v>
      </c>
      <c r="O21" s="264">
        <f t="shared" si="0"/>
        <v>3256.5997152101022</v>
      </c>
      <c r="P21" s="97">
        <f t="shared" si="1"/>
        <v>468.77930000000015</v>
      </c>
      <c r="Q21" s="102">
        <f t="shared" si="2"/>
        <v>1.6652789342214822E-4</v>
      </c>
      <c r="R21" s="103">
        <f t="shared" si="5"/>
        <v>6.5131994304202051E-2</v>
      </c>
      <c r="S21" s="103">
        <f t="shared" si="3"/>
        <v>3.7597735319787372E-4</v>
      </c>
      <c r="T21" s="103">
        <f t="shared" si="6"/>
        <v>9.3755860000000035E-3</v>
      </c>
      <c r="U21" s="103">
        <f t="shared" si="7"/>
        <v>4.2794039999999995E-4</v>
      </c>
    </row>
    <row r="22" spans="1:21" x14ac:dyDescent="0.25">
      <c r="A22" s="88" t="s">
        <v>30</v>
      </c>
      <c r="B22" s="134" t="s">
        <v>103</v>
      </c>
      <c r="C22" s="283">
        <v>5</v>
      </c>
      <c r="D22" s="284">
        <v>0</v>
      </c>
      <c r="E22" s="285">
        <v>1</v>
      </c>
      <c r="F22" s="286">
        <v>5</v>
      </c>
      <c r="G22" s="275" t="s">
        <v>136</v>
      </c>
      <c r="H22" s="276" t="s">
        <v>137</v>
      </c>
      <c r="I22" s="277">
        <f t="shared" si="4"/>
        <v>123.6</v>
      </c>
      <c r="J22" s="289">
        <f t="shared" si="13"/>
        <v>618</v>
      </c>
      <c r="K22" s="290">
        <v>189.01999554858872</v>
      </c>
      <c r="L22" s="287">
        <v>216.78979999999999</v>
      </c>
      <c r="M22" s="288">
        <f>VLOOKUP(B22,J34:L45,2,FALSE)</f>
        <v>3077.7990858864878</v>
      </c>
      <c r="N22" s="265">
        <f>VLOOKUP(B22,J32:L45,3,)</f>
        <v>594.91049999999996</v>
      </c>
      <c r="O22" s="264">
        <f t="shared" si="0"/>
        <v>2888.7790903378991</v>
      </c>
      <c r="P22" s="97">
        <f t="shared" si="1"/>
        <v>378.12069999999994</v>
      </c>
      <c r="Q22" s="102">
        <f t="shared" si="2"/>
        <v>1.6652789342214822E-4</v>
      </c>
      <c r="R22" s="103">
        <f t="shared" si="5"/>
        <v>5.7775581806757979E-2</v>
      </c>
      <c r="S22" s="103">
        <f t="shared" si="3"/>
        <v>3.7803999109717746E-4</v>
      </c>
      <c r="T22" s="103">
        <f t="shared" si="6"/>
        <v>7.5624139999999991E-3</v>
      </c>
      <c r="U22" s="103">
        <f t="shared" si="7"/>
        <v>4.3357959999999995E-4</v>
      </c>
    </row>
    <row r="23" spans="1:21" ht="15.75" thickBot="1" x14ac:dyDescent="0.3">
      <c r="A23" s="89" t="s">
        <v>34</v>
      </c>
      <c r="B23" s="135" t="s">
        <v>104</v>
      </c>
      <c r="C23" s="291">
        <v>5</v>
      </c>
      <c r="D23" s="292">
        <v>0</v>
      </c>
      <c r="E23" s="292">
        <v>4</v>
      </c>
      <c r="F23" s="293">
        <v>1</v>
      </c>
      <c r="G23" s="278" t="s">
        <v>16</v>
      </c>
      <c r="H23" s="279" t="s">
        <v>138</v>
      </c>
      <c r="I23" s="280">
        <f t="shared" si="4"/>
        <v>122.9</v>
      </c>
      <c r="J23" s="282">
        <f t="shared" si="13"/>
        <v>491.6</v>
      </c>
      <c r="K23" s="291">
        <v>16.918274304000001</v>
      </c>
      <c r="L23" s="294">
        <v>199.36719999999997</v>
      </c>
      <c r="M23" s="295">
        <f>K40</f>
        <v>4862.7901148635628</v>
      </c>
      <c r="N23" s="267">
        <f>L40</f>
        <v>824.87924999999996</v>
      </c>
      <c r="O23" s="267">
        <f t="shared" si="0"/>
        <v>4845.8718405595628</v>
      </c>
      <c r="P23" s="98">
        <f t="shared" si="1"/>
        <v>625.51205000000004</v>
      </c>
      <c r="Q23" s="133">
        <f t="shared" si="2"/>
        <v>3.3305578684429647E-5</v>
      </c>
      <c r="R23" s="156">
        <f t="shared" si="5"/>
        <v>9.6917436811191263E-2</v>
      </c>
      <c r="S23" s="156">
        <f t="shared" si="3"/>
        <v>3.3836548608000004E-5</v>
      </c>
      <c r="T23" s="156">
        <f t="shared" si="6"/>
        <v>1.2510241000000002E-2</v>
      </c>
      <c r="U23" s="156">
        <f t="shared" si="7"/>
        <v>3.9873439999999995E-4</v>
      </c>
    </row>
    <row r="24" spans="1:21" ht="15.75" thickTop="1" x14ac:dyDescent="0.25">
      <c r="A24" s="101"/>
      <c r="C24" s="155"/>
      <c r="D24" s="155"/>
      <c r="E24" s="155"/>
      <c r="F24" s="155"/>
      <c r="G24" s="155"/>
      <c r="H24" s="155"/>
      <c r="I24" s="155"/>
      <c r="J24" s="155"/>
      <c r="K24" s="155"/>
      <c r="L24" s="225"/>
      <c r="M24" s="225"/>
    </row>
    <row r="25" spans="1:21" x14ac:dyDescent="0.25"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</row>
    <row r="26" spans="1:21" ht="15.75" thickBot="1" x14ac:dyDescent="0.3">
      <c r="B26" t="s">
        <v>265</v>
      </c>
      <c r="C26" s="155" t="s">
        <v>324</v>
      </c>
      <c r="D26" s="155"/>
      <c r="E26" s="155"/>
      <c r="F26" s="155"/>
      <c r="G26" s="155"/>
      <c r="H26" s="155"/>
      <c r="I26" s="155" t="s">
        <v>266</v>
      </c>
      <c r="J26" s="155" t="s">
        <v>324</v>
      </c>
      <c r="K26" s="155"/>
      <c r="L26" s="155"/>
      <c r="M26" s="155"/>
      <c r="P26" s="19" t="s">
        <v>78</v>
      </c>
    </row>
    <row r="27" spans="1:21" ht="15.75" thickTop="1" x14ac:dyDescent="0.25">
      <c r="C27" s="21" t="s">
        <v>82</v>
      </c>
      <c r="D27" s="22" t="s">
        <v>83</v>
      </c>
      <c r="E27" s="22" t="s">
        <v>84</v>
      </c>
      <c r="F27" s="22" t="s">
        <v>83</v>
      </c>
      <c r="G27" s="22" t="s">
        <v>84</v>
      </c>
      <c r="H27" s="155"/>
      <c r="I27" s="155"/>
      <c r="J27" s="21" t="s">
        <v>82</v>
      </c>
      <c r="K27" s="22" t="s">
        <v>83</v>
      </c>
      <c r="L27" s="22" t="s">
        <v>84</v>
      </c>
      <c r="M27" s="22" t="s">
        <v>83</v>
      </c>
      <c r="N27" s="22" t="s">
        <v>84</v>
      </c>
      <c r="P27" s="20" t="s">
        <v>79</v>
      </c>
      <c r="Q27">
        <v>12.01</v>
      </c>
      <c r="R27" t="s">
        <v>80</v>
      </c>
    </row>
    <row r="28" spans="1:21" ht="15.75" thickBot="1" x14ac:dyDescent="0.3">
      <c r="C28" s="24" t="s">
        <v>86</v>
      </c>
      <c r="D28" s="25" t="s">
        <v>87</v>
      </c>
      <c r="E28" s="25" t="s">
        <v>87</v>
      </c>
      <c r="F28" s="25" t="s">
        <v>88</v>
      </c>
      <c r="G28" s="25" t="s">
        <v>88</v>
      </c>
      <c r="H28" s="155"/>
      <c r="I28" s="155"/>
      <c r="J28" s="24" t="s">
        <v>86</v>
      </c>
      <c r="K28" s="25" t="s">
        <v>87</v>
      </c>
      <c r="L28" s="25" t="s">
        <v>87</v>
      </c>
      <c r="M28" s="25" t="s">
        <v>88</v>
      </c>
      <c r="N28" s="25" t="s">
        <v>88</v>
      </c>
    </row>
    <row r="29" spans="1:21" x14ac:dyDescent="0.25">
      <c r="C29" s="93" t="s">
        <v>110</v>
      </c>
      <c r="D29" s="99">
        <v>34.819021658592035</v>
      </c>
      <c r="E29" s="99">
        <v>5.4000000000000714E-2</v>
      </c>
      <c r="F29" s="99"/>
      <c r="G29" s="100"/>
      <c r="H29" s="155"/>
      <c r="I29" s="155"/>
      <c r="J29" s="93" t="s">
        <v>110</v>
      </c>
      <c r="K29" s="99">
        <v>-11.165411015574357</v>
      </c>
      <c r="L29" s="100">
        <v>1.8364999999999998</v>
      </c>
      <c r="M29" s="99"/>
      <c r="N29" s="100"/>
    </row>
    <row r="30" spans="1:21" x14ac:dyDescent="0.25">
      <c r="C30" s="93" t="s">
        <v>111</v>
      </c>
      <c r="D30" s="99">
        <v>22.465243434064391</v>
      </c>
      <c r="E30" s="99">
        <v>-5.3999999999999604E-2</v>
      </c>
      <c r="F30" s="99"/>
      <c r="G30" s="100"/>
      <c r="H30" s="155"/>
      <c r="I30" s="155"/>
      <c r="J30" s="93" t="s">
        <v>111</v>
      </c>
      <c r="K30" s="99">
        <v>-11.385248155445257</v>
      </c>
      <c r="L30" s="100">
        <v>-1.8364999999999998</v>
      </c>
      <c r="M30" s="99"/>
      <c r="N30" s="100"/>
    </row>
    <row r="31" spans="1:21" x14ac:dyDescent="0.25">
      <c r="C31" s="93" t="s">
        <v>139</v>
      </c>
      <c r="D31" s="99">
        <v>1361.4493320622084</v>
      </c>
      <c r="E31" s="99">
        <v>252.40200000000004</v>
      </c>
      <c r="F31" s="99">
        <v>72.009046040414901</v>
      </c>
      <c r="G31" s="100">
        <v>13.349910871205555</v>
      </c>
      <c r="H31" s="155"/>
      <c r="I31" s="155"/>
      <c r="J31" s="93" t="s">
        <v>98</v>
      </c>
      <c r="K31" s="99">
        <v>1166.7788774629666</v>
      </c>
      <c r="L31" s="100">
        <v>235.70050000000001</v>
      </c>
      <c r="M31" s="99">
        <v>70.173183222403921</v>
      </c>
      <c r="N31" s="100">
        <v>14.175654609103248</v>
      </c>
    </row>
    <row r="32" spans="1:21" x14ac:dyDescent="0.25">
      <c r="C32" s="93" t="s">
        <v>140</v>
      </c>
      <c r="D32" s="99">
        <v>2148.6066119549705</v>
      </c>
      <c r="E32" s="99">
        <v>205.57500000000005</v>
      </c>
      <c r="F32" s="99">
        <v>81.86795056585548</v>
      </c>
      <c r="G32" s="100">
        <v>7.8329852677231067</v>
      </c>
      <c r="H32" s="155"/>
      <c r="I32" s="155"/>
      <c r="J32" s="93" t="s">
        <v>99</v>
      </c>
      <c r="K32" s="99">
        <v>1119.7310705719042</v>
      </c>
      <c r="L32" s="100">
        <v>228.90550000000002</v>
      </c>
      <c r="M32" s="99">
        <v>69.061277100279966</v>
      </c>
      <c r="N32" s="100">
        <v>14.118127629703014</v>
      </c>
    </row>
    <row r="33" spans="3:14" x14ac:dyDescent="0.25">
      <c r="C33" s="93" t="s">
        <v>141</v>
      </c>
      <c r="D33" s="99">
        <v>2733.9823532522009</v>
      </c>
      <c r="E33" s="99">
        <v>549.21399999999994</v>
      </c>
      <c r="F33" s="99">
        <v>60.977200998580606</v>
      </c>
      <c r="G33" s="100">
        <v>12.249359411335286</v>
      </c>
      <c r="H33" s="155"/>
      <c r="I33" s="155"/>
      <c r="J33" s="93" t="s">
        <v>100</v>
      </c>
      <c r="K33" s="99">
        <v>1918.8546201316744</v>
      </c>
      <c r="L33" s="100">
        <v>159.18350000000001</v>
      </c>
      <c r="M33" s="99">
        <v>83.727919376158454</v>
      </c>
      <c r="N33" s="100">
        <v>6.9458640139710672</v>
      </c>
    </row>
    <row r="34" spans="3:14" x14ac:dyDescent="0.25">
      <c r="C34" s="93" t="s">
        <v>142</v>
      </c>
      <c r="D34" s="99">
        <v>4540.5218268047774</v>
      </c>
      <c r="E34" s="99">
        <v>827.94599999999991</v>
      </c>
      <c r="F34" s="99">
        <v>64.42448055662652</v>
      </c>
      <c r="G34" s="100">
        <v>11.747546430466722</v>
      </c>
      <c r="H34" s="155"/>
      <c r="I34" s="155"/>
      <c r="J34" s="93" t="s">
        <v>101</v>
      </c>
      <c r="K34" s="99">
        <v>2282.0860587815037</v>
      </c>
      <c r="L34" s="100">
        <v>173.48449999999997</v>
      </c>
      <c r="M34" s="99">
        <v>84.547906375717147</v>
      </c>
      <c r="N34" s="100">
        <v>6.4273436171244969</v>
      </c>
    </row>
    <row r="35" spans="3:14" x14ac:dyDescent="0.25">
      <c r="C35" s="93" t="s">
        <v>143</v>
      </c>
      <c r="D35" s="99">
        <v>1521.822268678947</v>
      </c>
      <c r="E35" s="99">
        <v>260.00599999999997</v>
      </c>
      <c r="F35" s="99">
        <v>72.134564160211099</v>
      </c>
      <c r="G35" s="100">
        <v>12.324316626882402</v>
      </c>
      <c r="H35" s="155"/>
      <c r="I35" s="155"/>
      <c r="J35" s="93" t="s">
        <v>102</v>
      </c>
      <c r="K35" s="99">
        <v>3444.588391809039</v>
      </c>
      <c r="L35" s="100">
        <v>682.74950000000013</v>
      </c>
      <c r="M35" s="99">
        <v>60.876412067424901</v>
      </c>
      <c r="N35" s="100">
        <v>12.066271836618474</v>
      </c>
    </row>
    <row r="36" spans="3:14" x14ac:dyDescent="0.25">
      <c r="C36" s="136" t="s">
        <v>148</v>
      </c>
      <c r="D36" s="297">
        <f>AVERAGE(D31,D35)</f>
        <v>1441.6358003705777</v>
      </c>
      <c r="E36" s="297">
        <f t="shared" ref="E36:G36" si="14">AVERAGE(E31,E35)</f>
        <v>256.20400000000001</v>
      </c>
      <c r="F36" s="297">
        <f t="shared" si="14"/>
        <v>72.071805100313</v>
      </c>
      <c r="G36" s="297">
        <f t="shared" si="14"/>
        <v>12.837113749043979</v>
      </c>
      <c r="H36" s="155"/>
      <c r="I36" s="155"/>
      <c r="J36" s="93" t="s">
        <v>103</v>
      </c>
      <c r="K36" s="99">
        <v>3077.7990858864878</v>
      </c>
      <c r="L36" s="100">
        <v>594.91049999999996</v>
      </c>
      <c r="M36" s="99">
        <v>59.72423190572507</v>
      </c>
      <c r="N36" s="100">
        <v>11.544149463192495</v>
      </c>
    </row>
    <row r="37" spans="3:14" x14ac:dyDescent="0.25">
      <c r="C37" s="155"/>
      <c r="D37" s="155"/>
      <c r="E37" s="155"/>
      <c r="F37" s="155"/>
      <c r="G37" s="155"/>
      <c r="H37" s="155"/>
      <c r="I37" s="155"/>
      <c r="J37" s="93" t="s">
        <v>142</v>
      </c>
      <c r="K37" s="99">
        <v>5185.0584029223473</v>
      </c>
      <c r="L37" s="100">
        <v>821.81249999999989</v>
      </c>
      <c r="M37" s="99">
        <v>68.483680917404016</v>
      </c>
      <c r="N37" s="100">
        <v>10.854409082878163</v>
      </c>
    </row>
    <row r="38" spans="3:14" x14ac:dyDescent="0.25">
      <c r="C38" s="155"/>
      <c r="D38" s="155"/>
      <c r="E38" s="155"/>
      <c r="F38" s="155"/>
      <c r="G38" s="155"/>
      <c r="H38" s="155"/>
      <c r="I38" s="155"/>
      <c r="J38" s="93" t="s">
        <v>149</v>
      </c>
      <c r="K38" s="99">
        <v>1524.0226574048015</v>
      </c>
      <c r="L38" s="100">
        <v>268.99850000000004</v>
      </c>
      <c r="M38" s="99">
        <v>70.943927070109922</v>
      </c>
      <c r="N38" s="100">
        <v>12.521998851687702</v>
      </c>
    </row>
    <row r="39" spans="3:14" x14ac:dyDescent="0.25">
      <c r="C39" s="155"/>
      <c r="D39" s="155"/>
      <c r="E39" s="155"/>
      <c r="F39" s="155"/>
      <c r="G39" s="155"/>
      <c r="H39" s="155"/>
      <c r="I39" s="155"/>
      <c r="J39" s="136" t="s">
        <v>150</v>
      </c>
      <c r="K39" s="297">
        <f>AVERAGE(K32,K38)</f>
        <v>1321.8768639883529</v>
      </c>
      <c r="L39" s="297">
        <f t="shared" ref="L39:N39" si="15">AVERAGE(L32,L38)</f>
        <v>248.95200000000003</v>
      </c>
      <c r="M39" s="297">
        <f t="shared" si="15"/>
        <v>70.002602085194951</v>
      </c>
      <c r="N39" s="188">
        <f t="shared" si="15"/>
        <v>13.320063240695358</v>
      </c>
    </row>
    <row r="40" spans="3:14" x14ac:dyDescent="0.25">
      <c r="C40" s="155"/>
      <c r="D40" s="155"/>
      <c r="E40" s="155"/>
      <c r="F40" s="155"/>
      <c r="G40" s="155"/>
      <c r="H40" s="155"/>
      <c r="I40" s="155"/>
      <c r="J40" s="136" t="s">
        <v>323</v>
      </c>
      <c r="K40" s="297">
        <f>AVERAGE(D34,K37)</f>
        <v>4862.7901148635628</v>
      </c>
      <c r="L40" s="297">
        <f>AVERAGE(E34,L37)</f>
        <v>824.87924999999996</v>
      </c>
      <c r="M40" s="297">
        <f t="shared" ref="M40:N40" si="16">AVERAGE(F34,M37)</f>
        <v>66.454080737015261</v>
      </c>
      <c r="N40" s="188">
        <f t="shared" si="16"/>
        <v>11.300977756672442</v>
      </c>
    </row>
    <row r="41" spans="3:14" x14ac:dyDescent="0.25"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</row>
    <row r="42" spans="3:14" x14ac:dyDescent="0.25"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9"/>
  <sheetViews>
    <sheetView zoomScale="80" zoomScaleNormal="80" workbookViewId="0">
      <selection activeCell="R7" sqref="R7"/>
    </sheetView>
  </sheetViews>
  <sheetFormatPr defaultRowHeight="15" x14ac:dyDescent="0.25"/>
  <cols>
    <col min="1" max="1" width="10.7109375" bestFit="1" customWidth="1"/>
    <col min="3" max="3" width="11.42578125" bestFit="1" customWidth="1"/>
    <col min="14" max="14" width="12" bestFit="1" customWidth="1"/>
    <col min="16" max="18" width="9.5703125" bestFit="1" customWidth="1"/>
    <col min="20" max="21" width="9.5703125" bestFit="1" customWidth="1"/>
    <col min="23" max="23" width="9.5703125" bestFit="1" customWidth="1"/>
    <col min="26" max="26" width="27" bestFit="1" customWidth="1"/>
    <col min="28" max="28" width="10.140625" bestFit="1" customWidth="1"/>
    <col min="30" max="31" width="9.140625" style="3"/>
  </cols>
  <sheetData>
    <row r="1" spans="1:31" x14ac:dyDescent="0.25">
      <c r="A1" s="45" t="s">
        <v>105</v>
      </c>
      <c r="B1" s="45" t="s">
        <v>9</v>
      </c>
      <c r="C1" s="45" t="s">
        <v>10</v>
      </c>
      <c r="D1" s="46" t="s">
        <v>66</v>
      </c>
      <c r="E1" s="46" t="s">
        <v>67</v>
      </c>
      <c r="F1" s="46" t="s">
        <v>68</v>
      </c>
      <c r="G1" s="46" t="s">
        <v>69</v>
      </c>
      <c r="H1" s="46" t="s">
        <v>70</v>
      </c>
      <c r="I1" s="47" t="s">
        <v>71</v>
      </c>
      <c r="J1" s="46" t="s">
        <v>72</v>
      </c>
      <c r="K1" s="46" t="s">
        <v>73</v>
      </c>
      <c r="L1" s="46" t="s">
        <v>74</v>
      </c>
      <c r="M1" s="47" t="s">
        <v>75</v>
      </c>
      <c r="N1" s="71" t="s">
        <v>66</v>
      </c>
      <c r="O1" s="231" t="s">
        <v>67</v>
      </c>
      <c r="P1" s="45" t="s">
        <v>68</v>
      </c>
      <c r="Q1" s="231" t="s">
        <v>69</v>
      </c>
      <c r="R1" s="231" t="s">
        <v>268</v>
      </c>
      <c r="S1" s="233" t="s">
        <v>269</v>
      </c>
      <c r="T1" s="45" t="s">
        <v>72</v>
      </c>
      <c r="U1" s="45" t="s">
        <v>73</v>
      </c>
      <c r="V1" s="231" t="s">
        <v>74</v>
      </c>
      <c r="W1" s="72" t="s">
        <v>75</v>
      </c>
      <c r="AD1"/>
      <c r="AE1"/>
    </row>
    <row r="2" spans="1:31" x14ac:dyDescent="0.25">
      <c r="A2" s="48" t="s">
        <v>13</v>
      </c>
      <c r="B2" s="48" t="s">
        <v>13</v>
      </c>
      <c r="C2" s="48"/>
      <c r="D2" s="46" t="s">
        <v>14</v>
      </c>
      <c r="E2" s="46" t="s">
        <v>14</v>
      </c>
      <c r="F2" s="46" t="s">
        <v>14</v>
      </c>
      <c r="G2" s="46" t="s">
        <v>14</v>
      </c>
      <c r="H2" s="46" t="s">
        <v>14</v>
      </c>
      <c r="I2" s="47" t="s">
        <v>14</v>
      </c>
      <c r="J2" s="46" t="s">
        <v>76</v>
      </c>
      <c r="K2" s="46" t="s">
        <v>76</v>
      </c>
      <c r="L2" s="46" t="s">
        <v>76</v>
      </c>
      <c r="M2" s="47" t="s">
        <v>76</v>
      </c>
      <c r="N2" s="73" t="s">
        <v>112</v>
      </c>
      <c r="O2" s="232" t="s">
        <v>112</v>
      </c>
      <c r="P2" s="66" t="s">
        <v>112</v>
      </c>
      <c r="Q2" s="232" t="s">
        <v>112</v>
      </c>
      <c r="R2" s="232" t="s">
        <v>112</v>
      </c>
      <c r="S2" s="232" t="s">
        <v>112</v>
      </c>
      <c r="T2" s="66" t="s">
        <v>112</v>
      </c>
      <c r="U2" s="66" t="s">
        <v>112</v>
      </c>
      <c r="V2" s="232" t="s">
        <v>112</v>
      </c>
      <c r="W2" s="74" t="s">
        <v>112</v>
      </c>
      <c r="AD2"/>
      <c r="AE2"/>
    </row>
    <row r="3" spans="1:31" ht="15.75" thickBot="1" x14ac:dyDescent="0.3">
      <c r="A3" s="49" t="s">
        <v>65</v>
      </c>
      <c r="B3" s="50">
        <v>7</v>
      </c>
      <c r="C3" s="27" t="s">
        <v>27</v>
      </c>
      <c r="D3" s="51">
        <v>1.1399999999999999</v>
      </c>
      <c r="E3" s="52">
        <v>17.100000000000001</v>
      </c>
      <c r="F3" s="51">
        <v>0.59</v>
      </c>
      <c r="G3" s="51">
        <v>3.18</v>
      </c>
      <c r="H3" s="51">
        <v>7.98</v>
      </c>
      <c r="I3" s="57">
        <v>17.7</v>
      </c>
      <c r="J3" s="54">
        <v>0.497</v>
      </c>
      <c r="K3" s="54">
        <v>10.199999999999999</v>
      </c>
      <c r="L3" s="54">
        <v>70.599999999999994</v>
      </c>
      <c r="M3" s="57">
        <v>32</v>
      </c>
      <c r="N3" s="150">
        <f t="shared" ref="N3:N12" si="0">(D3/1000)/AA$5</f>
        <v>4.2253521126760563E-5</v>
      </c>
      <c r="O3" s="35">
        <f t="shared" ref="O3:O12" si="1">(E3/1000)/AA$6</f>
        <v>4.2664670658682636E-4</v>
      </c>
      <c r="P3" s="142">
        <f t="shared" ref="P3:P12" si="2">(F3/1000)/AA$7</f>
        <v>1.056401074306177E-5</v>
      </c>
      <c r="Q3" s="35">
        <f t="shared" ref="Q3:Q12" si="3">(G3/1000)/AA$8</f>
        <v>1.3081036610448375E-4</v>
      </c>
      <c r="R3" s="35">
        <f t="shared" ref="R3:R12" si="4">(H3/1000)/AA$9</f>
        <v>2.5764375423756178E-4</v>
      </c>
      <c r="S3" s="2">
        <f>(I3/1000)/AA$10</f>
        <v>5.5208983156581411E-4</v>
      </c>
      <c r="T3" s="142">
        <f t="shared" ref="T3:T12" si="5">(J3/1000000)/AA$11</f>
        <v>4.4217081850533801E-9</v>
      </c>
      <c r="U3" s="142">
        <f t="shared" ref="U3:U12" si="6">(K3/1000000)/AA$12</f>
        <v>1.6050354051927616E-7</v>
      </c>
      <c r="V3" s="35">
        <f t="shared" ref="V3:V12" si="7">(L3/1000000)/AA$13</f>
        <v>1.2850382235165635E-6</v>
      </c>
      <c r="W3" s="143">
        <f t="shared" ref="W3:W12" si="8">(M3/1000000)/AA$14</f>
        <v>4.894463138574488E-7</v>
      </c>
      <c r="Z3" s="67" t="s">
        <v>78</v>
      </c>
      <c r="AA3" s="26"/>
      <c r="AB3" s="68"/>
      <c r="AD3"/>
      <c r="AE3"/>
    </row>
    <row r="4" spans="1:31" ht="15.75" thickTop="1" x14ac:dyDescent="0.25">
      <c r="A4" s="27" t="s">
        <v>264</v>
      </c>
      <c r="B4" s="50">
        <v>8</v>
      </c>
      <c r="C4" s="205" t="s">
        <v>31</v>
      </c>
      <c r="D4" s="206">
        <v>1.04</v>
      </c>
      <c r="E4" s="207">
        <v>26.6</v>
      </c>
      <c r="F4" s="206">
        <v>0.52</v>
      </c>
      <c r="G4" s="206">
        <v>5</v>
      </c>
      <c r="H4" s="206">
        <v>5.8</v>
      </c>
      <c r="I4" s="208">
        <v>18.3</v>
      </c>
      <c r="J4" s="209">
        <v>0.46100000000000002</v>
      </c>
      <c r="K4" s="206">
        <v>8</v>
      </c>
      <c r="L4" s="209">
        <v>70.400000000000006</v>
      </c>
      <c r="M4" s="210">
        <v>30.4</v>
      </c>
      <c r="N4" s="150">
        <f t="shared" si="0"/>
        <v>3.8547071905114901E-5</v>
      </c>
      <c r="O4" s="35">
        <f t="shared" si="1"/>
        <v>6.636726546906188E-4</v>
      </c>
      <c r="P4" s="142">
        <f t="shared" si="2"/>
        <v>9.3106535362578348E-6</v>
      </c>
      <c r="Q4" s="35">
        <f t="shared" si="3"/>
        <v>2.0567667626491157E-4</v>
      </c>
      <c r="R4" s="35">
        <f t="shared" si="4"/>
        <v>1.8725987150098472E-4</v>
      </c>
      <c r="S4" s="2">
        <f t="shared" ref="S4:S12" si="9">(I4/1000)/AA$10</f>
        <v>5.7080474111041789E-4</v>
      </c>
      <c r="T4" s="142">
        <f t="shared" si="5"/>
        <v>4.1014234875444839E-9</v>
      </c>
      <c r="U4" s="142">
        <f t="shared" si="6"/>
        <v>1.2588512981904013E-7</v>
      </c>
      <c r="V4" s="35">
        <f t="shared" si="7"/>
        <v>1.2813978886057519E-6</v>
      </c>
      <c r="W4" s="143">
        <f t="shared" si="8"/>
        <v>4.6497399816457629E-7</v>
      </c>
      <c r="Z4" s="69" t="s">
        <v>79</v>
      </c>
      <c r="AA4" s="39">
        <v>12.01</v>
      </c>
      <c r="AB4" s="30" t="s">
        <v>80</v>
      </c>
      <c r="AD4"/>
      <c r="AE4"/>
    </row>
    <row r="5" spans="1:31" x14ac:dyDescent="0.25">
      <c r="A5" s="27"/>
      <c r="B5" s="50">
        <v>9</v>
      </c>
      <c r="C5" s="205" t="s">
        <v>35</v>
      </c>
      <c r="D5" s="206">
        <v>7.0000000000000007E-2</v>
      </c>
      <c r="E5" s="211">
        <v>267</v>
      </c>
      <c r="F5" s="206">
        <v>0.04</v>
      </c>
      <c r="G5" s="207">
        <v>30.9</v>
      </c>
      <c r="H5" s="206">
        <v>2.8</v>
      </c>
      <c r="I5" s="208">
        <v>17.899999999999999</v>
      </c>
      <c r="J5" s="209">
        <v>0.183</v>
      </c>
      <c r="K5" s="209">
        <v>2.89</v>
      </c>
      <c r="L5" s="209">
        <v>12.7</v>
      </c>
      <c r="M5" s="210">
        <v>6.8</v>
      </c>
      <c r="N5" s="150">
        <f t="shared" si="0"/>
        <v>2.5945144551519648E-6</v>
      </c>
      <c r="O5" s="35">
        <f t="shared" si="1"/>
        <v>6.6616766467065876E-3</v>
      </c>
      <c r="P5" s="142">
        <f t="shared" si="2"/>
        <v>7.1620411817367958E-7</v>
      </c>
      <c r="Q5" s="35">
        <f t="shared" si="3"/>
        <v>1.2710818593171533E-3</v>
      </c>
      <c r="R5" s="35">
        <f>(H5/1000)/AA$9</f>
        <v>9.0401317276337463E-5</v>
      </c>
      <c r="S5" s="2">
        <f t="shared" si="9"/>
        <v>5.5832813474734867E-4</v>
      </c>
      <c r="T5" s="142">
        <f t="shared" si="5"/>
        <v>1.6281138790035586E-9</v>
      </c>
      <c r="U5" s="142">
        <f t="shared" si="6"/>
        <v>4.5476003147128254E-8</v>
      </c>
      <c r="V5" s="35">
        <f t="shared" si="7"/>
        <v>2.3116126683654896E-7</v>
      </c>
      <c r="W5" s="143">
        <f t="shared" si="8"/>
        <v>1.0400734169470787E-7</v>
      </c>
      <c r="Z5" s="69" t="s">
        <v>66</v>
      </c>
      <c r="AA5" s="39">
        <v>26.98</v>
      </c>
      <c r="AB5" s="30" t="s">
        <v>80</v>
      </c>
      <c r="AD5"/>
      <c r="AE5"/>
    </row>
    <row r="6" spans="1:31" x14ac:dyDescent="0.25">
      <c r="A6" s="27"/>
      <c r="B6" s="50">
        <v>10</v>
      </c>
      <c r="C6" s="205" t="s">
        <v>39</v>
      </c>
      <c r="D6" s="206">
        <v>4.3899999999999997</v>
      </c>
      <c r="E6" s="207">
        <v>13.8</v>
      </c>
      <c r="F6" s="206">
        <v>3.63</v>
      </c>
      <c r="G6" s="206">
        <v>3.38</v>
      </c>
      <c r="H6" s="206">
        <v>5.21</v>
      </c>
      <c r="I6" s="212">
        <v>7.62</v>
      </c>
      <c r="J6" s="209">
        <v>0.29799999999999999</v>
      </c>
      <c r="K6" s="209">
        <v>16.2</v>
      </c>
      <c r="L6" s="209">
        <v>83.9</v>
      </c>
      <c r="M6" s="210">
        <v>61.7</v>
      </c>
      <c r="N6" s="150">
        <f t="shared" si="0"/>
        <v>1.6271312083024461E-4</v>
      </c>
      <c r="O6" s="35">
        <f t="shared" si="1"/>
        <v>3.4431137724550906E-4</v>
      </c>
      <c r="P6" s="142">
        <f t="shared" si="2"/>
        <v>6.4995523724261411E-5</v>
      </c>
      <c r="Q6" s="35">
        <f t="shared" si="3"/>
        <v>1.3903743315508022E-4</v>
      </c>
      <c r="R6" s="35">
        <f t="shared" si="4"/>
        <v>1.6821102250347077E-4</v>
      </c>
      <c r="S6" s="2">
        <f t="shared" si="9"/>
        <v>2.376793512164691E-4</v>
      </c>
      <c r="T6" s="142">
        <f t="shared" si="5"/>
        <v>2.6512455516014235E-9</v>
      </c>
      <c r="U6" s="142">
        <f t="shared" si="6"/>
        <v>2.5491738788355627E-7</v>
      </c>
      <c r="V6" s="35">
        <f t="shared" si="7"/>
        <v>1.5271204950855481E-6</v>
      </c>
      <c r="W6" s="143">
        <f t="shared" si="8"/>
        <v>9.4371367390639355E-7</v>
      </c>
      <c r="Z6" s="69" t="s">
        <v>67</v>
      </c>
      <c r="AA6" s="39">
        <v>40.08</v>
      </c>
      <c r="AB6" s="30" t="s">
        <v>80</v>
      </c>
      <c r="AD6"/>
      <c r="AE6"/>
    </row>
    <row r="7" spans="1:31" x14ac:dyDescent="0.25">
      <c r="A7" s="27"/>
      <c r="B7" s="50">
        <v>11</v>
      </c>
      <c r="C7" s="205" t="s">
        <v>43</v>
      </c>
      <c r="D7" s="206">
        <v>3.85</v>
      </c>
      <c r="E7" s="207">
        <v>24.6</v>
      </c>
      <c r="F7" s="206">
        <v>3.12</v>
      </c>
      <c r="G7" s="206">
        <v>5.99</v>
      </c>
      <c r="H7" s="206">
        <v>4.09</v>
      </c>
      <c r="I7" s="212">
        <v>7.46</v>
      </c>
      <c r="J7" s="209">
        <v>0.26400000000000001</v>
      </c>
      <c r="K7" s="209">
        <v>13.8</v>
      </c>
      <c r="L7" s="209">
        <v>73.7</v>
      </c>
      <c r="M7" s="208">
        <v>55</v>
      </c>
      <c r="N7" s="150">
        <f t="shared" si="0"/>
        <v>1.4269829503335804E-4</v>
      </c>
      <c r="O7" s="35">
        <f t="shared" si="1"/>
        <v>6.1377245508982038E-4</v>
      </c>
      <c r="P7" s="142">
        <f t="shared" si="2"/>
        <v>5.5863921217546999E-5</v>
      </c>
      <c r="Q7" s="35">
        <f t="shared" si="3"/>
        <v>2.4640065816536409E-4</v>
      </c>
      <c r="R7" s="35">
        <f t="shared" si="4"/>
        <v>1.3205049559293579E-4</v>
      </c>
      <c r="S7" s="2">
        <f t="shared" si="9"/>
        <v>2.3268870867124139E-4</v>
      </c>
      <c r="T7" s="142">
        <f t="shared" si="5"/>
        <v>2.3487544483985766E-9</v>
      </c>
      <c r="U7" s="142">
        <f t="shared" si="6"/>
        <v>2.1715184893784424E-7</v>
      </c>
      <c r="V7" s="35">
        <f t="shared" si="7"/>
        <v>1.3414634146341465E-6</v>
      </c>
      <c r="W7" s="143">
        <f t="shared" si="8"/>
        <v>8.4123585194249019E-7</v>
      </c>
      <c r="Z7" s="69" t="s">
        <v>68</v>
      </c>
      <c r="AA7" s="39">
        <v>55.85</v>
      </c>
      <c r="AB7" s="30" t="s">
        <v>80</v>
      </c>
      <c r="AD7"/>
      <c r="AE7"/>
    </row>
    <row r="8" spans="1:31" x14ac:dyDescent="0.25">
      <c r="A8" s="27"/>
      <c r="B8" s="50">
        <v>12</v>
      </c>
      <c r="C8" s="205" t="s">
        <v>47</v>
      </c>
      <c r="D8" s="206">
        <v>0.16</v>
      </c>
      <c r="E8" s="211">
        <v>277</v>
      </c>
      <c r="F8" s="206">
        <v>0.16</v>
      </c>
      <c r="G8" s="207">
        <v>32.5</v>
      </c>
      <c r="H8" s="206">
        <v>1.83</v>
      </c>
      <c r="I8" s="212">
        <v>6.9</v>
      </c>
      <c r="J8" s="209">
        <v>9.7000000000000003E-2</v>
      </c>
      <c r="K8" s="209">
        <v>4.0199999999999996</v>
      </c>
      <c r="L8" s="209">
        <v>13.8</v>
      </c>
      <c r="M8" s="210">
        <v>11.4</v>
      </c>
      <c r="N8" s="150">
        <f t="shared" si="0"/>
        <v>5.9303187546330621E-6</v>
      </c>
      <c r="O8" s="35">
        <f t="shared" si="1"/>
        <v>6.9111776447105793E-3</v>
      </c>
      <c r="P8" s="142">
        <f t="shared" si="2"/>
        <v>2.8648164726947183E-6</v>
      </c>
      <c r="Q8" s="35">
        <f t="shared" si="3"/>
        <v>1.3368983957219253E-3</v>
      </c>
      <c r="R8" s="35">
        <f t="shared" si="4"/>
        <v>5.9083718077034842E-5</v>
      </c>
      <c r="S8" s="2">
        <f t="shared" si="9"/>
        <v>2.1522145976294449E-4</v>
      </c>
      <c r="T8" s="142">
        <f t="shared" si="5"/>
        <v>8.6298932384341645E-10</v>
      </c>
      <c r="U8" s="142">
        <f t="shared" si="6"/>
        <v>6.3257277734067665E-8</v>
      </c>
      <c r="V8" s="35">
        <f t="shared" si="7"/>
        <v>2.5118310884601386E-7</v>
      </c>
      <c r="W8" s="143">
        <f t="shared" si="8"/>
        <v>1.7436524931171613E-7</v>
      </c>
      <c r="Z8" s="69" t="s">
        <v>69</v>
      </c>
      <c r="AA8" s="39">
        <v>24.31</v>
      </c>
      <c r="AB8" s="30" t="s">
        <v>80</v>
      </c>
      <c r="AD8"/>
      <c r="AE8"/>
    </row>
    <row r="9" spans="1:31" x14ac:dyDescent="0.25">
      <c r="A9" s="27"/>
      <c r="B9" s="50">
        <v>13</v>
      </c>
      <c r="C9" s="205" t="s">
        <v>51</v>
      </c>
      <c r="D9" s="206">
        <v>0.65</v>
      </c>
      <c r="E9" s="207">
        <v>29.8</v>
      </c>
      <c r="F9" s="206">
        <v>0.47</v>
      </c>
      <c r="G9" s="206">
        <v>5.21</v>
      </c>
      <c r="H9" s="207">
        <v>38.1</v>
      </c>
      <c r="I9" s="212">
        <v>4.8899999999999997</v>
      </c>
      <c r="J9" s="209">
        <v>1.95</v>
      </c>
      <c r="K9" s="209">
        <v>15.6</v>
      </c>
      <c r="L9" s="209">
        <v>201</v>
      </c>
      <c r="M9" s="210">
        <v>259</v>
      </c>
      <c r="N9" s="150">
        <f t="shared" si="0"/>
        <v>2.4091919940696811E-5</v>
      </c>
      <c r="O9" s="35">
        <f t="shared" si="1"/>
        <v>7.4351297405189621E-4</v>
      </c>
      <c r="P9" s="142">
        <f t="shared" si="2"/>
        <v>8.4153983885407336E-6</v>
      </c>
      <c r="Q9" s="35">
        <f t="shared" si="3"/>
        <v>2.1431509666803786E-4</v>
      </c>
      <c r="R9" s="35">
        <f t="shared" si="4"/>
        <v>1.2301036386530204E-3</v>
      </c>
      <c r="S9" s="2">
        <f t="shared" si="9"/>
        <v>1.5252651278852149E-4</v>
      </c>
      <c r="T9" s="142">
        <f t="shared" si="5"/>
        <v>1.7348754448398576E-8</v>
      </c>
      <c r="U9" s="142">
        <f t="shared" si="6"/>
        <v>2.4547600314712825E-7</v>
      </c>
      <c r="V9" s="35">
        <f t="shared" si="7"/>
        <v>3.6585365853658541E-6</v>
      </c>
      <c r="W9" s="143">
        <f t="shared" si="8"/>
        <v>3.961456102783726E-6</v>
      </c>
      <c r="Z9" s="69" t="s">
        <v>70</v>
      </c>
      <c r="AA9" s="39">
        <v>30.972999999999999</v>
      </c>
      <c r="AB9" s="30" t="s">
        <v>80</v>
      </c>
      <c r="AD9"/>
      <c r="AE9"/>
    </row>
    <row r="10" spans="1:31" x14ac:dyDescent="0.25">
      <c r="A10" s="27"/>
      <c r="B10" s="50">
        <v>14</v>
      </c>
      <c r="C10" s="205" t="s">
        <v>55</v>
      </c>
      <c r="D10" s="206">
        <v>0.54</v>
      </c>
      <c r="E10" s="207">
        <v>34.299999999999997</v>
      </c>
      <c r="F10" s="206">
        <v>0.38</v>
      </c>
      <c r="G10" s="206">
        <v>7.18</v>
      </c>
      <c r="H10" s="207">
        <v>36.6</v>
      </c>
      <c r="I10" s="212">
        <v>4.55</v>
      </c>
      <c r="J10" s="209">
        <v>1.73</v>
      </c>
      <c r="K10" s="209">
        <v>13.6</v>
      </c>
      <c r="L10" s="209">
        <v>207</v>
      </c>
      <c r="M10" s="210">
        <v>240</v>
      </c>
      <c r="N10" s="150">
        <f t="shared" si="0"/>
        <v>2.0014825796886583E-5</v>
      </c>
      <c r="O10" s="35">
        <f t="shared" si="1"/>
        <v>8.5578842315369255E-4</v>
      </c>
      <c r="P10" s="142">
        <f t="shared" si="2"/>
        <v>6.8039391226499551E-6</v>
      </c>
      <c r="Q10" s="35">
        <f t="shared" si="3"/>
        <v>2.9535170711641302E-4</v>
      </c>
      <c r="R10" s="35">
        <f t="shared" si="4"/>
        <v>1.1816743615406969E-3</v>
      </c>
      <c r="S10" s="2">
        <f t="shared" si="9"/>
        <v>1.4192139737991265E-4</v>
      </c>
      <c r="T10" s="142">
        <f t="shared" si="5"/>
        <v>1.5391459074733094E-8</v>
      </c>
      <c r="U10" s="142">
        <f t="shared" si="6"/>
        <v>2.1400472069236823E-7</v>
      </c>
      <c r="V10" s="35">
        <f t="shared" si="7"/>
        <v>3.7677466326902075E-6</v>
      </c>
      <c r="W10" s="143">
        <f t="shared" si="8"/>
        <v>3.6708473539308661E-6</v>
      </c>
      <c r="Z10" s="69" t="s">
        <v>71</v>
      </c>
      <c r="AA10" s="39">
        <v>32.06</v>
      </c>
      <c r="AB10" s="30" t="s">
        <v>80</v>
      </c>
      <c r="AD10"/>
      <c r="AE10"/>
    </row>
    <row r="11" spans="1:31" x14ac:dyDescent="0.25">
      <c r="A11" s="27"/>
      <c r="B11" s="50">
        <v>15</v>
      </c>
      <c r="C11" s="205" t="s">
        <v>58</v>
      </c>
      <c r="D11" s="206">
        <v>0.19</v>
      </c>
      <c r="E11" s="211">
        <v>194</v>
      </c>
      <c r="F11" s="206">
        <v>0.12</v>
      </c>
      <c r="G11" s="207">
        <v>40.299999999999997</v>
      </c>
      <c r="H11" s="207">
        <v>34.200000000000003</v>
      </c>
      <c r="I11" s="212">
        <v>3.56</v>
      </c>
      <c r="J11" s="209">
        <v>1.48</v>
      </c>
      <c r="K11" s="209">
        <v>6.35</v>
      </c>
      <c r="L11" s="209">
        <v>351</v>
      </c>
      <c r="M11" s="210">
        <v>159</v>
      </c>
      <c r="N11" s="150">
        <f t="shared" si="0"/>
        <v>7.0422535211267608E-6</v>
      </c>
      <c r="O11" s="35">
        <f t="shared" si="1"/>
        <v>4.8403193612774455E-3</v>
      </c>
      <c r="P11" s="142">
        <f t="shared" si="2"/>
        <v>2.1486123545210381E-6</v>
      </c>
      <c r="Q11" s="35">
        <f t="shared" si="3"/>
        <v>1.6577540106951871E-3</v>
      </c>
      <c r="R11" s="35">
        <f t="shared" si="4"/>
        <v>1.1041875181609789E-3</v>
      </c>
      <c r="S11" s="2">
        <f t="shared" si="9"/>
        <v>1.1104179663131628E-4</v>
      </c>
      <c r="T11" s="142">
        <f t="shared" si="5"/>
        <v>1.3167259786476867E-8</v>
      </c>
      <c r="U11" s="142">
        <f t="shared" si="6"/>
        <v>9.9921321793863099E-8</v>
      </c>
      <c r="V11" s="35">
        <f t="shared" si="7"/>
        <v>6.3887877684747004E-6</v>
      </c>
      <c r="W11" s="143">
        <f t="shared" si="8"/>
        <v>2.4319363719791983E-6</v>
      </c>
      <c r="Z11" s="69" t="s">
        <v>72</v>
      </c>
      <c r="AA11" s="39">
        <v>112.4</v>
      </c>
      <c r="AB11" s="30" t="s">
        <v>80</v>
      </c>
      <c r="AD11"/>
      <c r="AE11"/>
    </row>
    <row r="12" spans="1:31" x14ac:dyDescent="0.25">
      <c r="A12" s="28"/>
      <c r="B12" s="58">
        <v>16</v>
      </c>
      <c r="C12" s="213" t="s">
        <v>62</v>
      </c>
      <c r="D12" s="214">
        <v>0.76</v>
      </c>
      <c r="E12" s="215">
        <v>157</v>
      </c>
      <c r="F12" s="214">
        <v>0.54</v>
      </c>
      <c r="G12" s="216">
        <v>72.099999999999994</v>
      </c>
      <c r="H12" s="216">
        <v>38.6</v>
      </c>
      <c r="I12" s="217">
        <v>70.7</v>
      </c>
      <c r="J12" s="218">
        <v>1.31</v>
      </c>
      <c r="K12" s="218">
        <v>16.3</v>
      </c>
      <c r="L12" s="218">
        <v>301</v>
      </c>
      <c r="M12" s="219">
        <v>220</v>
      </c>
      <c r="N12" s="154">
        <f t="shared" si="0"/>
        <v>2.8169014084507043E-5</v>
      </c>
      <c r="O12" s="5">
        <f t="shared" si="1"/>
        <v>3.9171656686626749E-3</v>
      </c>
      <c r="P12" s="144">
        <f t="shared" si="2"/>
        <v>9.6687555953446726E-6</v>
      </c>
      <c r="Q12" s="5">
        <f t="shared" si="3"/>
        <v>2.9658576717400248E-3</v>
      </c>
      <c r="R12" s="5">
        <f t="shared" si="4"/>
        <v>1.246246731023795E-3</v>
      </c>
      <c r="S12" s="6">
        <f t="shared" si="9"/>
        <v>2.205240174672489E-3</v>
      </c>
      <c r="T12" s="154">
        <f t="shared" si="5"/>
        <v>1.1654804270462632E-8</v>
      </c>
      <c r="U12" s="144">
        <f t="shared" si="6"/>
        <v>2.5649095200629425E-7</v>
      </c>
      <c r="V12" s="5">
        <f t="shared" si="7"/>
        <v>5.4787040407717512E-6</v>
      </c>
      <c r="W12" s="145">
        <f t="shared" si="8"/>
        <v>3.3649434077699608E-6</v>
      </c>
      <c r="Z12" s="69" t="s">
        <v>73</v>
      </c>
      <c r="AA12" s="39">
        <v>63.55</v>
      </c>
      <c r="AB12" s="30" t="s">
        <v>80</v>
      </c>
      <c r="AD12"/>
      <c r="AE12"/>
    </row>
    <row r="13" spans="1:31" x14ac:dyDescent="0.25">
      <c r="A13" s="49" t="s">
        <v>106</v>
      </c>
      <c r="B13" s="50">
        <v>3</v>
      </c>
      <c r="C13" s="27" t="s">
        <v>94</v>
      </c>
      <c r="D13" s="51">
        <v>0.47</v>
      </c>
      <c r="E13" s="52">
        <v>60.3</v>
      </c>
      <c r="F13" s="51">
        <v>0.19</v>
      </c>
      <c r="G13" s="51">
        <v>6.48</v>
      </c>
      <c r="H13" s="51">
        <v>5</v>
      </c>
      <c r="I13" s="53">
        <v>6.67</v>
      </c>
      <c r="J13" s="54">
        <v>0.23699999999999999</v>
      </c>
      <c r="K13" s="54">
        <v>7.34</v>
      </c>
      <c r="L13" s="54">
        <v>243</v>
      </c>
      <c r="M13" s="64">
        <v>26.5</v>
      </c>
      <c r="N13" s="150">
        <f>((D13/1000)/AA$5)*3</f>
        <v>5.2260934025203851E-5</v>
      </c>
      <c r="O13" s="35">
        <f>((E13/1000)/AA$6)*3</f>
        <v>4.5134730538922158E-3</v>
      </c>
      <c r="P13" s="142">
        <f>((F13/1000)/AA$7)*3</f>
        <v>1.0205908683974933E-5</v>
      </c>
      <c r="Q13" s="35">
        <f>((G13/1000)/AA$8)*3</f>
        <v>7.9967091731797618E-4</v>
      </c>
      <c r="R13" s="35">
        <f>((H13/1000)/AA$9)*3</f>
        <v>4.8429277112323644E-4</v>
      </c>
      <c r="S13" s="2">
        <f>((I13/1000)/AA$10)*3</f>
        <v>6.2414223331253894E-4</v>
      </c>
      <c r="T13" s="142">
        <f>((J13/1000000)/AA$11)*3</f>
        <v>6.3256227758007108E-9</v>
      </c>
      <c r="U13" s="142">
        <f>((K13/1000000)/AA$12)*3</f>
        <v>3.4649881982690796E-7</v>
      </c>
      <c r="V13" s="35">
        <f>((L13/1000000)/AA$13)*3</f>
        <v>1.3269020749908993E-5</v>
      </c>
      <c r="W13" s="143">
        <f>((M13/1000000)/AA$14)*3</f>
        <v>1.2159681859895994E-6</v>
      </c>
      <c r="Z13" s="69" t="s">
        <v>74</v>
      </c>
      <c r="AA13" s="39">
        <v>54.94</v>
      </c>
      <c r="AB13" s="30" t="s">
        <v>80</v>
      </c>
      <c r="AD13"/>
      <c r="AE13"/>
    </row>
    <row r="14" spans="1:31" x14ac:dyDescent="0.25">
      <c r="A14" s="137" t="s">
        <v>267</v>
      </c>
      <c r="B14" s="50">
        <v>4</v>
      </c>
      <c r="C14" s="27" t="s">
        <v>95</v>
      </c>
      <c r="D14" s="51">
        <v>1.86</v>
      </c>
      <c r="E14" s="52">
        <v>54.1</v>
      </c>
      <c r="F14" s="51">
        <v>1.84</v>
      </c>
      <c r="G14" s="51">
        <v>5.87</v>
      </c>
      <c r="H14" s="51">
        <v>2.66</v>
      </c>
      <c r="I14" s="53">
        <v>3.24</v>
      </c>
      <c r="J14" s="54">
        <v>0.20499999999999999</v>
      </c>
      <c r="K14" s="54">
        <v>8.91</v>
      </c>
      <c r="L14" s="54">
        <v>112</v>
      </c>
      <c r="M14" s="57">
        <v>46</v>
      </c>
      <c r="N14" s="150">
        <f>((D14/1000)/AA$5)*3</f>
        <v>2.0681986656782803E-4</v>
      </c>
      <c r="O14" s="35">
        <f>((E14/1000)/AA$6)*3</f>
        <v>4.0494011976047904E-3</v>
      </c>
      <c r="P14" s="142">
        <f>((F14/1000)/AA$7)*3</f>
        <v>9.8836168307967783E-5</v>
      </c>
      <c r="Q14" s="35">
        <f>((G14/1000)/AA$8)*3</f>
        <v>7.243932538050186E-4</v>
      </c>
      <c r="R14" s="35">
        <f>((H14/1000)/AA$9)*3</f>
        <v>2.5764375423756178E-4</v>
      </c>
      <c r="S14" s="2">
        <f>((I14/1000)/AA$10)*3</f>
        <v>3.0318153462258266E-4</v>
      </c>
      <c r="T14" s="142">
        <f>((J14/1000000)/AA$11)*3</f>
        <v>5.4715302491103202E-9</v>
      </c>
      <c r="U14" s="142">
        <f>((K14/1000000)/AA$12)*3</f>
        <v>4.2061369000786782E-7</v>
      </c>
      <c r="V14" s="35">
        <f>((L14/1000000)/AA$13)*3</f>
        <v>6.1157626501638151E-6</v>
      </c>
      <c r="W14" s="143">
        <f>((M14/1000000)/AA$14)*3</f>
        <v>2.1107372285102479E-6</v>
      </c>
      <c r="Z14" s="70" t="s">
        <v>75</v>
      </c>
      <c r="AA14" s="11">
        <v>65.38</v>
      </c>
      <c r="AB14" s="31" t="s">
        <v>80</v>
      </c>
      <c r="AD14"/>
      <c r="AE14"/>
    </row>
    <row r="15" spans="1:31" x14ac:dyDescent="0.25">
      <c r="A15" s="27" t="s">
        <v>264</v>
      </c>
      <c r="B15" s="50">
        <v>5</v>
      </c>
      <c r="C15" s="27" t="s">
        <v>96</v>
      </c>
      <c r="D15" s="51">
        <v>0.53</v>
      </c>
      <c r="E15" s="52">
        <v>55.6</v>
      </c>
      <c r="F15" s="51">
        <v>0.34</v>
      </c>
      <c r="G15" s="51">
        <v>7.24</v>
      </c>
      <c r="H15" s="52">
        <v>16.600000000000001</v>
      </c>
      <c r="I15" s="53">
        <v>5.1100000000000003</v>
      </c>
      <c r="J15" s="54">
        <v>4.8499999999999996</v>
      </c>
      <c r="K15" s="54">
        <v>34.299999999999997</v>
      </c>
      <c r="L15" s="54">
        <v>461</v>
      </c>
      <c r="M15" s="64">
        <v>214</v>
      </c>
      <c r="N15" s="150">
        <f>((D15/1000)/AA$5)*3</f>
        <v>5.893254262416605E-5</v>
      </c>
      <c r="O15" s="35">
        <f>((E15/1000)/AA$6)*3</f>
        <v>4.1616766467065872E-3</v>
      </c>
      <c r="P15" s="142">
        <f>((F15/1000)/AA$7)*3</f>
        <v>1.8263205013428828E-5</v>
      </c>
      <c r="Q15" s="35">
        <f>((G15/1000)/AA$8)*3</f>
        <v>8.9345948169477574E-4</v>
      </c>
      <c r="R15" s="35">
        <f>((H15/1000)/AA$9)*3</f>
        <v>1.6078520001291449E-3</v>
      </c>
      <c r="S15" s="2">
        <f>((I15/1000)/AA$10)*3</f>
        <v>4.7816593886462885E-4</v>
      </c>
      <c r="T15" s="142">
        <f>((J15/1000000)/AA$11)*3</f>
        <v>1.2944839857651243E-7</v>
      </c>
      <c r="U15" s="142">
        <f>((K15/1000000)/AA$12)*3</f>
        <v>1.6191974822974035E-6</v>
      </c>
      <c r="V15" s="35">
        <f>((L15/1000000)/AA$13)*3</f>
        <v>2.5172915908263562E-5</v>
      </c>
      <c r="W15" s="143">
        <f>((M15/1000000)/AA$14)*3</f>
        <v>9.8195166717650662E-6</v>
      </c>
      <c r="AD15"/>
      <c r="AE15"/>
    </row>
    <row r="16" spans="1:31" x14ac:dyDescent="0.25">
      <c r="A16" s="28"/>
      <c r="B16" s="58">
        <v>6</v>
      </c>
      <c r="C16" s="28" t="s">
        <v>97</v>
      </c>
      <c r="D16" s="59">
        <v>0.28000000000000003</v>
      </c>
      <c r="E16" s="61">
        <v>80.3</v>
      </c>
      <c r="F16" s="59">
        <v>0.2</v>
      </c>
      <c r="G16" s="61">
        <v>27.7</v>
      </c>
      <c r="H16" s="61">
        <v>12.8</v>
      </c>
      <c r="I16" s="62">
        <v>23.4</v>
      </c>
      <c r="J16" s="63">
        <v>1.0900000000000001</v>
      </c>
      <c r="K16" s="63">
        <v>5.94</v>
      </c>
      <c r="L16" s="63">
        <v>87.4</v>
      </c>
      <c r="M16" s="65">
        <v>159</v>
      </c>
      <c r="N16" s="154">
        <f>((D16/1000)/AA$5)*3</f>
        <v>3.1134173461823576E-5</v>
      </c>
      <c r="O16" s="5">
        <f>((E16/1000)/AA$6)*3</f>
        <v>6.0104790419161676E-3</v>
      </c>
      <c r="P16" s="144">
        <f>((F16/1000)/AA$7)*3</f>
        <v>1.0743061772605193E-5</v>
      </c>
      <c r="Q16" s="5">
        <f>((G16/1000)/AA$8)*3</f>
        <v>3.41834635952283E-3</v>
      </c>
      <c r="R16" s="5">
        <f>((H16/1000)/AA$9)*3</f>
        <v>1.2397894940754852E-3</v>
      </c>
      <c r="S16" s="6">
        <f>((I16/1000)/AA$10)*3</f>
        <v>2.1896444167186519E-3</v>
      </c>
      <c r="T16" s="154">
        <f>((J16/1000000)/AA$11)*3</f>
        <v>2.9092526690391464E-8</v>
      </c>
      <c r="U16" s="144">
        <f>((K16/1000000)/AA$12)*3</f>
        <v>2.8040912667191192E-7</v>
      </c>
      <c r="V16" s="5">
        <f>((L16/1000000)/AA$13)*3</f>
        <v>4.772479068074264E-6</v>
      </c>
      <c r="W16" s="145">
        <f>((M16/1000000)/AA$14)*3</f>
        <v>7.295809115937595E-6</v>
      </c>
      <c r="AD16"/>
      <c r="AE16"/>
    </row>
    <row r="17" spans="1:31" x14ac:dyDescent="0.25">
      <c r="A17" s="49" t="s">
        <v>107</v>
      </c>
      <c r="B17" s="50">
        <v>3</v>
      </c>
      <c r="C17" s="27" t="s">
        <v>98</v>
      </c>
      <c r="D17" s="51">
        <v>0.3</v>
      </c>
      <c r="E17" s="52">
        <v>28.2</v>
      </c>
      <c r="F17" s="51">
        <v>0.18</v>
      </c>
      <c r="G17" s="51">
        <v>5.42</v>
      </c>
      <c r="H17" s="51">
        <v>8.99</v>
      </c>
      <c r="I17" s="57">
        <v>23</v>
      </c>
      <c r="J17" s="54">
        <v>0.434</v>
      </c>
      <c r="K17" s="54">
        <v>11.3</v>
      </c>
      <c r="L17" s="54">
        <v>65.900000000000006</v>
      </c>
      <c r="M17" s="64">
        <v>38.6</v>
      </c>
      <c r="N17" s="150">
        <f t="shared" ref="N17:N29" si="10">(D17/1000)/AA$5</f>
        <v>1.1119347664936988E-5</v>
      </c>
      <c r="O17" s="35">
        <f t="shared" ref="O17:O29" si="11">(E17/1000)/AA$6</f>
        <v>7.0359281437125745E-4</v>
      </c>
      <c r="P17" s="142">
        <f t="shared" ref="P17:P29" si="12">(F17/1000)/AA$7</f>
        <v>3.2229185317815574E-6</v>
      </c>
      <c r="Q17" s="35">
        <f t="shared" ref="Q17:Q29" si="13">(G17/1000)/AA$8</f>
        <v>2.2295351707116414E-4</v>
      </c>
      <c r="R17" s="35">
        <f t="shared" ref="R17:R29" si="14">(H17/1000)/AA$9</f>
        <v>2.9025280082652631E-4</v>
      </c>
      <c r="S17" s="2">
        <f t="shared" ref="S17:S29" si="15">(I17/1000)/AA$10</f>
        <v>7.1740486587648156E-4</v>
      </c>
      <c r="T17" s="142">
        <f t="shared" ref="T17:T29" si="16">(J17/1000000)/AA$11</f>
        <v>3.8612099644128113E-9</v>
      </c>
      <c r="U17" s="142">
        <f t="shared" ref="U17:U29" si="17">(K17/1000000)/AA$12</f>
        <v>1.778127458693942E-7</v>
      </c>
      <c r="V17" s="35">
        <f t="shared" ref="V17:V29" si="18">(L17/1000000)/AA$13</f>
        <v>1.1994903531124864E-6</v>
      </c>
      <c r="W17" s="143">
        <f t="shared" ref="W17:W29" si="19">(M17/1000000)/AA$14</f>
        <v>5.9039461609054766E-7</v>
      </c>
      <c r="AD17"/>
      <c r="AE17"/>
    </row>
    <row r="18" spans="1:31" x14ac:dyDescent="0.25">
      <c r="A18" s="27" t="s">
        <v>264</v>
      </c>
      <c r="B18" s="50">
        <v>4</v>
      </c>
      <c r="C18" s="27" t="s">
        <v>99</v>
      </c>
      <c r="D18" s="51">
        <v>0.27</v>
      </c>
      <c r="E18" s="52">
        <v>29.7</v>
      </c>
      <c r="F18" s="51">
        <v>0.18</v>
      </c>
      <c r="G18" s="51">
        <v>5.94</v>
      </c>
      <c r="H18" s="51">
        <v>9.2200000000000006</v>
      </c>
      <c r="I18" s="57">
        <v>18.2</v>
      </c>
      <c r="J18" s="54">
        <v>0.443</v>
      </c>
      <c r="K18" s="54">
        <v>11.4</v>
      </c>
      <c r="L18" s="54">
        <v>41.5</v>
      </c>
      <c r="M18" s="64">
        <v>23.2</v>
      </c>
      <c r="N18" s="150">
        <f t="shared" si="10"/>
        <v>1.0007412898443291E-5</v>
      </c>
      <c r="O18" s="35">
        <f t="shared" si="11"/>
        <v>7.4101796407185637E-4</v>
      </c>
      <c r="P18" s="142">
        <f t="shared" si="12"/>
        <v>3.2229185317815574E-6</v>
      </c>
      <c r="Q18" s="35">
        <f t="shared" si="13"/>
        <v>2.4434389140271494E-4</v>
      </c>
      <c r="R18" s="35">
        <f t="shared" si="14"/>
        <v>2.9767862331708263E-4</v>
      </c>
      <c r="S18" s="2">
        <f t="shared" si="15"/>
        <v>5.6768558951965061E-4</v>
      </c>
      <c r="T18" s="142">
        <f t="shared" si="16"/>
        <v>3.9412811387900349E-9</v>
      </c>
      <c r="U18" s="142">
        <f t="shared" si="17"/>
        <v>1.793863099921322E-7</v>
      </c>
      <c r="V18" s="35">
        <f t="shared" si="18"/>
        <v>7.5536949399344744E-7</v>
      </c>
      <c r="W18" s="143">
        <f t="shared" si="19"/>
        <v>3.5484857754665035E-7</v>
      </c>
      <c r="AD18"/>
      <c r="AE18"/>
    </row>
    <row r="19" spans="1:31" x14ac:dyDescent="0.25">
      <c r="A19" s="27"/>
      <c r="B19" s="50">
        <v>5</v>
      </c>
      <c r="C19" s="27" t="s">
        <v>100</v>
      </c>
      <c r="D19" s="51">
        <v>0.77</v>
      </c>
      <c r="E19" s="52">
        <v>25.2</v>
      </c>
      <c r="F19" s="51">
        <v>0.74</v>
      </c>
      <c r="G19" s="51">
        <v>6</v>
      </c>
      <c r="H19" s="51">
        <v>4.97</v>
      </c>
      <c r="I19" s="53">
        <v>6.35</v>
      </c>
      <c r="J19" s="54">
        <v>0.19400000000000001</v>
      </c>
      <c r="K19" s="54">
        <v>14.4</v>
      </c>
      <c r="L19" s="54">
        <v>29.4</v>
      </c>
      <c r="M19" s="64">
        <v>32.299999999999997</v>
      </c>
      <c r="N19" s="150">
        <f t="shared" si="10"/>
        <v>2.8539659006671609E-5</v>
      </c>
      <c r="O19" s="35">
        <f t="shared" si="11"/>
        <v>6.2874251497005993E-4</v>
      </c>
      <c r="P19" s="142">
        <f t="shared" si="12"/>
        <v>1.3249776186213071E-5</v>
      </c>
      <c r="Q19" s="35">
        <f t="shared" si="13"/>
        <v>2.4681201151789391E-4</v>
      </c>
      <c r="R19" s="35">
        <f t="shared" si="14"/>
        <v>1.6046233816549896E-4</v>
      </c>
      <c r="S19" s="2">
        <f t="shared" si="15"/>
        <v>1.9806612601372425E-4</v>
      </c>
      <c r="T19" s="142">
        <f t="shared" si="16"/>
        <v>1.7259786476868329E-9</v>
      </c>
      <c r="U19" s="142">
        <f t="shared" si="17"/>
        <v>2.2659323367427226E-7</v>
      </c>
      <c r="V19" s="35">
        <f t="shared" si="18"/>
        <v>5.3512923188933379E-7</v>
      </c>
      <c r="W19" s="143">
        <f t="shared" si="19"/>
        <v>4.9403487304986232E-7</v>
      </c>
      <c r="AD19"/>
      <c r="AE19"/>
    </row>
    <row r="20" spans="1:31" x14ac:dyDescent="0.25">
      <c r="A20" s="27"/>
      <c r="B20" s="50">
        <v>6</v>
      </c>
      <c r="C20" s="27" t="s">
        <v>101</v>
      </c>
      <c r="D20" s="51">
        <v>0.8</v>
      </c>
      <c r="E20" s="52">
        <v>28.7</v>
      </c>
      <c r="F20" s="51">
        <v>0.83</v>
      </c>
      <c r="G20" s="51">
        <v>7.02</v>
      </c>
      <c r="H20" s="51">
        <v>6.08</v>
      </c>
      <c r="I20" s="53">
        <v>8.25</v>
      </c>
      <c r="J20" s="56">
        <v>0.23</v>
      </c>
      <c r="K20" s="54">
        <v>16.899999999999999</v>
      </c>
      <c r="L20" s="54">
        <v>36.299999999999997</v>
      </c>
      <c r="M20" s="64">
        <v>36.799999999999997</v>
      </c>
      <c r="N20" s="150">
        <f t="shared" si="10"/>
        <v>2.9651593773165308E-5</v>
      </c>
      <c r="O20" s="35">
        <f t="shared" si="11"/>
        <v>7.1606786427145716E-4</v>
      </c>
      <c r="P20" s="142">
        <f t="shared" si="12"/>
        <v>1.4861235452103849E-5</v>
      </c>
      <c r="Q20" s="35">
        <f t="shared" si="13"/>
        <v>2.887700534759358E-4</v>
      </c>
      <c r="R20" s="35">
        <f t="shared" si="14"/>
        <v>1.9630000322861849E-4</v>
      </c>
      <c r="S20" s="2">
        <f t="shared" si="15"/>
        <v>2.5733000623830317E-4</v>
      </c>
      <c r="T20" s="142">
        <f t="shared" si="16"/>
        <v>2.0462633451957298E-9</v>
      </c>
      <c r="U20" s="142">
        <f t="shared" si="17"/>
        <v>2.6593233674272222E-7</v>
      </c>
      <c r="V20" s="35">
        <f t="shared" si="18"/>
        <v>6.6072078631234064E-7</v>
      </c>
      <c r="W20" s="143">
        <f t="shared" si="19"/>
        <v>5.6286326093606613E-7</v>
      </c>
      <c r="AD20"/>
      <c r="AE20"/>
    </row>
    <row r="21" spans="1:31" x14ac:dyDescent="0.25">
      <c r="A21" s="27"/>
      <c r="B21" s="50">
        <v>7</v>
      </c>
      <c r="C21" s="27" t="s">
        <v>102</v>
      </c>
      <c r="D21" s="51">
        <v>0.49</v>
      </c>
      <c r="E21" s="52">
        <v>41.4</v>
      </c>
      <c r="F21" s="51">
        <v>0.37</v>
      </c>
      <c r="G21" s="51">
        <v>9.2200000000000006</v>
      </c>
      <c r="H21" s="52">
        <v>48.6</v>
      </c>
      <c r="I21" s="53">
        <v>6.08</v>
      </c>
      <c r="J21" s="54">
        <v>2.52</v>
      </c>
      <c r="K21" s="52">
        <v>18</v>
      </c>
      <c r="L21" s="54">
        <v>345</v>
      </c>
      <c r="M21" s="64">
        <v>337</v>
      </c>
      <c r="N21" s="150">
        <f t="shared" si="10"/>
        <v>1.8161601186063752E-5</v>
      </c>
      <c r="O21" s="35">
        <f t="shared" si="11"/>
        <v>1.032934131736527E-3</v>
      </c>
      <c r="P21" s="142">
        <f t="shared" si="12"/>
        <v>6.6248880931065353E-6</v>
      </c>
      <c r="Q21" s="35">
        <f t="shared" si="13"/>
        <v>3.7926779103249696E-4</v>
      </c>
      <c r="R21" s="35">
        <f t="shared" si="14"/>
        <v>1.5691085784392861E-3</v>
      </c>
      <c r="S21" s="2">
        <f t="shared" si="15"/>
        <v>1.8964441671865252E-4</v>
      </c>
      <c r="T21" s="142">
        <f t="shared" si="16"/>
        <v>2.2419928825622775E-8</v>
      </c>
      <c r="U21" s="142">
        <f t="shared" si="17"/>
        <v>2.8324154209284029E-7</v>
      </c>
      <c r="V21" s="35">
        <f t="shared" si="18"/>
        <v>6.2795777211503458E-6</v>
      </c>
      <c r="W21" s="143">
        <f t="shared" si="19"/>
        <v>5.1544814928112574E-6</v>
      </c>
      <c r="AD21"/>
      <c r="AE21"/>
    </row>
    <row r="22" spans="1:31" x14ac:dyDescent="0.25">
      <c r="A22" s="27"/>
      <c r="B22" s="50">
        <v>8</v>
      </c>
      <c r="C22" s="27" t="s">
        <v>103</v>
      </c>
      <c r="D22" s="51">
        <v>0.47</v>
      </c>
      <c r="E22" s="52">
        <v>41.6</v>
      </c>
      <c r="F22" s="51">
        <v>0.36</v>
      </c>
      <c r="G22" s="51">
        <v>9.32</v>
      </c>
      <c r="H22" s="52">
        <v>50</v>
      </c>
      <c r="I22" s="53">
        <v>6.31</v>
      </c>
      <c r="J22" s="54">
        <v>2.4700000000000002</v>
      </c>
      <c r="K22" s="54">
        <v>17.8</v>
      </c>
      <c r="L22" s="54">
        <v>372</v>
      </c>
      <c r="M22" s="64">
        <v>335</v>
      </c>
      <c r="N22" s="150">
        <f t="shared" si="10"/>
        <v>1.7420311341734616E-5</v>
      </c>
      <c r="O22" s="35">
        <f t="shared" si="11"/>
        <v>1.0379241516966068E-3</v>
      </c>
      <c r="P22" s="142">
        <f t="shared" si="12"/>
        <v>6.4458370635631148E-6</v>
      </c>
      <c r="Q22" s="35">
        <f t="shared" si="13"/>
        <v>3.8338132455779516E-4</v>
      </c>
      <c r="R22" s="35">
        <f t="shared" si="14"/>
        <v>1.6143092370774546E-3</v>
      </c>
      <c r="S22" s="2">
        <f t="shared" si="15"/>
        <v>1.9681846537741732E-4</v>
      </c>
      <c r="T22" s="142">
        <f t="shared" si="16"/>
        <v>2.1975088967971529E-8</v>
      </c>
      <c r="U22" s="142">
        <f t="shared" si="17"/>
        <v>2.8009441384736433E-7</v>
      </c>
      <c r="V22" s="35">
        <f t="shared" si="18"/>
        <v>6.7710229341099386E-6</v>
      </c>
      <c r="W22" s="143">
        <f t="shared" si="19"/>
        <v>5.1238910981951673E-6</v>
      </c>
      <c r="AD22"/>
      <c r="AE22"/>
    </row>
    <row r="23" spans="1:31" ht="15.75" thickBot="1" x14ac:dyDescent="0.3">
      <c r="A23" s="126"/>
      <c r="B23" s="127">
        <v>9</v>
      </c>
      <c r="C23" s="126" t="s">
        <v>104</v>
      </c>
      <c r="D23" s="128">
        <v>0.06</v>
      </c>
      <c r="E23" s="129">
        <v>57.6</v>
      </c>
      <c r="F23" s="128">
        <v>0.08</v>
      </c>
      <c r="G23" s="129">
        <v>15.4</v>
      </c>
      <c r="H23" s="128">
        <v>8.07</v>
      </c>
      <c r="I23" s="130">
        <v>16.8</v>
      </c>
      <c r="J23" s="131">
        <v>0.47299999999999998</v>
      </c>
      <c r="K23" s="131">
        <v>3.35</v>
      </c>
      <c r="L23" s="131">
        <v>57.4</v>
      </c>
      <c r="M23" s="132">
        <v>75.7</v>
      </c>
      <c r="N23" s="151">
        <f t="shared" si="10"/>
        <v>2.2238695329873978E-6</v>
      </c>
      <c r="O23" s="122">
        <f t="shared" si="11"/>
        <v>1.437125748502994E-3</v>
      </c>
      <c r="P23" s="152">
        <f t="shared" si="12"/>
        <v>1.4324082363473592E-6</v>
      </c>
      <c r="Q23" s="122">
        <f t="shared" si="13"/>
        <v>6.3348416289592767E-4</v>
      </c>
      <c r="R23" s="122">
        <f t="shared" si="14"/>
        <v>2.6054951086430122E-4</v>
      </c>
      <c r="S23" s="123">
        <f t="shared" si="15"/>
        <v>5.2401746724890829E-4</v>
      </c>
      <c r="T23" s="151">
        <f t="shared" si="16"/>
        <v>4.2081850533807821E-9</v>
      </c>
      <c r="U23" s="152">
        <f t="shared" si="17"/>
        <v>5.2714398111723056E-8</v>
      </c>
      <c r="V23" s="122">
        <f t="shared" si="18"/>
        <v>1.044776119402985E-6</v>
      </c>
      <c r="W23" s="153">
        <f t="shared" si="19"/>
        <v>1.1578464362190273E-6</v>
      </c>
      <c r="AD23"/>
      <c r="AE23"/>
    </row>
    <row r="24" spans="1:31" ht="15.75" thickTop="1" x14ac:dyDescent="0.25">
      <c r="A24" s="49" t="s">
        <v>65</v>
      </c>
      <c r="B24" s="50">
        <v>1</v>
      </c>
      <c r="C24" s="27" t="s">
        <v>15</v>
      </c>
      <c r="D24" s="51">
        <v>0.01</v>
      </c>
      <c r="E24" s="52">
        <v>0</v>
      </c>
      <c r="F24" s="51">
        <v>0.01</v>
      </c>
      <c r="G24" s="51">
        <v>-0.01</v>
      </c>
      <c r="H24" s="51">
        <v>0</v>
      </c>
      <c r="I24" s="53">
        <v>0</v>
      </c>
      <c r="J24" s="54">
        <v>1E-3</v>
      </c>
      <c r="K24" s="54">
        <v>0.01</v>
      </c>
      <c r="L24" s="54">
        <v>0.01</v>
      </c>
      <c r="M24" s="57">
        <v>0</v>
      </c>
      <c r="N24" s="75">
        <f t="shared" si="10"/>
        <v>3.7064492216456638E-7</v>
      </c>
      <c r="O24" s="36">
        <f t="shared" si="11"/>
        <v>0</v>
      </c>
      <c r="P24" s="36">
        <f t="shared" si="12"/>
        <v>1.790510295434199E-7</v>
      </c>
      <c r="Q24" s="36">
        <f t="shared" si="13"/>
        <v>-4.1135335252982316E-7</v>
      </c>
      <c r="R24" s="36">
        <f t="shared" si="14"/>
        <v>0</v>
      </c>
      <c r="S24" s="4">
        <f t="shared" si="15"/>
        <v>0</v>
      </c>
      <c r="T24" s="36">
        <f t="shared" si="16"/>
        <v>8.8967971530249112E-12</v>
      </c>
      <c r="U24" s="36">
        <f t="shared" si="17"/>
        <v>1.5735641227380018E-10</v>
      </c>
      <c r="V24" s="36">
        <f t="shared" si="18"/>
        <v>1.8201674554058973E-10</v>
      </c>
      <c r="W24" s="4">
        <f t="shared" si="19"/>
        <v>0</v>
      </c>
      <c r="AD24"/>
      <c r="AE24"/>
    </row>
    <row r="25" spans="1:31" x14ac:dyDescent="0.25">
      <c r="A25" s="27" t="s">
        <v>263</v>
      </c>
      <c r="B25" s="50">
        <v>2</v>
      </c>
      <c r="C25" s="27" t="s">
        <v>17</v>
      </c>
      <c r="D25" s="51">
        <v>0</v>
      </c>
      <c r="E25" s="52">
        <v>39.5</v>
      </c>
      <c r="F25" s="51">
        <v>0</v>
      </c>
      <c r="G25" s="51">
        <v>-0.01</v>
      </c>
      <c r="H25" s="51">
        <v>0</v>
      </c>
      <c r="I25" s="53">
        <v>0.03</v>
      </c>
      <c r="J25" s="54">
        <v>4.0000000000000001E-3</v>
      </c>
      <c r="K25" s="54">
        <v>0.03</v>
      </c>
      <c r="L25" s="54">
        <v>7.0000000000000007E-2</v>
      </c>
      <c r="M25" s="64">
        <v>4.8</v>
      </c>
      <c r="N25" s="75">
        <f t="shared" si="10"/>
        <v>0</v>
      </c>
      <c r="O25" s="36">
        <f t="shared" si="11"/>
        <v>9.8552894211576848E-4</v>
      </c>
      <c r="P25" s="36">
        <f t="shared" si="12"/>
        <v>0</v>
      </c>
      <c r="Q25" s="36">
        <f t="shared" si="13"/>
        <v>-4.1135335252982316E-7</v>
      </c>
      <c r="R25" s="36">
        <f t="shared" si="14"/>
        <v>0</v>
      </c>
      <c r="S25" s="4">
        <f t="shared" si="15"/>
        <v>9.3574547723019328E-7</v>
      </c>
      <c r="T25" s="36">
        <f t="shared" si="16"/>
        <v>3.5587188612099645E-11</v>
      </c>
      <c r="U25" s="36">
        <f t="shared" si="17"/>
        <v>4.7206923682140043E-10</v>
      </c>
      <c r="V25" s="36">
        <f t="shared" si="18"/>
        <v>1.2741172187841282E-9</v>
      </c>
      <c r="W25" s="4">
        <f t="shared" si="19"/>
        <v>7.3416947078617318E-8</v>
      </c>
      <c r="AD25"/>
      <c r="AE25"/>
    </row>
    <row r="26" spans="1:31" x14ac:dyDescent="0.25">
      <c r="A26" s="27"/>
      <c r="B26" s="50">
        <v>3</v>
      </c>
      <c r="C26" s="27" t="s">
        <v>19</v>
      </c>
      <c r="D26" s="51">
        <v>0.01</v>
      </c>
      <c r="E26" s="55">
        <v>404</v>
      </c>
      <c r="F26" s="51">
        <v>0</v>
      </c>
      <c r="G26" s="51">
        <v>0</v>
      </c>
      <c r="H26" s="51">
        <v>0.02</v>
      </c>
      <c r="I26" s="53">
        <v>0.22</v>
      </c>
      <c r="J26" s="54">
        <v>1.0999999999999999E-2</v>
      </c>
      <c r="K26" s="51">
        <v>0</v>
      </c>
      <c r="L26" s="54">
        <v>0.05</v>
      </c>
      <c r="M26" s="57">
        <v>0</v>
      </c>
      <c r="N26" s="75">
        <f t="shared" si="10"/>
        <v>3.7064492216456638E-7</v>
      </c>
      <c r="O26" s="36">
        <f t="shared" si="11"/>
        <v>1.0079840319361278E-2</v>
      </c>
      <c r="P26" s="36">
        <f t="shared" si="12"/>
        <v>0</v>
      </c>
      <c r="Q26" s="36">
        <f t="shared" si="13"/>
        <v>0</v>
      </c>
      <c r="R26" s="36">
        <f t="shared" si="14"/>
        <v>6.4572369483098188E-7</v>
      </c>
      <c r="S26" s="4">
        <f t="shared" si="15"/>
        <v>6.8621334996880842E-6</v>
      </c>
      <c r="T26" s="36">
        <f t="shared" si="16"/>
        <v>9.7864768683274009E-11</v>
      </c>
      <c r="U26" s="36">
        <f t="shared" si="17"/>
        <v>0</v>
      </c>
      <c r="V26" s="36">
        <f t="shared" si="18"/>
        <v>9.100837277029488E-10</v>
      </c>
      <c r="W26" s="4">
        <f t="shared" si="19"/>
        <v>0</v>
      </c>
      <c r="AD26"/>
      <c r="AE26"/>
    </row>
    <row r="27" spans="1:31" x14ac:dyDescent="0.25">
      <c r="A27" s="27"/>
      <c r="B27" s="50">
        <v>4</v>
      </c>
      <c r="C27" s="27" t="s">
        <v>21</v>
      </c>
      <c r="D27" s="51">
        <v>0</v>
      </c>
      <c r="E27" s="52">
        <v>0</v>
      </c>
      <c r="F27" s="51">
        <v>0</v>
      </c>
      <c r="G27" s="51">
        <v>-0.01</v>
      </c>
      <c r="H27" s="51">
        <v>-0.01</v>
      </c>
      <c r="I27" s="53">
        <v>0.06</v>
      </c>
      <c r="J27" s="54">
        <v>-1E-3</v>
      </c>
      <c r="K27" s="54">
        <v>0.02</v>
      </c>
      <c r="L27" s="54">
        <v>0.01</v>
      </c>
      <c r="M27" s="64">
        <v>-0.2</v>
      </c>
      <c r="N27" s="75">
        <f t="shared" si="10"/>
        <v>0</v>
      </c>
      <c r="O27" s="36">
        <f t="shared" si="11"/>
        <v>0</v>
      </c>
      <c r="P27" s="36">
        <f t="shared" si="12"/>
        <v>0</v>
      </c>
      <c r="Q27" s="36">
        <f t="shared" si="13"/>
        <v>-4.1135335252982316E-7</v>
      </c>
      <c r="R27" s="36">
        <f t="shared" si="14"/>
        <v>-3.2286184741549094E-7</v>
      </c>
      <c r="S27" s="4">
        <f t="shared" si="15"/>
        <v>1.8714909544603866E-6</v>
      </c>
      <c r="T27" s="36">
        <f t="shared" si="16"/>
        <v>-8.8967971530249112E-12</v>
      </c>
      <c r="U27" s="36">
        <f t="shared" si="17"/>
        <v>3.1471282454760036E-10</v>
      </c>
      <c r="V27" s="36">
        <f t="shared" si="18"/>
        <v>1.8201674554058973E-10</v>
      </c>
      <c r="W27" s="4">
        <f t="shared" si="19"/>
        <v>-3.0590394616090552E-9</v>
      </c>
      <c r="AD27"/>
      <c r="AE27"/>
    </row>
    <row r="28" spans="1:31" x14ac:dyDescent="0.25">
      <c r="A28" s="27"/>
      <c r="B28" s="50">
        <v>5</v>
      </c>
      <c r="C28" s="27" t="s">
        <v>23</v>
      </c>
      <c r="D28" s="51">
        <v>0</v>
      </c>
      <c r="E28" s="52">
        <v>39.1</v>
      </c>
      <c r="F28" s="51">
        <v>0</v>
      </c>
      <c r="G28" s="51">
        <v>-0.01</v>
      </c>
      <c r="H28" s="51">
        <v>0</v>
      </c>
      <c r="I28" s="53">
        <v>0.05</v>
      </c>
      <c r="J28" s="54">
        <v>2E-3</v>
      </c>
      <c r="K28" s="54">
        <v>0.01</v>
      </c>
      <c r="L28" s="54">
        <v>0.02</v>
      </c>
      <c r="M28" s="64">
        <v>0.1</v>
      </c>
      <c r="N28" s="75">
        <f t="shared" si="10"/>
        <v>0</v>
      </c>
      <c r="O28" s="36">
        <f t="shared" si="11"/>
        <v>9.7554890219560893E-4</v>
      </c>
      <c r="P28" s="36">
        <f t="shared" si="12"/>
        <v>0</v>
      </c>
      <c r="Q28" s="36">
        <f t="shared" si="13"/>
        <v>-4.1135335252982316E-7</v>
      </c>
      <c r="R28" s="36">
        <f t="shared" si="14"/>
        <v>0</v>
      </c>
      <c r="S28" s="4">
        <f t="shared" si="15"/>
        <v>1.5595757953836556E-6</v>
      </c>
      <c r="T28" s="36">
        <f t="shared" si="16"/>
        <v>1.7793594306049822E-11</v>
      </c>
      <c r="U28" s="36">
        <f t="shared" si="17"/>
        <v>1.5735641227380018E-10</v>
      </c>
      <c r="V28" s="36">
        <f t="shared" si="18"/>
        <v>3.6403349108117947E-10</v>
      </c>
      <c r="W28" s="4">
        <f t="shared" si="19"/>
        <v>1.5295197308045276E-9</v>
      </c>
      <c r="AD28"/>
      <c r="AE28"/>
    </row>
    <row r="29" spans="1:31" x14ac:dyDescent="0.25">
      <c r="A29" s="28"/>
      <c r="B29" s="58">
        <v>6</v>
      </c>
      <c r="C29" s="28" t="s">
        <v>25</v>
      </c>
      <c r="D29" s="59">
        <v>0</v>
      </c>
      <c r="E29" s="60">
        <v>407</v>
      </c>
      <c r="F29" s="59">
        <v>0</v>
      </c>
      <c r="G29" s="59">
        <v>0.01</v>
      </c>
      <c r="H29" s="59">
        <v>0.01</v>
      </c>
      <c r="I29" s="124">
        <v>0.22</v>
      </c>
      <c r="J29" s="125">
        <v>0.01</v>
      </c>
      <c r="K29" s="63">
        <v>-0.01</v>
      </c>
      <c r="L29" s="63">
        <v>0.05</v>
      </c>
      <c r="M29" s="65">
        <v>0.2</v>
      </c>
      <c r="N29" s="9">
        <f t="shared" si="10"/>
        <v>0</v>
      </c>
      <c r="O29" s="7">
        <f t="shared" si="11"/>
        <v>1.0154690618762474E-2</v>
      </c>
      <c r="P29" s="7">
        <f t="shared" si="12"/>
        <v>0</v>
      </c>
      <c r="Q29" s="7">
        <f t="shared" si="13"/>
        <v>4.1135335252982316E-7</v>
      </c>
      <c r="R29" s="7">
        <f t="shared" si="14"/>
        <v>3.2286184741549094E-7</v>
      </c>
      <c r="S29" s="8">
        <f t="shared" si="15"/>
        <v>6.8621334996880842E-6</v>
      </c>
      <c r="T29" s="7">
        <f t="shared" si="16"/>
        <v>8.8967971530249103E-11</v>
      </c>
      <c r="U29" s="7">
        <f t="shared" si="17"/>
        <v>-1.5735641227380018E-10</v>
      </c>
      <c r="V29" s="7">
        <f t="shared" si="18"/>
        <v>9.100837277029488E-10</v>
      </c>
      <c r="W29" s="8">
        <f t="shared" si="19"/>
        <v>3.0590394616090552E-9</v>
      </c>
      <c r="AD29"/>
      <c r="AE29"/>
    </row>
    <row r="30" spans="1:31" x14ac:dyDescent="0.25">
      <c r="A30" s="49" t="s">
        <v>106</v>
      </c>
      <c r="B30" s="50">
        <v>1</v>
      </c>
      <c r="C30" s="27" t="s">
        <v>108</v>
      </c>
      <c r="D30" s="51">
        <v>-0.02</v>
      </c>
      <c r="E30" s="52">
        <v>41</v>
      </c>
      <c r="F30" s="51">
        <v>-0.08</v>
      </c>
      <c r="G30" s="51">
        <v>0</v>
      </c>
      <c r="H30" s="51">
        <v>-0.1</v>
      </c>
      <c r="I30" s="53">
        <v>0.65</v>
      </c>
      <c r="J30" s="56">
        <v>0</v>
      </c>
      <c r="K30" s="54">
        <v>0.01</v>
      </c>
      <c r="L30" s="54">
        <v>0.01</v>
      </c>
      <c r="M30" s="64">
        <v>1.3</v>
      </c>
      <c r="N30" s="75">
        <f>((D30/1000)/AA$5)*3</f>
        <v>-2.2238695329873982E-6</v>
      </c>
      <c r="O30" s="36">
        <f>((E30/1000)/AA$6)*3</f>
        <v>3.0688622754491022E-3</v>
      </c>
      <c r="P30" s="36">
        <f>((F30/1000)/AA$7)*3</f>
        <v>-4.2972247090420771E-6</v>
      </c>
      <c r="Q30" s="36">
        <f>((G30/1000)/AA$8)*3</f>
        <v>0</v>
      </c>
      <c r="R30" s="36">
        <f>((H30/1000)/AA$9)*3</f>
        <v>-9.6858554224647282E-6</v>
      </c>
      <c r="S30" s="4">
        <f>((I30/1000)/AA$10)*3</f>
        <v>6.0823456019962565E-5</v>
      </c>
      <c r="T30" s="36">
        <f>((J30/1000000)/AA$11)*3</f>
        <v>0</v>
      </c>
      <c r="U30" s="36">
        <f>((K30/1000000)/AA$12)*3</f>
        <v>4.7206923682140054E-10</v>
      </c>
      <c r="V30" s="36">
        <f>((L30/1000000)/AA$13)*3</f>
        <v>5.4605023662176918E-10</v>
      </c>
      <c r="W30" s="4">
        <f>((M30/1000000)/AA$14)*3</f>
        <v>5.9651269501376568E-8</v>
      </c>
      <c r="AD30"/>
      <c r="AE30"/>
    </row>
    <row r="31" spans="1:31" x14ac:dyDescent="0.25">
      <c r="A31" s="138" t="s">
        <v>267</v>
      </c>
      <c r="B31" s="58">
        <v>2</v>
      </c>
      <c r="C31" s="28" t="s">
        <v>109</v>
      </c>
      <c r="D31" s="59">
        <v>-0.06</v>
      </c>
      <c r="E31" s="61">
        <v>41</v>
      </c>
      <c r="F31" s="59">
        <v>-0.08</v>
      </c>
      <c r="G31" s="59">
        <v>0</v>
      </c>
      <c r="H31" s="59">
        <v>-0.06</v>
      </c>
      <c r="I31" s="124">
        <v>0.31</v>
      </c>
      <c r="J31" s="63">
        <v>2E-3</v>
      </c>
      <c r="K31" s="63">
        <v>0.01</v>
      </c>
      <c r="L31" s="63">
        <v>0.01</v>
      </c>
      <c r="M31" s="65">
        <v>0.9</v>
      </c>
      <c r="N31" s="9">
        <f>((D31/1000)/AA$5)*3</f>
        <v>-6.6716085989621937E-6</v>
      </c>
      <c r="O31" s="7">
        <f>((E31/1000)/AA$6)*3</f>
        <v>3.0688622754491022E-3</v>
      </c>
      <c r="P31" s="7">
        <f>((F31/1000)/AA$7)*3</f>
        <v>-4.2972247090420771E-6</v>
      </c>
      <c r="Q31" s="7">
        <f>((G31/1000)/AA$8)*3</f>
        <v>0</v>
      </c>
      <c r="R31" s="7">
        <f>((H31/1000)/AA$9)*3</f>
        <v>-5.8115132534788352E-6</v>
      </c>
      <c r="S31" s="8">
        <f>((I31/1000)/AA$10)*3</f>
        <v>2.9008109794135993E-5</v>
      </c>
      <c r="T31" s="7">
        <f>((J31/1000000)/AA$11)*3</f>
        <v>5.3380782918149464E-11</v>
      </c>
      <c r="U31" s="7">
        <f>((K31/1000000)/AA$12)*3</f>
        <v>4.7206923682140054E-10</v>
      </c>
      <c r="V31" s="7">
        <f>((L31/1000000)/AA$13)*3</f>
        <v>5.4605023662176918E-10</v>
      </c>
      <c r="W31" s="8">
        <f>((M31/1000000)/AA$14)*3</f>
        <v>4.1297032731722242E-8</v>
      </c>
      <c r="AD31"/>
      <c r="AE31"/>
    </row>
    <row r="32" spans="1:31" x14ac:dyDescent="0.25">
      <c r="A32" s="49" t="s">
        <v>107</v>
      </c>
      <c r="B32" s="50">
        <v>1</v>
      </c>
      <c r="C32" s="27" t="s">
        <v>110</v>
      </c>
      <c r="D32" s="51">
        <v>0</v>
      </c>
      <c r="E32" s="52">
        <v>38.9</v>
      </c>
      <c r="F32" s="51">
        <v>0.01</v>
      </c>
      <c r="G32" s="51">
        <v>-0.02</v>
      </c>
      <c r="H32" s="51">
        <v>0.01</v>
      </c>
      <c r="I32" s="53">
        <v>0.01</v>
      </c>
      <c r="J32" s="54">
        <v>3.0000000000000001E-3</v>
      </c>
      <c r="K32" s="54">
        <v>0.02</v>
      </c>
      <c r="L32" s="54">
        <v>0.02</v>
      </c>
      <c r="M32" s="64">
        <v>0.7</v>
      </c>
      <c r="N32" s="75">
        <f>(D32/1000)/AA$5</f>
        <v>0</v>
      </c>
      <c r="O32" s="36">
        <f>(E32/1000)/AA$6</f>
        <v>9.7055888223552894E-4</v>
      </c>
      <c r="P32" s="36">
        <f>(F32/1000)/AA$7</f>
        <v>1.790510295434199E-7</v>
      </c>
      <c r="Q32" s="36">
        <f>(G32/1000)/AA$8</f>
        <v>-8.2270670505964631E-7</v>
      </c>
      <c r="R32" s="36">
        <f>(H32/1000)/AA$9</f>
        <v>3.2286184741549094E-7</v>
      </c>
      <c r="S32" s="4">
        <f>(I32/1000)/AA$10</f>
        <v>3.1191515907673114E-7</v>
      </c>
      <c r="T32" s="36">
        <f>(J32/1000000)/AA$11</f>
        <v>2.6690391459074732E-11</v>
      </c>
      <c r="U32" s="36">
        <f>(K32/1000000)/AA$12</f>
        <v>3.1471282454760036E-10</v>
      </c>
      <c r="V32" s="36">
        <f>(L32/1000000)/AA$13</f>
        <v>3.6403349108117947E-10</v>
      </c>
      <c r="W32" s="4">
        <f>(M32/1000000)/AA$14</f>
        <v>1.0706638115631692E-8</v>
      </c>
      <c r="AD32"/>
      <c r="AE32"/>
    </row>
    <row r="33" spans="1:31" x14ac:dyDescent="0.25">
      <c r="A33" s="27" t="s">
        <v>263</v>
      </c>
      <c r="B33" s="50">
        <v>2</v>
      </c>
      <c r="C33" s="27" t="s">
        <v>111</v>
      </c>
      <c r="D33" s="51">
        <v>0</v>
      </c>
      <c r="E33" s="52">
        <v>38.6</v>
      </c>
      <c r="F33" s="51">
        <v>0</v>
      </c>
      <c r="G33" s="51">
        <v>0</v>
      </c>
      <c r="H33" s="51">
        <v>0</v>
      </c>
      <c r="I33" s="53">
        <v>0</v>
      </c>
      <c r="J33" s="54">
        <v>4.0000000000000001E-3</v>
      </c>
      <c r="K33" s="51">
        <v>0</v>
      </c>
      <c r="L33" s="54">
        <v>0.01</v>
      </c>
      <c r="M33" s="64">
        <v>0.5</v>
      </c>
      <c r="N33" s="75">
        <f>(D33/1000)/AA$5</f>
        <v>0</v>
      </c>
      <c r="O33" s="36">
        <f>(E33/1000)/AA$6</f>
        <v>9.6307385229540932E-4</v>
      </c>
      <c r="P33" s="36">
        <f>(F33/1000)/AA$7</f>
        <v>0</v>
      </c>
      <c r="Q33" s="36">
        <f>(G33/1000)/AA$8</f>
        <v>0</v>
      </c>
      <c r="R33" s="36">
        <f>(H33/1000)/AA$9</f>
        <v>0</v>
      </c>
      <c r="S33" s="4">
        <f>(I33/1000)/AA$10</f>
        <v>0</v>
      </c>
      <c r="T33" s="36">
        <f>(J33/1000000)/AA$11</f>
        <v>3.5587188612099645E-11</v>
      </c>
      <c r="U33" s="36">
        <f>(K33/1000000)/AA$12</f>
        <v>0</v>
      </c>
      <c r="V33" s="36">
        <f>(L33/1000000)/AA$13</f>
        <v>1.8201674554058973E-10</v>
      </c>
      <c r="W33" s="4">
        <f>(M33/1000000)/AA$14</f>
        <v>7.6475986540226376E-9</v>
      </c>
      <c r="AD33"/>
      <c r="AE33"/>
    </row>
    <row r="34" spans="1:31" x14ac:dyDescent="0.25">
      <c r="AD34"/>
      <c r="AE34"/>
    </row>
    <row r="35" spans="1:31" x14ac:dyDescent="0.25">
      <c r="AD35"/>
      <c r="AE35"/>
    </row>
    <row r="36" spans="1:31" x14ac:dyDescent="0.25">
      <c r="AD36"/>
      <c r="AE36"/>
    </row>
    <row r="37" spans="1:31" x14ac:dyDescent="0.25">
      <c r="AD37"/>
      <c r="AE37"/>
    </row>
    <row r="38" spans="1:31" x14ac:dyDescent="0.25">
      <c r="AD38"/>
      <c r="AE38"/>
    </row>
    <row r="39" spans="1:31" x14ac:dyDescent="0.25">
      <c r="AD39"/>
      <c r="AE39"/>
    </row>
  </sheetData>
  <conditionalFormatting sqref="D1:M1">
    <cfRule type="expression" dxfId="24" priority="35" stopIfTrue="1">
      <formula>+LEN(D1)&gt;0</formula>
    </cfRule>
  </conditionalFormatting>
  <conditionalFormatting sqref="D2:N2">
    <cfRule type="expression" dxfId="23" priority="36" stopIfTrue="1">
      <formula>+LEN(D2)&gt;0</formula>
    </cfRule>
  </conditionalFormatting>
  <conditionalFormatting sqref="N1:W1">
    <cfRule type="expression" dxfId="22" priority="34" stopIfTrue="1">
      <formula>+LEN(N1)&gt;0</formula>
    </cfRule>
  </conditionalFormatting>
  <conditionalFormatting sqref="O2:W2">
    <cfRule type="expression" dxfId="21" priority="33" stopIfTrue="1">
      <formula>+LEN(O2)&gt;0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31"/>
  <sheetViews>
    <sheetView zoomScale="80" zoomScaleNormal="80" workbookViewId="0">
      <pane xSplit="2" ySplit="3" topLeftCell="H4" activePane="bottomRight" state="frozen"/>
      <selection pane="topRight" activeCell="C1" sqref="C1"/>
      <selection pane="bottomLeft" activeCell="A4" sqref="A4"/>
      <selection pane="bottomRight" activeCell="W25" sqref="W25"/>
    </sheetView>
  </sheetViews>
  <sheetFormatPr defaultRowHeight="15" x14ac:dyDescent="0.25"/>
  <cols>
    <col min="1" max="1" width="10" bestFit="1" customWidth="1"/>
    <col min="2" max="2" width="20.85546875" bestFit="1" customWidth="1"/>
    <col min="16" max="17" width="9.28515625" bestFit="1" customWidth="1"/>
    <col min="18" max="18" width="10.28515625" bestFit="1" customWidth="1"/>
    <col min="19" max="32" width="9.28515625" bestFit="1" customWidth="1"/>
    <col min="33" max="33" width="9.5703125" bestFit="1" customWidth="1"/>
    <col min="34" max="34" width="9.28515625" bestFit="1" customWidth="1"/>
    <col min="35" max="35" width="13.42578125" bestFit="1" customWidth="1"/>
    <col min="36" max="36" width="9.28515625" bestFit="1" customWidth="1"/>
    <col min="39" max="39" width="11" bestFit="1" customWidth="1"/>
  </cols>
  <sheetData>
    <row r="1" spans="1:41" x14ac:dyDescent="0.25">
      <c r="A1" s="268" t="s">
        <v>153</v>
      </c>
      <c r="B1" s="255" t="s">
        <v>154</v>
      </c>
      <c r="C1" s="255"/>
      <c r="D1" s="255"/>
      <c r="E1" s="255"/>
      <c r="F1" s="255"/>
      <c r="G1" s="255"/>
      <c r="H1" s="255"/>
      <c r="I1" s="255"/>
      <c r="J1" s="255"/>
      <c r="K1" s="255"/>
      <c r="L1" s="269"/>
      <c r="M1" s="269"/>
      <c r="N1" s="255" t="s">
        <v>155</v>
      </c>
      <c r="O1" s="255"/>
      <c r="P1" s="255"/>
    </row>
    <row r="2" spans="1:41" ht="24.75" x14ac:dyDescent="0.25">
      <c r="A2" s="104" t="s">
        <v>9</v>
      </c>
      <c r="B2" s="104" t="s">
        <v>156</v>
      </c>
      <c r="C2" s="105" t="s">
        <v>66</v>
      </c>
      <c r="D2" s="105" t="s">
        <v>67</v>
      </c>
      <c r="E2" s="105" t="s">
        <v>72</v>
      </c>
      <c r="F2" s="105" t="s">
        <v>73</v>
      </c>
      <c r="G2" s="105" t="s">
        <v>68</v>
      </c>
      <c r="H2" s="105" t="s">
        <v>69</v>
      </c>
      <c r="I2" s="105" t="s">
        <v>74</v>
      </c>
      <c r="J2" s="105" t="s">
        <v>70</v>
      </c>
      <c r="K2" s="105" t="s">
        <v>71</v>
      </c>
      <c r="L2" s="106" t="s">
        <v>75</v>
      </c>
      <c r="M2" s="107" t="s">
        <v>157</v>
      </c>
      <c r="N2" s="105" t="s">
        <v>66</v>
      </c>
      <c r="O2" s="105" t="s">
        <v>67</v>
      </c>
      <c r="P2" s="105" t="s">
        <v>72</v>
      </c>
      <c r="Q2" s="105" t="s">
        <v>73</v>
      </c>
      <c r="R2" s="105" t="s">
        <v>68</v>
      </c>
      <c r="S2" s="105" t="s">
        <v>69</v>
      </c>
      <c r="T2" s="105" t="s">
        <v>74</v>
      </c>
      <c r="U2" s="105" t="s">
        <v>70</v>
      </c>
      <c r="V2" s="105" t="s">
        <v>71</v>
      </c>
      <c r="W2" s="106" t="s">
        <v>75</v>
      </c>
      <c r="X2" s="116" t="s">
        <v>66</v>
      </c>
      <c r="Y2" s="117" t="s">
        <v>67</v>
      </c>
      <c r="Z2" s="234" t="s">
        <v>72</v>
      </c>
      <c r="AA2" s="234" t="s">
        <v>73</v>
      </c>
      <c r="AB2" s="117" t="s">
        <v>68</v>
      </c>
      <c r="AC2" s="117" t="s">
        <v>69</v>
      </c>
      <c r="AD2" s="117" t="s">
        <v>74</v>
      </c>
      <c r="AE2" s="117" t="s">
        <v>70</v>
      </c>
      <c r="AF2" s="117" t="s">
        <v>71</v>
      </c>
      <c r="AG2" s="236" t="s">
        <v>75</v>
      </c>
    </row>
    <row r="3" spans="1:41" ht="15.75" thickBot="1" x14ac:dyDescent="0.3">
      <c r="A3" s="108" t="s">
        <v>158</v>
      </c>
      <c r="B3" s="108" t="s">
        <v>13</v>
      </c>
      <c r="C3" s="105" t="s">
        <v>159</v>
      </c>
      <c r="D3" s="105" t="s">
        <v>159</v>
      </c>
      <c r="E3" s="105" t="s">
        <v>159</v>
      </c>
      <c r="F3" s="105" t="s">
        <v>159</v>
      </c>
      <c r="G3" s="105" t="s">
        <v>159</v>
      </c>
      <c r="H3" s="105" t="s">
        <v>159</v>
      </c>
      <c r="I3" s="105" t="s">
        <v>159</v>
      </c>
      <c r="J3" s="105" t="s">
        <v>159</v>
      </c>
      <c r="K3" s="105" t="s">
        <v>159</v>
      </c>
      <c r="L3" s="106" t="s">
        <v>159</v>
      </c>
      <c r="M3" s="107" t="s">
        <v>88</v>
      </c>
      <c r="N3" s="105" t="s">
        <v>159</v>
      </c>
      <c r="O3" s="105" t="s">
        <v>159</v>
      </c>
      <c r="P3" s="105" t="s">
        <v>159</v>
      </c>
      <c r="Q3" s="105" t="s">
        <v>159</v>
      </c>
      <c r="R3" s="105" t="s">
        <v>159</v>
      </c>
      <c r="S3" s="105" t="s">
        <v>159</v>
      </c>
      <c r="T3" s="105" t="s">
        <v>159</v>
      </c>
      <c r="U3" s="105" t="s">
        <v>159</v>
      </c>
      <c r="V3" s="105" t="s">
        <v>159</v>
      </c>
      <c r="W3" s="106" t="s">
        <v>159</v>
      </c>
      <c r="X3" s="118" t="s">
        <v>262</v>
      </c>
      <c r="Y3" s="115" t="s">
        <v>262</v>
      </c>
      <c r="Z3" s="235" t="s">
        <v>262</v>
      </c>
      <c r="AA3" s="235" t="s">
        <v>262</v>
      </c>
      <c r="AB3" s="115" t="s">
        <v>262</v>
      </c>
      <c r="AC3" s="115" t="s">
        <v>262</v>
      </c>
      <c r="AD3" s="115" t="s">
        <v>262</v>
      </c>
      <c r="AE3" s="115" t="s">
        <v>262</v>
      </c>
      <c r="AF3" s="115" t="s">
        <v>262</v>
      </c>
      <c r="AG3" s="237" t="s">
        <v>262</v>
      </c>
      <c r="AI3" s="67" t="s">
        <v>78</v>
      </c>
      <c r="AJ3" s="26"/>
      <c r="AK3" s="68"/>
    </row>
    <row r="4" spans="1:41" ht="15.75" thickTop="1" x14ac:dyDescent="0.25">
      <c r="A4" s="15">
        <v>4</v>
      </c>
      <c r="B4" s="13" t="s">
        <v>192</v>
      </c>
      <c r="C4" s="14" t="s">
        <v>193</v>
      </c>
      <c r="D4" s="14" t="s">
        <v>194</v>
      </c>
      <c r="E4" s="14" t="s">
        <v>195</v>
      </c>
      <c r="F4" s="14" t="s">
        <v>196</v>
      </c>
      <c r="G4" s="14" t="s">
        <v>197</v>
      </c>
      <c r="H4" s="14" t="s">
        <v>198</v>
      </c>
      <c r="I4" s="14" t="s">
        <v>167</v>
      </c>
      <c r="J4" s="14" t="s">
        <v>199</v>
      </c>
      <c r="K4" s="14" t="s">
        <v>200</v>
      </c>
      <c r="L4" s="109" t="s">
        <v>201</v>
      </c>
      <c r="M4" s="110">
        <v>51.912442116784959</v>
      </c>
      <c r="N4" s="10">
        <f>C4/((100-$M4)/100)</f>
        <v>696.64589916081331</v>
      </c>
      <c r="O4" s="10">
        <f t="shared" ref="O4:W4" si="0">D4/((100-$M4)/100)</f>
        <v>13806.066043369074</v>
      </c>
      <c r="P4" s="94">
        <f t="shared" si="0"/>
        <v>0.35976041956662896</v>
      </c>
      <c r="Q4" s="94">
        <f t="shared" si="0"/>
        <v>6.6545279919838887</v>
      </c>
      <c r="R4" s="10">
        <f t="shared" si="0"/>
        <v>630.10061924097442</v>
      </c>
      <c r="S4" s="10">
        <f t="shared" si="0"/>
        <v>1280.9966384568986</v>
      </c>
      <c r="T4" s="10">
        <f t="shared" si="0"/>
        <v>351.44225957664912</v>
      </c>
      <c r="U4" s="10">
        <f t="shared" si="0"/>
        <v>921.23621889026958</v>
      </c>
      <c r="V4" s="10">
        <f t="shared" si="0"/>
        <v>189.23813977204182</v>
      </c>
      <c r="W4" s="10">
        <f t="shared" si="0"/>
        <v>95.034977885519908</v>
      </c>
      <c r="X4" s="150">
        <f>(N4/1000)/AJ$4</f>
        <v>2.58208265070724E-2</v>
      </c>
      <c r="Y4" s="142">
        <f t="shared" ref="Y4:Y13" si="1">(O4/1000)/$AJ$5</f>
        <v>0.34446272563296093</v>
      </c>
      <c r="Z4" s="35">
        <f t="shared" ref="Z4:Z13" si="2">(P4/1000)/$AJ$6</f>
        <v>3.2007154765714321E-6</v>
      </c>
      <c r="AA4" s="35">
        <f t="shared" ref="AA4:AA13" si="3">(Q4/1000)/$AJ$7</f>
        <v>1.0471326501941604E-4</v>
      </c>
      <c r="AB4" s="142">
        <f t="shared" ref="AB4:AB13" si="4">(R4/1000)/$AJ$8</f>
        <v>1.1282016459104286E-2</v>
      </c>
      <c r="AC4" s="142">
        <f t="shared" ref="AC4:AC13" si="5">(S4/1000)/$AJ$9</f>
        <v>5.2694226180867908E-2</v>
      </c>
      <c r="AD4" s="142">
        <f t="shared" ref="AD4:AD13" si="6">(T4/1000)/$AJ$10</f>
        <v>6.3968376333572831E-3</v>
      </c>
      <c r="AE4" s="142">
        <f t="shared" ref="AE4:AE13" si="7">(U4/1000)/$AJ$11</f>
        <v>2.9746083916379389E-2</v>
      </c>
      <c r="AF4" s="142">
        <f t="shared" ref="AF4:AF13" si="8">(V4/1000)/$AJ$12</f>
        <v>5.9026244470381101E-3</v>
      </c>
      <c r="AG4" s="2">
        <f t="shared" ref="AG4:AG13" si="9">(W4/1000)/$AJ$13</f>
        <v>1.4535787379247463E-3</v>
      </c>
      <c r="AI4" s="69" t="s">
        <v>66</v>
      </c>
      <c r="AJ4" s="39">
        <v>26.98</v>
      </c>
      <c r="AK4" s="30" t="s">
        <v>80</v>
      </c>
      <c r="AM4" s="220"/>
      <c r="AN4" s="94"/>
      <c r="AO4" s="94"/>
    </row>
    <row r="5" spans="1:41" x14ac:dyDescent="0.25">
      <c r="A5" s="15">
        <v>5</v>
      </c>
      <c r="B5" s="13" t="s">
        <v>171</v>
      </c>
      <c r="C5" s="14" t="s">
        <v>202</v>
      </c>
      <c r="D5" s="14" t="s">
        <v>203</v>
      </c>
      <c r="E5" s="14" t="s">
        <v>204</v>
      </c>
      <c r="F5" s="14" t="s">
        <v>205</v>
      </c>
      <c r="G5" s="14" t="s">
        <v>206</v>
      </c>
      <c r="H5" s="14" t="s">
        <v>207</v>
      </c>
      <c r="I5" s="14" t="s">
        <v>208</v>
      </c>
      <c r="J5" s="14" t="s">
        <v>209</v>
      </c>
      <c r="K5" s="14" t="s">
        <v>210</v>
      </c>
      <c r="L5" s="109" t="s">
        <v>211</v>
      </c>
      <c r="M5" s="110">
        <v>5.0700981693950862</v>
      </c>
      <c r="N5" s="10">
        <f t="shared" ref="N5:N13" si="10">C5/((100-$M5)/100)</f>
        <v>807.96459830818344</v>
      </c>
      <c r="O5" s="10">
        <f t="shared" ref="O5:O13" si="11">D5/((100-$M5)/100)</f>
        <v>14765.632039746817</v>
      </c>
      <c r="P5" s="94">
        <f t="shared" ref="P5:P13" si="12">E5/((100-$M5)/100)</f>
        <v>0.40029536813182492</v>
      </c>
      <c r="Q5" s="94">
        <f t="shared" ref="Q5:Q13" si="13">F5/((100-$M5)/100)</f>
        <v>7.6898847035850579</v>
      </c>
      <c r="R5" s="10">
        <f t="shared" ref="R5:R13" si="14">G5/((100-$M5)/100)</f>
        <v>814.28505148921226</v>
      </c>
      <c r="S5" s="10">
        <f t="shared" ref="S5:S13" si="15">H5/((100-$M5)/100)</f>
        <v>1433.6894632300362</v>
      </c>
      <c r="T5" s="10">
        <f t="shared" ref="T5:T13" si="16">I5/((100-$M5)/100)</f>
        <v>404.50900358584414</v>
      </c>
      <c r="U5" s="10">
        <f t="shared" ref="U5:U13" si="17">J5/((100-$M5)/100)</f>
        <v>1068.1565875938697</v>
      </c>
      <c r="V5" s="10">
        <f t="shared" ref="V5:V13" si="18">K5/((100-$M5)/100)</f>
        <v>203.30791065642688</v>
      </c>
      <c r="W5" s="10">
        <f t="shared" ref="W5:W13" si="19">L5/((100-$M5)/100)</f>
        <v>106.39429521398505</v>
      </c>
      <c r="X5" s="150">
        <f>(N5/1000)/AJ$4</f>
        <v>2.9946797565166175E-2</v>
      </c>
      <c r="Y5" s="142">
        <f t="shared" si="1"/>
        <v>0.36840399300765514</v>
      </c>
      <c r="Z5" s="35">
        <f t="shared" si="2"/>
        <v>3.5613466915642787E-6</v>
      </c>
      <c r="AA5" s="35">
        <f t="shared" si="3"/>
        <v>1.2100526677553199E-4</v>
      </c>
      <c r="AB5" s="142">
        <f t="shared" si="4"/>
        <v>1.4579857681096011E-2</v>
      </c>
      <c r="AC5" s="142">
        <f t="shared" si="5"/>
        <v>5.8975296718635793E-2</v>
      </c>
      <c r="AD5" s="142">
        <f t="shared" si="6"/>
        <v>7.3627412374562091E-3</v>
      </c>
      <c r="AE5" s="142">
        <f t="shared" si="7"/>
        <v>3.4490041575520491E-2</v>
      </c>
      <c r="AF5" s="142">
        <f t="shared" si="8"/>
        <v>6.3414819293957231E-3</v>
      </c>
      <c r="AG5" s="2">
        <f t="shared" si="9"/>
        <v>1.6273217377483185E-3</v>
      </c>
      <c r="AI5" s="69" t="s">
        <v>67</v>
      </c>
      <c r="AJ5" s="39">
        <v>40.08</v>
      </c>
      <c r="AK5" s="30" t="s">
        <v>80</v>
      </c>
      <c r="AM5" s="220"/>
      <c r="AN5" s="94"/>
      <c r="AO5" s="94"/>
    </row>
    <row r="6" spans="1:41" x14ac:dyDescent="0.25">
      <c r="A6" s="16">
        <v>6</v>
      </c>
      <c r="B6" s="17" t="s">
        <v>181</v>
      </c>
      <c r="C6" s="18" t="s">
        <v>212</v>
      </c>
      <c r="D6" s="18" t="s">
        <v>213</v>
      </c>
      <c r="E6" s="18" t="s">
        <v>214</v>
      </c>
      <c r="F6" s="18" t="s">
        <v>215</v>
      </c>
      <c r="G6" s="18" t="s">
        <v>216</v>
      </c>
      <c r="H6" s="18" t="s">
        <v>217</v>
      </c>
      <c r="I6" s="18" t="s">
        <v>218</v>
      </c>
      <c r="J6" s="18" t="s">
        <v>219</v>
      </c>
      <c r="K6" s="18" t="s">
        <v>220</v>
      </c>
      <c r="L6" s="111" t="s">
        <v>221</v>
      </c>
      <c r="M6" s="112">
        <v>3.6010762347684828</v>
      </c>
      <c r="N6" s="29">
        <f t="shared" si="10"/>
        <v>755.19515318756066</v>
      </c>
      <c r="O6" s="29">
        <f t="shared" si="11"/>
        <v>14349.745266543307</v>
      </c>
      <c r="P6" s="113">
        <f t="shared" si="12"/>
        <v>0.37656022061412708</v>
      </c>
      <c r="Q6" s="113">
        <f t="shared" si="13"/>
        <v>7.2614918575726994</v>
      </c>
      <c r="R6" s="29">
        <f t="shared" si="14"/>
        <v>734.44803359449588</v>
      </c>
      <c r="S6" s="29">
        <f t="shared" si="15"/>
        <v>1262.4622272379963</v>
      </c>
      <c r="T6" s="29">
        <f t="shared" si="16"/>
        <v>373.44815267516736</v>
      </c>
      <c r="U6" s="29">
        <f t="shared" si="17"/>
        <v>1033.2065557346298</v>
      </c>
      <c r="V6" s="29">
        <f t="shared" si="18"/>
        <v>202.28441603238232</v>
      </c>
      <c r="W6" s="304">
        <f t="shared" si="19"/>
        <v>100.4160588304339</v>
      </c>
      <c r="X6" s="154">
        <f>(N6/1000)/AJ$4</f>
        <v>2.7990924877226118E-2</v>
      </c>
      <c r="Y6" s="144">
        <f t="shared" si="1"/>
        <v>0.35802757651056155</v>
      </c>
      <c r="Z6" s="5">
        <f t="shared" si="2"/>
        <v>3.3501798987021982E-6</v>
      </c>
      <c r="AA6" s="5">
        <f t="shared" si="3"/>
        <v>1.1426423064630527E-4</v>
      </c>
      <c r="AB6" s="144">
        <f t="shared" si="4"/>
        <v>1.3150367656123471E-2</v>
      </c>
      <c r="AC6" s="144">
        <f t="shared" si="5"/>
        <v>5.193180696166172E-2</v>
      </c>
      <c r="AD6" s="144">
        <f t="shared" si="6"/>
        <v>6.797381737807924E-3</v>
      </c>
      <c r="AE6" s="144">
        <f t="shared" si="7"/>
        <v>3.3361529084101706E-2</v>
      </c>
      <c r="AF6" s="144">
        <f t="shared" si="8"/>
        <v>6.3095575805484187E-3</v>
      </c>
      <c r="AG6" s="6">
        <f t="shared" si="9"/>
        <v>1.5358834327077683E-3</v>
      </c>
      <c r="AI6" s="69" t="s">
        <v>72</v>
      </c>
      <c r="AJ6" s="39">
        <v>112.4</v>
      </c>
      <c r="AK6" s="30" t="s">
        <v>80</v>
      </c>
      <c r="AM6" s="220"/>
      <c r="AN6" s="94"/>
      <c r="AO6" s="94"/>
    </row>
    <row r="7" spans="1:41" x14ac:dyDescent="0.25">
      <c r="A7" s="12">
        <v>1</v>
      </c>
      <c r="B7" s="13" t="s">
        <v>160</v>
      </c>
      <c r="C7" s="14" t="s">
        <v>161</v>
      </c>
      <c r="D7" s="14" t="s">
        <v>162</v>
      </c>
      <c r="E7" s="14" t="s">
        <v>163</v>
      </c>
      <c r="F7" s="14" t="s">
        <v>164</v>
      </c>
      <c r="G7" s="14" t="s">
        <v>165</v>
      </c>
      <c r="H7" s="14" t="s">
        <v>166</v>
      </c>
      <c r="I7" s="14" t="s">
        <v>167</v>
      </c>
      <c r="J7" s="14" t="s">
        <v>168</v>
      </c>
      <c r="K7" s="14" t="s">
        <v>169</v>
      </c>
      <c r="L7" s="109" t="s">
        <v>170</v>
      </c>
      <c r="M7" s="110">
        <v>39.617014522264789</v>
      </c>
      <c r="N7" s="10">
        <f t="shared" si="10"/>
        <v>818.11125450587531</v>
      </c>
      <c r="O7" s="10">
        <f t="shared" si="11"/>
        <v>9747.7790364809352</v>
      </c>
      <c r="P7" s="94">
        <f t="shared" si="12"/>
        <v>0.39746295765467626</v>
      </c>
      <c r="Q7" s="94">
        <f t="shared" si="13"/>
        <v>6.4587730618884889</v>
      </c>
      <c r="R7" s="10">
        <f t="shared" si="14"/>
        <v>1485.5178042343525</v>
      </c>
      <c r="S7" s="10">
        <f t="shared" si="15"/>
        <v>990.34520282290168</v>
      </c>
      <c r="T7" s="10">
        <f t="shared" si="16"/>
        <v>279.88016601516784</v>
      </c>
      <c r="U7" s="10">
        <f t="shared" si="17"/>
        <v>1112.8962814330935</v>
      </c>
      <c r="V7" s="10">
        <f t="shared" si="18"/>
        <v>96.053548099880089</v>
      </c>
      <c r="W7" s="10">
        <f t="shared" si="19"/>
        <v>90.5884324321283</v>
      </c>
      <c r="X7" s="150">
        <f>(N7/1000)/$AJ$4</f>
        <v>3.0322878224828587E-2</v>
      </c>
      <c r="Y7" s="142">
        <f t="shared" si="1"/>
        <v>0.24320805979243851</v>
      </c>
      <c r="Z7" s="35">
        <f t="shared" si="2"/>
        <v>3.5361473100949844E-6</v>
      </c>
      <c r="AA7" s="35">
        <f t="shared" si="3"/>
        <v>1.0163293567094397E-4</v>
      </c>
      <c r="AB7" s="142">
        <f t="shared" si="4"/>
        <v>2.6598349225324124E-2</v>
      </c>
      <c r="AC7" s="142">
        <f t="shared" si="5"/>
        <v>4.0738181934302828E-2</v>
      </c>
      <c r="AD7" s="142">
        <f t="shared" si="6"/>
        <v>5.0942876959440822E-3</v>
      </c>
      <c r="AE7" s="142">
        <f t="shared" si="7"/>
        <v>3.5934655519312027E-2</v>
      </c>
      <c r="AF7" s="142">
        <f t="shared" si="8"/>
        <v>2.9960557735458542E-3</v>
      </c>
      <c r="AG7" s="2">
        <f t="shared" si="9"/>
        <v>1.38556794787593E-3</v>
      </c>
      <c r="AI7" s="69" t="s">
        <v>73</v>
      </c>
      <c r="AJ7" s="39">
        <v>63.55</v>
      </c>
      <c r="AK7" s="30" t="s">
        <v>80</v>
      </c>
      <c r="AM7" s="220"/>
      <c r="AN7" s="94"/>
      <c r="AO7" s="94"/>
    </row>
    <row r="8" spans="1:41" x14ac:dyDescent="0.25">
      <c r="A8" s="15">
        <v>2</v>
      </c>
      <c r="B8" s="13" t="s">
        <v>171</v>
      </c>
      <c r="C8" s="14" t="s">
        <v>172</v>
      </c>
      <c r="D8" s="14" t="s">
        <v>173</v>
      </c>
      <c r="E8" s="14" t="s">
        <v>174</v>
      </c>
      <c r="F8" s="14" t="s">
        <v>77</v>
      </c>
      <c r="G8" s="14" t="s">
        <v>175</v>
      </c>
      <c r="H8" s="14" t="s">
        <v>176</v>
      </c>
      <c r="I8" s="14" t="s">
        <v>177</v>
      </c>
      <c r="J8" s="14" t="s">
        <v>178</v>
      </c>
      <c r="K8" s="14" t="s">
        <v>179</v>
      </c>
      <c r="L8" s="109" t="s">
        <v>180</v>
      </c>
      <c r="M8" s="110">
        <v>3.6689496026497328</v>
      </c>
      <c r="N8" s="10">
        <f t="shared" si="10"/>
        <v>852.26933228019993</v>
      </c>
      <c r="O8" s="10">
        <f t="shared" si="11"/>
        <v>10113.042430053236</v>
      </c>
      <c r="P8" s="94">
        <f t="shared" si="12"/>
        <v>0.43599649154407299</v>
      </c>
      <c r="Q8" s="94">
        <f t="shared" si="13"/>
        <v>7.0589908154754681</v>
      </c>
      <c r="R8" s="10">
        <f t="shared" si="14"/>
        <v>1555.0541531738604</v>
      </c>
      <c r="S8" s="10">
        <f t="shared" si="15"/>
        <v>1000.7157567821105</v>
      </c>
      <c r="T8" s="10">
        <f t="shared" si="16"/>
        <v>302.0832834269649</v>
      </c>
      <c r="U8" s="10">
        <f t="shared" si="17"/>
        <v>1209.3712205924883</v>
      </c>
      <c r="V8" s="10">
        <f t="shared" si="18"/>
        <v>101.73251469361703</v>
      </c>
      <c r="W8" s="10">
        <f t="shared" si="19"/>
        <v>97.476358466639184</v>
      </c>
      <c r="X8" s="150">
        <f t="shared" ref="X8:X13" si="20">(N8/1000)/AJ$4</f>
        <v>3.1588930032624161E-2</v>
      </c>
      <c r="Y8" s="142">
        <f t="shared" si="1"/>
        <v>0.25232141791549989</v>
      </c>
      <c r="Z8" s="35">
        <f t="shared" si="2"/>
        <v>3.8789723446981577E-6</v>
      </c>
      <c r="AA8" s="35">
        <f t="shared" si="3"/>
        <v>1.1107774689969265E-4</v>
      </c>
      <c r="AB8" s="142">
        <f t="shared" si="4"/>
        <v>2.7843404712155066E-2</v>
      </c>
      <c r="AC8" s="142">
        <f t="shared" si="5"/>
        <v>4.1164778148174028E-2</v>
      </c>
      <c r="AD8" s="142">
        <f t="shared" si="6"/>
        <v>5.4984216131591717E-3</v>
      </c>
      <c r="AE8" s="142">
        <f t="shared" si="7"/>
        <v>3.9049764952937951E-2</v>
      </c>
      <c r="AF8" s="142">
        <f t="shared" si="8"/>
        <v>3.1731913503935442E-3</v>
      </c>
      <c r="AG8" s="2">
        <f t="shared" si="9"/>
        <v>1.4909201356169959E-3</v>
      </c>
      <c r="AI8" s="69" t="s">
        <v>68</v>
      </c>
      <c r="AJ8" s="39">
        <v>55.85</v>
      </c>
      <c r="AK8" s="30" t="s">
        <v>80</v>
      </c>
      <c r="AM8" s="220"/>
      <c r="AN8" s="94"/>
      <c r="AO8" s="94"/>
    </row>
    <row r="9" spans="1:41" x14ac:dyDescent="0.25">
      <c r="A9" s="16">
        <v>3</v>
      </c>
      <c r="B9" s="17" t="s">
        <v>181</v>
      </c>
      <c r="C9" s="18" t="s">
        <v>182</v>
      </c>
      <c r="D9" s="18" t="s">
        <v>183</v>
      </c>
      <c r="E9" s="18" t="s">
        <v>184</v>
      </c>
      <c r="F9" s="18" t="s">
        <v>185</v>
      </c>
      <c r="G9" s="18" t="s">
        <v>186</v>
      </c>
      <c r="H9" s="18" t="s">
        <v>187</v>
      </c>
      <c r="I9" s="18" t="s">
        <v>188</v>
      </c>
      <c r="J9" s="18" t="s">
        <v>189</v>
      </c>
      <c r="K9" s="18" t="s">
        <v>190</v>
      </c>
      <c r="L9" s="111" t="s">
        <v>191</v>
      </c>
      <c r="M9" s="112">
        <v>2.5440317242061417</v>
      </c>
      <c r="N9" s="29">
        <f t="shared" si="10"/>
        <v>791.12650937715955</v>
      </c>
      <c r="O9" s="29">
        <f t="shared" si="11"/>
        <v>9670.0080731132966</v>
      </c>
      <c r="P9" s="113">
        <f t="shared" si="12"/>
        <v>0.39094578478949127</v>
      </c>
      <c r="Q9" s="113">
        <f t="shared" si="13"/>
        <v>6.669678743127804</v>
      </c>
      <c r="R9" s="29">
        <f t="shared" si="14"/>
        <v>1466.3032190660972</v>
      </c>
      <c r="S9" s="29">
        <f t="shared" si="15"/>
        <v>983.0080362948363</v>
      </c>
      <c r="T9" s="29">
        <f t="shared" si="16"/>
        <v>279.1004027893481</v>
      </c>
      <c r="U9" s="29">
        <f t="shared" si="17"/>
        <v>1102.0361492491172</v>
      </c>
      <c r="V9" s="29">
        <f t="shared" si="18"/>
        <v>94.401606825808912</v>
      </c>
      <c r="W9" s="304">
        <f t="shared" si="19"/>
        <v>91.733735328557799</v>
      </c>
      <c r="X9" s="154">
        <f t="shared" si="20"/>
        <v>2.9322702349042235E-2</v>
      </c>
      <c r="Y9" s="144">
        <f t="shared" si="1"/>
        <v>0.24126766649484271</v>
      </c>
      <c r="Z9" s="5">
        <f t="shared" si="2"/>
        <v>3.4781653451022356E-6</v>
      </c>
      <c r="AA9" s="5">
        <f t="shared" si="3"/>
        <v>1.0495167180374201E-4</v>
      </c>
      <c r="AB9" s="144">
        <f t="shared" si="4"/>
        <v>2.6254310099661542E-2</v>
      </c>
      <c r="AC9" s="144">
        <f t="shared" si="5"/>
        <v>4.0436365129363896E-2</v>
      </c>
      <c r="AD9" s="144">
        <f t="shared" si="6"/>
        <v>5.0800946994784876E-3</v>
      </c>
      <c r="AE9" s="144">
        <f t="shared" si="7"/>
        <v>3.5583989320281478E-2</v>
      </c>
      <c r="AF9" s="144">
        <f t="shared" si="8"/>
        <v>2.9445292210171208E-3</v>
      </c>
      <c r="AG9" s="6">
        <f t="shared" si="9"/>
        <v>1.4030855816542951E-3</v>
      </c>
      <c r="AI9" s="69" t="s">
        <v>69</v>
      </c>
      <c r="AJ9" s="39">
        <v>24.31</v>
      </c>
      <c r="AK9" s="30" t="s">
        <v>80</v>
      </c>
      <c r="AM9" s="220"/>
      <c r="AN9" s="94"/>
      <c r="AO9" s="94"/>
    </row>
    <row r="10" spans="1:41" x14ac:dyDescent="0.25">
      <c r="A10" s="15">
        <v>7</v>
      </c>
      <c r="B10" s="13" t="s">
        <v>222</v>
      </c>
      <c r="C10" s="14" t="s">
        <v>223</v>
      </c>
      <c r="D10" s="14" t="s">
        <v>224</v>
      </c>
      <c r="E10" s="14" t="s">
        <v>225</v>
      </c>
      <c r="F10" s="14" t="s">
        <v>136</v>
      </c>
      <c r="G10" s="14" t="s">
        <v>226</v>
      </c>
      <c r="H10" s="14" t="s">
        <v>227</v>
      </c>
      <c r="I10" s="14" t="s">
        <v>228</v>
      </c>
      <c r="J10" s="14" t="s">
        <v>229</v>
      </c>
      <c r="K10" s="14" t="s">
        <v>230</v>
      </c>
      <c r="L10" s="109" t="s">
        <v>231</v>
      </c>
      <c r="M10" s="110">
        <v>61.341573985781565</v>
      </c>
      <c r="N10" s="10">
        <f t="shared" si="10"/>
        <v>145.63448594439166</v>
      </c>
      <c r="O10" s="10">
        <f t="shared" si="11"/>
        <v>12067.226943704924</v>
      </c>
      <c r="P10" s="94">
        <f t="shared" si="12"/>
        <v>1.5572284287482023</v>
      </c>
      <c r="Q10" s="94">
        <f t="shared" si="13"/>
        <v>1.0347032749157492</v>
      </c>
      <c r="R10" s="10">
        <f t="shared" si="14"/>
        <v>67.773064506981555</v>
      </c>
      <c r="S10" s="10">
        <f t="shared" si="15"/>
        <v>1394.2626629489719</v>
      </c>
      <c r="T10" s="10">
        <f t="shared" si="16"/>
        <v>284.54340060183097</v>
      </c>
      <c r="U10" s="10">
        <f t="shared" si="17"/>
        <v>1042.4635494776171</v>
      </c>
      <c r="V10" s="10">
        <f t="shared" si="18"/>
        <v>28.4543400601831</v>
      </c>
      <c r="W10" s="10">
        <f t="shared" si="19"/>
        <v>166.5872272614356</v>
      </c>
      <c r="X10" s="150">
        <f t="shared" si="20"/>
        <v>5.3978682707335676E-3</v>
      </c>
      <c r="Y10" s="142">
        <f t="shared" si="1"/>
        <v>0.30107851655950407</v>
      </c>
      <c r="Z10" s="35">
        <f t="shared" si="2"/>
        <v>1.3854345451496462E-5</v>
      </c>
      <c r="AA10" s="35">
        <f t="shared" si="3"/>
        <v>1.6281719510869381E-5</v>
      </c>
      <c r="AB10" s="142">
        <f t="shared" si="4"/>
        <v>1.2134836975287657E-3</v>
      </c>
      <c r="AC10" s="142">
        <f t="shared" si="5"/>
        <v>5.7353462071121838E-2</v>
      </c>
      <c r="AD10" s="142">
        <f t="shared" si="6"/>
        <v>5.1791663742597558E-3</v>
      </c>
      <c r="AE10" s="142">
        <f t="shared" si="7"/>
        <v>3.3660431045450988E-2</v>
      </c>
      <c r="AF10" s="142">
        <f t="shared" si="8"/>
        <v>8.8753400062954139E-4</v>
      </c>
      <c r="AG10" s="2">
        <f t="shared" si="9"/>
        <v>2.547984509963836E-3</v>
      </c>
      <c r="AI10" s="69" t="s">
        <v>74</v>
      </c>
      <c r="AJ10" s="39">
        <v>54.94</v>
      </c>
      <c r="AK10" s="30" t="s">
        <v>80</v>
      </c>
      <c r="AM10" s="220"/>
      <c r="AN10" s="94"/>
      <c r="AO10" s="94"/>
    </row>
    <row r="11" spans="1:41" x14ac:dyDescent="0.25">
      <c r="A11" s="15">
        <v>8</v>
      </c>
      <c r="B11" s="13" t="s">
        <v>171</v>
      </c>
      <c r="C11" s="14" t="s">
        <v>232</v>
      </c>
      <c r="D11" s="14" t="s">
        <v>233</v>
      </c>
      <c r="E11" s="14" t="s">
        <v>234</v>
      </c>
      <c r="F11" s="14" t="s">
        <v>235</v>
      </c>
      <c r="G11" s="14" t="s">
        <v>236</v>
      </c>
      <c r="H11" s="14" t="s">
        <v>237</v>
      </c>
      <c r="I11" s="14" t="s">
        <v>238</v>
      </c>
      <c r="J11" s="14" t="s">
        <v>239</v>
      </c>
      <c r="K11" s="14" t="s">
        <v>240</v>
      </c>
      <c r="L11" s="109" t="s">
        <v>241</v>
      </c>
      <c r="M11" s="110">
        <v>8.9160514239773541</v>
      </c>
      <c r="N11" s="10">
        <f t="shared" si="10"/>
        <v>167.97690744851658</v>
      </c>
      <c r="O11" s="10">
        <f t="shared" si="11"/>
        <v>14079.319353724031</v>
      </c>
      <c r="P11" s="94">
        <f t="shared" si="12"/>
        <v>1.7676001372033445</v>
      </c>
      <c r="Q11" s="94">
        <f t="shared" si="13"/>
        <v>1.2076771123749559</v>
      </c>
      <c r="R11" s="10">
        <f t="shared" si="14"/>
        <v>84.647186694644631</v>
      </c>
      <c r="S11" s="10">
        <f t="shared" si="15"/>
        <v>1609.5042243106229</v>
      </c>
      <c r="T11" s="10">
        <f t="shared" si="16"/>
        <v>313.99604921748852</v>
      </c>
      <c r="U11" s="10">
        <f t="shared" si="17"/>
        <v>1186.8172349793883</v>
      </c>
      <c r="V11" s="10">
        <f t="shared" si="18"/>
        <v>36.230313371248677</v>
      </c>
      <c r="W11" s="10">
        <f t="shared" si="19"/>
        <v>195.4241145479474</v>
      </c>
      <c r="X11" s="150">
        <f t="shared" si="20"/>
        <v>6.2259787786700001E-3</v>
      </c>
      <c r="Y11" s="142">
        <f t="shared" si="1"/>
        <v>0.3512804229971066</v>
      </c>
      <c r="Z11" s="35">
        <f t="shared" si="2"/>
        <v>1.5725979868357155E-5</v>
      </c>
      <c r="AA11" s="35">
        <f t="shared" si="3"/>
        <v>1.9003573758850602E-5</v>
      </c>
      <c r="AB11" s="142">
        <f t="shared" si="4"/>
        <v>1.5156165925630193E-3</v>
      </c>
      <c r="AC11" s="142">
        <f t="shared" si="5"/>
        <v>6.6207495858108728E-2</v>
      </c>
      <c r="AD11" s="142">
        <f t="shared" si="6"/>
        <v>5.71525389911701E-3</v>
      </c>
      <c r="AE11" s="142">
        <f t="shared" si="7"/>
        <v>3.832151226927312E-2</v>
      </c>
      <c r="AF11" s="142">
        <f t="shared" si="8"/>
        <v>1.1300783958592849E-3</v>
      </c>
      <c r="AG11" s="2">
        <f t="shared" si="9"/>
        <v>2.9890503907608963E-3</v>
      </c>
      <c r="AI11" s="69" t="s">
        <v>70</v>
      </c>
      <c r="AJ11" s="39">
        <v>30.97</v>
      </c>
      <c r="AK11" s="30" t="s">
        <v>80</v>
      </c>
      <c r="AM11" s="220"/>
      <c r="AN11" s="94"/>
      <c r="AO11" s="94"/>
    </row>
    <row r="12" spans="1:41" x14ac:dyDescent="0.25">
      <c r="A12" s="16">
        <v>9</v>
      </c>
      <c r="B12" s="17" t="s">
        <v>181</v>
      </c>
      <c r="C12" s="18" t="s">
        <v>242</v>
      </c>
      <c r="D12" s="18" t="s">
        <v>243</v>
      </c>
      <c r="E12" s="18" t="s">
        <v>244</v>
      </c>
      <c r="F12" s="18" t="s">
        <v>235</v>
      </c>
      <c r="G12" s="18" t="s">
        <v>245</v>
      </c>
      <c r="H12" s="18" t="s">
        <v>246</v>
      </c>
      <c r="I12" s="18" t="s">
        <v>247</v>
      </c>
      <c r="J12" s="18" t="s">
        <v>248</v>
      </c>
      <c r="K12" s="18" t="s">
        <v>249</v>
      </c>
      <c r="L12" s="111" t="s">
        <v>250</v>
      </c>
      <c r="M12" s="112">
        <v>6.2761675761857436</v>
      </c>
      <c r="N12" s="29">
        <f t="shared" si="10"/>
        <v>193.12057063728199</v>
      </c>
      <c r="O12" s="29">
        <f t="shared" si="11"/>
        <v>14192.761495122237</v>
      </c>
      <c r="P12" s="113">
        <f t="shared" si="12"/>
        <v>1.9098664167996395</v>
      </c>
      <c r="Q12" s="113">
        <f t="shared" si="13"/>
        <v>1.1736609265249183</v>
      </c>
      <c r="R12" s="29">
        <f t="shared" si="14"/>
        <v>91.225462925345909</v>
      </c>
      <c r="S12" s="29">
        <f t="shared" si="15"/>
        <v>1652.7279774428164</v>
      </c>
      <c r="T12" s="29">
        <f t="shared" si="16"/>
        <v>352.09827795747543</v>
      </c>
      <c r="U12" s="29">
        <f t="shared" si="17"/>
        <v>1330.5047048877934</v>
      </c>
      <c r="V12" s="29">
        <f t="shared" si="18"/>
        <v>38.410721231724594</v>
      </c>
      <c r="W12" s="304">
        <f t="shared" si="19"/>
        <v>203.79021542387213</v>
      </c>
      <c r="X12" s="154">
        <f t="shared" si="20"/>
        <v>7.157915887223202E-3</v>
      </c>
      <c r="Y12" s="144">
        <f t="shared" si="1"/>
        <v>0.35411081574656283</v>
      </c>
      <c r="Z12" s="5">
        <f t="shared" si="2"/>
        <v>1.699169409964092E-5</v>
      </c>
      <c r="AA12" s="5">
        <f t="shared" si="3"/>
        <v>1.8468307262390532E-5</v>
      </c>
      <c r="AB12" s="144">
        <f t="shared" si="4"/>
        <v>1.6334013057358264E-3</v>
      </c>
      <c r="AC12" s="144">
        <f t="shared" si="5"/>
        <v>6.7985519434093644E-2</v>
      </c>
      <c r="AD12" s="144">
        <f t="shared" si="6"/>
        <v>6.4087782664265644E-3</v>
      </c>
      <c r="AE12" s="144">
        <f t="shared" si="7"/>
        <v>4.296108184978345E-2</v>
      </c>
      <c r="AF12" s="144">
        <f t="shared" si="8"/>
        <v>1.1980886223245349E-3</v>
      </c>
      <c r="AG12" s="6">
        <f>(W12/1000)/$AJ$13</f>
        <v>3.1170115543571754E-3</v>
      </c>
      <c r="AI12" s="69" t="s">
        <v>71</v>
      </c>
      <c r="AJ12" s="39">
        <v>32.06</v>
      </c>
      <c r="AK12" s="30" t="s">
        <v>80</v>
      </c>
      <c r="AM12" s="220"/>
      <c r="AN12" s="94"/>
      <c r="AO12" s="94"/>
    </row>
    <row r="13" spans="1:41" x14ac:dyDescent="0.25">
      <c r="A13" s="15">
        <v>10</v>
      </c>
      <c r="B13" s="13" t="s">
        <v>251</v>
      </c>
      <c r="C13" s="14" t="s">
        <v>252</v>
      </c>
      <c r="D13" s="14" t="s">
        <v>253</v>
      </c>
      <c r="E13" s="14" t="s">
        <v>254</v>
      </c>
      <c r="F13" s="14" t="s">
        <v>255</v>
      </c>
      <c r="G13" s="14" t="s">
        <v>256</v>
      </c>
      <c r="H13" s="14" t="s">
        <v>257</v>
      </c>
      <c r="I13" s="14" t="s">
        <v>258</v>
      </c>
      <c r="J13" s="14" t="s">
        <v>259</v>
      </c>
      <c r="K13" s="14" t="s">
        <v>260</v>
      </c>
      <c r="L13" s="109" t="s">
        <v>261</v>
      </c>
      <c r="M13" s="110">
        <v>13.328556073092077</v>
      </c>
      <c r="N13" s="10">
        <f t="shared" si="10"/>
        <v>353.05746176105822</v>
      </c>
      <c r="O13" s="10">
        <f t="shared" si="11"/>
        <v>19828.906986357997</v>
      </c>
      <c r="P13" s="94">
        <f t="shared" si="12"/>
        <v>0.18691277387350141</v>
      </c>
      <c r="Q13" s="94">
        <f t="shared" si="13"/>
        <v>4.9612649855312103</v>
      </c>
      <c r="R13" s="10">
        <f t="shared" si="14"/>
        <v>244.60190161223642</v>
      </c>
      <c r="S13" s="10">
        <f t="shared" si="15"/>
        <v>5913.1355932203378</v>
      </c>
      <c r="T13" s="10">
        <f t="shared" si="16"/>
        <v>46.382058701942945</v>
      </c>
      <c r="U13" s="10">
        <f t="shared" si="17"/>
        <v>503.04919388176927</v>
      </c>
      <c r="V13" s="10">
        <f t="shared" si="18"/>
        <v>729.19057461761042</v>
      </c>
      <c r="W13" s="10">
        <f t="shared" si="19"/>
        <v>25.383216205043404</v>
      </c>
      <c r="X13" s="154">
        <f t="shared" si="20"/>
        <v>1.3085895543404679E-2</v>
      </c>
      <c r="Y13" s="144">
        <f t="shared" si="1"/>
        <v>0.49473320824246497</v>
      </c>
      <c r="Z13" s="5">
        <f t="shared" si="2"/>
        <v>1.6629250344617562E-6</v>
      </c>
      <c r="AA13" s="5">
        <f t="shared" si="3"/>
        <v>7.8068685846281838E-5</v>
      </c>
      <c r="AB13" s="144">
        <f t="shared" si="4"/>
        <v>4.3796222311949223E-3</v>
      </c>
      <c r="AC13" s="144">
        <f t="shared" si="5"/>
        <v>0.24323881502346106</v>
      </c>
      <c r="AD13" s="144">
        <f t="shared" si="6"/>
        <v>8.4423113764002457E-4</v>
      </c>
      <c r="AE13" s="144">
        <f t="shared" si="7"/>
        <v>1.6243112492146248E-2</v>
      </c>
      <c r="AF13" s="144">
        <f t="shared" si="8"/>
        <v>2.2744559407910491E-2</v>
      </c>
      <c r="AG13" s="6">
        <f t="shared" si="9"/>
        <v>3.8824130016891105E-4</v>
      </c>
      <c r="AI13" s="70" t="s">
        <v>75</v>
      </c>
      <c r="AJ13" s="11">
        <v>65.38</v>
      </c>
      <c r="AK13" s="31" t="s">
        <v>80</v>
      </c>
      <c r="AM13" s="220"/>
      <c r="AN13" s="94"/>
      <c r="AO13" s="94"/>
    </row>
    <row r="17" spans="16:40" x14ac:dyDescent="0.25">
      <c r="AN17" s="94"/>
    </row>
    <row r="18" spans="16:40" x14ac:dyDescent="0.25">
      <c r="AN18" s="94"/>
    </row>
    <row r="22" spans="16:40" x14ac:dyDescent="0.25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6:40" x14ac:dyDescent="0.25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6:40" x14ac:dyDescent="0.25"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6:40" x14ac:dyDescent="0.25"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6:40" x14ac:dyDescent="0.25"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6:40" x14ac:dyDescent="0.25"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6:40" x14ac:dyDescent="0.25"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6:40" x14ac:dyDescent="0.25"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6:40" x14ac:dyDescent="0.25"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6:40" x14ac:dyDescent="0.25"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3"/>
      <c r="AB31" s="3"/>
      <c r="AC31" s="3"/>
      <c r="AD31" s="3"/>
      <c r="AE31" s="3"/>
      <c r="AF31" s="3"/>
      <c r="AG31" s="3"/>
      <c r="AH31" s="3"/>
      <c r="AI31" s="3"/>
      <c r="AJ31" s="3"/>
    </row>
  </sheetData>
  <conditionalFormatting sqref="A7">
    <cfRule type="cellIs" dxfId="20" priority="13" stopIfTrue="1" operator="equal">
      <formula>"x"</formula>
    </cfRule>
  </conditionalFormatting>
  <conditionalFormatting sqref="A1 C2:M2">
    <cfRule type="expression" dxfId="19" priority="14" stopIfTrue="1">
      <formula>+LEN(A1)&gt;0</formula>
    </cfRule>
  </conditionalFormatting>
  <conditionalFormatting sqref="C3:M3">
    <cfRule type="expression" dxfId="18" priority="15" stopIfTrue="1">
      <formula>+LEN(C3)&gt;0</formula>
    </cfRule>
  </conditionalFormatting>
  <conditionalFormatting sqref="N2:W2">
    <cfRule type="expression" dxfId="17" priority="11" stopIfTrue="1">
      <formula>+LEN(N2)&gt;0</formula>
    </cfRule>
  </conditionalFormatting>
  <conditionalFormatting sqref="N3:X3">
    <cfRule type="expression" dxfId="16" priority="12" stopIfTrue="1">
      <formula>+LEN(N3)&gt;0</formula>
    </cfRule>
  </conditionalFormatting>
  <conditionalFormatting sqref="X2:AG2">
    <cfRule type="expression" dxfId="15" priority="10" stopIfTrue="1">
      <formula>+LEN(X2)&gt;0</formula>
    </cfRule>
  </conditionalFormatting>
  <conditionalFormatting sqref="Y3">
    <cfRule type="expression" dxfId="14" priority="9" stopIfTrue="1">
      <formula>+LEN(Y3)&gt;0</formula>
    </cfRule>
  </conditionalFormatting>
  <conditionalFormatting sqref="Z3">
    <cfRule type="expression" dxfId="13" priority="8" stopIfTrue="1">
      <formula>+LEN(Z3)&gt;0</formula>
    </cfRule>
  </conditionalFormatting>
  <conditionalFormatting sqref="AA3">
    <cfRule type="expression" dxfId="12" priority="7" stopIfTrue="1">
      <formula>+LEN(AA3)&gt;0</formula>
    </cfRule>
  </conditionalFormatting>
  <conditionalFormatting sqref="AB3">
    <cfRule type="expression" dxfId="11" priority="6" stopIfTrue="1">
      <formula>+LEN(AB3)&gt;0</formula>
    </cfRule>
  </conditionalFormatting>
  <conditionalFormatting sqref="AC3">
    <cfRule type="expression" dxfId="10" priority="5" stopIfTrue="1">
      <formula>+LEN(AC3)&gt;0</formula>
    </cfRule>
  </conditionalFormatting>
  <conditionalFormatting sqref="AD3">
    <cfRule type="expression" dxfId="9" priority="4" stopIfTrue="1">
      <formula>+LEN(AD3)&gt;0</formula>
    </cfRule>
  </conditionalFormatting>
  <conditionalFormatting sqref="AE3">
    <cfRule type="expression" dxfId="8" priority="3" stopIfTrue="1">
      <formula>+LEN(AE3)&gt;0</formula>
    </cfRule>
  </conditionalFormatting>
  <conditionalFormatting sqref="AF3">
    <cfRule type="expression" dxfId="7" priority="2" stopIfTrue="1">
      <formula>+LEN(AF3)&gt;0</formula>
    </cfRule>
  </conditionalFormatting>
  <conditionalFormatting sqref="AG3">
    <cfRule type="expression" dxfId="6" priority="1" stopIfTrue="1">
      <formula>+LEN(AG3)&gt;0</formula>
    </cfRule>
  </conditionalFormatting>
  <conditionalFormatting sqref="C10:L13">
    <cfRule type="expression" dxfId="5" priority="20" stopIfTrue="1">
      <formula>C$3*$B$2/105=41</formula>
    </cfRule>
    <cfRule type="expression" priority="21" stopIfTrue="1">
      <formula>$B$2&lt;&gt;105</formula>
    </cfRule>
    <cfRule type="expression" dxfId="4" priority="22" stopIfTrue="1">
      <formula>$BA11=0</formula>
    </cfRule>
  </conditionalFormatting>
  <conditionalFormatting sqref="C7:L9">
    <cfRule type="expression" dxfId="3" priority="26" stopIfTrue="1">
      <formula>C$3*$B$2/105=41</formula>
    </cfRule>
    <cfRule type="expression" priority="27" stopIfTrue="1">
      <formula>$B$2&lt;&gt;105</formula>
    </cfRule>
    <cfRule type="expression" dxfId="2" priority="28" stopIfTrue="1">
      <formula>$BA5=0</formula>
    </cfRule>
  </conditionalFormatting>
  <conditionalFormatting sqref="C4:L6">
    <cfRule type="expression" dxfId="1" priority="35" stopIfTrue="1">
      <formula>C$3*$B$2/105=41</formula>
    </cfRule>
    <cfRule type="expression" priority="36" stopIfTrue="1">
      <formula>$B$2&lt;&gt;105</formula>
    </cfRule>
    <cfRule type="expression" dxfId="0" priority="37" stopIfTrue="1">
      <formula>$BA8=0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24"/>
  <sheetViews>
    <sheetView zoomScale="80" zoomScaleNormal="80" workbookViewId="0">
      <selection activeCell="S14" sqref="S14"/>
    </sheetView>
  </sheetViews>
  <sheetFormatPr defaultRowHeight="15" x14ac:dyDescent="0.25"/>
  <cols>
    <col min="2" max="2" width="10.42578125" bestFit="1" customWidth="1"/>
    <col min="7" max="9" width="8.5703125" bestFit="1" customWidth="1"/>
    <col min="10" max="10" width="7.28515625" bestFit="1" customWidth="1"/>
    <col min="11" max="11" width="6.7109375" bestFit="1" customWidth="1"/>
    <col min="12" max="12" width="8.42578125" bestFit="1" customWidth="1"/>
    <col min="17" max="17" width="13.140625" customWidth="1"/>
    <col min="18" max="18" width="8.85546875" customWidth="1"/>
    <col min="19" max="19" width="15.140625" bestFit="1" customWidth="1"/>
    <col min="23" max="23" width="20.28515625" bestFit="1" customWidth="1"/>
    <col min="24" max="24" width="20.5703125" bestFit="1" customWidth="1"/>
    <col min="25" max="25" width="19.7109375" bestFit="1" customWidth="1"/>
    <col min="26" max="26" width="20.7109375" bestFit="1" customWidth="1"/>
    <col min="27" max="27" width="14.42578125" bestFit="1" customWidth="1"/>
    <col min="28" max="29" width="10" bestFit="1" customWidth="1"/>
  </cols>
  <sheetData>
    <row r="1" spans="1:29" x14ac:dyDescent="0.25">
      <c r="A1" s="171" t="s">
        <v>297</v>
      </c>
      <c r="C1" s="30"/>
      <c r="D1" s="171" t="s">
        <v>66</v>
      </c>
      <c r="E1" s="171" t="s">
        <v>68</v>
      </c>
      <c r="F1" s="172" t="s">
        <v>74</v>
      </c>
      <c r="G1" s="171" t="s">
        <v>66</v>
      </c>
      <c r="H1" s="171" t="s">
        <v>68</v>
      </c>
      <c r="I1" s="172" t="s">
        <v>74</v>
      </c>
      <c r="J1" s="171" t="s">
        <v>66</v>
      </c>
      <c r="K1" s="171" t="s">
        <v>68</v>
      </c>
      <c r="L1" s="171" t="s">
        <v>74</v>
      </c>
      <c r="M1" s="255" t="s">
        <v>66</v>
      </c>
      <c r="N1" s="255" t="s">
        <v>68</v>
      </c>
      <c r="O1" s="172" t="s">
        <v>74</v>
      </c>
      <c r="U1" s="243" t="s">
        <v>381</v>
      </c>
      <c r="V1" s="244" t="s">
        <v>382</v>
      </c>
      <c r="W1" s="256" t="s">
        <v>388</v>
      </c>
      <c r="X1" s="259" t="s">
        <v>389</v>
      </c>
      <c r="Y1" s="244" t="s">
        <v>383</v>
      </c>
      <c r="Z1" s="247" t="s">
        <v>384</v>
      </c>
      <c r="AA1" s="248" t="s">
        <v>385</v>
      </c>
      <c r="AB1" s="245" t="s">
        <v>327</v>
      </c>
      <c r="AC1" s="246"/>
    </row>
    <row r="2" spans="1:29" ht="15.75" thickBot="1" x14ac:dyDescent="0.3">
      <c r="A2" s="11" t="s">
        <v>298</v>
      </c>
      <c r="B2" s="11" t="s">
        <v>299</v>
      </c>
      <c r="C2" s="31" t="s">
        <v>300</v>
      </c>
      <c r="D2" s="11" t="s">
        <v>120</v>
      </c>
      <c r="E2" s="11" t="s">
        <v>120</v>
      </c>
      <c r="F2" s="31" t="s">
        <v>120</v>
      </c>
      <c r="G2" s="183" t="s">
        <v>159</v>
      </c>
      <c r="H2" s="183" t="s">
        <v>159</v>
      </c>
      <c r="I2" s="184" t="s">
        <v>159</v>
      </c>
      <c r="J2" s="183" t="s">
        <v>358</v>
      </c>
      <c r="K2" s="183" t="s">
        <v>358</v>
      </c>
      <c r="L2" s="183" t="s">
        <v>358</v>
      </c>
      <c r="M2" s="183" t="s">
        <v>262</v>
      </c>
      <c r="N2" s="183" t="s">
        <v>262</v>
      </c>
      <c r="O2" s="184" t="s">
        <v>262</v>
      </c>
      <c r="Q2" s="67" t="s">
        <v>320</v>
      </c>
      <c r="R2" s="26"/>
      <c r="S2" s="68"/>
      <c r="U2" s="249"/>
      <c r="V2" s="250"/>
      <c r="W2" s="257" t="s">
        <v>262</v>
      </c>
      <c r="X2" s="258" t="s">
        <v>262</v>
      </c>
      <c r="Y2" s="250" t="s">
        <v>262</v>
      </c>
      <c r="Z2" s="251" t="s">
        <v>262</v>
      </c>
      <c r="AA2" s="252" t="s">
        <v>91</v>
      </c>
      <c r="AB2" s="250"/>
      <c r="AC2" s="251"/>
    </row>
    <row r="3" spans="1:29" ht="15.75" thickTop="1" x14ac:dyDescent="0.25">
      <c r="A3">
        <v>1</v>
      </c>
      <c r="B3" s="20" t="s">
        <v>139</v>
      </c>
      <c r="C3" s="185" t="s">
        <v>311</v>
      </c>
      <c r="D3">
        <v>-0.06</v>
      </c>
      <c r="E3" s="114">
        <v>0</v>
      </c>
      <c r="F3" s="30">
        <v>-1E-3</v>
      </c>
      <c r="G3">
        <f t="shared" ref="G3:G14" si="0">D3*$Q$5*$Q$6</f>
        <v>-12</v>
      </c>
      <c r="H3">
        <f t="shared" ref="H3:H14" si="1">E3*$Q$5*$Q$6</f>
        <v>0</v>
      </c>
      <c r="I3" s="30">
        <f t="shared" ref="I3:I14" si="2">F3*$Q$5*$Q$6</f>
        <v>-0.2</v>
      </c>
      <c r="J3">
        <f>G3/1000</f>
        <v>-1.2E-2</v>
      </c>
      <c r="K3">
        <f t="shared" ref="K3:L14" si="3">H3/1000</f>
        <v>0</v>
      </c>
      <c r="L3">
        <f t="shared" si="3"/>
        <v>-2.0000000000000001E-4</v>
      </c>
      <c r="M3" s="225"/>
      <c r="N3" s="225"/>
      <c r="O3" s="4"/>
      <c r="Q3" s="180">
        <v>1.5</v>
      </c>
      <c r="R3" s="39" t="s">
        <v>315</v>
      </c>
      <c r="S3" s="30"/>
      <c r="U3" s="180" t="s">
        <v>328</v>
      </c>
      <c r="V3" s="39">
        <v>1</v>
      </c>
      <c r="W3" s="76">
        <f>'Al, Fe, HFO'!M$5</f>
        <v>1.8235730170496664E-2</v>
      </c>
      <c r="X3" s="2">
        <f>'Al, Fe, HFO'!N$5</f>
        <v>2.5711727842435091E-2</v>
      </c>
      <c r="Y3" s="36">
        <v>2.1661005399999999E-2</v>
      </c>
      <c r="Z3" s="4">
        <v>1.32700092E-2</v>
      </c>
      <c r="AA3" s="221">
        <f>(Y3+Z3)*($R$13/1000)</f>
        <v>3.1039699573559994E-3</v>
      </c>
      <c r="AB3" s="142" t="s">
        <v>313</v>
      </c>
      <c r="AC3" s="143" t="s">
        <v>329</v>
      </c>
    </row>
    <row r="4" spans="1:29" x14ac:dyDescent="0.25">
      <c r="A4">
        <v>2</v>
      </c>
      <c r="B4" s="20" t="s">
        <v>143</v>
      </c>
      <c r="C4" s="185" t="s">
        <v>312</v>
      </c>
      <c r="D4">
        <v>-0.04</v>
      </c>
      <c r="E4" s="114">
        <v>0</v>
      </c>
      <c r="F4" s="30">
        <v>-1E-3</v>
      </c>
      <c r="G4">
        <f t="shared" si="0"/>
        <v>-8</v>
      </c>
      <c r="H4">
        <f t="shared" si="1"/>
        <v>0</v>
      </c>
      <c r="I4" s="30">
        <f t="shared" si="2"/>
        <v>-0.2</v>
      </c>
      <c r="J4">
        <f t="shared" ref="J4:J14" si="4">G4/1000</f>
        <v>-8.0000000000000002E-3</v>
      </c>
      <c r="K4">
        <f t="shared" si="3"/>
        <v>0</v>
      </c>
      <c r="L4">
        <f t="shared" si="3"/>
        <v>-2.0000000000000001E-4</v>
      </c>
      <c r="M4" s="3"/>
      <c r="N4" s="3"/>
      <c r="O4" s="4"/>
      <c r="Q4" s="180">
        <v>30</v>
      </c>
      <c r="R4" s="39" t="s">
        <v>316</v>
      </c>
      <c r="S4" s="30"/>
      <c r="U4" s="180" t="s">
        <v>328</v>
      </c>
      <c r="V4" s="39">
        <v>2</v>
      </c>
      <c r="W4" s="76">
        <f>'Al, Fe, HFO'!M$5</f>
        <v>1.8235730170496664E-2</v>
      </c>
      <c r="X4" s="2">
        <f>'Al, Fe, HFO'!N$5</f>
        <v>2.5711727842435091E-2</v>
      </c>
      <c r="Y4" s="36">
        <v>2.1780868700000001E-2</v>
      </c>
      <c r="Z4" s="4">
        <v>1.3561026699999999E-2</v>
      </c>
      <c r="AA4" s="221">
        <f t="shared" ref="AA4:AA23" si="5">(Y4+Z4)*($R$13/1000)</f>
        <v>3.1404808252440001E-3</v>
      </c>
      <c r="AB4" s="142" t="s">
        <v>330</v>
      </c>
      <c r="AC4" s="143" t="s">
        <v>331</v>
      </c>
    </row>
    <row r="5" spans="1:29" x14ac:dyDescent="0.25">
      <c r="A5">
        <v>3</v>
      </c>
      <c r="B5" s="20" t="s">
        <v>301</v>
      </c>
      <c r="C5" s="185" t="s">
        <v>313</v>
      </c>
      <c r="D5">
        <v>2.46</v>
      </c>
      <c r="E5">
        <v>7.18</v>
      </c>
      <c r="F5" s="30">
        <v>1.39</v>
      </c>
      <c r="G5" s="155">
        <f t="shared" si="0"/>
        <v>492</v>
      </c>
      <c r="H5" s="155">
        <f t="shared" si="1"/>
        <v>1436</v>
      </c>
      <c r="I5" s="30">
        <f t="shared" si="2"/>
        <v>278</v>
      </c>
      <c r="J5" s="201">
        <f t="shared" si="4"/>
        <v>0.49199999999999999</v>
      </c>
      <c r="K5" s="201">
        <f t="shared" si="3"/>
        <v>1.4359999999999999</v>
      </c>
      <c r="L5" s="201">
        <f t="shared" si="3"/>
        <v>0.27800000000000002</v>
      </c>
      <c r="M5" s="3">
        <f>(G5/1000)/$R$10</f>
        <v>1.8235730170496664E-2</v>
      </c>
      <c r="N5" s="3">
        <f>(H5/1000)/$R$11</f>
        <v>2.5711727842435091E-2</v>
      </c>
      <c r="O5" s="4">
        <f>(I5/1000)/$R$12</f>
        <v>5.0600655260283952E-3</v>
      </c>
      <c r="Q5" s="180">
        <f>Q4/Q3</f>
        <v>20</v>
      </c>
      <c r="R5" s="39" t="s">
        <v>317</v>
      </c>
      <c r="S5" s="30"/>
      <c r="U5" s="180" t="s">
        <v>328</v>
      </c>
      <c r="V5" s="39">
        <v>3</v>
      </c>
      <c r="W5" s="76">
        <f>'Al, Fe, HFO'!M$5</f>
        <v>1.8235730170496664E-2</v>
      </c>
      <c r="X5" s="2">
        <f>'Al, Fe, HFO'!N$5</f>
        <v>2.5711727842435091E-2</v>
      </c>
      <c r="Y5" s="36">
        <v>2.1381399999999998E-2</v>
      </c>
      <c r="Z5" s="4">
        <v>1.33210242E-2</v>
      </c>
      <c r="AA5" s="221">
        <f t="shared" si="5"/>
        <v>3.0836574144119996E-3</v>
      </c>
      <c r="AB5" s="142" t="s">
        <v>332</v>
      </c>
      <c r="AC5" s="143" t="s">
        <v>333</v>
      </c>
    </row>
    <row r="6" spans="1:29" x14ac:dyDescent="0.25">
      <c r="A6">
        <v>4</v>
      </c>
      <c r="B6" s="20" t="s">
        <v>302</v>
      </c>
      <c r="C6" s="185" t="s">
        <v>98</v>
      </c>
      <c r="D6">
        <v>3.45</v>
      </c>
      <c r="E6">
        <v>10.3</v>
      </c>
      <c r="F6" s="30">
        <v>1.68</v>
      </c>
      <c r="G6" s="155">
        <f t="shared" si="0"/>
        <v>690</v>
      </c>
      <c r="H6" s="155">
        <f t="shared" si="1"/>
        <v>2060</v>
      </c>
      <c r="I6" s="30">
        <f t="shared" si="2"/>
        <v>336</v>
      </c>
      <c r="J6" s="201">
        <f t="shared" si="4"/>
        <v>0.69</v>
      </c>
      <c r="K6" s="201">
        <f t="shared" si="3"/>
        <v>2.06</v>
      </c>
      <c r="L6" s="201">
        <f t="shared" si="3"/>
        <v>0.33600000000000002</v>
      </c>
      <c r="M6" s="3">
        <f t="shared" ref="M6:M14" si="6">(G6/1000)/$R$10</f>
        <v>2.5574499629355076E-2</v>
      </c>
      <c r="N6" s="3">
        <f t="shared" ref="N6:N14" si="7">(H6/1000)/$R$11</f>
        <v>3.6884512085944496E-2</v>
      </c>
      <c r="O6" s="4">
        <f t="shared" ref="O6:O14" si="8">(I6/1000)/$R$12</f>
        <v>6.1157626501638154E-3</v>
      </c>
      <c r="Q6" s="181">
        <v>10</v>
      </c>
      <c r="R6" s="11" t="s">
        <v>318</v>
      </c>
      <c r="S6" s="31"/>
      <c r="U6" s="180" t="s">
        <v>328</v>
      </c>
      <c r="V6" s="39">
        <v>4</v>
      </c>
      <c r="W6" s="76">
        <f>'Al, Fe, HFO'!M$8</f>
        <v>2.0904373610081541E-2</v>
      </c>
      <c r="X6" s="2">
        <f>'Al, Fe, HFO'!N$8</f>
        <v>4.5837063563115489E-2</v>
      </c>
      <c r="Y6" s="36">
        <v>3.9336500199999999E-2</v>
      </c>
      <c r="Z6" s="4">
        <v>1.40380925E-2</v>
      </c>
      <c r="AA6" s="221">
        <f t="shared" si="5"/>
        <v>4.7428663073219995E-3</v>
      </c>
      <c r="AB6" s="142" t="s">
        <v>314</v>
      </c>
      <c r="AC6" s="143" t="s">
        <v>334</v>
      </c>
    </row>
    <row r="7" spans="1:29" x14ac:dyDescent="0.25">
      <c r="A7" s="11">
        <v>5</v>
      </c>
      <c r="B7" s="186" t="s">
        <v>303</v>
      </c>
      <c r="C7" s="187" t="s">
        <v>99</v>
      </c>
      <c r="D7" s="11">
        <v>3.18</v>
      </c>
      <c r="E7" s="11">
        <v>9.26</v>
      </c>
      <c r="F7" s="31">
        <v>1.58</v>
      </c>
      <c r="G7" s="183">
        <f>D7*$Q$5*$Q$6</f>
        <v>636</v>
      </c>
      <c r="H7" s="183">
        <f t="shared" si="1"/>
        <v>1852</v>
      </c>
      <c r="I7" s="31">
        <f t="shared" si="2"/>
        <v>316</v>
      </c>
      <c r="J7" s="202">
        <f t="shared" si="4"/>
        <v>0.63600000000000001</v>
      </c>
      <c r="K7" s="202">
        <f t="shared" si="3"/>
        <v>1.8520000000000001</v>
      </c>
      <c r="L7" s="202">
        <f t="shared" si="3"/>
        <v>0.316</v>
      </c>
      <c r="M7" s="7">
        <f t="shared" si="6"/>
        <v>2.3573017049666418E-2</v>
      </c>
      <c r="N7" s="7">
        <f t="shared" si="7"/>
        <v>3.3160250671441363E-2</v>
      </c>
      <c r="O7" s="8">
        <f t="shared" si="8"/>
        <v>5.7517291590826356E-3</v>
      </c>
      <c r="U7" s="180" t="s">
        <v>328</v>
      </c>
      <c r="V7" s="39">
        <v>5</v>
      </c>
      <c r="W7" s="76">
        <f>'Al, Fe, HFO'!M$8</f>
        <v>2.0904373610081541E-2</v>
      </c>
      <c r="X7" s="2">
        <f>'Al, Fe, HFO'!N$8</f>
        <v>4.5837063563115489E-2</v>
      </c>
      <c r="Y7" s="36">
        <v>3.9322863200000002E-2</v>
      </c>
      <c r="Z7" s="4">
        <v>1.4227108299999999E-2</v>
      </c>
      <c r="AA7" s="221">
        <f t="shared" si="5"/>
        <v>4.7584504674899998E-3</v>
      </c>
      <c r="AB7" s="142" t="s">
        <v>335</v>
      </c>
      <c r="AC7" s="143" t="s">
        <v>336</v>
      </c>
    </row>
    <row r="8" spans="1:29" x14ac:dyDescent="0.25">
      <c r="A8">
        <v>6</v>
      </c>
      <c r="B8" s="20" t="s">
        <v>304</v>
      </c>
      <c r="C8" s="185" t="s">
        <v>314</v>
      </c>
      <c r="D8">
        <v>2.82</v>
      </c>
      <c r="E8">
        <v>12.8</v>
      </c>
      <c r="F8" s="30">
        <v>1.0900000000000001</v>
      </c>
      <c r="G8" s="155">
        <f t="shared" si="0"/>
        <v>564</v>
      </c>
      <c r="H8" s="155">
        <f t="shared" si="1"/>
        <v>2560</v>
      </c>
      <c r="I8" s="30">
        <f t="shared" si="2"/>
        <v>218</v>
      </c>
      <c r="J8" s="201">
        <f t="shared" si="4"/>
        <v>0.56399999999999995</v>
      </c>
      <c r="K8" s="201">
        <f t="shared" si="3"/>
        <v>2.56</v>
      </c>
      <c r="L8" s="201">
        <f t="shared" si="3"/>
        <v>0.218</v>
      </c>
      <c r="M8" s="3">
        <f t="shared" si="6"/>
        <v>2.0904373610081541E-2</v>
      </c>
      <c r="N8" s="3">
        <f t="shared" si="7"/>
        <v>4.5837063563115489E-2</v>
      </c>
      <c r="O8" s="4">
        <f t="shared" si="8"/>
        <v>3.9679650527848567E-3</v>
      </c>
      <c r="U8" s="180" t="s">
        <v>328</v>
      </c>
      <c r="V8" s="39">
        <v>6</v>
      </c>
      <c r="W8" s="76">
        <f>'Al, Fe, HFO'!M$8</f>
        <v>2.0904373610081541E-2</v>
      </c>
      <c r="X8" s="2">
        <f>'Al, Fe, HFO'!N$8</f>
        <v>4.5837063563115489E-2</v>
      </c>
      <c r="Y8" s="36">
        <v>3.8372800200000001E-2</v>
      </c>
      <c r="Z8" s="4">
        <v>1.28526943E-2</v>
      </c>
      <c r="AA8" s="221">
        <f t="shared" si="5"/>
        <v>4.5518974412699998E-3</v>
      </c>
      <c r="AB8" s="142" t="s">
        <v>337</v>
      </c>
      <c r="AC8" s="143" t="s">
        <v>338</v>
      </c>
    </row>
    <row r="9" spans="1:29" ht="15.75" thickBot="1" x14ac:dyDescent="0.3">
      <c r="A9">
        <v>7</v>
      </c>
      <c r="B9" s="20" t="s">
        <v>305</v>
      </c>
      <c r="C9" s="185" t="s">
        <v>100</v>
      </c>
      <c r="D9">
        <v>3.34</v>
      </c>
      <c r="E9">
        <v>15.8</v>
      </c>
      <c r="F9" s="30">
        <v>1.23</v>
      </c>
      <c r="G9">
        <f t="shared" si="0"/>
        <v>668</v>
      </c>
      <c r="H9">
        <f t="shared" si="1"/>
        <v>3160</v>
      </c>
      <c r="I9" s="30">
        <f t="shared" si="2"/>
        <v>246</v>
      </c>
      <c r="J9" s="201">
        <f t="shared" si="4"/>
        <v>0.66800000000000004</v>
      </c>
      <c r="K9" s="201">
        <f t="shared" si="3"/>
        <v>3.16</v>
      </c>
      <c r="L9" s="201">
        <f t="shared" si="3"/>
        <v>0.246</v>
      </c>
      <c r="M9" s="3">
        <f t="shared" si="6"/>
        <v>2.4759080800593032E-2</v>
      </c>
      <c r="N9" s="3">
        <f t="shared" si="7"/>
        <v>5.6580125335720682E-2</v>
      </c>
      <c r="O9" s="4">
        <f t="shared" si="8"/>
        <v>4.4776119402985077E-3</v>
      </c>
      <c r="Q9" s="67" t="s">
        <v>78</v>
      </c>
      <c r="R9" s="26"/>
      <c r="S9" s="68"/>
      <c r="U9" s="180" t="s">
        <v>328</v>
      </c>
      <c r="V9" s="39">
        <v>7</v>
      </c>
      <c r="W9" s="76">
        <f>'Al, Fe, HFO'!M$11</f>
        <v>4.5959970348406227E-3</v>
      </c>
      <c r="X9" s="2">
        <f>'Al, Fe, HFO'!N$11</f>
        <v>5.6938227394807521E-3</v>
      </c>
      <c r="Y9" s="39">
        <v>0</v>
      </c>
      <c r="Z9" s="30">
        <v>0</v>
      </c>
      <c r="AA9" s="221">
        <f t="shared" si="5"/>
        <v>0</v>
      </c>
      <c r="AB9" s="142" t="s">
        <v>339</v>
      </c>
      <c r="AC9" s="143" t="s">
        <v>340</v>
      </c>
    </row>
    <row r="10" spans="1:29" ht="15.75" thickTop="1" x14ac:dyDescent="0.25">
      <c r="A10" s="11">
        <v>8</v>
      </c>
      <c r="B10" s="186" t="s">
        <v>306</v>
      </c>
      <c r="C10" s="187" t="s">
        <v>101</v>
      </c>
      <c r="D10" s="11">
        <v>3.24</v>
      </c>
      <c r="E10" s="11">
        <v>15.3</v>
      </c>
      <c r="F10" s="31">
        <v>1.22</v>
      </c>
      <c r="G10" s="11">
        <f t="shared" si="0"/>
        <v>648.00000000000011</v>
      </c>
      <c r="H10" s="11">
        <f t="shared" si="1"/>
        <v>3060</v>
      </c>
      <c r="I10" s="31">
        <f t="shared" si="2"/>
        <v>244</v>
      </c>
      <c r="J10" s="202">
        <f t="shared" si="4"/>
        <v>0.64800000000000013</v>
      </c>
      <c r="K10" s="202">
        <f t="shared" si="3"/>
        <v>3.06</v>
      </c>
      <c r="L10" s="202">
        <f t="shared" si="3"/>
        <v>0.24399999999999999</v>
      </c>
      <c r="M10" s="7">
        <f t="shared" si="6"/>
        <v>2.4017790956263902E-2</v>
      </c>
      <c r="N10" s="7">
        <f t="shared" si="7"/>
        <v>5.4789615040286482E-2</v>
      </c>
      <c r="O10" s="8">
        <f t="shared" si="8"/>
        <v>4.4412085911903895E-3</v>
      </c>
      <c r="Q10" s="69" t="s">
        <v>66</v>
      </c>
      <c r="R10" s="39">
        <v>26.98</v>
      </c>
      <c r="S10" s="30" t="s">
        <v>80</v>
      </c>
      <c r="U10" s="180" t="s">
        <v>328</v>
      </c>
      <c r="V10" s="39">
        <v>8</v>
      </c>
      <c r="W10" s="76">
        <f>'Al, Fe, HFO'!M$11</f>
        <v>4.5959970348406227E-3</v>
      </c>
      <c r="X10" s="2">
        <f>'Al, Fe, HFO'!N$11</f>
        <v>5.6938227394807521E-3</v>
      </c>
      <c r="Y10" s="39">
        <v>0</v>
      </c>
      <c r="Z10" s="30">
        <v>0</v>
      </c>
      <c r="AA10" s="221">
        <f t="shared" si="5"/>
        <v>0</v>
      </c>
      <c r="AB10" s="142" t="s">
        <v>341</v>
      </c>
      <c r="AC10" s="143" t="s">
        <v>342</v>
      </c>
    </row>
    <row r="11" spans="1:29" x14ac:dyDescent="0.25">
      <c r="A11">
        <v>9</v>
      </c>
      <c r="B11" s="20" t="s">
        <v>307</v>
      </c>
      <c r="C11" s="185" t="s">
        <v>339</v>
      </c>
      <c r="D11">
        <v>0.62</v>
      </c>
      <c r="E11">
        <v>1.59</v>
      </c>
      <c r="F11" s="30">
        <v>1.23</v>
      </c>
      <c r="G11">
        <f t="shared" si="0"/>
        <v>124</v>
      </c>
      <c r="H11">
        <f t="shared" si="1"/>
        <v>318</v>
      </c>
      <c r="I11" s="30">
        <f t="shared" si="2"/>
        <v>246</v>
      </c>
      <c r="J11" s="201">
        <f t="shared" si="4"/>
        <v>0.124</v>
      </c>
      <c r="K11" s="201">
        <f t="shared" si="3"/>
        <v>0.318</v>
      </c>
      <c r="L11" s="201">
        <f t="shared" si="3"/>
        <v>0.246</v>
      </c>
      <c r="M11" s="3">
        <f t="shared" si="6"/>
        <v>4.5959970348406227E-3</v>
      </c>
      <c r="N11" s="3">
        <f t="shared" si="7"/>
        <v>5.6938227394807521E-3</v>
      </c>
      <c r="O11" s="4">
        <f t="shared" si="8"/>
        <v>4.4776119402985077E-3</v>
      </c>
      <c r="Q11" s="69" t="s">
        <v>68</v>
      </c>
      <c r="R11" s="39">
        <v>55.85</v>
      </c>
      <c r="S11" s="30" t="s">
        <v>80</v>
      </c>
      <c r="U11" s="180" t="s">
        <v>328</v>
      </c>
      <c r="V11" s="39">
        <v>9</v>
      </c>
      <c r="W11" s="76">
        <f>'Al, Fe, HFO'!M$11</f>
        <v>4.5959970348406227E-3</v>
      </c>
      <c r="X11" s="2">
        <f>'Al, Fe, HFO'!N$11</f>
        <v>5.6938227394807521E-3</v>
      </c>
      <c r="Y11" s="39">
        <v>0</v>
      </c>
      <c r="Z11" s="30">
        <v>0</v>
      </c>
      <c r="AA11" s="221">
        <f t="shared" si="5"/>
        <v>0</v>
      </c>
      <c r="AB11" s="142" t="s">
        <v>343</v>
      </c>
      <c r="AC11" s="143" t="s">
        <v>344</v>
      </c>
    </row>
    <row r="12" spans="1:29" x14ac:dyDescent="0.25">
      <c r="A12">
        <v>10</v>
      </c>
      <c r="B12" s="20" t="s">
        <v>308</v>
      </c>
      <c r="C12" s="185" t="s">
        <v>102</v>
      </c>
      <c r="D12">
        <v>0.52</v>
      </c>
      <c r="E12">
        <v>1.36</v>
      </c>
      <c r="F12" s="30">
        <v>0.997</v>
      </c>
      <c r="G12">
        <f t="shared" si="0"/>
        <v>104</v>
      </c>
      <c r="H12">
        <f t="shared" si="1"/>
        <v>272</v>
      </c>
      <c r="I12" s="30">
        <f t="shared" si="2"/>
        <v>199.4</v>
      </c>
      <c r="J12" s="201">
        <f t="shared" si="4"/>
        <v>0.104</v>
      </c>
      <c r="K12" s="201">
        <f t="shared" si="3"/>
        <v>0.27200000000000002</v>
      </c>
      <c r="L12" s="201">
        <f t="shared" si="3"/>
        <v>0.19939999999999999</v>
      </c>
      <c r="M12" s="3">
        <f t="shared" si="6"/>
        <v>3.8547071905114896E-3</v>
      </c>
      <c r="N12" s="3">
        <f t="shared" si="7"/>
        <v>4.870188003581021E-3</v>
      </c>
      <c r="O12" s="4">
        <f t="shared" si="8"/>
        <v>3.6294139060793593E-3</v>
      </c>
      <c r="Q12" s="69" t="s">
        <v>74</v>
      </c>
      <c r="R12" s="39">
        <v>54.94</v>
      </c>
      <c r="S12" s="30" t="s">
        <v>80</v>
      </c>
      <c r="U12" s="180" t="s">
        <v>328</v>
      </c>
      <c r="V12" s="39">
        <v>10</v>
      </c>
      <c r="W12" s="76">
        <f>'Al, Fe, HFO'!M14</f>
        <v>1.0822831727205336E-2</v>
      </c>
      <c r="X12" s="2">
        <f>'Al, Fe, HFO'!N14</f>
        <v>8.7018800358102059E-3</v>
      </c>
      <c r="Y12" s="39">
        <v>0</v>
      </c>
      <c r="Z12" s="30">
        <v>0</v>
      </c>
      <c r="AA12" s="221">
        <f t="shared" si="5"/>
        <v>0</v>
      </c>
      <c r="AB12" s="142" t="s">
        <v>345</v>
      </c>
      <c r="AC12" s="143" t="s">
        <v>346</v>
      </c>
    </row>
    <row r="13" spans="1:29" x14ac:dyDescent="0.25">
      <c r="A13" s="11">
        <v>11</v>
      </c>
      <c r="B13" s="186" t="s">
        <v>309</v>
      </c>
      <c r="C13" s="187" t="s">
        <v>103</v>
      </c>
      <c r="D13" s="11">
        <v>0.62</v>
      </c>
      <c r="E13" s="11">
        <v>1.61</v>
      </c>
      <c r="F13" s="31">
        <v>1.1100000000000001</v>
      </c>
      <c r="G13" s="11">
        <f t="shared" si="0"/>
        <v>124</v>
      </c>
      <c r="H13" s="11">
        <f t="shared" si="1"/>
        <v>322</v>
      </c>
      <c r="I13" s="31">
        <f t="shared" si="2"/>
        <v>222.00000000000003</v>
      </c>
      <c r="J13" s="202">
        <f t="shared" si="4"/>
        <v>0.124</v>
      </c>
      <c r="K13" s="202">
        <f t="shared" si="3"/>
        <v>0.32200000000000001</v>
      </c>
      <c r="L13" s="202">
        <f t="shared" si="3"/>
        <v>0.22200000000000003</v>
      </c>
      <c r="M13" s="7">
        <f t="shared" si="6"/>
        <v>4.5959970348406227E-3</v>
      </c>
      <c r="N13" s="7">
        <f t="shared" si="7"/>
        <v>5.7654431512981202E-3</v>
      </c>
      <c r="O13" s="8">
        <f t="shared" si="8"/>
        <v>4.0407717510010932E-3</v>
      </c>
      <c r="Q13" s="70" t="s">
        <v>319</v>
      </c>
      <c r="R13" s="183">
        <v>88.86</v>
      </c>
      <c r="S13" s="31" t="s">
        <v>80</v>
      </c>
      <c r="U13" s="180" t="s">
        <v>328</v>
      </c>
      <c r="V13" s="39">
        <v>11</v>
      </c>
      <c r="W13" s="76">
        <f>'Al, Fe, HFO'!M5</f>
        <v>1.8235730170496664E-2</v>
      </c>
      <c r="X13" s="2">
        <f>'Al, Fe, HFO'!N5</f>
        <v>2.5711727842435091E-2</v>
      </c>
      <c r="Y13" s="36">
        <v>2.1329909399999999E-2</v>
      </c>
      <c r="Z13" s="4">
        <v>1.3223673300000001E-2</v>
      </c>
      <c r="AA13" s="221">
        <f t="shared" si="5"/>
        <v>3.0704313587219998E-3</v>
      </c>
      <c r="AB13" s="192" t="s">
        <v>347</v>
      </c>
      <c r="AC13" s="227" t="s">
        <v>94</v>
      </c>
    </row>
    <row r="14" spans="1:29" x14ac:dyDescent="0.25">
      <c r="A14" s="272">
        <v>12</v>
      </c>
      <c r="B14" s="270" t="s">
        <v>310</v>
      </c>
      <c r="C14" s="271" t="s">
        <v>142</v>
      </c>
      <c r="D14" s="272">
        <v>1.46</v>
      </c>
      <c r="E14" s="272">
        <v>2.4300000000000002</v>
      </c>
      <c r="F14" s="95">
        <v>0.129</v>
      </c>
      <c r="G14" s="272">
        <f t="shared" si="0"/>
        <v>292</v>
      </c>
      <c r="H14" s="272">
        <f t="shared" si="1"/>
        <v>486</v>
      </c>
      <c r="I14" s="95">
        <f t="shared" si="2"/>
        <v>25.8</v>
      </c>
      <c r="J14" s="273">
        <f t="shared" si="4"/>
        <v>0.29199999999999998</v>
      </c>
      <c r="K14" s="273">
        <f t="shared" si="3"/>
        <v>0.48599999999999999</v>
      </c>
      <c r="L14" s="273">
        <f t="shared" si="3"/>
        <v>2.58E-2</v>
      </c>
      <c r="M14" s="274">
        <f t="shared" si="6"/>
        <v>1.0822831727205336E-2</v>
      </c>
      <c r="N14" s="274">
        <f t="shared" si="7"/>
        <v>8.7018800358102059E-3</v>
      </c>
      <c r="O14" s="200">
        <f t="shared" si="8"/>
        <v>4.6960320349472153E-4</v>
      </c>
      <c r="U14" s="180" t="s">
        <v>328</v>
      </c>
      <c r="V14" s="39">
        <v>12</v>
      </c>
      <c r="W14" s="76">
        <f>'Al, Fe, HFO'!M8</f>
        <v>2.0904373610081541E-2</v>
      </c>
      <c r="X14" s="2">
        <f>'Al, Fe, HFO'!N8</f>
        <v>4.5837063563115489E-2</v>
      </c>
      <c r="Y14" s="36">
        <v>3.8838460900000003E-2</v>
      </c>
      <c r="Z14" s="4">
        <v>1.36421597E-2</v>
      </c>
      <c r="AA14" s="221">
        <f t="shared" si="5"/>
        <v>4.6634279465159996E-3</v>
      </c>
      <c r="AB14" s="192" t="s">
        <v>348</v>
      </c>
      <c r="AC14" s="227" t="s">
        <v>95</v>
      </c>
    </row>
    <row r="15" spans="1:29" x14ac:dyDescent="0.25">
      <c r="G15" s="114"/>
      <c r="H15" s="114"/>
      <c r="J15" s="114"/>
      <c r="K15" s="114"/>
      <c r="L15" s="114"/>
      <c r="U15" s="180" t="s">
        <v>328</v>
      </c>
      <c r="V15" s="39">
        <v>13</v>
      </c>
      <c r="W15" s="76">
        <f>'Al, Fe, HFO'!M11</f>
        <v>4.5959970348406227E-3</v>
      </c>
      <c r="X15" s="2">
        <f>'Al, Fe, HFO'!N11</f>
        <v>5.6938227394807521E-3</v>
      </c>
      <c r="Y15" s="39">
        <v>0</v>
      </c>
      <c r="Z15" s="30">
        <v>0</v>
      </c>
      <c r="AA15" s="221">
        <f t="shared" si="5"/>
        <v>0</v>
      </c>
      <c r="AB15" s="192" t="s">
        <v>349</v>
      </c>
      <c r="AC15" s="227" t="s">
        <v>96</v>
      </c>
    </row>
    <row r="16" spans="1:29" x14ac:dyDescent="0.25">
      <c r="G16" s="114"/>
      <c r="H16" s="114"/>
      <c r="J16" s="114"/>
      <c r="K16" s="114"/>
      <c r="L16" s="114"/>
      <c r="U16" s="180" t="s">
        <v>328</v>
      </c>
      <c r="V16" s="39">
        <v>14</v>
      </c>
      <c r="W16" s="76">
        <f>'Al, Fe, HFO'!M14</f>
        <v>1.0822831727205336E-2</v>
      </c>
      <c r="X16" s="2">
        <f>'Al, Fe, HFO'!N14</f>
        <v>8.7018800358102059E-3</v>
      </c>
      <c r="Y16" s="39">
        <v>0</v>
      </c>
      <c r="Z16" s="30">
        <v>0</v>
      </c>
      <c r="AA16" s="221">
        <f t="shared" si="5"/>
        <v>0</v>
      </c>
      <c r="AB16" s="192" t="s">
        <v>350</v>
      </c>
      <c r="AC16" s="227" t="s">
        <v>97</v>
      </c>
    </row>
    <row r="17" spans="7:29" x14ac:dyDescent="0.25">
      <c r="G17" s="114"/>
      <c r="H17" s="114"/>
      <c r="J17" s="114"/>
      <c r="K17" s="114"/>
      <c r="L17" s="114"/>
      <c r="U17" s="180" t="s">
        <v>328</v>
      </c>
      <c r="V17" s="39">
        <v>15</v>
      </c>
      <c r="W17" s="76">
        <f>'Al, Fe, HFO'!M6</f>
        <v>2.5574499629355076E-2</v>
      </c>
      <c r="X17" s="2">
        <f>'Al, Fe, HFO'!N6</f>
        <v>3.6884512085944496E-2</v>
      </c>
      <c r="Y17" s="36">
        <v>3.3769662899999997E-2</v>
      </c>
      <c r="Z17" s="4">
        <v>2.15669946E-2</v>
      </c>
      <c r="AA17" s="221">
        <f t="shared" si="5"/>
        <v>4.9172153854499991E-3</v>
      </c>
      <c r="AB17" s="192" t="s">
        <v>98</v>
      </c>
      <c r="AC17" s="227" t="s">
        <v>351</v>
      </c>
    </row>
    <row r="18" spans="7:29" x14ac:dyDescent="0.25">
      <c r="U18" s="180" t="s">
        <v>328</v>
      </c>
      <c r="V18" s="39">
        <v>16</v>
      </c>
      <c r="W18" s="76">
        <f>'Al, Fe, HFO'!M7</f>
        <v>2.3573017049666418E-2</v>
      </c>
      <c r="X18" s="2">
        <f>'Al, Fe, HFO'!N7</f>
        <v>3.3160250671441363E-2</v>
      </c>
      <c r="Y18" s="36">
        <v>2.9703441899999999E-2</v>
      </c>
      <c r="Z18" s="4">
        <v>1.9261690200000001E-2</v>
      </c>
      <c r="AA18" s="221">
        <f t="shared" si="5"/>
        <v>4.3510416384059999E-3</v>
      </c>
      <c r="AB18" s="192" t="s">
        <v>99</v>
      </c>
      <c r="AC18" s="227" t="s">
        <v>352</v>
      </c>
    </row>
    <row r="19" spans="7:29" x14ac:dyDescent="0.25">
      <c r="U19" s="180" t="s">
        <v>328</v>
      </c>
      <c r="V19" s="39">
        <v>17</v>
      </c>
      <c r="W19" s="76">
        <f>'Al, Fe, HFO'!M9</f>
        <v>2.4759080800593032E-2</v>
      </c>
      <c r="X19" s="2">
        <f>'Al, Fe, HFO'!N9</f>
        <v>5.6580125335720682E-2</v>
      </c>
      <c r="Y19" s="36">
        <v>5.0825838599999999E-2</v>
      </c>
      <c r="Z19" s="4">
        <v>1.8935874200000001E-2</v>
      </c>
      <c r="AA19" s="221">
        <f t="shared" si="5"/>
        <v>6.1990257994079994E-3</v>
      </c>
      <c r="AB19" s="192" t="s">
        <v>100</v>
      </c>
      <c r="AC19" s="227" t="s">
        <v>353</v>
      </c>
    </row>
    <row r="20" spans="7:29" x14ac:dyDescent="0.25">
      <c r="U20" s="180" t="s">
        <v>328</v>
      </c>
      <c r="V20" s="39">
        <v>18</v>
      </c>
      <c r="W20" s="76">
        <f>'Al, Fe, HFO'!M10</f>
        <v>2.4017790956263902E-2</v>
      </c>
      <c r="X20" s="2">
        <f>'Al, Fe, HFO'!N10</f>
        <v>5.4789615040286482E-2</v>
      </c>
      <c r="Y20" s="36">
        <v>4.7896208500000002E-2</v>
      </c>
      <c r="Z20" s="4">
        <v>1.7101083999999999E-2</v>
      </c>
      <c r="AA20" s="221">
        <f t="shared" si="5"/>
        <v>5.7756594115499996E-3</v>
      </c>
      <c r="AB20" s="192" t="s">
        <v>101</v>
      </c>
      <c r="AC20" s="227" t="s">
        <v>354</v>
      </c>
    </row>
    <row r="21" spans="7:29" x14ac:dyDescent="0.25">
      <c r="U21" s="180" t="s">
        <v>328</v>
      </c>
      <c r="V21" s="39">
        <v>19</v>
      </c>
      <c r="W21" s="76">
        <f>'Al, Fe, HFO'!M12</f>
        <v>3.8547071905114896E-3</v>
      </c>
      <c r="X21" s="2">
        <f>'Al, Fe, HFO'!N12</f>
        <v>4.870188003581021E-3</v>
      </c>
      <c r="Y21" s="39">
        <v>0</v>
      </c>
      <c r="Z21" s="30">
        <v>0</v>
      </c>
      <c r="AA21" s="221">
        <f t="shared" si="5"/>
        <v>0</v>
      </c>
      <c r="AB21" s="192" t="s">
        <v>102</v>
      </c>
      <c r="AC21" s="227" t="s">
        <v>355</v>
      </c>
    </row>
    <row r="22" spans="7:29" x14ac:dyDescent="0.25">
      <c r="U22" s="180" t="s">
        <v>328</v>
      </c>
      <c r="V22" s="39">
        <v>20</v>
      </c>
      <c r="W22" s="76">
        <f>'Al, Fe, HFO'!M13</f>
        <v>4.5959970348406227E-3</v>
      </c>
      <c r="X22" s="2">
        <f>'Al, Fe, HFO'!N13</f>
        <v>5.7654431512981202E-3</v>
      </c>
      <c r="Y22" s="39">
        <v>0</v>
      </c>
      <c r="Z22" s="30">
        <v>0</v>
      </c>
      <c r="AA22" s="221">
        <f t="shared" si="5"/>
        <v>0</v>
      </c>
      <c r="AB22" s="192" t="s">
        <v>103</v>
      </c>
      <c r="AC22" s="227" t="s">
        <v>356</v>
      </c>
    </row>
    <row r="23" spans="7:29" x14ac:dyDescent="0.25">
      <c r="U23" s="181" t="s">
        <v>328</v>
      </c>
      <c r="V23" s="11">
        <v>21</v>
      </c>
      <c r="W23" s="77">
        <f>'Al, Fe, HFO'!M14</f>
        <v>1.0822831727205336E-2</v>
      </c>
      <c r="X23" s="6">
        <f>'Al, Fe, HFO'!N14</f>
        <v>8.7018800358102059E-3</v>
      </c>
      <c r="Y23" s="11">
        <v>0</v>
      </c>
      <c r="Z23" s="31">
        <v>0</v>
      </c>
      <c r="AA23" s="222">
        <f t="shared" si="5"/>
        <v>0</v>
      </c>
      <c r="AB23" s="194" t="s">
        <v>104</v>
      </c>
      <c r="AC23" s="229" t="s">
        <v>357</v>
      </c>
    </row>
    <row r="24" spans="7:29" x14ac:dyDescent="0.25">
      <c r="Y24" s="3"/>
      <c r="Z24" s="3"/>
      <c r="AA24" s="3"/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4"/>
  <sheetViews>
    <sheetView zoomScale="90" zoomScaleNormal="90" workbookViewId="0">
      <selection activeCell="J8" sqref="J8"/>
    </sheetView>
  </sheetViews>
  <sheetFormatPr defaultRowHeight="15" x14ac:dyDescent="0.25"/>
  <cols>
    <col min="2" max="2" width="18.140625" bestFit="1" customWidth="1"/>
    <col min="3" max="6" width="11.5703125" customWidth="1"/>
    <col min="7" max="7" width="15.85546875" bestFit="1" customWidth="1"/>
    <col min="8" max="8" width="10.7109375" customWidth="1"/>
  </cols>
  <sheetData>
    <row r="1" spans="1:17" x14ac:dyDescent="0.25">
      <c r="B1" s="30" t="s">
        <v>281</v>
      </c>
      <c r="C1" s="179">
        <v>42562</v>
      </c>
      <c r="E1" s="30"/>
      <c r="F1" s="30"/>
      <c r="G1" s="38"/>
      <c r="H1" s="38"/>
    </row>
    <row r="2" spans="1:17" x14ac:dyDescent="0.25">
      <c r="A2" t="s">
        <v>0</v>
      </c>
      <c r="B2" s="172" t="s">
        <v>283</v>
      </c>
      <c r="C2" s="171" t="s">
        <v>285</v>
      </c>
      <c r="D2" s="171" t="s">
        <v>286</v>
      </c>
      <c r="E2" s="172" t="s">
        <v>287</v>
      </c>
      <c r="F2" s="172" t="s">
        <v>288</v>
      </c>
      <c r="G2" s="173" t="s">
        <v>290</v>
      </c>
      <c r="H2" s="238" t="s">
        <v>283</v>
      </c>
      <c r="I2" s="203"/>
      <c r="N2" s="182" t="s">
        <v>291</v>
      </c>
      <c r="O2" s="26"/>
      <c r="P2" s="26"/>
      <c r="Q2" s="68"/>
    </row>
    <row r="3" spans="1:17" x14ac:dyDescent="0.25">
      <c r="A3" s="11"/>
      <c r="B3" s="31" t="s">
        <v>282</v>
      </c>
      <c r="C3" s="11" t="s">
        <v>284</v>
      </c>
      <c r="D3" s="11" t="s">
        <v>284</v>
      </c>
      <c r="E3" s="31" t="s">
        <v>284</v>
      </c>
      <c r="F3" s="31" t="s">
        <v>284</v>
      </c>
      <c r="G3" s="40" t="s">
        <v>289</v>
      </c>
      <c r="H3" s="239" t="s">
        <v>91</v>
      </c>
      <c r="I3" s="204"/>
      <c r="N3" s="180" t="s">
        <v>292</v>
      </c>
      <c r="O3" s="39"/>
      <c r="P3" s="39"/>
      <c r="Q3" s="30"/>
    </row>
    <row r="4" spans="1:17" x14ac:dyDescent="0.25">
      <c r="A4" s="34" t="s">
        <v>27</v>
      </c>
      <c r="B4" s="34">
        <v>1.0900000000000001</v>
      </c>
      <c r="C4" s="174">
        <v>20.63</v>
      </c>
      <c r="D4" s="174">
        <v>19.577999999999999</v>
      </c>
      <c r="E4" s="174">
        <v>19.375</v>
      </c>
      <c r="F4" s="174">
        <f>AVERAGE(C4:E4)</f>
        <v>19.861000000000001</v>
      </c>
      <c r="G4" s="178">
        <f>F4/50</f>
        <v>0.39722000000000002</v>
      </c>
      <c r="H4" s="221">
        <f>(B4/100*N$4)/G4</f>
        <v>7.1345853683097524E-2</v>
      </c>
      <c r="I4" s="94"/>
      <c r="K4" s="94"/>
      <c r="N4" s="181">
        <v>2.6</v>
      </c>
      <c r="O4" s="11" t="s">
        <v>289</v>
      </c>
      <c r="P4" s="11"/>
      <c r="Q4" s="31"/>
    </row>
    <row r="5" spans="1:17" x14ac:dyDescent="0.25">
      <c r="A5" s="34" t="s">
        <v>31</v>
      </c>
      <c r="B5" s="34">
        <v>1.0900000000000001</v>
      </c>
      <c r="C5" s="174">
        <v>20.63</v>
      </c>
      <c r="D5" s="174">
        <v>19.577999999999999</v>
      </c>
      <c r="E5" s="174">
        <v>19.375</v>
      </c>
      <c r="F5" s="174">
        <f t="shared" ref="F5:F23" si="0">AVERAGE(C5:E5)</f>
        <v>19.861000000000001</v>
      </c>
      <c r="G5" s="178">
        <f>F5/50</f>
        <v>0.39722000000000002</v>
      </c>
      <c r="H5" s="221">
        <f t="shared" ref="H5:H24" si="1">(B5/100*N$4)/G5</f>
        <v>7.1345853683097524E-2</v>
      </c>
      <c r="I5" s="94"/>
      <c r="K5" s="94"/>
      <c r="N5" t="s">
        <v>293</v>
      </c>
    </row>
    <row r="6" spans="1:17" x14ac:dyDescent="0.25">
      <c r="A6" s="37" t="s">
        <v>35</v>
      </c>
      <c r="B6" s="37">
        <v>1.0900000000000001</v>
      </c>
      <c r="C6" s="175">
        <v>20.63</v>
      </c>
      <c r="D6" s="175">
        <v>19.577999999999999</v>
      </c>
      <c r="E6" s="175">
        <v>19.375</v>
      </c>
      <c r="F6" s="175">
        <f t="shared" si="0"/>
        <v>19.861000000000001</v>
      </c>
      <c r="G6" s="170">
        <f t="shared" ref="G6:G23" si="2">F6/50</f>
        <v>0.39722000000000002</v>
      </c>
      <c r="H6" s="222">
        <f t="shared" si="1"/>
        <v>7.1345853683097524E-2</v>
      </c>
      <c r="I6" s="94"/>
      <c r="K6" s="94"/>
      <c r="N6" t="s">
        <v>294</v>
      </c>
    </row>
    <row r="7" spans="1:17" x14ac:dyDescent="0.25">
      <c r="A7" s="34" t="s">
        <v>39</v>
      </c>
      <c r="B7" s="34">
        <v>1.61</v>
      </c>
      <c r="C7" s="174">
        <v>24.609000000000002</v>
      </c>
      <c r="D7" s="174">
        <v>25.594000000000001</v>
      </c>
      <c r="E7" s="174">
        <v>24.587</v>
      </c>
      <c r="F7" s="174">
        <f t="shared" si="0"/>
        <v>24.930000000000003</v>
      </c>
      <c r="G7" s="178">
        <f t="shared" si="2"/>
        <v>0.49860000000000004</v>
      </c>
      <c r="H7" s="221">
        <f t="shared" si="1"/>
        <v>8.3955074207781782E-2</v>
      </c>
      <c r="I7" s="94"/>
      <c r="K7" s="94"/>
      <c r="N7" t="s">
        <v>295</v>
      </c>
    </row>
    <row r="8" spans="1:17" x14ac:dyDescent="0.25">
      <c r="A8" s="34" t="s">
        <v>43</v>
      </c>
      <c r="B8" s="34">
        <v>1.61</v>
      </c>
      <c r="C8" s="174">
        <v>24.609000000000002</v>
      </c>
      <c r="D8" s="174">
        <v>25.594000000000001</v>
      </c>
      <c r="E8" s="174">
        <v>24.587</v>
      </c>
      <c r="F8" s="174">
        <f t="shared" si="0"/>
        <v>24.930000000000003</v>
      </c>
      <c r="G8" s="178">
        <f t="shared" si="2"/>
        <v>0.49860000000000004</v>
      </c>
      <c r="H8" s="221">
        <f t="shared" si="1"/>
        <v>8.3955074207781782E-2</v>
      </c>
      <c r="I8" s="94"/>
      <c r="K8" s="94"/>
      <c r="N8" t="s">
        <v>296</v>
      </c>
    </row>
    <row r="9" spans="1:17" x14ac:dyDescent="0.25">
      <c r="A9" s="37" t="s">
        <v>47</v>
      </c>
      <c r="B9" s="37">
        <v>1.61</v>
      </c>
      <c r="C9" s="175">
        <v>24.609000000000002</v>
      </c>
      <c r="D9" s="175">
        <v>25.594000000000001</v>
      </c>
      <c r="E9" s="175">
        <v>24.587</v>
      </c>
      <c r="F9" s="175">
        <f t="shared" si="0"/>
        <v>24.930000000000003</v>
      </c>
      <c r="G9" s="170">
        <f t="shared" si="2"/>
        <v>0.49860000000000004</v>
      </c>
      <c r="H9" s="222">
        <f t="shared" si="1"/>
        <v>8.3955074207781782E-2</v>
      </c>
      <c r="I9" s="94"/>
      <c r="K9" s="94"/>
    </row>
    <row r="10" spans="1:17" x14ac:dyDescent="0.25">
      <c r="A10" s="34" t="s">
        <v>51</v>
      </c>
      <c r="B10" s="34">
        <v>0.12</v>
      </c>
      <c r="C10" s="174">
        <v>13.538</v>
      </c>
      <c r="D10" s="174">
        <v>12.923999999999999</v>
      </c>
      <c r="E10" s="174">
        <v>13.49</v>
      </c>
      <c r="F10" s="174">
        <f t="shared" si="0"/>
        <v>13.317333333333332</v>
      </c>
      <c r="G10" s="178">
        <f t="shared" si="2"/>
        <v>0.26634666666666662</v>
      </c>
      <c r="H10" s="221">
        <f t="shared" si="1"/>
        <v>1.1714056868241892E-2</v>
      </c>
      <c r="I10" s="94"/>
      <c r="K10" s="94"/>
    </row>
    <row r="11" spans="1:17" x14ac:dyDescent="0.25">
      <c r="A11" s="34" t="s">
        <v>55</v>
      </c>
      <c r="B11" s="34">
        <v>0.12</v>
      </c>
      <c r="C11" s="174">
        <v>13.538</v>
      </c>
      <c r="D11" s="174">
        <v>12.923999999999999</v>
      </c>
      <c r="E11" s="174">
        <v>13.49</v>
      </c>
      <c r="F11" s="174">
        <f t="shared" si="0"/>
        <v>13.317333333333332</v>
      </c>
      <c r="G11" s="178">
        <f t="shared" si="2"/>
        <v>0.26634666666666662</v>
      </c>
      <c r="H11" s="221">
        <f t="shared" si="1"/>
        <v>1.1714056868241892E-2</v>
      </c>
      <c r="I11" s="94"/>
      <c r="K11" s="94"/>
    </row>
    <row r="12" spans="1:17" x14ac:dyDescent="0.25">
      <c r="A12" s="37" t="s">
        <v>58</v>
      </c>
      <c r="B12" s="37">
        <v>0.12</v>
      </c>
      <c r="C12" s="175">
        <v>13.538</v>
      </c>
      <c r="D12" s="175">
        <v>12.923999999999999</v>
      </c>
      <c r="E12" s="175">
        <v>13.49</v>
      </c>
      <c r="F12" s="175">
        <f t="shared" si="0"/>
        <v>13.317333333333332</v>
      </c>
      <c r="G12" s="170">
        <f t="shared" si="2"/>
        <v>0.26634666666666662</v>
      </c>
      <c r="H12" s="222">
        <f t="shared" si="1"/>
        <v>1.1714056868241892E-2</v>
      </c>
      <c r="I12" s="94"/>
      <c r="K12" s="94"/>
    </row>
    <row r="13" spans="1:17" ht="15.75" thickBot="1" x14ac:dyDescent="0.3">
      <c r="A13" s="41" t="s">
        <v>62</v>
      </c>
      <c r="B13" s="41">
        <v>0.79</v>
      </c>
      <c r="C13" s="176"/>
      <c r="D13" s="176"/>
      <c r="E13" s="176"/>
      <c r="F13" s="176"/>
      <c r="G13" s="190">
        <f>AVERAGE(G4,G7,G10)</f>
        <v>0.38738888888888895</v>
      </c>
      <c r="H13" s="300">
        <f t="shared" si="1"/>
        <v>5.3021654954825755E-2</v>
      </c>
      <c r="I13" s="94"/>
      <c r="K13" s="94"/>
    </row>
    <row r="14" spans="1:17" ht="15.75" thickTop="1" x14ac:dyDescent="0.25">
      <c r="A14" s="38" t="s">
        <v>94</v>
      </c>
      <c r="B14" s="38">
        <v>1.0900000000000001</v>
      </c>
      <c r="C14" s="174">
        <v>20.63</v>
      </c>
      <c r="D14" s="174">
        <v>19.577999999999999</v>
      </c>
      <c r="E14" s="174">
        <v>19.375</v>
      </c>
      <c r="F14" s="174">
        <f t="shared" si="0"/>
        <v>19.861000000000001</v>
      </c>
      <c r="G14" s="178">
        <f t="shared" si="2"/>
        <v>0.39722000000000002</v>
      </c>
      <c r="H14" s="221">
        <f t="shared" si="1"/>
        <v>7.1345853683097524E-2</v>
      </c>
      <c r="I14" s="94"/>
      <c r="K14" s="94"/>
    </row>
    <row r="15" spans="1:17" x14ac:dyDescent="0.25">
      <c r="A15" s="38" t="s">
        <v>95</v>
      </c>
      <c r="B15" s="38">
        <v>1.61</v>
      </c>
      <c r="C15" s="174">
        <v>24.609000000000002</v>
      </c>
      <c r="D15" s="174">
        <v>25.594000000000001</v>
      </c>
      <c r="E15" s="174">
        <v>24.587</v>
      </c>
      <c r="F15" s="174">
        <f t="shared" si="0"/>
        <v>24.930000000000003</v>
      </c>
      <c r="G15" s="178">
        <f t="shared" si="2"/>
        <v>0.49860000000000004</v>
      </c>
      <c r="H15" s="221">
        <f t="shared" si="1"/>
        <v>8.3955074207781782E-2</v>
      </c>
      <c r="I15" s="94"/>
      <c r="K15" s="94"/>
    </row>
    <row r="16" spans="1:17" x14ac:dyDescent="0.25">
      <c r="A16" s="38" t="s">
        <v>96</v>
      </c>
      <c r="B16" s="38">
        <v>0.12</v>
      </c>
      <c r="C16" s="174">
        <v>13.538</v>
      </c>
      <c r="D16" s="174">
        <v>12.923999999999999</v>
      </c>
      <c r="E16" s="174">
        <v>13.49</v>
      </c>
      <c r="F16" s="174">
        <f t="shared" si="0"/>
        <v>13.317333333333332</v>
      </c>
      <c r="G16" s="178">
        <f t="shared" si="2"/>
        <v>0.26634666666666662</v>
      </c>
      <c r="H16" s="221">
        <f t="shared" si="1"/>
        <v>1.1714056868241892E-2</v>
      </c>
      <c r="I16" s="94"/>
      <c r="K16" s="94"/>
    </row>
    <row r="17" spans="1:11" ht="15.75" thickBot="1" x14ac:dyDescent="0.3">
      <c r="A17" s="44" t="s">
        <v>97</v>
      </c>
      <c r="B17" s="44">
        <v>0.79</v>
      </c>
      <c r="C17" s="177"/>
      <c r="D17" s="177"/>
      <c r="E17" s="177"/>
      <c r="F17" s="177"/>
      <c r="G17" s="189">
        <f>AVERAGE(G4,G7,G10)</f>
        <v>0.38738888888888895</v>
      </c>
      <c r="H17" s="223">
        <f t="shared" si="1"/>
        <v>5.3021654954825755E-2</v>
      </c>
      <c r="I17" s="94"/>
      <c r="K17" s="94"/>
    </row>
    <row r="18" spans="1:11" ht="15.75" thickTop="1" x14ac:dyDescent="0.25">
      <c r="A18" s="38" t="s">
        <v>98</v>
      </c>
      <c r="B18" s="38">
        <v>1.1499999999999999</v>
      </c>
      <c r="C18" s="174">
        <v>20.545000000000002</v>
      </c>
      <c r="D18" s="174">
        <v>21.247</v>
      </c>
      <c r="E18" s="174">
        <v>21.013999999999999</v>
      </c>
      <c r="F18" s="174">
        <f t="shared" si="0"/>
        <v>20.935333333333332</v>
      </c>
      <c r="G18" s="178">
        <f t="shared" si="2"/>
        <v>0.41870666666666667</v>
      </c>
      <c r="H18" s="221">
        <f t="shared" si="1"/>
        <v>7.1410374804954935E-2</v>
      </c>
      <c r="I18" s="94"/>
      <c r="K18" s="94"/>
    </row>
    <row r="19" spans="1:11" x14ac:dyDescent="0.25">
      <c r="A19" s="40" t="s">
        <v>99</v>
      </c>
      <c r="B19" s="40">
        <v>1.1100000000000001</v>
      </c>
      <c r="C19" s="175">
        <v>22.071000000000002</v>
      </c>
      <c r="D19" s="175">
        <v>22.96</v>
      </c>
      <c r="E19" s="175">
        <v>22.972000000000001</v>
      </c>
      <c r="F19" s="175">
        <f t="shared" si="0"/>
        <v>22.667666666666673</v>
      </c>
      <c r="G19" s="170">
        <f t="shared" si="2"/>
        <v>0.45335333333333344</v>
      </c>
      <c r="H19" s="222">
        <f t="shared" si="1"/>
        <v>6.3658956222519589E-2</v>
      </c>
      <c r="I19" s="94"/>
      <c r="K19" s="94"/>
    </row>
    <row r="20" spans="1:11" x14ac:dyDescent="0.25">
      <c r="A20" s="38" t="s">
        <v>100</v>
      </c>
      <c r="B20" s="38">
        <v>1.75</v>
      </c>
      <c r="C20" s="174">
        <v>29.721</v>
      </c>
      <c r="D20" s="174">
        <v>29.231000000000002</v>
      </c>
      <c r="E20" s="174">
        <v>29.88</v>
      </c>
      <c r="F20" s="174">
        <f t="shared" si="0"/>
        <v>29.610666666666663</v>
      </c>
      <c r="G20" s="178">
        <f t="shared" si="2"/>
        <v>0.59221333333333326</v>
      </c>
      <c r="H20" s="221">
        <f t="shared" si="1"/>
        <v>7.6830421469740659E-2</v>
      </c>
      <c r="I20" s="94"/>
      <c r="K20" s="94"/>
    </row>
    <row r="21" spans="1:11" x14ac:dyDescent="0.25">
      <c r="A21" s="40" t="s">
        <v>101</v>
      </c>
      <c r="B21" s="170">
        <v>1.5</v>
      </c>
      <c r="C21" s="175">
        <v>30.332000000000001</v>
      </c>
      <c r="D21" s="175">
        <v>31.327999999999999</v>
      </c>
      <c r="E21" s="175">
        <v>31.48</v>
      </c>
      <c r="F21" s="175">
        <f t="shared" si="0"/>
        <v>31.046666666666667</v>
      </c>
      <c r="G21" s="170">
        <f t="shared" si="2"/>
        <v>0.62093333333333334</v>
      </c>
      <c r="H21" s="222">
        <f t="shared" si="1"/>
        <v>6.2808675112733525E-2</v>
      </c>
      <c r="I21" s="94"/>
      <c r="K21" s="94"/>
    </row>
    <row r="22" spans="1:11" x14ac:dyDescent="0.25">
      <c r="A22" s="38" t="s">
        <v>102</v>
      </c>
      <c r="B22" s="38">
        <v>0.18</v>
      </c>
      <c r="C22" s="174">
        <v>9.641</v>
      </c>
      <c r="D22" s="174">
        <v>9.6020000000000003</v>
      </c>
      <c r="E22" s="174">
        <v>9.6300000000000008</v>
      </c>
      <c r="F22" s="174">
        <f t="shared" si="0"/>
        <v>9.6243333333333343</v>
      </c>
      <c r="G22" s="178">
        <f t="shared" si="2"/>
        <v>0.19248666666666669</v>
      </c>
      <c r="H22" s="221">
        <f t="shared" si="1"/>
        <v>2.4313372354795134E-2</v>
      </c>
      <c r="I22" s="94"/>
      <c r="K22" s="94"/>
    </row>
    <row r="23" spans="1:11" x14ac:dyDescent="0.25">
      <c r="A23" s="40" t="s">
        <v>103</v>
      </c>
      <c r="B23" s="40">
        <v>0.23</v>
      </c>
      <c r="C23" s="175">
        <v>11.311999999999999</v>
      </c>
      <c r="D23" s="175">
        <v>11.48</v>
      </c>
      <c r="E23" s="175">
        <v>11.629</v>
      </c>
      <c r="F23" s="175">
        <f t="shared" si="0"/>
        <v>11.473666666666666</v>
      </c>
      <c r="G23" s="170">
        <f t="shared" si="2"/>
        <v>0.22947333333333333</v>
      </c>
      <c r="H23" s="222">
        <f t="shared" si="1"/>
        <v>2.6059672874117545E-2</v>
      </c>
      <c r="I23" s="94"/>
      <c r="K23" s="94"/>
    </row>
    <row r="24" spans="1:11" x14ac:dyDescent="0.25">
      <c r="A24" s="40" t="s">
        <v>104</v>
      </c>
      <c r="B24" s="40">
        <v>0.79</v>
      </c>
      <c r="C24" s="40"/>
      <c r="D24" s="40"/>
      <c r="E24" s="40"/>
      <c r="F24" s="40"/>
      <c r="G24" s="191">
        <f>(0.5*G17)+(0.5*1)</f>
        <v>0.6936944444444445</v>
      </c>
      <c r="H24" s="222">
        <f t="shared" si="1"/>
        <v>2.9609578344612184E-2</v>
      </c>
      <c r="I24" s="94"/>
      <c r="K24" s="94"/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AF188"/>
  <sheetViews>
    <sheetView tabSelected="1" zoomScale="80" zoomScaleNormal="80" workbookViewId="0">
      <selection activeCell="G41" sqref="G41"/>
    </sheetView>
  </sheetViews>
  <sheetFormatPr defaultRowHeight="15" x14ac:dyDescent="0.25"/>
  <cols>
    <col min="1" max="2" width="8.5703125" bestFit="1" customWidth="1"/>
    <col min="3" max="3" width="10.140625" bestFit="1" customWidth="1"/>
    <col min="4" max="4" width="13.85546875" style="169" bestFit="1" customWidth="1"/>
    <col min="5" max="5" width="11.28515625" style="155" bestFit="1" customWidth="1"/>
    <col min="6" max="6" width="14.140625" style="155" bestFit="1" customWidth="1"/>
    <col min="7" max="7" width="13.5703125" style="155" bestFit="1" customWidth="1"/>
    <col min="8" max="8" width="12.7109375" style="155" bestFit="1" customWidth="1"/>
    <col min="9" max="9" width="13.140625" style="155" bestFit="1" customWidth="1"/>
    <col min="10" max="10" width="13.7109375" style="155" bestFit="1" customWidth="1"/>
    <col min="11" max="12" width="13.85546875" style="155" bestFit="1" customWidth="1"/>
    <col min="13" max="13" width="11.7109375" style="155" customWidth="1"/>
    <col min="14" max="14" width="11" style="155" customWidth="1"/>
    <col min="15" max="20" width="11" style="155" bestFit="1" customWidth="1"/>
    <col min="21" max="22" width="12.7109375" style="155" bestFit="1" customWidth="1"/>
    <col min="23" max="23" width="14.42578125" style="155" bestFit="1" customWidth="1"/>
    <col min="24" max="24" width="10" style="155" bestFit="1" customWidth="1"/>
    <col min="25" max="25" width="10.85546875" style="155" bestFit="1" customWidth="1"/>
    <col min="26" max="26" width="15.28515625" customWidth="1"/>
    <col min="27" max="27" width="20.28515625" bestFit="1" customWidth="1"/>
    <col min="28" max="28" width="20.5703125" bestFit="1" customWidth="1"/>
    <col min="29" max="29" width="21.42578125" bestFit="1" customWidth="1"/>
  </cols>
  <sheetData>
    <row r="1" spans="1:32" ht="15.75" thickBot="1" x14ac:dyDescent="0.3">
      <c r="A1" s="32" t="s">
        <v>0</v>
      </c>
      <c r="B1" s="32" t="s">
        <v>325</v>
      </c>
      <c r="C1" s="32" t="s">
        <v>279</v>
      </c>
      <c r="D1" s="32" t="s">
        <v>280</v>
      </c>
      <c r="E1" s="162" t="s">
        <v>1</v>
      </c>
      <c r="F1" s="141" t="s">
        <v>272</v>
      </c>
      <c r="G1" s="141" t="s">
        <v>273</v>
      </c>
      <c r="H1" s="141" t="s">
        <v>274</v>
      </c>
      <c r="I1" s="141" t="s">
        <v>275</v>
      </c>
      <c r="J1" s="141" t="s">
        <v>276</v>
      </c>
      <c r="K1" s="141" t="s">
        <v>277</v>
      </c>
      <c r="L1" s="157" t="s">
        <v>278</v>
      </c>
      <c r="M1" s="139" t="s">
        <v>386</v>
      </c>
      <c r="N1" s="139" t="s">
        <v>387</v>
      </c>
      <c r="O1" s="139" t="s">
        <v>4</v>
      </c>
      <c r="P1" s="139" t="s">
        <v>2</v>
      </c>
      <c r="Q1" s="1" t="s">
        <v>3</v>
      </c>
      <c r="R1" s="140" t="s">
        <v>6</v>
      </c>
      <c r="S1" s="141" t="s">
        <v>5</v>
      </c>
      <c r="T1" s="140" t="s">
        <v>7</v>
      </c>
      <c r="U1" s="157" t="s">
        <v>8</v>
      </c>
      <c r="V1" s="33" t="s">
        <v>321</v>
      </c>
      <c r="W1" s="1" t="s">
        <v>322</v>
      </c>
      <c r="X1" s="140" t="s">
        <v>326</v>
      </c>
      <c r="Y1" s="140" t="s">
        <v>327</v>
      </c>
      <c r="Z1" s="157"/>
    </row>
    <row r="2" spans="1:32" ht="15.75" thickTop="1" x14ac:dyDescent="0.25">
      <c r="A2" s="34" t="s">
        <v>328</v>
      </c>
      <c r="B2" s="34">
        <v>1</v>
      </c>
      <c r="C2" s="34">
        <v>1</v>
      </c>
      <c r="D2" s="34">
        <v>10</v>
      </c>
      <c r="E2" s="163">
        <v>7.72</v>
      </c>
      <c r="F2" s="142">
        <v>9.9999999999999995E-21</v>
      </c>
      <c r="G2" s="142">
        <f>Carbon!Q3</f>
        <v>1.2572855953372189E-3</v>
      </c>
      <c r="H2" s="142">
        <f>Elements_CaCl2!R3</f>
        <v>2.5764375423756178E-4</v>
      </c>
      <c r="I2" s="142">
        <f>Elements_CaCl2!S3</f>
        <v>5.5208983156581411E-4</v>
      </c>
      <c r="J2" s="142">
        <f>Elements_CaCl2!O3</f>
        <v>4.2664670658682636E-4</v>
      </c>
      <c r="K2" s="142">
        <f>Elements_CaCl2!Q3</f>
        <v>1.3081036610448375E-4</v>
      </c>
      <c r="L2" s="143">
        <f>Elements_CaCl2!V3</f>
        <v>1.2850382235165635E-6</v>
      </c>
      <c r="M2" s="35">
        <f>'Al, Fe, HFO'!W3</f>
        <v>1.8235730170496664E-2</v>
      </c>
      <c r="N2" s="35">
        <f>'Al, Fe, HFO'!X3</f>
        <v>2.5711727842435091E-2</v>
      </c>
      <c r="O2" s="35">
        <f>Elements_HNO3!Z$4</f>
        <v>3.2007154765714321E-6</v>
      </c>
      <c r="P2" s="35">
        <f>Elements_HNO3!AA$4</f>
        <v>1.0471326501941604E-4</v>
      </c>
      <c r="Q2" s="2">
        <f>Elements_HNO3!AG$4</f>
        <v>1.4535787379247463E-3</v>
      </c>
      <c r="R2" s="142">
        <f>Carbon!R3</f>
        <v>2.8316751890968429E-2</v>
      </c>
      <c r="S2" s="142">
        <f>Carbon!S3</f>
        <v>5.1596411644312501E-5</v>
      </c>
      <c r="T2" s="142">
        <f>Carbon!T3</f>
        <v>4.166952666666667E-3</v>
      </c>
      <c r="U2" s="143">
        <f>Carbon!U3</f>
        <v>9.5712733333333343E-5</v>
      </c>
      <c r="V2" s="35">
        <f>Clay!H4</f>
        <v>7.1345853683097524E-2</v>
      </c>
      <c r="W2" s="2">
        <f>'Al, Fe, HFO'!AA3</f>
        <v>3.1039699573559994E-3</v>
      </c>
      <c r="X2" s="142" t="s">
        <v>326</v>
      </c>
      <c r="Y2" s="142" t="s">
        <v>313</v>
      </c>
      <c r="Z2" s="143" t="s">
        <v>329</v>
      </c>
      <c r="AE2" s="3"/>
      <c r="AF2" s="3"/>
    </row>
    <row r="3" spans="1:32" x14ac:dyDescent="0.25">
      <c r="A3" s="34" t="s">
        <v>328</v>
      </c>
      <c r="B3" s="34">
        <v>2</v>
      </c>
      <c r="C3" s="34">
        <v>1</v>
      </c>
      <c r="D3" s="34">
        <v>10</v>
      </c>
      <c r="E3" s="163">
        <v>7.67</v>
      </c>
      <c r="F3" s="142">
        <f t="shared" ref="F3:F11" si="0">2*0.001</f>
        <v>2E-3</v>
      </c>
      <c r="G3" s="142">
        <f>Carbon!Q4</f>
        <v>8.8259783513738551E-4</v>
      </c>
      <c r="H3" s="142">
        <f>Elements_CaCl2!R4</f>
        <v>1.8725987150098472E-4</v>
      </c>
      <c r="I3" s="142">
        <f>Elements_CaCl2!S4</f>
        <v>5.7080474111041789E-4</v>
      </c>
      <c r="J3" s="142">
        <f>Elements_CaCl2!O4</f>
        <v>6.636726546906188E-4</v>
      </c>
      <c r="K3" s="142">
        <f>Elements_CaCl2!Q4</f>
        <v>2.0567667626491157E-4</v>
      </c>
      <c r="L3" s="143">
        <f>Elements_CaCl2!V4</f>
        <v>1.2813978886057519E-6</v>
      </c>
      <c r="M3" s="35">
        <f>'Al, Fe, HFO'!W4</f>
        <v>1.8235730170496664E-2</v>
      </c>
      <c r="N3" s="35">
        <f>'Al, Fe, HFO'!X4</f>
        <v>2.5711727842435091E-2</v>
      </c>
      <c r="O3" s="35">
        <f>Elements_HNO3!Z$4</f>
        <v>3.2007154765714321E-6</v>
      </c>
      <c r="P3" s="35">
        <f>Elements_HNO3!AA$4</f>
        <v>1.0471326501941604E-4</v>
      </c>
      <c r="Q3" s="2">
        <f>Elements_HNO3!AG$4</f>
        <v>1.4535787379247463E-3</v>
      </c>
      <c r="R3" s="142">
        <f>Carbon!R4</f>
        <v>2.8380060226838252E-2</v>
      </c>
      <c r="S3" s="142">
        <f>Carbon!S4</f>
        <v>4.5265578057330323E-5</v>
      </c>
      <c r="T3" s="142">
        <f>Carbon!T4</f>
        <v>4.2577246666666672E-3</v>
      </c>
      <c r="U3" s="143">
        <f>Carbon!U4</f>
        <v>8.6635533333333348E-5</v>
      </c>
      <c r="V3" s="35">
        <f>Clay!H5</f>
        <v>7.1345853683097524E-2</v>
      </c>
      <c r="W3" s="2">
        <f>'Al, Fe, HFO'!AA4</f>
        <v>3.1404808252440001E-3</v>
      </c>
      <c r="X3" s="142" t="s">
        <v>326</v>
      </c>
      <c r="Y3" s="142" t="s">
        <v>330</v>
      </c>
      <c r="Z3" s="143" t="s">
        <v>331</v>
      </c>
      <c r="AE3" s="3"/>
      <c r="AF3" s="3"/>
    </row>
    <row r="4" spans="1:32" x14ac:dyDescent="0.25">
      <c r="A4" s="37" t="s">
        <v>328</v>
      </c>
      <c r="B4" s="37">
        <v>3</v>
      </c>
      <c r="C4" s="37">
        <v>1</v>
      </c>
      <c r="D4" s="37">
        <v>10</v>
      </c>
      <c r="E4" s="164">
        <v>7.26</v>
      </c>
      <c r="F4" s="144">
        <f>2*0.01</f>
        <v>0.02</v>
      </c>
      <c r="G4" s="144">
        <f>Carbon!Q5</f>
        <v>5.9117402164862612E-4</v>
      </c>
      <c r="H4" s="144">
        <f>Elements_CaCl2!R5</f>
        <v>9.0401317276337463E-5</v>
      </c>
      <c r="I4" s="144">
        <f>Elements_CaCl2!S5</f>
        <v>5.5832813474734867E-4</v>
      </c>
      <c r="J4" s="144">
        <f>Elements_CaCl2!O5</f>
        <v>6.6616766467065876E-3</v>
      </c>
      <c r="K4" s="144">
        <f>Elements_CaCl2!Q5</f>
        <v>1.2710818593171533E-3</v>
      </c>
      <c r="L4" s="145">
        <f>Elements_CaCl2!V5</f>
        <v>2.3116126683654896E-7</v>
      </c>
      <c r="M4" s="5">
        <f>'Al, Fe, HFO'!W5</f>
        <v>1.8235730170496664E-2</v>
      </c>
      <c r="N4" s="5">
        <f>'Al, Fe, HFO'!X5</f>
        <v>2.5711727842435091E-2</v>
      </c>
      <c r="O4" s="5">
        <f>Elements_HNO3!Z$4</f>
        <v>3.2007154765714321E-6</v>
      </c>
      <c r="P4" s="5">
        <f>Elements_HNO3!AA$4</f>
        <v>1.0471326501941604E-4</v>
      </c>
      <c r="Q4" s="6">
        <f>Elements_HNO3!AG$4</f>
        <v>1.4535787379247463E-3</v>
      </c>
      <c r="R4" s="144">
        <f>Carbon!R5</f>
        <v>2.8713989325911553E-2</v>
      </c>
      <c r="S4" s="144">
        <f>Carbon!S5</f>
        <v>1.1872668149999999E-5</v>
      </c>
      <c r="T4" s="144">
        <f>Carbon!T5</f>
        <v>4.4618206666666663E-3</v>
      </c>
      <c r="U4" s="145">
        <f>Carbon!U5</f>
        <v>6.6225933333333346E-5</v>
      </c>
      <c r="V4" s="5">
        <f>Clay!H6</f>
        <v>7.1345853683097524E-2</v>
      </c>
      <c r="W4" s="6">
        <f>'Al, Fe, HFO'!AA5</f>
        <v>3.0836574144119996E-3</v>
      </c>
      <c r="X4" s="144" t="s">
        <v>326</v>
      </c>
      <c r="Y4" s="144" t="s">
        <v>332</v>
      </c>
      <c r="Z4" s="145" t="s">
        <v>333</v>
      </c>
      <c r="AE4" s="3"/>
      <c r="AF4" s="3"/>
    </row>
    <row r="5" spans="1:32" x14ac:dyDescent="0.25">
      <c r="A5" s="34" t="s">
        <v>328</v>
      </c>
      <c r="B5" s="34">
        <v>4</v>
      </c>
      <c r="C5" s="34">
        <v>1</v>
      </c>
      <c r="D5" s="34">
        <v>10</v>
      </c>
      <c r="E5" s="163">
        <v>7.54</v>
      </c>
      <c r="F5" s="142">
        <v>9.9999999999999995E-21</v>
      </c>
      <c r="G5" s="142">
        <f>Carbon!Q6</f>
        <v>3.4970857618651132E-4</v>
      </c>
      <c r="H5" s="142">
        <f>Elements_CaCl2!R6</f>
        <v>1.6821102250347077E-4</v>
      </c>
      <c r="I5" s="142">
        <f>Elements_CaCl2!S6</f>
        <v>2.376793512164691E-4</v>
      </c>
      <c r="J5" s="142">
        <f>Elements_CaCl2!O6</f>
        <v>3.4431137724550906E-4</v>
      </c>
      <c r="K5" s="142">
        <f>Elements_CaCl2!Q6</f>
        <v>1.3903743315508022E-4</v>
      </c>
      <c r="L5" s="143">
        <f>Elements_CaCl2!V6</f>
        <v>1.5271204950855481E-6</v>
      </c>
      <c r="M5" s="35">
        <f>'Al, Fe, HFO'!W6</f>
        <v>2.0904373610081541E-2</v>
      </c>
      <c r="N5" s="35">
        <f>'Al, Fe, HFO'!X6</f>
        <v>4.5837063563115489E-2</v>
      </c>
      <c r="O5" s="35">
        <f>Elements_HNO3!Z$7</f>
        <v>3.5361473100949844E-6</v>
      </c>
      <c r="P5" s="35">
        <f>Elements_HNO3!AA$7</f>
        <v>1.0163293567094397E-4</v>
      </c>
      <c r="Q5" s="2">
        <f>Elements_HNO3!AG$7</f>
        <v>1.38556794787593E-3</v>
      </c>
      <c r="R5" s="142">
        <f>Carbon!R6</f>
        <v>4.2164092074299407E-2</v>
      </c>
      <c r="S5" s="142">
        <f>Carbon!S6</f>
        <v>8.0804016480000017E-5</v>
      </c>
      <c r="T5" s="142">
        <f>Carbon!T6</f>
        <v>3.3368206666666675E-3</v>
      </c>
      <c r="U5" s="143">
        <f>Carbon!U6</f>
        <v>7.7467933333333331E-5</v>
      </c>
      <c r="V5" s="35">
        <f>Clay!H7</f>
        <v>8.3955074207781782E-2</v>
      </c>
      <c r="W5" s="2">
        <f>'Al, Fe, HFO'!AA6</f>
        <v>4.7428663073219995E-3</v>
      </c>
      <c r="X5" s="142" t="s">
        <v>326</v>
      </c>
      <c r="Y5" s="142" t="s">
        <v>314</v>
      </c>
      <c r="Z5" s="143" t="s">
        <v>334</v>
      </c>
      <c r="AE5" s="3"/>
      <c r="AF5" s="3"/>
    </row>
    <row r="6" spans="1:32" x14ac:dyDescent="0.25">
      <c r="A6" s="34" t="s">
        <v>328</v>
      </c>
      <c r="B6" s="34">
        <v>5</v>
      </c>
      <c r="C6" s="34">
        <v>1</v>
      </c>
      <c r="D6" s="34">
        <v>10</v>
      </c>
      <c r="E6" s="163">
        <v>7.32</v>
      </c>
      <c r="F6" s="142">
        <f t="shared" si="0"/>
        <v>2E-3</v>
      </c>
      <c r="G6" s="142">
        <f>Carbon!Q7</f>
        <v>2.414654454621149E-4</v>
      </c>
      <c r="H6" s="142">
        <f>Elements_CaCl2!R7</f>
        <v>1.3205049559293579E-4</v>
      </c>
      <c r="I6" s="142">
        <f>Elements_CaCl2!S7</f>
        <v>2.3268870867124139E-4</v>
      </c>
      <c r="J6" s="142">
        <f>Elements_CaCl2!O7</f>
        <v>6.1377245508982038E-4</v>
      </c>
      <c r="K6" s="142">
        <f>Elements_CaCl2!Q7</f>
        <v>2.4640065816536409E-4</v>
      </c>
      <c r="L6" s="143">
        <f>Elements_CaCl2!V7</f>
        <v>1.3414634146341465E-6</v>
      </c>
      <c r="M6" s="35">
        <f>'Al, Fe, HFO'!W7</f>
        <v>2.0904373610081541E-2</v>
      </c>
      <c r="N6" s="35">
        <f>'Al, Fe, HFO'!X7</f>
        <v>4.5837063563115489E-2</v>
      </c>
      <c r="O6" s="35">
        <f>Elements_HNO3!Z$7</f>
        <v>3.5361473100949844E-6</v>
      </c>
      <c r="P6" s="35">
        <f>Elements_HNO3!AA$7</f>
        <v>1.0163293567094397E-4</v>
      </c>
      <c r="Q6" s="2">
        <f>Elements_HNO3!AG$7</f>
        <v>1.38556794787593E-3</v>
      </c>
      <c r="R6" s="142">
        <f>Carbon!R7</f>
        <v>4.22972215496994E-2</v>
      </c>
      <c r="S6" s="142">
        <f>Carbon!S7</f>
        <v>6.7491068940000011E-5</v>
      </c>
      <c r="T6" s="142">
        <f>Carbon!T7</f>
        <v>3.3773446666666676E-3</v>
      </c>
      <c r="U6" s="143">
        <f>Carbon!U7</f>
        <v>7.3415533333333335E-5</v>
      </c>
      <c r="V6" s="35">
        <f>Clay!H8</f>
        <v>8.3955074207781782E-2</v>
      </c>
      <c r="W6" s="2">
        <f>'Al, Fe, HFO'!AA7</f>
        <v>4.7584504674899998E-3</v>
      </c>
      <c r="X6" s="142" t="s">
        <v>326</v>
      </c>
      <c r="Y6" s="142" t="s">
        <v>335</v>
      </c>
      <c r="Z6" s="143" t="s">
        <v>336</v>
      </c>
      <c r="AE6" s="3"/>
      <c r="AF6" s="3"/>
    </row>
    <row r="7" spans="1:32" x14ac:dyDescent="0.25">
      <c r="A7" s="37" t="s">
        <v>328</v>
      </c>
      <c r="B7" s="37">
        <v>6</v>
      </c>
      <c r="C7" s="37">
        <v>1</v>
      </c>
      <c r="D7" s="37">
        <v>10</v>
      </c>
      <c r="E7" s="164">
        <v>6.82</v>
      </c>
      <c r="F7" s="144">
        <f>2*0.01</f>
        <v>0.02</v>
      </c>
      <c r="G7" s="144">
        <f>Carbon!Q8</f>
        <v>1.0824313072439633E-4</v>
      </c>
      <c r="H7" s="144">
        <f>Elements_CaCl2!R8</f>
        <v>5.9083718077034842E-5</v>
      </c>
      <c r="I7" s="144">
        <f>Elements_CaCl2!S8</f>
        <v>2.1522145976294449E-4</v>
      </c>
      <c r="J7" s="144">
        <f>Elements_CaCl2!O8</f>
        <v>6.9111776447105793E-3</v>
      </c>
      <c r="K7" s="144">
        <f>Elements_CaCl2!Q8</f>
        <v>1.3368983957219253E-3</v>
      </c>
      <c r="L7" s="145">
        <f>Elements_CaCl2!V8</f>
        <v>2.5118310884601386E-7</v>
      </c>
      <c r="M7" s="5">
        <f>'Al, Fe, HFO'!W8</f>
        <v>2.0904373610081541E-2</v>
      </c>
      <c r="N7" s="5">
        <f>'Al, Fe, HFO'!X8</f>
        <v>4.5837063563115489E-2</v>
      </c>
      <c r="O7" s="5">
        <f>Elements_HNO3!Z$7</f>
        <v>3.5361473100949844E-6</v>
      </c>
      <c r="P7" s="5">
        <f>Elements_HNO3!AA$7</f>
        <v>1.0163293567094397E-4</v>
      </c>
      <c r="Q7" s="6">
        <f>Elements_HNO3!AG$7</f>
        <v>1.38556794787593E-3</v>
      </c>
      <c r="R7" s="144">
        <f>Carbon!R8</f>
        <v>4.2847168064099418E-2</v>
      </c>
      <c r="S7" s="144">
        <f>Carbon!S8</f>
        <v>1.2496417499999999E-5</v>
      </c>
      <c r="T7" s="144">
        <f>Carbon!T8</f>
        <v>3.5587566666666678E-3</v>
      </c>
      <c r="U7" s="145">
        <f>Carbon!U8</f>
        <v>5.5274333333333341E-5</v>
      </c>
      <c r="V7" s="5">
        <f>Clay!H9</f>
        <v>8.3955074207781782E-2</v>
      </c>
      <c r="W7" s="6">
        <f>'Al, Fe, HFO'!AA8</f>
        <v>4.5518974412699998E-3</v>
      </c>
      <c r="X7" s="144" t="s">
        <v>326</v>
      </c>
      <c r="Y7" s="144" t="s">
        <v>337</v>
      </c>
      <c r="Z7" s="145" t="s">
        <v>338</v>
      </c>
      <c r="AE7" s="3"/>
      <c r="AF7" s="3"/>
    </row>
    <row r="8" spans="1:32" x14ac:dyDescent="0.25">
      <c r="A8" s="34" t="s">
        <v>328</v>
      </c>
      <c r="B8" s="34">
        <v>7</v>
      </c>
      <c r="C8" s="34">
        <v>1</v>
      </c>
      <c r="D8" s="34">
        <v>10</v>
      </c>
      <c r="E8" s="163">
        <v>6.6</v>
      </c>
      <c r="F8" s="142">
        <v>9.9999999999999995E-21</v>
      </c>
      <c r="G8" s="142">
        <f>Carbon!Q9</f>
        <v>3.3305578684429644E-4</v>
      </c>
      <c r="H8" s="142">
        <f>Elements_CaCl2!R9</f>
        <v>1.2301036386530204E-3</v>
      </c>
      <c r="I8" s="142">
        <f>Elements_CaCl2!S9</f>
        <v>1.5252651278852149E-4</v>
      </c>
      <c r="J8" s="142">
        <f>Elements_CaCl2!O9</f>
        <v>7.4351297405189621E-4</v>
      </c>
      <c r="K8" s="142">
        <f>Elements_CaCl2!Q9</f>
        <v>2.1431509666803786E-4</v>
      </c>
      <c r="L8" s="143">
        <f>Elements_CaCl2!V9</f>
        <v>3.6585365853658541E-6</v>
      </c>
      <c r="M8" s="35">
        <f>'Al, Fe, HFO'!W9</f>
        <v>4.5959970348406227E-3</v>
      </c>
      <c r="N8" s="35">
        <f>'Al, Fe, HFO'!X9</f>
        <v>5.6938227394807521E-3</v>
      </c>
      <c r="O8" s="35">
        <f>Elements_HNO3!Z$10</f>
        <v>1.3854345451496462E-5</v>
      </c>
      <c r="P8" s="35">
        <f>Elements_HNO3!AA$10</f>
        <v>1.6281719510869381E-5</v>
      </c>
      <c r="Q8" s="2">
        <f>Elements_HNO3!AG$10</f>
        <v>2.547984509963836E-3</v>
      </c>
      <c r="R8" s="142">
        <f>Carbon!R9</f>
        <v>5.0731683430644013E-2</v>
      </c>
      <c r="S8" s="142">
        <f>Carbon!S9</f>
        <v>3.9479636343999993E-4</v>
      </c>
      <c r="T8" s="142">
        <f>Carbon!T9</f>
        <v>7.7226926666666661E-3</v>
      </c>
      <c r="U8" s="143">
        <f>Carbon!U9</f>
        <v>3.261587333333333E-4</v>
      </c>
      <c r="V8" s="35">
        <f>Clay!H10</f>
        <v>1.1714056868241892E-2</v>
      </c>
      <c r="W8" s="2">
        <f>'Al, Fe, HFO'!AA9</f>
        <v>0</v>
      </c>
      <c r="X8" s="142" t="s">
        <v>326</v>
      </c>
      <c r="Y8" s="142" t="s">
        <v>339</v>
      </c>
      <c r="Z8" s="143" t="s">
        <v>340</v>
      </c>
      <c r="AE8" s="3"/>
      <c r="AF8" s="3"/>
    </row>
    <row r="9" spans="1:32" x14ac:dyDescent="0.25">
      <c r="A9" s="34" t="s">
        <v>328</v>
      </c>
      <c r="B9" s="34">
        <v>8</v>
      </c>
      <c r="C9" s="34">
        <v>1</v>
      </c>
      <c r="D9" s="34">
        <v>10</v>
      </c>
      <c r="E9" s="163">
        <v>6.5</v>
      </c>
      <c r="F9" s="142">
        <f t="shared" si="0"/>
        <v>2E-3</v>
      </c>
      <c r="G9" s="142">
        <f>Carbon!Q10</f>
        <v>3.3305578684429644E-4</v>
      </c>
      <c r="H9" s="142">
        <f>Elements_CaCl2!R10</f>
        <v>1.1816743615406969E-3</v>
      </c>
      <c r="I9" s="142">
        <f>Elements_CaCl2!S10</f>
        <v>1.4192139737991265E-4</v>
      </c>
      <c r="J9" s="142">
        <f>Elements_CaCl2!O10</f>
        <v>8.5578842315369255E-4</v>
      </c>
      <c r="K9" s="142">
        <f>Elements_CaCl2!Q10</f>
        <v>2.9535170711641302E-4</v>
      </c>
      <c r="L9" s="143">
        <f>Elements_CaCl2!V10</f>
        <v>3.7677466326902075E-6</v>
      </c>
      <c r="M9" s="35">
        <f>'Al, Fe, HFO'!W10</f>
        <v>4.5959970348406227E-3</v>
      </c>
      <c r="N9" s="35">
        <f>'Al, Fe, HFO'!X10</f>
        <v>5.6938227394807521E-3</v>
      </c>
      <c r="O9" s="35">
        <f>Elements_HNO3!Z$10</f>
        <v>1.3854345451496462E-5</v>
      </c>
      <c r="P9" s="35">
        <f>Elements_HNO3!AA$10</f>
        <v>1.6281719510869381E-5</v>
      </c>
      <c r="Q9" s="2">
        <f>Elements_HNO3!AG$10</f>
        <v>2.547984509963836E-3</v>
      </c>
      <c r="R9" s="142">
        <f>Carbon!R10</f>
        <v>5.115655329504401E-2</v>
      </c>
      <c r="S9" s="142">
        <f>Carbon!S10</f>
        <v>3.5230937700000004E-4</v>
      </c>
      <c r="T9" s="142">
        <f>Carbon!T10</f>
        <v>7.7761006666666656E-3</v>
      </c>
      <c r="U9" s="143">
        <f>Carbon!U10</f>
        <v>3.2081793333333335E-4</v>
      </c>
      <c r="V9" s="35">
        <f>Clay!H11</f>
        <v>1.1714056868241892E-2</v>
      </c>
      <c r="W9" s="2">
        <f>'Al, Fe, HFO'!AA10</f>
        <v>0</v>
      </c>
      <c r="X9" s="142" t="s">
        <v>326</v>
      </c>
      <c r="Y9" s="142" t="s">
        <v>341</v>
      </c>
      <c r="Z9" s="143" t="s">
        <v>342</v>
      </c>
      <c r="AE9" s="3"/>
      <c r="AF9" s="3"/>
    </row>
    <row r="10" spans="1:32" x14ac:dyDescent="0.25">
      <c r="A10" s="37" t="s">
        <v>328</v>
      </c>
      <c r="B10" s="37">
        <v>9</v>
      </c>
      <c r="C10" s="37">
        <v>1</v>
      </c>
      <c r="D10" s="37">
        <v>10</v>
      </c>
      <c r="E10" s="164">
        <v>5.93</v>
      </c>
      <c r="F10" s="144">
        <f>2*0.01</f>
        <v>0.02</v>
      </c>
      <c r="G10" s="144">
        <f>Carbon!Q11</f>
        <v>8.326394671107411E-5</v>
      </c>
      <c r="H10" s="144">
        <f>Elements_CaCl2!R11</f>
        <v>1.1041875181609789E-3</v>
      </c>
      <c r="I10" s="144">
        <f>Elements_CaCl2!S11</f>
        <v>1.1104179663131628E-4</v>
      </c>
      <c r="J10" s="144">
        <f>Elements_CaCl2!O11</f>
        <v>4.8403193612774455E-3</v>
      </c>
      <c r="K10" s="144">
        <f>Elements_CaCl2!Q11</f>
        <v>1.6577540106951871E-3</v>
      </c>
      <c r="L10" s="145">
        <f>Elements_CaCl2!V11</f>
        <v>6.3887877684747004E-6</v>
      </c>
      <c r="M10" s="5">
        <f>'Al, Fe, HFO'!W11</f>
        <v>4.5959970348406227E-3</v>
      </c>
      <c r="N10" s="5">
        <f>'Al, Fe, HFO'!X11</f>
        <v>5.6938227394807521E-3</v>
      </c>
      <c r="O10" s="5">
        <f>Elements_HNO3!Z$10</f>
        <v>1.3854345451496462E-5</v>
      </c>
      <c r="P10" s="5">
        <f>Elements_HNO3!AA$10</f>
        <v>1.6281719510869381E-5</v>
      </c>
      <c r="Q10" s="6">
        <f>Elements_HNO3!AG$10</f>
        <v>2.547984509963836E-3</v>
      </c>
      <c r="R10" s="144">
        <f>Carbon!R11</f>
        <v>5.316095588004402E-2</v>
      </c>
      <c r="S10" s="144">
        <f>Carbon!S11</f>
        <v>1.5186911850000002E-4</v>
      </c>
      <c r="T10" s="144">
        <f>Carbon!T11</f>
        <v>8.3823846666666642E-3</v>
      </c>
      <c r="U10" s="145">
        <f>Carbon!U11</f>
        <v>2.6018953333333331E-4</v>
      </c>
      <c r="V10" s="5">
        <f>Clay!H12</f>
        <v>1.1714056868241892E-2</v>
      </c>
      <c r="W10" s="6">
        <f>'Al, Fe, HFO'!AA11</f>
        <v>0</v>
      </c>
      <c r="X10" s="144" t="s">
        <v>326</v>
      </c>
      <c r="Y10" s="144" t="s">
        <v>343</v>
      </c>
      <c r="Z10" s="145" t="s">
        <v>344</v>
      </c>
      <c r="AE10" s="3"/>
      <c r="AF10" s="3"/>
    </row>
    <row r="11" spans="1:32" ht="15.75" thickBot="1" x14ac:dyDescent="0.3">
      <c r="A11" s="41" t="s">
        <v>328</v>
      </c>
      <c r="B11" s="41">
        <v>10</v>
      </c>
      <c r="C11" s="41">
        <v>1</v>
      </c>
      <c r="D11" s="41">
        <v>10</v>
      </c>
      <c r="E11" s="165">
        <v>5.22</v>
      </c>
      <c r="F11" s="146">
        <f t="shared" si="0"/>
        <v>2E-3</v>
      </c>
      <c r="G11" s="146">
        <f>Carbon!Q12</f>
        <v>8.326394671107411E-5</v>
      </c>
      <c r="H11" s="146">
        <f>Elements_CaCl2!R12</f>
        <v>1.246246731023795E-3</v>
      </c>
      <c r="I11" s="146">
        <f>Elements_CaCl2!S12</f>
        <v>2.205240174672489E-3</v>
      </c>
      <c r="J11" s="146">
        <f>Elements_CaCl2!O12</f>
        <v>3.9171656686626749E-3</v>
      </c>
      <c r="K11" s="146">
        <f>Elements_CaCl2!Q12</f>
        <v>2.9658576717400248E-3</v>
      </c>
      <c r="L11" s="147">
        <f>Elements_CaCl2!V12</f>
        <v>5.4787040407717512E-6</v>
      </c>
      <c r="M11" s="261">
        <f>'Al, Fe, HFO'!W12</f>
        <v>1.0822831727205336E-2</v>
      </c>
      <c r="N11" s="261">
        <f>'Al, Fe, HFO'!X12</f>
        <v>8.7018800358102059E-3</v>
      </c>
      <c r="O11" s="261">
        <f>Elements_HNO3!Z13</f>
        <v>1.6629250344617562E-6</v>
      </c>
      <c r="P11" s="261">
        <f>Elements_HNO3!AA13</f>
        <v>7.8068685846281838E-5</v>
      </c>
      <c r="Q11" s="262">
        <f>Elements_HNO3!AG13</f>
        <v>3.8824130016891105E-4</v>
      </c>
      <c r="R11" s="146">
        <f>Carbon!R12</f>
        <v>9.7001764247271263E-2</v>
      </c>
      <c r="S11" s="146">
        <f>Carbon!S12</f>
        <v>2.5403805000000003E-5</v>
      </c>
      <c r="T11" s="146">
        <f>Carbon!T12</f>
        <v>1.0149549666666664E-2</v>
      </c>
      <c r="U11" s="147">
        <f>Carbon!U12</f>
        <v>6.3480353333333342E-4</v>
      </c>
      <c r="V11" s="42">
        <f>Clay!H13</f>
        <v>5.3021654954825755E-2</v>
      </c>
      <c r="W11" s="43">
        <f>'Al, Fe, HFO'!AA12</f>
        <v>0</v>
      </c>
      <c r="X11" s="146" t="s">
        <v>326</v>
      </c>
      <c r="Y11" s="146" t="s">
        <v>345</v>
      </c>
      <c r="Z11" s="147" t="s">
        <v>346</v>
      </c>
      <c r="AE11" s="3"/>
      <c r="AF11" s="3"/>
    </row>
    <row r="12" spans="1:32" ht="15.75" thickTop="1" x14ac:dyDescent="0.25">
      <c r="A12" s="38" t="s">
        <v>328</v>
      </c>
      <c r="B12" s="38">
        <v>11</v>
      </c>
      <c r="C12" s="38">
        <v>1</v>
      </c>
      <c r="D12" s="38">
        <v>10</v>
      </c>
      <c r="E12" s="166">
        <v>7.18</v>
      </c>
      <c r="F12" s="148">
        <f>2*0.001</f>
        <v>2E-3</v>
      </c>
      <c r="G12" s="149">
        <f>Carbon!Q13</f>
        <v>5.9950041631973349E-3</v>
      </c>
      <c r="H12" s="149">
        <f>Elements_CaCl2!R13</f>
        <v>4.8429277112323644E-4</v>
      </c>
      <c r="I12" s="149">
        <f>Elements_CaCl2!S13</f>
        <v>6.2414223331253894E-4</v>
      </c>
      <c r="J12" s="149">
        <f>Elements_CaCl2!O13</f>
        <v>4.5134730538922158E-3</v>
      </c>
      <c r="K12" s="149">
        <f>Elements_CaCl2!Q13</f>
        <v>7.9967091731797618E-4</v>
      </c>
      <c r="L12" s="227">
        <f>Elements_CaCl2!V13</f>
        <v>1.3269020749908993E-5</v>
      </c>
      <c r="M12" s="196">
        <f>'Al, Fe, HFO'!W13</f>
        <v>1.8235730170496664E-2</v>
      </c>
      <c r="N12" s="196">
        <f>'Al, Fe, HFO'!X13</f>
        <v>2.5711727842435091E-2</v>
      </c>
      <c r="O12" s="196">
        <f>Elements_HNO3!Z$4</f>
        <v>3.2007154765714321E-6</v>
      </c>
      <c r="P12" s="196">
        <f>Elements_HNO3!AA$4</f>
        <v>1.0471326501941604E-4</v>
      </c>
      <c r="Q12" s="158">
        <f>Elements_HNO3!AG$4</f>
        <v>1.4535787379247463E-3</v>
      </c>
      <c r="R12" s="192">
        <f>Carbon!R13</f>
        <v>2.7736691863204214E-2</v>
      </c>
      <c r="S12" s="260">
        <f>Carbon!S13</f>
        <v>1.0960241442073383E-4</v>
      </c>
      <c r="T12" s="192">
        <f>Carbon!T13</f>
        <v>4.1125279999999998E-3</v>
      </c>
      <c r="U12" s="227">
        <f>Carbon!U13</f>
        <v>1.011552E-4</v>
      </c>
      <c r="V12" s="121">
        <f>Clay!H14</f>
        <v>7.1345853683097524E-2</v>
      </c>
      <c r="W12" s="158">
        <f>'Al, Fe, HFO'!AA13</f>
        <v>3.0704313587219998E-3</v>
      </c>
      <c r="X12" s="192" t="s">
        <v>326</v>
      </c>
      <c r="Y12" s="192" t="s">
        <v>347</v>
      </c>
      <c r="Z12" s="227" t="s">
        <v>94</v>
      </c>
      <c r="AE12" s="3"/>
      <c r="AF12" s="3"/>
    </row>
    <row r="13" spans="1:32" x14ac:dyDescent="0.25">
      <c r="A13" s="38" t="s">
        <v>328</v>
      </c>
      <c r="B13" s="38">
        <v>12</v>
      </c>
      <c r="C13" s="38">
        <v>1</v>
      </c>
      <c r="D13" s="38">
        <v>10</v>
      </c>
      <c r="E13" s="166">
        <v>7</v>
      </c>
      <c r="F13" s="150">
        <f t="shared" ref="F13:F22" si="1">2*0.001</f>
        <v>2E-3</v>
      </c>
      <c r="G13" s="142">
        <f>Carbon!Q14</f>
        <v>3.4970857618651127E-3</v>
      </c>
      <c r="H13" s="142">
        <f>Elements_CaCl2!R14</f>
        <v>2.5764375423756178E-4</v>
      </c>
      <c r="I13" s="142">
        <f>Elements_CaCl2!S14</f>
        <v>3.0318153462258266E-4</v>
      </c>
      <c r="J13" s="142">
        <f>Elements_CaCl2!O14</f>
        <v>4.0494011976047904E-3</v>
      </c>
      <c r="K13" s="142">
        <f>Elements_CaCl2!Q14</f>
        <v>7.243932538050186E-4</v>
      </c>
      <c r="L13" s="227">
        <f>Elements_CaCl2!V14</f>
        <v>6.1157626501638151E-6</v>
      </c>
      <c r="M13" s="196">
        <f>'Al, Fe, HFO'!W14</f>
        <v>2.0904373610081541E-2</v>
      </c>
      <c r="N13" s="196">
        <f>'Al, Fe, HFO'!X14</f>
        <v>4.5837063563115489E-2</v>
      </c>
      <c r="O13" s="196">
        <f>Elements_HNO3!Z$7</f>
        <v>3.5361473100949844E-6</v>
      </c>
      <c r="P13" s="196">
        <f>Elements_HNO3!AA$7</f>
        <v>1.0163293567094397E-4</v>
      </c>
      <c r="Q13" s="158">
        <f>Elements_HNO3!AG$7</f>
        <v>1.38556794787593E-3</v>
      </c>
      <c r="R13" s="192">
        <f>Carbon!R14</f>
        <v>4.1368386736166197E-2</v>
      </c>
      <c r="S13" s="192">
        <f>Carbon!S14</f>
        <v>1.6037455029332118E-4</v>
      </c>
      <c r="T13" s="192">
        <f>Carbon!T14</f>
        <v>3.2218800000000012E-3</v>
      </c>
      <c r="U13" s="227">
        <f>Carbon!U14</f>
        <v>8.896200000000002E-5</v>
      </c>
      <c r="V13" s="35">
        <f>Clay!H15</f>
        <v>8.3955074207781782E-2</v>
      </c>
      <c r="W13" s="158">
        <f>'Al, Fe, HFO'!AA14</f>
        <v>4.6634279465159996E-3</v>
      </c>
      <c r="X13" s="192" t="s">
        <v>326</v>
      </c>
      <c r="Y13" s="192" t="s">
        <v>348</v>
      </c>
      <c r="Z13" s="227" t="s">
        <v>95</v>
      </c>
      <c r="AE13" s="3"/>
      <c r="AF13" s="3"/>
    </row>
    <row r="14" spans="1:32" x14ac:dyDescent="0.25">
      <c r="A14" s="38" t="s">
        <v>328</v>
      </c>
      <c r="B14" s="38">
        <v>13</v>
      </c>
      <c r="C14" s="38">
        <v>1</v>
      </c>
      <c r="D14" s="38">
        <v>10</v>
      </c>
      <c r="E14" s="166">
        <v>6.1</v>
      </c>
      <c r="F14" s="150">
        <f t="shared" si="1"/>
        <v>2E-3</v>
      </c>
      <c r="G14" s="142">
        <f>Carbon!Q15</f>
        <v>8.4929225645295585E-4</v>
      </c>
      <c r="H14" s="142">
        <f>Elements_CaCl2!R15</f>
        <v>1.6078520001291449E-3</v>
      </c>
      <c r="I14" s="142">
        <f>Elements_CaCl2!S15</f>
        <v>4.7816593886462885E-4</v>
      </c>
      <c r="J14" s="142">
        <f>Elements_CaCl2!O15</f>
        <v>4.1616766467065872E-3</v>
      </c>
      <c r="K14" s="142">
        <f>Elements_CaCl2!Q15</f>
        <v>8.9345948169477574E-4</v>
      </c>
      <c r="L14" s="227">
        <f>Elements_CaCl2!V15</f>
        <v>2.5172915908263562E-5</v>
      </c>
      <c r="M14" s="196">
        <f>'Al, Fe, HFO'!W15</f>
        <v>4.5959970348406227E-3</v>
      </c>
      <c r="N14" s="196">
        <f>'Al, Fe, HFO'!X15</f>
        <v>5.6938227394807521E-3</v>
      </c>
      <c r="O14" s="196">
        <f>Elements_HNO3!Z$10</f>
        <v>1.3854345451496462E-5</v>
      </c>
      <c r="P14" s="196">
        <f>Elements_HNO3!AA$10</f>
        <v>1.6281719510869381E-5</v>
      </c>
      <c r="Q14" s="158">
        <f>Elements_HNO3!AG$10</f>
        <v>2.547984509963836E-3</v>
      </c>
      <c r="R14" s="192">
        <f>Carbon!R15</f>
        <v>4.4590289143250444E-2</v>
      </c>
      <c r="S14" s="192">
        <f>Carbon!S15</f>
        <v>1.0089357921793567E-3</v>
      </c>
      <c r="T14" s="192">
        <f>Carbon!T15</f>
        <v>6.7614079999999991E-3</v>
      </c>
      <c r="U14" s="227">
        <f>Carbon!U15</f>
        <v>4.2228719999999999E-4</v>
      </c>
      <c r="V14" s="35">
        <f>Clay!H16</f>
        <v>1.1714056868241892E-2</v>
      </c>
      <c r="W14" s="158">
        <f>'Al, Fe, HFO'!AA15</f>
        <v>0</v>
      </c>
      <c r="X14" s="192" t="s">
        <v>326</v>
      </c>
      <c r="Y14" s="192" t="s">
        <v>349</v>
      </c>
      <c r="Z14" s="227" t="s">
        <v>96</v>
      </c>
      <c r="AE14" s="3"/>
      <c r="AF14" s="3"/>
    </row>
    <row r="15" spans="1:32" ht="15.75" thickBot="1" x14ac:dyDescent="0.3">
      <c r="A15" s="44" t="s">
        <v>328</v>
      </c>
      <c r="B15" s="44">
        <v>14</v>
      </c>
      <c r="C15" s="44">
        <v>1</v>
      </c>
      <c r="D15" s="44">
        <v>10</v>
      </c>
      <c r="E15" s="167">
        <v>5.84</v>
      </c>
      <c r="F15" s="151">
        <f t="shared" si="1"/>
        <v>2E-3</v>
      </c>
      <c r="G15" s="152">
        <f>Carbon!Q16</f>
        <v>8.2431307243963363E-4</v>
      </c>
      <c r="H15" s="152">
        <f>Elements_CaCl2!R16</f>
        <v>1.2397894940754852E-3</v>
      </c>
      <c r="I15" s="152">
        <f>Elements_CaCl2!S16</f>
        <v>2.1896444167186519E-3</v>
      </c>
      <c r="J15" s="152">
        <f>Elements_CaCl2!O16</f>
        <v>6.0104790419161676E-3</v>
      </c>
      <c r="K15" s="152">
        <f>Elements_CaCl2!Q16</f>
        <v>3.41834635952283E-3</v>
      </c>
      <c r="L15" s="228">
        <f>Elements_CaCl2!V16</f>
        <v>4.772479068074264E-6</v>
      </c>
      <c r="M15" s="197">
        <f>'Al, Fe, HFO'!W16</f>
        <v>1.0822831727205336E-2</v>
      </c>
      <c r="N15" s="197">
        <f>'Al, Fe, HFO'!X16</f>
        <v>8.7018800358102059E-3</v>
      </c>
      <c r="O15" s="197">
        <f>Elements_HNO3!Z13</f>
        <v>1.6629250344617562E-6</v>
      </c>
      <c r="P15" s="197">
        <f>Elements_HNO3!AA13</f>
        <v>7.8068685846281838E-5</v>
      </c>
      <c r="Q15" s="159">
        <f>Elements_HNO3!AG13</f>
        <v>3.8824130016891105E-4</v>
      </c>
      <c r="R15" s="193">
        <f>Carbon!R16</f>
        <v>9.4759152641217356E-2</v>
      </c>
      <c r="S15" s="193">
        <f>Carbon!S16</f>
        <v>2.4966496560539038E-4</v>
      </c>
      <c r="T15" s="193">
        <f>Carbon!T16</f>
        <v>1.0066041000000001E-2</v>
      </c>
      <c r="U15" s="228">
        <f>Carbon!U16</f>
        <v>6.4315439999999987E-4</v>
      </c>
      <c r="V15" s="122">
        <f>Clay!H17</f>
        <v>5.3021654954825755E-2</v>
      </c>
      <c r="W15" s="159">
        <f>'Al, Fe, HFO'!AA16</f>
        <v>0</v>
      </c>
      <c r="X15" s="193" t="s">
        <v>326</v>
      </c>
      <c r="Y15" s="193" t="s">
        <v>350</v>
      </c>
      <c r="Z15" s="228" t="s">
        <v>97</v>
      </c>
      <c r="AE15" s="3"/>
      <c r="AF15" s="3"/>
    </row>
    <row r="16" spans="1:32" ht="15.75" thickTop="1" x14ac:dyDescent="0.25">
      <c r="A16" s="38" t="s">
        <v>328</v>
      </c>
      <c r="B16" s="38">
        <v>15</v>
      </c>
      <c r="C16" s="38">
        <v>1</v>
      </c>
      <c r="D16" s="38">
        <v>10</v>
      </c>
      <c r="E16" s="166">
        <v>7.74</v>
      </c>
      <c r="F16" s="150">
        <f t="shared" si="1"/>
        <v>2E-3</v>
      </c>
      <c r="G16" s="142">
        <f>Carbon!Q17</f>
        <v>3.1640299750208161E-4</v>
      </c>
      <c r="H16" s="142">
        <f>Elements_CaCl2!R17</f>
        <v>2.9025280082652631E-4</v>
      </c>
      <c r="I16" s="142">
        <f>Elements_CaCl2!S17</f>
        <v>7.1740486587648156E-4</v>
      </c>
      <c r="J16" s="142">
        <f>Elements_CaCl2!O17</f>
        <v>7.0359281437125745E-4</v>
      </c>
      <c r="K16" s="142">
        <f>Elements_CaCl2!Q17</f>
        <v>2.2295351707116414E-4</v>
      </c>
      <c r="L16" s="227">
        <f>Elements_CaCl2!V17</f>
        <v>1.1994903531124864E-6</v>
      </c>
      <c r="M16" s="196">
        <f>'Al, Fe, HFO'!W17</f>
        <v>2.5574499629355076E-2</v>
      </c>
      <c r="N16" s="196">
        <f>'Al, Fe, HFO'!X17</f>
        <v>3.6884512085944496E-2</v>
      </c>
      <c r="O16" s="196">
        <f>Elements_HNO3!Z5</f>
        <v>3.5613466915642787E-6</v>
      </c>
      <c r="P16" s="196">
        <f>Elements_HNO3!AA5</f>
        <v>1.2100526677553199E-4</v>
      </c>
      <c r="Q16" s="158">
        <f>Elements_HNO3!AG5</f>
        <v>1.6273217377483185E-3</v>
      </c>
      <c r="R16" s="192">
        <f>Carbon!R17</f>
        <v>2.3053835418756771E-2</v>
      </c>
      <c r="S16" s="192">
        <f>Carbon!S17</f>
        <v>2.8174213050256099E-5</v>
      </c>
      <c r="T16" s="192">
        <f>Carbon!T17</f>
        <v>3.4543100000000004E-3</v>
      </c>
      <c r="U16" s="227">
        <f>Carbon!U17</f>
        <v>1.2596999999999999E-4</v>
      </c>
      <c r="V16" s="35">
        <f>Clay!H18</f>
        <v>7.1410374804954935E-2</v>
      </c>
      <c r="W16" s="158">
        <f>'Al, Fe, HFO'!AA17</f>
        <v>4.9172153854499991E-3</v>
      </c>
      <c r="X16" s="192" t="s">
        <v>326</v>
      </c>
      <c r="Y16" s="192" t="s">
        <v>98</v>
      </c>
      <c r="Z16" s="227" t="s">
        <v>351</v>
      </c>
      <c r="AE16" s="3"/>
      <c r="AF16" s="3"/>
    </row>
    <row r="17" spans="1:32" x14ac:dyDescent="0.25">
      <c r="A17" s="40" t="s">
        <v>328</v>
      </c>
      <c r="B17" s="40">
        <v>16</v>
      </c>
      <c r="C17" s="40">
        <v>1</v>
      </c>
      <c r="D17" s="40">
        <v>10</v>
      </c>
      <c r="E17" s="168">
        <v>7.75</v>
      </c>
      <c r="F17" s="154">
        <f t="shared" si="1"/>
        <v>2E-3</v>
      </c>
      <c r="G17" s="144">
        <f>Carbon!Q18</f>
        <v>7.1606994171523732E-4</v>
      </c>
      <c r="H17" s="144">
        <f>Elements_CaCl2!R18</f>
        <v>2.9767862331708263E-4</v>
      </c>
      <c r="I17" s="144">
        <f>Elements_CaCl2!S18</f>
        <v>5.6768558951965061E-4</v>
      </c>
      <c r="J17" s="144">
        <f>Elements_CaCl2!O18</f>
        <v>7.4101796407185637E-4</v>
      </c>
      <c r="K17" s="144">
        <f>Elements_CaCl2!Q18</f>
        <v>2.4434389140271494E-4</v>
      </c>
      <c r="L17" s="229">
        <f>Elements_CaCl2!V18</f>
        <v>7.5536949399344744E-7</v>
      </c>
      <c r="M17" s="198">
        <f>'Al, Fe, HFO'!W18</f>
        <v>2.3573017049666418E-2</v>
      </c>
      <c r="N17" s="198">
        <f>'Al, Fe, HFO'!X18</f>
        <v>3.3160250671441363E-2</v>
      </c>
      <c r="O17" s="198">
        <f>Elements_HNO3!Z6</f>
        <v>3.3501798987021982E-6</v>
      </c>
      <c r="P17" s="198">
        <f>Elements_HNO3!AA6</f>
        <v>1.1426423064630527E-4</v>
      </c>
      <c r="Q17" s="160">
        <f>Elements_HNO3!AG6</f>
        <v>1.5358834327077683E-3</v>
      </c>
      <c r="R17" s="194">
        <f>Carbon!R18</f>
        <v>2.6141429262335918E-2</v>
      </c>
      <c r="S17" s="194">
        <f>Carbon!S18</f>
        <v>2.961080174311387E-5</v>
      </c>
      <c r="T17" s="194">
        <f>Carbon!T18</f>
        <v>3.5968360000000008E-3</v>
      </c>
      <c r="U17" s="229">
        <f>Carbon!U18</f>
        <v>1.3822039999999999E-4</v>
      </c>
      <c r="V17" s="5">
        <f>Clay!H19</f>
        <v>6.3658956222519589E-2</v>
      </c>
      <c r="W17" s="160">
        <f>'Al, Fe, HFO'!AA18</f>
        <v>4.3510416384059999E-3</v>
      </c>
      <c r="X17" s="194" t="s">
        <v>326</v>
      </c>
      <c r="Y17" s="194" t="s">
        <v>99</v>
      </c>
      <c r="Z17" s="229" t="s">
        <v>352</v>
      </c>
      <c r="AE17" s="3"/>
      <c r="AF17" s="3"/>
    </row>
    <row r="18" spans="1:32" x14ac:dyDescent="0.25">
      <c r="A18" s="38" t="s">
        <v>328</v>
      </c>
      <c r="B18" s="38">
        <v>17</v>
      </c>
      <c r="C18" s="38">
        <v>1</v>
      </c>
      <c r="D18" s="38">
        <v>10</v>
      </c>
      <c r="E18" s="166">
        <v>7.31</v>
      </c>
      <c r="F18" s="150">
        <f t="shared" si="1"/>
        <v>2E-3</v>
      </c>
      <c r="G18" s="142">
        <f>Carbon!Q19</f>
        <v>1.7485428809325566E-4</v>
      </c>
      <c r="H18" s="142">
        <f>Elements_CaCl2!R19</f>
        <v>1.6046233816549896E-4</v>
      </c>
      <c r="I18" s="142">
        <f>Elements_CaCl2!S19</f>
        <v>1.9806612601372425E-4</v>
      </c>
      <c r="J18" s="142">
        <f>Elements_CaCl2!O19</f>
        <v>6.2874251497005993E-4</v>
      </c>
      <c r="K18" s="142">
        <f>Elements_CaCl2!Q19</f>
        <v>2.4681201151789391E-4</v>
      </c>
      <c r="L18" s="227">
        <f>Elements_CaCl2!V19</f>
        <v>5.3512923188933379E-7</v>
      </c>
      <c r="M18" s="196">
        <f>'Al, Fe, HFO'!W19</f>
        <v>2.4759080800593032E-2</v>
      </c>
      <c r="N18" s="196">
        <f>'Al, Fe, HFO'!X19</f>
        <v>5.6580125335720682E-2</v>
      </c>
      <c r="O18" s="196">
        <f>Elements_HNO3!Z8</f>
        <v>3.8789723446981577E-6</v>
      </c>
      <c r="P18" s="196">
        <f>Elements_HNO3!AA8</f>
        <v>1.1107774689969265E-4</v>
      </c>
      <c r="Q18" s="158">
        <f>Elements_HNO3!AG8</f>
        <v>1.4909201356169959E-3</v>
      </c>
      <c r="R18" s="192">
        <f>Carbon!R19</f>
        <v>3.8096113595533346E-2</v>
      </c>
      <c r="S18" s="192">
        <f>Carbon!S19</f>
        <v>2.8097880710014122E-5</v>
      </c>
      <c r="T18" s="192">
        <f>Carbon!T19</f>
        <v>2.2996380000000005E-3</v>
      </c>
      <c r="U18" s="227">
        <f>Carbon!U19</f>
        <v>8.8403200000000001E-5</v>
      </c>
      <c r="V18" s="35">
        <f>Clay!H20</f>
        <v>7.6830421469740659E-2</v>
      </c>
      <c r="W18" s="158">
        <f>'Al, Fe, HFO'!AA19</f>
        <v>6.1990257994079994E-3</v>
      </c>
      <c r="X18" s="192" t="s">
        <v>326</v>
      </c>
      <c r="Y18" s="192" t="s">
        <v>100</v>
      </c>
      <c r="Z18" s="227" t="s">
        <v>353</v>
      </c>
      <c r="AE18" s="3"/>
      <c r="AF18" s="3"/>
    </row>
    <row r="19" spans="1:32" x14ac:dyDescent="0.25">
      <c r="A19" s="40" t="s">
        <v>328</v>
      </c>
      <c r="B19" s="40">
        <v>18</v>
      </c>
      <c r="C19" s="40">
        <v>1</v>
      </c>
      <c r="D19" s="40">
        <v>10</v>
      </c>
      <c r="E19" s="168">
        <v>7.3</v>
      </c>
      <c r="F19" s="154">
        <f t="shared" si="1"/>
        <v>2E-3</v>
      </c>
      <c r="G19" s="144">
        <f>Carbon!Q20</f>
        <v>2.5811823480432973E-4</v>
      </c>
      <c r="H19" s="144">
        <f>Elements_CaCl2!R20</f>
        <v>1.9630000322861849E-4</v>
      </c>
      <c r="I19" s="144">
        <f>Elements_CaCl2!S20</f>
        <v>2.5733000623830317E-4</v>
      </c>
      <c r="J19" s="144">
        <f>Elements_CaCl2!O20</f>
        <v>7.1606786427145716E-4</v>
      </c>
      <c r="K19" s="144">
        <f>Elements_CaCl2!Q20</f>
        <v>2.887700534759358E-4</v>
      </c>
      <c r="L19" s="229">
        <f>Elements_CaCl2!V20</f>
        <v>6.6072078631234064E-7</v>
      </c>
      <c r="M19" s="198">
        <f>'Al, Fe, HFO'!W20</f>
        <v>2.4017790956263902E-2</v>
      </c>
      <c r="N19" s="198">
        <f>'Al, Fe, HFO'!X20</f>
        <v>5.4789615040286482E-2</v>
      </c>
      <c r="O19" s="198">
        <f>Elements_HNO3!Z9</f>
        <v>3.4781653451022356E-6</v>
      </c>
      <c r="P19" s="198">
        <f>Elements_HNO3!AA9</f>
        <v>1.0495167180374201E-4</v>
      </c>
      <c r="Q19" s="160">
        <f>Elements_HNO3!AG9</f>
        <v>1.4030855816542951E-3</v>
      </c>
      <c r="R19" s="194">
        <f>Carbon!R20</f>
        <v>4.5288672556587813E-2</v>
      </c>
      <c r="S19" s="194">
        <f>Carbon!S20</f>
        <v>3.5304861904225284E-5</v>
      </c>
      <c r="T19" s="194">
        <f>Carbon!T20</f>
        <v>2.3027979999999991E-3</v>
      </c>
      <c r="U19" s="229">
        <f>Carbon!U20</f>
        <v>1.1668919999999999E-4</v>
      </c>
      <c r="V19" s="5">
        <f>Clay!H21</f>
        <v>6.2808675112733525E-2</v>
      </c>
      <c r="W19" s="160">
        <f>'Al, Fe, HFO'!AA20</f>
        <v>5.7756594115499996E-3</v>
      </c>
      <c r="X19" s="194" t="s">
        <v>326</v>
      </c>
      <c r="Y19" s="194" t="s">
        <v>101</v>
      </c>
      <c r="Z19" s="229" t="s">
        <v>354</v>
      </c>
      <c r="AE19" s="3"/>
      <c r="AF19" s="3"/>
    </row>
    <row r="20" spans="1:32" x14ac:dyDescent="0.25">
      <c r="A20" s="38" t="s">
        <v>328</v>
      </c>
      <c r="B20" s="38">
        <v>19</v>
      </c>
      <c r="C20" s="38">
        <v>1</v>
      </c>
      <c r="D20" s="38">
        <v>10</v>
      </c>
      <c r="E20" s="166">
        <v>6.3</v>
      </c>
      <c r="F20" s="150">
        <f t="shared" si="1"/>
        <v>2E-3</v>
      </c>
      <c r="G20" s="142">
        <f>Carbon!Q21</f>
        <v>1.6652789342214822E-4</v>
      </c>
      <c r="H20" s="142">
        <f>Elements_CaCl2!R21</f>
        <v>1.5691085784392861E-3</v>
      </c>
      <c r="I20" s="142">
        <f>Elements_CaCl2!S21</f>
        <v>1.8964441671865252E-4</v>
      </c>
      <c r="J20" s="142">
        <f>Elements_CaCl2!O21</f>
        <v>1.032934131736527E-3</v>
      </c>
      <c r="K20" s="142">
        <f>Elements_CaCl2!Q21</f>
        <v>3.7926779103249696E-4</v>
      </c>
      <c r="L20" s="227">
        <f>Elements_CaCl2!V21</f>
        <v>6.2795777211503458E-6</v>
      </c>
      <c r="M20" s="196">
        <f>'Al, Fe, HFO'!W21</f>
        <v>3.8547071905114896E-3</v>
      </c>
      <c r="N20" s="196">
        <f>'Al, Fe, HFO'!X21</f>
        <v>4.870188003581021E-3</v>
      </c>
      <c r="O20" s="196">
        <f>Elements_HNO3!Z11</f>
        <v>1.5725979868357155E-5</v>
      </c>
      <c r="P20" s="196">
        <f>Elements_HNO3!AA11</f>
        <v>1.9003573758850602E-5</v>
      </c>
      <c r="Q20" s="158">
        <f>Elements_HNO3!AG11</f>
        <v>2.9890503907608963E-3</v>
      </c>
      <c r="R20" s="192">
        <f>Carbon!R21</f>
        <v>6.5131994304202051E-2</v>
      </c>
      <c r="S20" s="192">
        <f>Carbon!S21</f>
        <v>3.7597735319787372E-4</v>
      </c>
      <c r="T20" s="192">
        <f>Carbon!T21</f>
        <v>9.3755860000000035E-3</v>
      </c>
      <c r="U20" s="227">
        <f>Carbon!U21</f>
        <v>4.2794039999999995E-4</v>
      </c>
      <c r="V20" s="35">
        <f>Clay!H22</f>
        <v>2.4313372354795134E-2</v>
      </c>
      <c r="W20" s="158">
        <f>'Al, Fe, HFO'!AA21</f>
        <v>0</v>
      </c>
      <c r="X20" s="192" t="s">
        <v>326</v>
      </c>
      <c r="Y20" s="192" t="s">
        <v>102</v>
      </c>
      <c r="Z20" s="227" t="s">
        <v>355</v>
      </c>
      <c r="AE20" s="3"/>
      <c r="AF20" s="3"/>
    </row>
    <row r="21" spans="1:32" x14ac:dyDescent="0.25">
      <c r="A21" s="40" t="s">
        <v>328</v>
      </c>
      <c r="B21" s="40">
        <v>20</v>
      </c>
      <c r="C21" s="40">
        <v>1</v>
      </c>
      <c r="D21" s="40">
        <v>10</v>
      </c>
      <c r="E21" s="168">
        <v>6.31</v>
      </c>
      <c r="F21" s="154">
        <f t="shared" si="1"/>
        <v>2E-3</v>
      </c>
      <c r="G21" s="144">
        <f>Carbon!Q22</f>
        <v>1.6652789342214822E-4</v>
      </c>
      <c r="H21" s="144">
        <f>Elements_CaCl2!R22</f>
        <v>1.6143092370774546E-3</v>
      </c>
      <c r="I21" s="144">
        <f>Elements_CaCl2!S22</f>
        <v>1.9681846537741732E-4</v>
      </c>
      <c r="J21" s="144">
        <f>Elements_CaCl2!O22</f>
        <v>1.0379241516966068E-3</v>
      </c>
      <c r="K21" s="144">
        <f>Elements_CaCl2!Q22</f>
        <v>3.8338132455779516E-4</v>
      </c>
      <c r="L21" s="229">
        <f>Elements_CaCl2!V22</f>
        <v>6.7710229341099386E-6</v>
      </c>
      <c r="M21" s="198">
        <f>'Al, Fe, HFO'!W22</f>
        <v>4.5959970348406227E-3</v>
      </c>
      <c r="N21" s="198">
        <f>'Al, Fe, HFO'!X22</f>
        <v>5.7654431512981202E-3</v>
      </c>
      <c r="O21" s="198">
        <f>Elements_HNO3!Z12</f>
        <v>1.699169409964092E-5</v>
      </c>
      <c r="P21" s="198">
        <f>Elements_HNO3!AA12</f>
        <v>1.8468307262390532E-5</v>
      </c>
      <c r="Q21" s="160">
        <f>Elements_HNO3!AG12</f>
        <v>3.1170115543571754E-3</v>
      </c>
      <c r="R21" s="194">
        <f>Carbon!R22</f>
        <v>5.7775581806757979E-2</v>
      </c>
      <c r="S21" s="194">
        <f>Carbon!S22</f>
        <v>3.7803999109717746E-4</v>
      </c>
      <c r="T21" s="194">
        <f>Carbon!T22</f>
        <v>7.5624139999999991E-3</v>
      </c>
      <c r="U21" s="229">
        <f>Carbon!U22</f>
        <v>4.3357959999999995E-4</v>
      </c>
      <c r="V21" s="5">
        <f>Clay!H23</f>
        <v>2.6059672874117545E-2</v>
      </c>
      <c r="W21" s="160">
        <f>'Al, Fe, HFO'!AA22</f>
        <v>0</v>
      </c>
      <c r="X21" s="194" t="s">
        <v>326</v>
      </c>
      <c r="Y21" s="194" t="s">
        <v>103</v>
      </c>
      <c r="Z21" s="229" t="s">
        <v>356</v>
      </c>
      <c r="AE21" s="3"/>
      <c r="AF21" s="3"/>
    </row>
    <row r="22" spans="1:32" x14ac:dyDescent="0.25">
      <c r="A22" s="40" t="s">
        <v>328</v>
      </c>
      <c r="B22" s="40">
        <v>21</v>
      </c>
      <c r="C22" s="40">
        <v>1</v>
      </c>
      <c r="D22" s="40">
        <v>10</v>
      </c>
      <c r="E22" s="168">
        <v>5.26</v>
      </c>
      <c r="F22" s="154">
        <f t="shared" si="1"/>
        <v>2E-3</v>
      </c>
      <c r="G22" s="144">
        <f>Carbon!Q23</f>
        <v>3.3305578684429647E-5</v>
      </c>
      <c r="H22" s="144">
        <f>Elements_CaCl2!R23</f>
        <v>2.6054951086430122E-4</v>
      </c>
      <c r="I22" s="144">
        <f>Elements_CaCl2!S23</f>
        <v>5.2401746724890829E-4</v>
      </c>
      <c r="J22" s="144">
        <f>Elements_CaCl2!O23</f>
        <v>1.437125748502994E-3</v>
      </c>
      <c r="K22" s="144">
        <f>Elements_CaCl2!Q23</f>
        <v>6.3348416289592767E-4</v>
      </c>
      <c r="L22" s="230">
        <f>Elements_CaCl2!V23</f>
        <v>1.044776119402985E-6</v>
      </c>
      <c r="M22" s="199">
        <f>'Al, Fe, HFO'!W23</f>
        <v>1.0822831727205336E-2</v>
      </c>
      <c r="N22" s="199">
        <f>'Al, Fe, HFO'!X23</f>
        <v>8.7018800358102059E-3</v>
      </c>
      <c r="O22" s="199">
        <f>Elements_HNO3!Z13</f>
        <v>1.6629250344617562E-6</v>
      </c>
      <c r="P22" s="199">
        <f>Elements_HNO3!AA13</f>
        <v>7.8068685846281838E-5</v>
      </c>
      <c r="Q22" s="161">
        <f>Elements_HNO3!AG13</f>
        <v>3.8824130016891105E-4</v>
      </c>
      <c r="R22" s="195">
        <f>Carbon!R23</f>
        <v>9.6917436811191263E-2</v>
      </c>
      <c r="S22" s="194">
        <f>Carbon!S23</f>
        <v>3.3836548608000004E-5</v>
      </c>
      <c r="T22" s="195">
        <f>Carbon!T23</f>
        <v>1.2510241000000002E-2</v>
      </c>
      <c r="U22" s="230">
        <f>Carbon!U23</f>
        <v>3.9873439999999995E-4</v>
      </c>
      <c r="V22" s="5">
        <f>Clay!H24</f>
        <v>2.9609578344612184E-2</v>
      </c>
      <c r="W22" s="161">
        <f>'Al, Fe, HFO'!AA23</f>
        <v>0</v>
      </c>
      <c r="X22" s="195" t="s">
        <v>326</v>
      </c>
      <c r="Y22" s="195" t="s">
        <v>104</v>
      </c>
      <c r="Z22" s="230" t="s">
        <v>357</v>
      </c>
      <c r="AE22" s="3"/>
      <c r="AF22" s="3"/>
    </row>
    <row r="23" spans="1:32" x14ac:dyDescent="0.25">
      <c r="S23"/>
    </row>
    <row r="24" spans="1:32" x14ac:dyDescent="0.25">
      <c r="D24"/>
      <c r="E24"/>
      <c r="F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32" x14ac:dyDescent="0.25">
      <c r="D25"/>
      <c r="E25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53"/>
    </row>
    <row r="26" spans="1:32" x14ac:dyDescent="0.25">
      <c r="D26"/>
      <c r="E26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53"/>
      <c r="X26"/>
      <c r="Y26"/>
    </row>
    <row r="27" spans="1:32" x14ac:dyDescent="0.25">
      <c r="D27"/>
      <c r="E27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53"/>
      <c r="X27" s="224"/>
      <c r="Y27" s="224"/>
    </row>
    <row r="28" spans="1:32" x14ac:dyDescent="0.25">
      <c r="D28"/>
      <c r="E28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53"/>
      <c r="X28" s="226"/>
      <c r="Y28" s="226"/>
    </row>
    <row r="29" spans="1:32" x14ac:dyDescent="0.25">
      <c r="D29"/>
      <c r="E29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53"/>
      <c r="X29" s="226"/>
      <c r="Y29" s="226"/>
    </row>
    <row r="30" spans="1:32" x14ac:dyDescent="0.25">
      <c r="D30"/>
      <c r="E3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53"/>
      <c r="X30" s="226"/>
      <c r="Y30" s="226"/>
    </row>
    <row r="31" spans="1:32" x14ac:dyDescent="0.25">
      <c r="D31"/>
      <c r="E31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53"/>
      <c r="X31" s="226"/>
      <c r="Y31" s="226"/>
    </row>
    <row r="32" spans="1:32" x14ac:dyDescent="0.25">
      <c r="D32"/>
      <c r="E32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53"/>
      <c r="X32" s="226"/>
      <c r="Y32" s="226"/>
    </row>
    <row r="33" spans="4:25" x14ac:dyDescent="0.25">
      <c r="D33"/>
      <c r="E33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53"/>
      <c r="X33" s="226"/>
      <c r="Y33" s="226"/>
    </row>
    <row r="34" spans="4:25" x14ac:dyDescent="0.25">
      <c r="D34"/>
      <c r="E34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53"/>
      <c r="X34" s="226"/>
      <c r="Y34" s="226"/>
    </row>
    <row r="35" spans="4:25" x14ac:dyDescent="0.25">
      <c r="D35"/>
      <c r="E35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53"/>
      <c r="X35" s="226"/>
      <c r="Y35" s="226"/>
    </row>
    <row r="36" spans="4:25" x14ac:dyDescent="0.25">
      <c r="D36"/>
      <c r="E36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53"/>
      <c r="X36"/>
      <c r="Y36"/>
    </row>
    <row r="37" spans="4:25" x14ac:dyDescent="0.25">
      <c r="D37"/>
      <c r="E37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53"/>
      <c r="X37"/>
      <c r="Y37"/>
    </row>
    <row r="38" spans="4:25" x14ac:dyDescent="0.25">
      <c r="D38"/>
      <c r="E38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53"/>
      <c r="X38"/>
      <c r="Y38"/>
    </row>
    <row r="39" spans="4:25" x14ac:dyDescent="0.25">
      <c r="D39"/>
      <c r="E39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53"/>
      <c r="X39"/>
      <c r="Y39"/>
    </row>
    <row r="40" spans="4:25" x14ac:dyDescent="0.25">
      <c r="D40"/>
      <c r="E4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53"/>
      <c r="X40"/>
      <c r="Y40"/>
    </row>
    <row r="41" spans="4:25" x14ac:dyDescent="0.25">
      <c r="D41"/>
      <c r="E41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53"/>
      <c r="X41"/>
      <c r="Y41"/>
    </row>
    <row r="42" spans="4:25" x14ac:dyDescent="0.25">
      <c r="D42"/>
      <c r="E42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53"/>
      <c r="X42"/>
      <c r="Y42"/>
    </row>
    <row r="43" spans="4:25" x14ac:dyDescent="0.25">
      <c r="D43"/>
      <c r="E43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53"/>
      <c r="X43"/>
      <c r="Y43"/>
    </row>
    <row r="44" spans="4:25" x14ac:dyDescent="0.25">
      <c r="D44"/>
      <c r="E44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53"/>
      <c r="X44"/>
      <c r="Y44"/>
    </row>
    <row r="45" spans="4:25" x14ac:dyDescent="0.25">
      <c r="D45"/>
      <c r="E45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53"/>
      <c r="X45"/>
      <c r="Y45"/>
    </row>
    <row r="46" spans="4:25" x14ac:dyDescent="0.25">
      <c r="D46"/>
      <c r="E46"/>
      <c r="F46" s="220"/>
      <c r="G46" s="220"/>
      <c r="H46" s="220"/>
      <c r="I46" s="220"/>
      <c r="J46" s="254"/>
      <c r="K46" s="254"/>
      <c r="L46" s="254"/>
      <c r="M46" s="254"/>
      <c r="N46" s="254"/>
      <c r="O46" s="220"/>
      <c r="P46" s="220"/>
      <c r="Q46" s="220"/>
      <c r="R46" s="220"/>
      <c r="S46" s="220"/>
      <c r="T46" s="220"/>
      <c r="U46" s="220"/>
      <c r="V46" s="220"/>
      <c r="W46" s="253"/>
      <c r="X46"/>
      <c r="Y46"/>
    </row>
    <row r="47" spans="4:25" x14ac:dyDescent="0.25"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/>
      <c r="Y47"/>
    </row>
    <row r="48" spans="4:25" x14ac:dyDescent="0.25"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/>
      <c r="Y48"/>
    </row>
    <row r="49" spans="4:25" x14ac:dyDescent="0.25"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/>
      <c r="Y49"/>
    </row>
    <row r="50" spans="4:25" x14ac:dyDescent="0.25">
      <c r="D50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/>
      <c r="Y50"/>
    </row>
    <row r="51" spans="4:25" x14ac:dyDescent="0.25">
      <c r="D51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/>
      <c r="Y51"/>
    </row>
    <row r="52" spans="4:25" x14ac:dyDescent="0.25">
      <c r="D52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/>
      <c r="Y52"/>
    </row>
    <row r="53" spans="4:25" x14ac:dyDescent="0.25">
      <c r="D5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/>
      <c r="Y53"/>
    </row>
    <row r="54" spans="4:25" x14ac:dyDescent="0.25">
      <c r="D54"/>
      <c r="E54" s="263"/>
      <c r="F54" s="263"/>
      <c r="G54" s="263"/>
      <c r="H54" s="263"/>
      <c r="I54" s="263"/>
      <c r="J54" s="263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/>
      <c r="Y54"/>
    </row>
    <row r="55" spans="4:25" x14ac:dyDescent="0.25">
      <c r="D55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/>
      <c r="Y55"/>
    </row>
    <row r="56" spans="4:25" x14ac:dyDescent="0.25">
      <c r="D56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/>
      <c r="Y56"/>
    </row>
    <row r="57" spans="4:25" x14ac:dyDescent="0.25">
      <c r="D57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/>
      <c r="Y57"/>
    </row>
    <row r="58" spans="4:25" x14ac:dyDescent="0.25">
      <c r="D58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/>
      <c r="Y58"/>
    </row>
    <row r="59" spans="4:25" x14ac:dyDescent="0.25">
      <c r="D59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/>
      <c r="Y59"/>
    </row>
    <row r="60" spans="4:25" x14ac:dyDescent="0.25">
      <c r="D60"/>
      <c r="E60" s="263"/>
      <c r="F60" s="263"/>
      <c r="G60" s="263"/>
      <c r="H60" s="263"/>
      <c r="I60" s="263"/>
      <c r="J60" s="263"/>
      <c r="K60" s="263"/>
      <c r="L60" s="263"/>
      <c r="M60" s="263"/>
      <c r="N60" s="263"/>
      <c r="O60" s="263"/>
      <c r="P60" s="263"/>
      <c r="Q60" s="263"/>
      <c r="R60" s="263"/>
      <c r="S60" s="263"/>
      <c r="T60" s="263"/>
      <c r="U60" s="263"/>
      <c r="V60" s="263"/>
      <c r="W60" s="263"/>
      <c r="X60"/>
      <c r="Y60"/>
    </row>
    <row r="61" spans="4:25" x14ac:dyDescent="0.25">
      <c r="D61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3"/>
      <c r="P61" s="263"/>
      <c r="Q61" s="263"/>
      <c r="R61" s="263"/>
      <c r="S61" s="263"/>
      <c r="T61" s="263"/>
      <c r="U61" s="263"/>
      <c r="V61" s="263"/>
      <c r="W61" s="263"/>
      <c r="X61"/>
      <c r="Y61"/>
    </row>
    <row r="62" spans="4:25" x14ac:dyDescent="0.25">
      <c r="D62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3"/>
      <c r="T62" s="263"/>
      <c r="U62" s="263"/>
      <c r="V62" s="263"/>
      <c r="W62" s="263"/>
      <c r="X62"/>
      <c r="Y62"/>
    </row>
    <row r="63" spans="4:25" x14ac:dyDescent="0.25">
      <c r="D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/>
      <c r="Y63"/>
    </row>
    <row r="64" spans="4:25" x14ac:dyDescent="0.25">
      <c r="D64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3"/>
      <c r="T64" s="263"/>
      <c r="U64" s="263"/>
      <c r="V64" s="263"/>
      <c r="W64" s="263"/>
      <c r="X64"/>
      <c r="Y64"/>
    </row>
    <row r="65" spans="4:25" x14ac:dyDescent="0.25">
      <c r="D65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/>
      <c r="Y65"/>
    </row>
    <row r="66" spans="4:25" x14ac:dyDescent="0.25">
      <c r="D66"/>
      <c r="E66" s="263"/>
      <c r="F66" s="263"/>
      <c r="G66" s="263"/>
      <c r="H66" s="263"/>
      <c r="I66" s="263"/>
      <c r="J66" s="263"/>
      <c r="K66" s="263"/>
      <c r="L66" s="263"/>
      <c r="M66" s="263"/>
      <c r="N66" s="263"/>
      <c r="O66" s="263"/>
      <c r="P66" s="263"/>
      <c r="Q66" s="263"/>
      <c r="R66" s="263"/>
      <c r="S66" s="263"/>
      <c r="T66" s="263"/>
      <c r="U66" s="263"/>
      <c r="V66" s="263"/>
      <c r="W66" s="263"/>
      <c r="X66"/>
      <c r="Y66"/>
    </row>
    <row r="67" spans="4:25" x14ac:dyDescent="0.25">
      <c r="D67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263"/>
      <c r="X67"/>
      <c r="Y67"/>
    </row>
    <row r="68" spans="4:25" x14ac:dyDescent="0.25">
      <c r="D68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  <c r="P68" s="263"/>
      <c r="Q68" s="263"/>
      <c r="R68" s="263"/>
      <c r="S68" s="263"/>
      <c r="T68" s="263"/>
      <c r="U68" s="263"/>
      <c r="V68" s="263"/>
      <c r="W68" s="263"/>
      <c r="X68"/>
      <c r="Y68"/>
    </row>
    <row r="69" spans="4:25" x14ac:dyDescent="0.25">
      <c r="D69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/>
      <c r="Y69"/>
    </row>
    <row r="70" spans="4:25" x14ac:dyDescent="0.25"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4:25" x14ac:dyDescent="0.25"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4:25" x14ac:dyDescent="0.25"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4:25" x14ac:dyDescent="0.25"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4:25" x14ac:dyDescent="0.25"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4:25" x14ac:dyDescent="0.25"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4:25" x14ac:dyDescent="0.25"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4:25" x14ac:dyDescent="0.25"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4:25" x14ac:dyDescent="0.25"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4:25" x14ac:dyDescent="0.25"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4:25" x14ac:dyDescent="0.25"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2:25" x14ac:dyDescent="0.25"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2:25" x14ac:dyDescent="0.25"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2:25" x14ac:dyDescent="0.25"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2:25" x14ac:dyDescent="0.25"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2:25" x14ac:dyDescent="0.25"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2:25" x14ac:dyDescent="0.25"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2:25" x14ac:dyDescent="0.25"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2:25" x14ac:dyDescent="0.25"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2:25" x14ac:dyDescent="0.25"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2:25" x14ac:dyDescent="0.25"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2:25" x14ac:dyDescent="0.25"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2:25" x14ac:dyDescent="0.25"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2:25" x14ac:dyDescent="0.25"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2:25" x14ac:dyDescent="0.25"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2:25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2:25" x14ac:dyDescent="0.2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2:22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2:22" x14ac:dyDescent="0.25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2:22" x14ac:dyDescent="0.2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2:22" x14ac:dyDescent="0.2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2:22" x14ac:dyDescent="0.2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2:22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2:22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2:22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2:22" x14ac:dyDescent="0.2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2:22" x14ac:dyDescent="0.2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2:22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2:22" x14ac:dyDescent="0.2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2:22" x14ac:dyDescent="0.2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2:22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2:22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2:22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2:22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2:22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2:22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2:22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2:22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2:22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2:22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2:22" x14ac:dyDescent="0.2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2:22" x14ac:dyDescent="0.25">
      <c r="B121" s="10"/>
      <c r="C121" s="10"/>
      <c r="D121" s="10"/>
      <c r="E121" s="10"/>
      <c r="F121" s="10"/>
      <c r="G121" s="10"/>
      <c r="H121" s="10"/>
      <c r="I121" s="3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</row>
    <row r="122" spans="2:22" x14ac:dyDescent="0.25">
      <c r="B122" s="10"/>
      <c r="C122" s="10"/>
      <c r="D122" s="10"/>
      <c r="E122" s="10"/>
      <c r="F122" s="10"/>
      <c r="G122" s="10"/>
      <c r="H122" s="10"/>
      <c r="I122" s="3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</row>
    <row r="123" spans="2:22" x14ac:dyDescent="0.25">
      <c r="B123" s="10"/>
      <c r="C123" s="10"/>
      <c r="D123" s="10"/>
      <c r="E123" s="10"/>
      <c r="F123" s="10"/>
      <c r="G123" s="10"/>
      <c r="H123" s="10"/>
      <c r="I123" s="3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</row>
    <row r="124" spans="2:22" x14ac:dyDescent="0.25">
      <c r="B124" s="10"/>
      <c r="C124" s="10"/>
      <c r="D124" s="10"/>
      <c r="E124" s="10"/>
      <c r="F124" s="10"/>
      <c r="G124" s="10"/>
      <c r="H124" s="10"/>
      <c r="I124" s="3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</row>
    <row r="125" spans="2:22" x14ac:dyDescent="0.25">
      <c r="B125" s="10"/>
      <c r="C125" s="10"/>
      <c r="D125" s="10"/>
      <c r="E125" s="10"/>
      <c r="F125" s="10"/>
      <c r="G125" s="10"/>
      <c r="H125" s="10"/>
      <c r="I125" s="3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</row>
    <row r="126" spans="2:22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</row>
    <row r="127" spans="2:22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</row>
    <row r="128" spans="2:22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</row>
    <row r="129" spans="2:22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</row>
    <row r="130" spans="2:22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</row>
    <row r="131" spans="2:22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</row>
    <row r="132" spans="2:22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</row>
    <row r="133" spans="2:22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</row>
    <row r="134" spans="2:22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</row>
    <row r="135" spans="2:22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</row>
    <row r="136" spans="2:22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</row>
    <row r="137" spans="2:22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</row>
    <row r="138" spans="2:22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</row>
    <row r="139" spans="2:22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</row>
    <row r="140" spans="2:22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</row>
    <row r="141" spans="2:22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</row>
    <row r="142" spans="2:22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</row>
    <row r="143" spans="2:22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</row>
    <row r="144" spans="2:22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</row>
    <row r="145" spans="2:22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</row>
    <row r="146" spans="2:22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</row>
    <row r="147" spans="2:22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</row>
    <row r="148" spans="2:22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</row>
    <row r="149" spans="2:22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</row>
    <row r="150" spans="2:22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</row>
    <row r="151" spans="2:22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</row>
    <row r="152" spans="2:22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</row>
    <row r="153" spans="2:22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</row>
    <row r="154" spans="2:22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</row>
    <row r="155" spans="2:22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</row>
    <row r="156" spans="2:22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</row>
    <row r="157" spans="2:22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</row>
    <row r="158" spans="2:22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</row>
    <row r="159" spans="2:22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</row>
    <row r="160" spans="2:22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</row>
    <row r="161" spans="2:22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</row>
    <row r="162" spans="2:22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</row>
    <row r="163" spans="2:22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</row>
    <row r="164" spans="2:22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</row>
    <row r="165" spans="2:22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</row>
    <row r="166" spans="2:22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</row>
    <row r="167" spans="2:22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</row>
    <row r="168" spans="2:22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</row>
    <row r="169" spans="2:22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</row>
    <row r="170" spans="2:22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</row>
    <row r="171" spans="2:22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</row>
    <row r="172" spans="2:22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</row>
    <row r="173" spans="2:22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</row>
    <row r="174" spans="2:22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</row>
    <row r="175" spans="2:22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</row>
    <row r="176" spans="2:22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</row>
    <row r="177" spans="2:22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</row>
    <row r="178" spans="2:22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</row>
    <row r="179" spans="2:22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</row>
    <row r="180" spans="2:22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</row>
    <row r="181" spans="2:22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</row>
    <row r="182" spans="2:22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</row>
    <row r="183" spans="2:22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</row>
    <row r="184" spans="2:22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</row>
    <row r="185" spans="2:22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</row>
    <row r="186" spans="2:22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</row>
    <row r="187" spans="2:22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</row>
    <row r="188" spans="2:22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</row>
  </sheetData>
  <pageMargins left="0.7" right="0.7" top="0.75" bottom="0.75" header="0.3" footer="0.3"/>
  <pageSetup paperSize="9" orientation="portrait" r:id="rId1"/>
  <ignoredErrors>
    <ignoredError sqref="F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Code explanation</vt:lpstr>
      <vt:lpstr>Carbon</vt:lpstr>
      <vt:lpstr>Elements_CaCl2</vt:lpstr>
      <vt:lpstr>Elements_HNO3</vt:lpstr>
      <vt:lpstr>Al, Fe, HFO</vt:lpstr>
      <vt:lpstr>Clay</vt:lpstr>
      <vt:lpstr>INPUT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Klinkert, Susan</dc:creator>
  <cp:lastModifiedBy>Klinkert, Susan</cp:lastModifiedBy>
  <dcterms:created xsi:type="dcterms:W3CDTF">2016-06-08T14:45:30Z</dcterms:created>
  <dcterms:modified xsi:type="dcterms:W3CDTF">2020-01-21T10:22:50Z</dcterms:modified>
</cp:coreProperties>
</file>