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wageningenur4-my.sharepoint.com/personal/david_strik_wur_nl/Documents/TEMDAVID_2/Brain data/DATA_repository/"/>
    </mc:Choice>
  </mc:AlternateContent>
  <xr:revisionPtr revIDLastSave="10" documentId="8_{E067BB81-C23C-43ED-A0D0-52463CC4AC61}" xr6:coauthVersionLast="47" xr6:coauthVersionMax="47" xr10:uidLastSave="{187C8DA7-4187-4EDB-B974-D1620CF2BED1}"/>
  <bookViews>
    <workbookView xWindow="-28920" yWindow="-75" windowWidth="29040" windowHeight="15840" xr2:uid="{00000000-000D-0000-FFFF-FFFF00000000}"/>
  </bookViews>
  <sheets>
    <sheet name="Figures" sheetId="3" r:id="rId1"/>
    <sheet name="B1" sheetId="1" r:id="rId2"/>
    <sheet name="B2" sheetId="4" r:id="rId3"/>
    <sheet name="B3" sheetId="5" r:id="rId4"/>
    <sheet name="B4" sheetId="6" r:id="rId5"/>
    <sheet name="B5" sheetId="7" r:id="rId6"/>
    <sheet name="B6" sheetId="8" r:id="rId7"/>
    <sheet name="BL7" sheetId="9" r:id="rId8"/>
    <sheet name="BL8" sheetId="10" r:id="rId9"/>
    <sheet name="B1B3 Aver" sheetId="15" r:id="rId10"/>
    <sheet name="B4B6 Aver" sheetId="16" r:id="rId11"/>
    <sheet name="Blank average" sheetId="17" r:id="rId12"/>
    <sheet name="constants" sheetId="2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D16" i="15" l="1"/>
  <c r="CD17" i="15" s="1"/>
  <c r="CD18" i="15" s="1"/>
  <c r="CD19" i="15" s="1"/>
  <c r="CD20" i="15" s="1"/>
  <c r="CD21" i="15" s="1"/>
  <c r="CD22" i="15" s="1"/>
  <c r="CD23" i="15" s="1"/>
  <c r="CD24" i="15" s="1"/>
  <c r="CC17" i="15"/>
  <c r="CC18" i="15"/>
  <c r="CC19" i="15"/>
  <c r="CC20" i="15"/>
  <c r="CC21" i="15"/>
  <c r="CC22" i="15"/>
  <c r="CC23" i="15"/>
  <c r="CC24" i="15"/>
  <c r="CC16" i="15"/>
  <c r="CF16" i="15" s="1"/>
  <c r="CL24" i="15"/>
  <c r="CK24" i="15"/>
  <c r="CJ24" i="15"/>
  <c r="CI24" i="15"/>
  <c r="CH24" i="15"/>
  <c r="CG24" i="15"/>
  <c r="CF24" i="15"/>
  <c r="CL23" i="15"/>
  <c r="CK23" i="15"/>
  <c r="CJ23" i="15"/>
  <c r="CI23" i="15"/>
  <c r="CH23" i="15"/>
  <c r="CG23" i="15"/>
  <c r="CF23" i="15"/>
  <c r="CL22" i="15"/>
  <c r="CK22" i="15"/>
  <c r="CJ22" i="15"/>
  <c r="CI22" i="15"/>
  <c r="CH22" i="15"/>
  <c r="CG22" i="15"/>
  <c r="CF22" i="15"/>
  <c r="CL21" i="15"/>
  <c r="CK21" i="15"/>
  <c r="CJ21" i="15"/>
  <c r="CI21" i="15"/>
  <c r="CH21" i="15"/>
  <c r="CG21" i="15"/>
  <c r="CF21" i="15"/>
  <c r="CL20" i="15"/>
  <c r="CK20" i="15"/>
  <c r="CJ20" i="15"/>
  <c r="CI20" i="15"/>
  <c r="CH20" i="15"/>
  <c r="CG20" i="15"/>
  <c r="CF20" i="15"/>
  <c r="CL19" i="15"/>
  <c r="CK19" i="15"/>
  <c r="CJ19" i="15"/>
  <c r="CI19" i="15"/>
  <c r="CH19" i="15"/>
  <c r="CG19" i="15"/>
  <c r="CF19" i="15"/>
  <c r="CL18" i="15"/>
  <c r="CK18" i="15"/>
  <c r="CJ18" i="15"/>
  <c r="CI18" i="15"/>
  <c r="CH18" i="15"/>
  <c r="CG18" i="15"/>
  <c r="CF18" i="15"/>
  <c r="CL17" i="15"/>
  <c r="CK17" i="15"/>
  <c r="CJ17" i="15"/>
  <c r="CI17" i="15"/>
  <c r="CO29" i="15" s="1"/>
  <c r="CH17" i="15"/>
  <c r="CG17" i="15"/>
  <c r="CF17" i="15"/>
  <c r="CL16" i="15"/>
  <c r="CR29" i="15" s="1"/>
  <c r="CK16" i="15"/>
  <c r="CQ29" i="15" s="1"/>
  <c r="CJ16" i="15"/>
  <c r="CP29" i="15" s="1"/>
  <c r="CI16" i="15"/>
  <c r="CH16" i="15"/>
  <c r="CN29" i="15" s="1"/>
  <c r="CG16" i="15"/>
  <c r="CM29" i="15" s="1"/>
  <c r="CW31" i="16"/>
  <c r="CF27" i="16"/>
  <c r="CT31" i="16"/>
  <c r="CN31" i="16"/>
  <c r="CO31" i="16"/>
  <c r="CP31" i="16"/>
  <c r="CQ31" i="16"/>
  <c r="CR31" i="16"/>
  <c r="CM31" i="16"/>
  <c r="CN29" i="16"/>
  <c r="CO29" i="16"/>
  <c r="CP29" i="16"/>
  <c r="CQ29" i="16"/>
  <c r="CR29" i="16"/>
  <c r="CM29" i="16"/>
  <c r="CR24" i="16"/>
  <c r="CQ24" i="16"/>
  <c r="CP24" i="16"/>
  <c r="CO24" i="16"/>
  <c r="CN24" i="16"/>
  <c r="CM24" i="16"/>
  <c r="CD18" i="16"/>
  <c r="CD19" i="16" s="1"/>
  <c r="CD20" i="16" s="1"/>
  <c r="CD21" i="16" s="1"/>
  <c r="CD22" i="16" s="1"/>
  <c r="CD23" i="16" s="1"/>
  <c r="CD24" i="16" s="1"/>
  <c r="CD17" i="16"/>
  <c r="BZ16" i="16"/>
  <c r="CG17" i="16"/>
  <c r="CH17" i="16"/>
  <c r="CI17" i="16"/>
  <c r="CJ17" i="16"/>
  <c r="CK17" i="16"/>
  <c r="CL17" i="16"/>
  <c r="CG18" i="16"/>
  <c r="CH18" i="16"/>
  <c r="CI18" i="16"/>
  <c r="CJ18" i="16"/>
  <c r="CK18" i="16"/>
  <c r="CL18" i="16"/>
  <c r="CG19" i="16"/>
  <c r="CH19" i="16"/>
  <c r="CI19" i="16"/>
  <c r="CJ19" i="16"/>
  <c r="CK19" i="16"/>
  <c r="CL19" i="16"/>
  <c r="CG20" i="16"/>
  <c r="CH20" i="16"/>
  <c r="CI20" i="16"/>
  <c r="CJ20" i="16"/>
  <c r="CK20" i="16"/>
  <c r="CL20" i="16"/>
  <c r="CG21" i="16"/>
  <c r="CH21" i="16"/>
  <c r="CI21" i="16"/>
  <c r="CJ21" i="16"/>
  <c r="CK21" i="16"/>
  <c r="CL21" i="16"/>
  <c r="CG22" i="16"/>
  <c r="CH22" i="16"/>
  <c r="CI22" i="16"/>
  <c r="CJ22" i="16"/>
  <c r="CK22" i="16"/>
  <c r="CL22" i="16"/>
  <c r="CG23" i="16"/>
  <c r="CH23" i="16"/>
  <c r="CI23" i="16"/>
  <c r="CJ23" i="16"/>
  <c r="CK23" i="16"/>
  <c r="CL23" i="16"/>
  <c r="CG24" i="16"/>
  <c r="CH24" i="16"/>
  <c r="CI24" i="16"/>
  <c r="CJ24" i="16"/>
  <c r="CK24" i="16"/>
  <c r="CL24" i="16"/>
  <c r="CL16" i="16"/>
  <c r="CK16" i="16"/>
  <c r="CJ16" i="16"/>
  <c r="CI16" i="16"/>
  <c r="CH16" i="16"/>
  <c r="CG16" i="16"/>
  <c r="CF17" i="16"/>
  <c r="CF18" i="16"/>
  <c r="CF19" i="16"/>
  <c r="CF20" i="16"/>
  <c r="CF21" i="16"/>
  <c r="CF22" i="16"/>
  <c r="CF23" i="16"/>
  <c r="CF24" i="16"/>
  <c r="CF16" i="16"/>
  <c r="CD16" i="16"/>
  <c r="CC16" i="16"/>
  <c r="CC17" i="16"/>
  <c r="CC18" i="16"/>
  <c r="CC19" i="16"/>
  <c r="CC20" i="16"/>
  <c r="CC21" i="16"/>
  <c r="CC22" i="16"/>
  <c r="CC23" i="16"/>
  <c r="CC24" i="16"/>
  <c r="CC11" i="16"/>
  <c r="CC12" i="16"/>
  <c r="CC13" i="16"/>
  <c r="CF13" i="16" s="1"/>
  <c r="CC14" i="16"/>
  <c r="CF14" i="16" s="1"/>
  <c r="CC15" i="16"/>
  <c r="CC9" i="16"/>
  <c r="CC10" i="16"/>
  <c r="CF12" i="16"/>
  <c r="CD12" i="16"/>
  <c r="CD13" i="16" s="1"/>
  <c r="CD14" i="16" s="1"/>
  <c r="CD15" i="16" s="1"/>
  <c r="CD11" i="16"/>
  <c r="CF11" i="16"/>
  <c r="CD10" i="16"/>
  <c r="CF10" i="16"/>
  <c r="CF9" i="16"/>
  <c r="CJ6" i="15"/>
  <c r="CJ15" i="15"/>
  <c r="CF15" i="15"/>
  <c r="CF9" i="15"/>
  <c r="CF11" i="15"/>
  <c r="CF12" i="15"/>
  <c r="CF13" i="15"/>
  <c r="CF14" i="15"/>
  <c r="CF10" i="15"/>
  <c r="CD11" i="15"/>
  <c r="CD12" i="15" s="1"/>
  <c r="CD13" i="15" s="1"/>
  <c r="CD14" i="15" s="1"/>
  <c r="CD15" i="15" s="1"/>
  <c r="CD10" i="15"/>
  <c r="CC10" i="15"/>
  <c r="CC11" i="15"/>
  <c r="CC12" i="15"/>
  <c r="CC13" i="15"/>
  <c r="CC14" i="15"/>
  <c r="CC15" i="15"/>
  <c r="CC9" i="15"/>
  <c r="I23" i="3"/>
  <c r="BZ16" i="15" l="1"/>
  <c r="CQ24" i="15"/>
  <c r="CQ31" i="15" s="1"/>
  <c r="CM24" i="15"/>
  <c r="CM31" i="15" s="1"/>
  <c r="CP24" i="15"/>
  <c r="CP31" i="15" s="1"/>
  <c r="CN24" i="15"/>
  <c r="CN31" i="15" s="1"/>
  <c r="CO24" i="15"/>
  <c r="CO31" i="15" s="1"/>
  <c r="CR24" i="15"/>
  <c r="CR31" i="15" s="1"/>
  <c r="CF27" i="15"/>
  <c r="CF15" i="16"/>
  <c r="CJ15" i="16" s="1"/>
  <c r="CJ7" i="16" s="1"/>
  <c r="AQ16" i="16"/>
  <c r="AR16" i="16"/>
  <c r="AS16" i="16"/>
  <c r="AT16" i="16"/>
  <c r="AU16" i="16"/>
  <c r="AV16" i="16"/>
  <c r="AW16" i="16"/>
  <c r="AQ17" i="16"/>
  <c r="AR17" i="16"/>
  <c r="AS17" i="16"/>
  <c r="AT17" i="16"/>
  <c r="AU17" i="16"/>
  <c r="AV17" i="16"/>
  <c r="AW17" i="16"/>
  <c r="AQ18" i="16"/>
  <c r="AR18" i="16"/>
  <c r="AS18" i="16"/>
  <c r="AT18" i="16"/>
  <c r="AU18" i="16"/>
  <c r="AV18" i="16"/>
  <c r="AW18" i="16"/>
  <c r="AQ19" i="16"/>
  <c r="AR19" i="16"/>
  <c r="AS19" i="16"/>
  <c r="AT19" i="16"/>
  <c r="AU19" i="16"/>
  <c r="AV19" i="16"/>
  <c r="AW19" i="16"/>
  <c r="AQ20" i="16"/>
  <c r="AR20" i="16"/>
  <c r="AS20" i="16"/>
  <c r="AT20" i="16"/>
  <c r="AU20" i="16"/>
  <c r="AV20" i="16"/>
  <c r="AW20" i="16"/>
  <c r="AQ21" i="16"/>
  <c r="AR21" i="16"/>
  <c r="AS21" i="16"/>
  <c r="AT21" i="16"/>
  <c r="AU21" i="16"/>
  <c r="AV21" i="16"/>
  <c r="AW21" i="16"/>
  <c r="AQ22" i="16"/>
  <c r="AR22" i="16"/>
  <c r="AS22" i="16"/>
  <c r="AT22" i="16"/>
  <c r="AU22" i="16"/>
  <c r="AV22" i="16"/>
  <c r="AW22" i="16"/>
  <c r="AQ23" i="16"/>
  <c r="AR23" i="16"/>
  <c r="AS23" i="16"/>
  <c r="AT23" i="16"/>
  <c r="AU23" i="16"/>
  <c r="AV23" i="16"/>
  <c r="AW23" i="16"/>
  <c r="AQ24" i="16"/>
  <c r="AR24" i="16"/>
  <c r="AS24" i="16"/>
  <c r="AT24" i="16"/>
  <c r="AU24" i="16"/>
  <c r="AV24" i="16"/>
  <c r="AW24" i="16"/>
  <c r="AP16" i="16"/>
  <c r="AP17" i="16"/>
  <c r="AP18" i="16"/>
  <c r="AP19" i="16"/>
  <c r="AP20" i="16"/>
  <c r="AP21" i="16"/>
  <c r="AP22" i="16"/>
  <c r="AP23" i="16"/>
  <c r="AP24" i="16"/>
  <c r="AW10" i="8"/>
  <c r="AW11" i="8"/>
  <c r="AW12" i="8"/>
  <c r="AW13" i="8"/>
  <c r="AW14" i="8"/>
  <c r="AW15" i="8"/>
  <c r="AW16" i="8"/>
  <c r="AW17" i="8"/>
  <c r="AW18" i="8"/>
  <c r="AW19" i="8"/>
  <c r="AW20" i="8"/>
  <c r="AW21" i="8"/>
  <c r="AW22" i="8"/>
  <c r="AW23" i="8"/>
  <c r="AW24" i="8"/>
  <c r="AW25" i="8"/>
  <c r="AW9" i="8"/>
  <c r="AV10" i="8"/>
  <c r="AV11" i="8"/>
  <c r="AV12" i="8"/>
  <c r="AV13" i="8"/>
  <c r="AV14" i="8"/>
  <c r="AV15" i="8"/>
  <c r="AV16" i="8"/>
  <c r="AV17" i="8"/>
  <c r="AV18" i="8"/>
  <c r="AV19" i="8"/>
  <c r="AV20" i="8"/>
  <c r="AV21" i="8"/>
  <c r="AV22" i="8"/>
  <c r="AV23" i="8"/>
  <c r="AV24" i="8"/>
  <c r="AV25" i="8"/>
  <c r="AV9" i="8"/>
  <c r="AU10" i="8"/>
  <c r="AU11" i="8"/>
  <c r="AU12" i="8"/>
  <c r="AU13" i="8"/>
  <c r="AU14" i="8"/>
  <c r="AU15" i="8"/>
  <c r="AU16" i="8"/>
  <c r="AU17" i="8"/>
  <c r="AU18" i="8"/>
  <c r="AU19" i="8"/>
  <c r="AU20" i="8"/>
  <c r="AU21" i="8"/>
  <c r="AU22" i="8"/>
  <c r="AU23" i="8"/>
  <c r="AU24" i="8"/>
  <c r="AU25" i="8"/>
  <c r="AU9" i="8"/>
  <c r="AT10" i="8"/>
  <c r="AT11" i="8"/>
  <c r="AT12" i="8"/>
  <c r="AT13" i="8"/>
  <c r="AT14" i="8"/>
  <c r="AT15" i="8"/>
  <c r="AT16" i="8"/>
  <c r="AT17" i="8"/>
  <c r="AT18" i="8"/>
  <c r="AT19" i="8"/>
  <c r="AT20" i="8"/>
  <c r="AT21" i="8"/>
  <c r="AT22" i="8"/>
  <c r="AT23" i="8"/>
  <c r="AT24" i="8"/>
  <c r="AT25" i="8"/>
  <c r="AT9" i="8"/>
  <c r="AS10" i="8"/>
  <c r="AS11" i="8"/>
  <c r="AS12" i="8"/>
  <c r="AS13" i="8"/>
  <c r="AS14" i="8"/>
  <c r="AS15" i="8"/>
  <c r="AS16" i="8"/>
  <c r="AS17" i="8"/>
  <c r="AS18" i="8"/>
  <c r="AS19" i="8"/>
  <c r="AS20" i="8"/>
  <c r="AS21" i="8"/>
  <c r="AS22" i="8"/>
  <c r="AS23" i="8"/>
  <c r="AS24" i="8"/>
  <c r="AS25" i="8"/>
  <c r="AS9" i="8"/>
  <c r="AR10" i="8"/>
  <c r="AR11" i="8"/>
  <c r="AR12" i="8"/>
  <c r="AR13" i="8"/>
  <c r="AR14" i="8"/>
  <c r="AR15" i="8"/>
  <c r="AR16" i="8"/>
  <c r="AR17" i="8"/>
  <c r="AR18" i="8"/>
  <c r="AR19" i="8"/>
  <c r="AR20" i="8"/>
  <c r="AR21" i="8"/>
  <c r="AR22" i="8"/>
  <c r="AR23" i="8"/>
  <c r="AR24" i="8"/>
  <c r="AR25" i="8"/>
  <c r="AR9" i="8"/>
  <c r="AQ10" i="8"/>
  <c r="AQ11" i="8"/>
  <c r="AQ12" i="8"/>
  <c r="AQ13" i="8"/>
  <c r="AQ14" i="8"/>
  <c r="AQ15" i="8"/>
  <c r="AQ16" i="8"/>
  <c r="AQ17" i="8"/>
  <c r="AQ18" i="8"/>
  <c r="AQ19" i="8"/>
  <c r="AQ20" i="8"/>
  <c r="AQ21" i="8"/>
  <c r="AQ22" i="8"/>
  <c r="AQ23" i="8"/>
  <c r="AQ24" i="8"/>
  <c r="AQ25" i="8"/>
  <c r="AQ9" i="8"/>
  <c r="AP10" i="8"/>
  <c r="AP11" i="8"/>
  <c r="AP12" i="8"/>
  <c r="AP13" i="8"/>
  <c r="AP14" i="8"/>
  <c r="AP15" i="8"/>
  <c r="AP16" i="8"/>
  <c r="AP17" i="8"/>
  <c r="AP18" i="8"/>
  <c r="AP19" i="8"/>
  <c r="AP20" i="8"/>
  <c r="AP21" i="8"/>
  <c r="AP22" i="8"/>
  <c r="AP23" i="8"/>
  <c r="AP24" i="8"/>
  <c r="AP25" i="8"/>
  <c r="AP9" i="8"/>
  <c r="AW16" i="6"/>
  <c r="AW17" i="6"/>
  <c r="AW18" i="6"/>
  <c r="AW19" i="6"/>
  <c r="AW20" i="6"/>
  <c r="AW21" i="6"/>
  <c r="AW22" i="6"/>
  <c r="AW23" i="6"/>
  <c r="AW24" i="6"/>
  <c r="AY10" i="7"/>
  <c r="AY11" i="7"/>
  <c r="AY12" i="7"/>
  <c r="AY13" i="7"/>
  <c r="AY14" i="7"/>
  <c r="AY15" i="7"/>
  <c r="AY16" i="7"/>
  <c r="AY17" i="7"/>
  <c r="AY18" i="7"/>
  <c r="AY19" i="7"/>
  <c r="AY20" i="7"/>
  <c r="AY21" i="7"/>
  <c r="AY22" i="7"/>
  <c r="AY23" i="7"/>
  <c r="AY24" i="7"/>
  <c r="AY25" i="7"/>
  <c r="AY9" i="7"/>
  <c r="AX10" i="7"/>
  <c r="AX11" i="7"/>
  <c r="AX12" i="7"/>
  <c r="AX13" i="7"/>
  <c r="AX14" i="7"/>
  <c r="AX15" i="7"/>
  <c r="AX16" i="7"/>
  <c r="AX17" i="7"/>
  <c r="AX18" i="7"/>
  <c r="AX19" i="7"/>
  <c r="AX20" i="7"/>
  <c r="AX21" i="7"/>
  <c r="AX22" i="7"/>
  <c r="AX23" i="7"/>
  <c r="AX24" i="7"/>
  <c r="AX25" i="7"/>
  <c r="AX9" i="7"/>
  <c r="AW10" i="7"/>
  <c r="AW11" i="7"/>
  <c r="AW12" i="7"/>
  <c r="AW13" i="7"/>
  <c r="AW14" i="7"/>
  <c r="AW15" i="7"/>
  <c r="AW16" i="7"/>
  <c r="AW17" i="7"/>
  <c r="AW18" i="7"/>
  <c r="AW19" i="7"/>
  <c r="AW20" i="7"/>
  <c r="AW21" i="7"/>
  <c r="AW22" i="7"/>
  <c r="AW23" i="7"/>
  <c r="AW24" i="7"/>
  <c r="AW25" i="7"/>
  <c r="AW9" i="7"/>
  <c r="AV10" i="7"/>
  <c r="AV11" i="7"/>
  <c r="AV12" i="7"/>
  <c r="AV13" i="7"/>
  <c r="AV14" i="7"/>
  <c r="AV15" i="7"/>
  <c r="AV16" i="7"/>
  <c r="AV17" i="7"/>
  <c r="AV18" i="7"/>
  <c r="AV19" i="7"/>
  <c r="AV20" i="7"/>
  <c r="AV21" i="7"/>
  <c r="AV22" i="7"/>
  <c r="AV23" i="7"/>
  <c r="AV24" i="7"/>
  <c r="AV25" i="7"/>
  <c r="AV9" i="7"/>
  <c r="AU10" i="7"/>
  <c r="AU11" i="7"/>
  <c r="AU12" i="7"/>
  <c r="AU13" i="7"/>
  <c r="AU14" i="7"/>
  <c r="AU15" i="7"/>
  <c r="AU16" i="7"/>
  <c r="AU17" i="7"/>
  <c r="AU18" i="7"/>
  <c r="AU19" i="7"/>
  <c r="AU20" i="7"/>
  <c r="AU21" i="7"/>
  <c r="AU22" i="7"/>
  <c r="AU23" i="7"/>
  <c r="AU24" i="7"/>
  <c r="AU25" i="7"/>
  <c r="AU9" i="7"/>
  <c r="AT10" i="7"/>
  <c r="AT11" i="7"/>
  <c r="AT12" i="7"/>
  <c r="AT13" i="7"/>
  <c r="AT14" i="7"/>
  <c r="AT15" i="7"/>
  <c r="AT16" i="7"/>
  <c r="AT17" i="7"/>
  <c r="AT18" i="7"/>
  <c r="AT19" i="7"/>
  <c r="AT20" i="7"/>
  <c r="AT21" i="7"/>
  <c r="AT22" i="7"/>
  <c r="AT23" i="7"/>
  <c r="AT24" i="7"/>
  <c r="AT25" i="7"/>
  <c r="AT9" i="7"/>
  <c r="AS10" i="7"/>
  <c r="AS11" i="7"/>
  <c r="AS12" i="7"/>
  <c r="AS13" i="7"/>
  <c r="AS14" i="7"/>
  <c r="AS15" i="7"/>
  <c r="AS16" i="7"/>
  <c r="AS17" i="7"/>
  <c r="AS18" i="7"/>
  <c r="AS19" i="7"/>
  <c r="AS20" i="7"/>
  <c r="AS21" i="7"/>
  <c r="AS22" i="7"/>
  <c r="AS23" i="7"/>
  <c r="AS24" i="7"/>
  <c r="AS25" i="7"/>
  <c r="AS9" i="7"/>
  <c r="AR10" i="7"/>
  <c r="AR11" i="7"/>
  <c r="AR12" i="7"/>
  <c r="AR13" i="7"/>
  <c r="AR14" i="7"/>
  <c r="AR15" i="7"/>
  <c r="AR16" i="7"/>
  <c r="AR17" i="7"/>
  <c r="AR18" i="7"/>
  <c r="AR19" i="7"/>
  <c r="AR20" i="7"/>
  <c r="AR21" i="7"/>
  <c r="AR22" i="7"/>
  <c r="AR23" i="7"/>
  <c r="AR24" i="7"/>
  <c r="AR25" i="7"/>
  <c r="AQ10" i="7"/>
  <c r="AQ11" i="7"/>
  <c r="AQ12" i="7"/>
  <c r="AQ13" i="7"/>
  <c r="AQ14" i="7"/>
  <c r="AQ15" i="7"/>
  <c r="AQ16" i="7"/>
  <c r="AQ17" i="7"/>
  <c r="AQ18" i="7"/>
  <c r="AQ19" i="7"/>
  <c r="AQ20" i="7"/>
  <c r="AQ21" i="7"/>
  <c r="AQ22" i="7"/>
  <c r="AQ23" i="7"/>
  <c r="AQ24" i="7"/>
  <c r="AQ25" i="7"/>
  <c r="AR9" i="7"/>
  <c r="AQ9" i="7"/>
  <c r="AP10" i="7"/>
  <c r="AP11" i="7"/>
  <c r="AP12" i="7"/>
  <c r="AP13" i="7"/>
  <c r="AP14" i="7"/>
  <c r="AP15" i="7"/>
  <c r="AP16" i="7"/>
  <c r="AP17" i="7"/>
  <c r="AP18" i="7"/>
  <c r="AP19" i="7"/>
  <c r="AP20" i="7"/>
  <c r="AP21" i="7"/>
  <c r="AP22" i="7"/>
  <c r="AP23" i="7"/>
  <c r="AP24" i="7"/>
  <c r="AP25" i="7"/>
  <c r="AP9" i="7"/>
  <c r="AW17" i="9"/>
  <c r="AW18" i="9"/>
  <c r="AW19" i="9"/>
  <c r="AW20" i="9"/>
  <c r="AW21" i="9"/>
  <c r="AW22" i="9"/>
  <c r="AW23" i="9"/>
  <c r="AW24" i="9"/>
  <c r="AW16" i="9"/>
  <c r="AZ17" i="9"/>
  <c r="AZ18" i="9"/>
  <c r="AZ19" i="9"/>
  <c r="AZ20" i="9"/>
  <c r="AZ21" i="9"/>
  <c r="AZ22" i="9"/>
  <c r="AZ23" i="9"/>
  <c r="AZ24" i="9"/>
  <c r="AZ16" i="9"/>
  <c r="AZ17" i="10"/>
  <c r="AZ18" i="10"/>
  <c r="AZ19" i="10"/>
  <c r="AZ20" i="10"/>
  <c r="AZ21" i="10"/>
  <c r="AZ22" i="10"/>
  <c r="AZ23" i="10"/>
  <c r="AZ24" i="10"/>
  <c r="AZ16" i="10"/>
  <c r="AW17" i="10"/>
  <c r="AW18" i="10"/>
  <c r="AW19" i="10"/>
  <c r="AW20" i="10"/>
  <c r="AW21" i="10"/>
  <c r="AW22" i="10"/>
  <c r="AW23" i="10"/>
  <c r="AW24" i="10"/>
  <c r="AW16" i="10"/>
  <c r="AV17" i="10"/>
  <c r="AV18" i="10"/>
  <c r="AV19" i="10"/>
  <c r="AV20" i="10"/>
  <c r="AV21" i="10"/>
  <c r="AV22" i="10"/>
  <c r="AV23" i="10"/>
  <c r="AV24" i="10"/>
  <c r="AV16" i="10"/>
  <c r="AU17" i="10"/>
  <c r="AU18" i="10"/>
  <c r="AU19" i="10"/>
  <c r="AU20" i="10"/>
  <c r="AU21" i="10"/>
  <c r="AU22" i="10"/>
  <c r="AU23" i="10"/>
  <c r="AU24" i="10"/>
  <c r="AU16" i="10"/>
  <c r="AT17" i="10"/>
  <c r="AT18" i="10"/>
  <c r="AT19" i="10"/>
  <c r="AT20" i="10"/>
  <c r="AT21" i="10"/>
  <c r="AT22" i="10"/>
  <c r="AT23" i="10"/>
  <c r="AT24" i="10"/>
  <c r="AT16" i="10"/>
  <c r="AS17" i="10"/>
  <c r="AS18" i="10"/>
  <c r="AS19" i="10"/>
  <c r="AS20" i="10"/>
  <c r="AS21" i="10"/>
  <c r="AS22" i="10"/>
  <c r="AS23" i="10"/>
  <c r="AS24" i="10"/>
  <c r="AS16" i="10"/>
  <c r="AR17" i="10"/>
  <c r="AR18" i="10"/>
  <c r="AR19" i="10"/>
  <c r="AR20" i="10"/>
  <c r="AR21" i="10"/>
  <c r="AR22" i="10"/>
  <c r="AR23" i="10"/>
  <c r="AR24" i="10"/>
  <c r="AR16" i="10"/>
  <c r="AQ17" i="10"/>
  <c r="AQ18" i="10"/>
  <c r="AQ19" i="10"/>
  <c r="AQ20" i="10"/>
  <c r="AQ21" i="10"/>
  <c r="AQ22" i="10"/>
  <c r="AQ23" i="10"/>
  <c r="AQ24" i="10"/>
  <c r="AQ16" i="10"/>
  <c r="AP17" i="10"/>
  <c r="AP18" i="10"/>
  <c r="AP19" i="10"/>
  <c r="AP20" i="10"/>
  <c r="AP21" i="10"/>
  <c r="AP22" i="10"/>
  <c r="AP23" i="10"/>
  <c r="AP24" i="10"/>
  <c r="AP16" i="10"/>
  <c r="AV17" i="9"/>
  <c r="AV18" i="9"/>
  <c r="AV19" i="9"/>
  <c r="AV20" i="9"/>
  <c r="AV21" i="9"/>
  <c r="AV22" i="9"/>
  <c r="AV23" i="9"/>
  <c r="AV24" i="9"/>
  <c r="AV16" i="9"/>
  <c r="AU17" i="9"/>
  <c r="AU18" i="9"/>
  <c r="AU19" i="9"/>
  <c r="AU20" i="9"/>
  <c r="AU21" i="9"/>
  <c r="AU22" i="9"/>
  <c r="AU23" i="9"/>
  <c r="AU24" i="9"/>
  <c r="AU16" i="9"/>
  <c r="AT17" i="9"/>
  <c r="AT18" i="9"/>
  <c r="AT19" i="9"/>
  <c r="AT20" i="9"/>
  <c r="AT21" i="9"/>
  <c r="AT22" i="9"/>
  <c r="AT23" i="9"/>
  <c r="AT24" i="9"/>
  <c r="AT16" i="9"/>
  <c r="AS17" i="9"/>
  <c r="AS18" i="9"/>
  <c r="AS19" i="9"/>
  <c r="AS20" i="9"/>
  <c r="AS21" i="9"/>
  <c r="AS22" i="9"/>
  <c r="AS23" i="9"/>
  <c r="AS24" i="9"/>
  <c r="AS16" i="9"/>
  <c r="AR17" i="9"/>
  <c r="AR18" i="9"/>
  <c r="AR19" i="9"/>
  <c r="AR20" i="9"/>
  <c r="AR21" i="9"/>
  <c r="AR22" i="9"/>
  <c r="AR23" i="9"/>
  <c r="AR24" i="9"/>
  <c r="AR16" i="9"/>
  <c r="AQ17" i="9"/>
  <c r="AQ18" i="9"/>
  <c r="AQ19" i="9"/>
  <c r="AQ20" i="9"/>
  <c r="AQ21" i="9"/>
  <c r="AQ22" i="9"/>
  <c r="AQ23" i="9"/>
  <c r="AQ24" i="9"/>
  <c r="AQ16" i="9"/>
  <c r="AP17" i="9"/>
  <c r="AP18" i="9"/>
  <c r="AP19" i="9"/>
  <c r="AP20" i="9"/>
  <c r="AP21" i="9"/>
  <c r="AP22" i="9"/>
  <c r="AP23" i="9"/>
  <c r="AP24" i="9"/>
  <c r="AP16" i="9"/>
  <c r="L17" i="17"/>
  <c r="AY10" i="17"/>
  <c r="AY11" i="17"/>
  <c r="AY12" i="17"/>
  <c r="AY13" i="17"/>
  <c r="AY14" i="17"/>
  <c r="AY15" i="17"/>
  <c r="AY16" i="17"/>
  <c r="AY17" i="17"/>
  <c r="AY18" i="17"/>
  <c r="AY19" i="17"/>
  <c r="AY20" i="17"/>
  <c r="AY21" i="17"/>
  <c r="AY22" i="17"/>
  <c r="AY23" i="17"/>
  <c r="AY24" i="17"/>
  <c r="AY25" i="17"/>
  <c r="AY26" i="17"/>
  <c r="AY27" i="17"/>
  <c r="AY28" i="17"/>
  <c r="AY29" i="17"/>
  <c r="AY30" i="17"/>
  <c r="AY31" i="17"/>
  <c r="AY32" i="17"/>
  <c r="AY9" i="17"/>
  <c r="AX10" i="17"/>
  <c r="AX11" i="17"/>
  <c r="AX12" i="17"/>
  <c r="AX13" i="17"/>
  <c r="AX14" i="17"/>
  <c r="AX15" i="17"/>
  <c r="AX16" i="17"/>
  <c r="AX17" i="17"/>
  <c r="AX18" i="17"/>
  <c r="AX19" i="17"/>
  <c r="AX20" i="17"/>
  <c r="AX21" i="17"/>
  <c r="AX22" i="17"/>
  <c r="AX23" i="17"/>
  <c r="AX24" i="17"/>
  <c r="AX25" i="17"/>
  <c r="AX26" i="17"/>
  <c r="AX27" i="17"/>
  <c r="AX28" i="17"/>
  <c r="AX29" i="17"/>
  <c r="AX30" i="17"/>
  <c r="AX31" i="17"/>
  <c r="AX32" i="17"/>
  <c r="AX9" i="17"/>
  <c r="AW10" i="17"/>
  <c r="AW11" i="17"/>
  <c r="AW12" i="17"/>
  <c r="AW13" i="17"/>
  <c r="AW14" i="17"/>
  <c r="AW15" i="17"/>
  <c r="AW16" i="17"/>
  <c r="AW17" i="17"/>
  <c r="AW19" i="17"/>
  <c r="AW20" i="17"/>
  <c r="AW21" i="17"/>
  <c r="AW22" i="17"/>
  <c r="AW23" i="17"/>
  <c r="AW24" i="17"/>
  <c r="AW25" i="17"/>
  <c r="AW26" i="17"/>
  <c r="AW27" i="17"/>
  <c r="AW28" i="17"/>
  <c r="AW29" i="17"/>
  <c r="AW30" i="17"/>
  <c r="AW31" i="17"/>
  <c r="AW32" i="17"/>
  <c r="AW9" i="17"/>
  <c r="AV10" i="17"/>
  <c r="AV11" i="17"/>
  <c r="AV12" i="17"/>
  <c r="AV13" i="17"/>
  <c r="AV14" i="17"/>
  <c r="AV15" i="17"/>
  <c r="AV16" i="17"/>
  <c r="AV17" i="17"/>
  <c r="AV18" i="17"/>
  <c r="AV19" i="17"/>
  <c r="AV20" i="17"/>
  <c r="AV21" i="17"/>
  <c r="AV22" i="17"/>
  <c r="AV23" i="17"/>
  <c r="AV24" i="17"/>
  <c r="AV25" i="17"/>
  <c r="AV26" i="17"/>
  <c r="AV27" i="17"/>
  <c r="AV28" i="17"/>
  <c r="AV29" i="17"/>
  <c r="AV30" i="17"/>
  <c r="AV31" i="17"/>
  <c r="AV32" i="17"/>
  <c r="AV9" i="17"/>
  <c r="AU10" i="17"/>
  <c r="AU11" i="17"/>
  <c r="AU12" i="17"/>
  <c r="AU13" i="17"/>
  <c r="AU14" i="17"/>
  <c r="AU15" i="17"/>
  <c r="AU16" i="17"/>
  <c r="AU17" i="17"/>
  <c r="AU18" i="17"/>
  <c r="AU19" i="17"/>
  <c r="AU20" i="17"/>
  <c r="AU21" i="17"/>
  <c r="AU22" i="17"/>
  <c r="AU23" i="17"/>
  <c r="AU24" i="17"/>
  <c r="AU25" i="17"/>
  <c r="AU26" i="17"/>
  <c r="AU27" i="17"/>
  <c r="AU28" i="17"/>
  <c r="AU29" i="17"/>
  <c r="AU30" i="17"/>
  <c r="AU31" i="17"/>
  <c r="AU32" i="17"/>
  <c r="AU9" i="17"/>
  <c r="AT10" i="17"/>
  <c r="AT11" i="17"/>
  <c r="AT12" i="17"/>
  <c r="AT13" i="17"/>
  <c r="AT14" i="17"/>
  <c r="AT15" i="17"/>
  <c r="AT16" i="17"/>
  <c r="AT17" i="17"/>
  <c r="AT18" i="17"/>
  <c r="AT19" i="17"/>
  <c r="AT20" i="17"/>
  <c r="AT21" i="17"/>
  <c r="AT22" i="17"/>
  <c r="AT23" i="17"/>
  <c r="AT24" i="17"/>
  <c r="AT25" i="17"/>
  <c r="AT26" i="17"/>
  <c r="AT27" i="17"/>
  <c r="AT28" i="17"/>
  <c r="AT29" i="17"/>
  <c r="AT30" i="17"/>
  <c r="AT31" i="17"/>
  <c r="AT32" i="17"/>
  <c r="AT9" i="17"/>
  <c r="AS10" i="17"/>
  <c r="AS11" i="17"/>
  <c r="AS12" i="17"/>
  <c r="AS13" i="17"/>
  <c r="AS14" i="17"/>
  <c r="AS15" i="17"/>
  <c r="AS16" i="17"/>
  <c r="AS17" i="17"/>
  <c r="AS18" i="17"/>
  <c r="AS19" i="17"/>
  <c r="AS20" i="17"/>
  <c r="AS21" i="17"/>
  <c r="AS22" i="17"/>
  <c r="AS23" i="17"/>
  <c r="AS24" i="17"/>
  <c r="AS25" i="17"/>
  <c r="AS26" i="17"/>
  <c r="AS27" i="17"/>
  <c r="AS28" i="17"/>
  <c r="AS29" i="17"/>
  <c r="AS30" i="17"/>
  <c r="AS31" i="17"/>
  <c r="AS32" i="17"/>
  <c r="AS9" i="17"/>
  <c r="AR10" i="17"/>
  <c r="AR11" i="17"/>
  <c r="AR12" i="17"/>
  <c r="AR13" i="17"/>
  <c r="AR14" i="17"/>
  <c r="AR15" i="17"/>
  <c r="AR16" i="17"/>
  <c r="AR17" i="17"/>
  <c r="AR18" i="17"/>
  <c r="AR19" i="17"/>
  <c r="AR20" i="17"/>
  <c r="AR21" i="17"/>
  <c r="AR22" i="17"/>
  <c r="AR23" i="17"/>
  <c r="AR24" i="17"/>
  <c r="AR25" i="17"/>
  <c r="AR26" i="17"/>
  <c r="AR27" i="17"/>
  <c r="AR28" i="17"/>
  <c r="AR29" i="17"/>
  <c r="AR30" i="17"/>
  <c r="AR31" i="17"/>
  <c r="AR32" i="17"/>
  <c r="AR9" i="17"/>
  <c r="AQ10" i="17"/>
  <c r="AQ11" i="17"/>
  <c r="AQ12" i="17"/>
  <c r="AQ13" i="17"/>
  <c r="AQ14" i="17"/>
  <c r="AQ15" i="17"/>
  <c r="AQ16" i="17"/>
  <c r="AQ17" i="17"/>
  <c r="AQ18" i="17"/>
  <c r="AQ19" i="17"/>
  <c r="AQ20" i="17"/>
  <c r="AQ21" i="17"/>
  <c r="AQ22" i="17"/>
  <c r="AQ23" i="17"/>
  <c r="AQ24" i="17"/>
  <c r="AQ25" i="17"/>
  <c r="AQ26" i="17"/>
  <c r="AQ27" i="17"/>
  <c r="AQ28" i="17"/>
  <c r="AQ29" i="17"/>
  <c r="AQ30" i="17"/>
  <c r="AQ31" i="17"/>
  <c r="AQ32" i="17"/>
  <c r="AQ9" i="17"/>
  <c r="AP10" i="17"/>
  <c r="AP11" i="17"/>
  <c r="AP12" i="17"/>
  <c r="AP13" i="17"/>
  <c r="AP14" i="17"/>
  <c r="AP15" i="17"/>
  <c r="AP16" i="17"/>
  <c r="AP17" i="17"/>
  <c r="AP18" i="17"/>
  <c r="AP19" i="17"/>
  <c r="AP20" i="17"/>
  <c r="AP21" i="17"/>
  <c r="AP22" i="17"/>
  <c r="AP23" i="17"/>
  <c r="AP24" i="17"/>
  <c r="AP25" i="17"/>
  <c r="AP26" i="17"/>
  <c r="AP27" i="17"/>
  <c r="AP28" i="17"/>
  <c r="AP29" i="17"/>
  <c r="AP30" i="17"/>
  <c r="AP31" i="17"/>
  <c r="AP32" i="17"/>
  <c r="AP9" i="17"/>
  <c r="AV16" i="6"/>
  <c r="AV17" i="6"/>
  <c r="AV18" i="6"/>
  <c r="AV19" i="6"/>
  <c r="AV20" i="6"/>
  <c r="AV21" i="6"/>
  <c r="AV22" i="6"/>
  <c r="AV23" i="6"/>
  <c r="AV24" i="6"/>
  <c r="AU16" i="6"/>
  <c r="AU17" i="6"/>
  <c r="AU18" i="6"/>
  <c r="AU19" i="6"/>
  <c r="AU20" i="6"/>
  <c r="AU21" i="6"/>
  <c r="AU22" i="6"/>
  <c r="AU23" i="6"/>
  <c r="AU24" i="6"/>
  <c r="AT16" i="6"/>
  <c r="AT17" i="6"/>
  <c r="AT18" i="6"/>
  <c r="AT19" i="6"/>
  <c r="AT20" i="6"/>
  <c r="AT21" i="6"/>
  <c r="AT22" i="6"/>
  <c r="AT23" i="6"/>
  <c r="AT24" i="6"/>
  <c r="AS16" i="6"/>
  <c r="AS17" i="6"/>
  <c r="AS18" i="6"/>
  <c r="AS19" i="6"/>
  <c r="AS20" i="6"/>
  <c r="AS21" i="6"/>
  <c r="AS22" i="6"/>
  <c r="AS23" i="6"/>
  <c r="AS24" i="6"/>
  <c r="AR16" i="6"/>
  <c r="AR17" i="6"/>
  <c r="AR18" i="6"/>
  <c r="AR19" i="6"/>
  <c r="AR20" i="6"/>
  <c r="AR21" i="6"/>
  <c r="AR22" i="6"/>
  <c r="AR23" i="6"/>
  <c r="AR24" i="6"/>
  <c r="AQ16" i="6"/>
  <c r="AQ17" i="6"/>
  <c r="AQ18" i="6"/>
  <c r="AQ19" i="6"/>
  <c r="AQ20" i="6"/>
  <c r="AQ21" i="6"/>
  <c r="AQ22" i="6"/>
  <c r="AQ23" i="6"/>
  <c r="AQ24" i="6"/>
  <c r="AP16" i="6"/>
  <c r="AP17" i="6"/>
  <c r="AP18" i="6"/>
  <c r="AP19" i="6"/>
  <c r="AP20" i="6"/>
  <c r="AP21" i="6"/>
  <c r="AP22" i="6"/>
  <c r="AP23" i="6"/>
  <c r="AP24" i="6"/>
  <c r="AY16" i="5"/>
  <c r="AY17" i="5"/>
  <c r="AY18" i="5"/>
  <c r="AY19" i="5"/>
  <c r="AY20" i="5"/>
  <c r="AY21" i="5"/>
  <c r="AY22" i="5"/>
  <c r="AY23" i="5"/>
  <c r="AY24" i="5"/>
  <c r="AX16" i="5"/>
  <c r="AX17" i="5"/>
  <c r="AX18" i="5"/>
  <c r="AX19" i="5"/>
  <c r="AX20" i="5"/>
  <c r="AX21" i="5"/>
  <c r="AX22" i="5"/>
  <c r="AX23" i="5"/>
  <c r="AX24" i="5"/>
  <c r="AW16" i="5"/>
  <c r="AW17" i="5"/>
  <c r="AW18" i="5"/>
  <c r="AW19" i="5"/>
  <c r="AW20" i="5"/>
  <c r="AW21" i="5"/>
  <c r="AW22" i="5"/>
  <c r="AW23" i="5"/>
  <c r="AW24" i="5"/>
  <c r="AV16" i="5"/>
  <c r="AV17" i="5"/>
  <c r="AV18" i="5"/>
  <c r="AV19" i="5"/>
  <c r="AV20" i="5"/>
  <c r="AV21" i="5"/>
  <c r="AV22" i="5"/>
  <c r="AV23" i="5"/>
  <c r="AV24" i="5"/>
  <c r="AU16" i="5"/>
  <c r="AU17" i="5"/>
  <c r="AU18" i="5"/>
  <c r="AU19" i="5"/>
  <c r="AU20" i="5"/>
  <c r="AU21" i="5"/>
  <c r="AU22" i="5"/>
  <c r="AU23" i="5"/>
  <c r="AU24" i="5"/>
  <c r="AT16" i="5"/>
  <c r="AT17" i="5"/>
  <c r="AT18" i="5"/>
  <c r="AT19" i="5"/>
  <c r="AT20" i="5"/>
  <c r="AT21" i="5"/>
  <c r="AT22" i="5"/>
  <c r="AT23" i="5"/>
  <c r="AT24" i="5"/>
  <c r="AS16" i="5"/>
  <c r="AS17" i="5"/>
  <c r="AS18" i="5"/>
  <c r="AS19" i="5"/>
  <c r="AS20" i="5"/>
  <c r="AS21" i="5"/>
  <c r="AS22" i="5"/>
  <c r="AS23" i="5"/>
  <c r="AS24" i="5"/>
  <c r="AR16" i="5"/>
  <c r="AR17" i="5"/>
  <c r="AR18" i="5"/>
  <c r="AR19" i="5"/>
  <c r="AR20" i="5"/>
  <c r="AR21" i="5"/>
  <c r="AR22" i="5"/>
  <c r="AR23" i="5"/>
  <c r="AR24" i="5"/>
  <c r="AQ16" i="5"/>
  <c r="AQ17" i="5"/>
  <c r="AQ18" i="5"/>
  <c r="AQ19" i="5"/>
  <c r="AQ20" i="5"/>
  <c r="AQ21" i="5"/>
  <c r="AQ22" i="5"/>
  <c r="AQ23" i="5"/>
  <c r="AQ24" i="5"/>
  <c r="AP16" i="5"/>
  <c r="AP17" i="5"/>
  <c r="AP18" i="5"/>
  <c r="AP19" i="5"/>
  <c r="AP20" i="5"/>
  <c r="AP21" i="5"/>
  <c r="AP22" i="5"/>
  <c r="AP23" i="5"/>
  <c r="AP24" i="5"/>
  <c r="AY16" i="4"/>
  <c r="AY17" i="4"/>
  <c r="AY18" i="4"/>
  <c r="AY19" i="4"/>
  <c r="AY20" i="4"/>
  <c r="AY21" i="4"/>
  <c r="AY22" i="4"/>
  <c r="AY23" i="4"/>
  <c r="AY24" i="4"/>
  <c r="AX16" i="4"/>
  <c r="AX17" i="4"/>
  <c r="AX18" i="4"/>
  <c r="AX19" i="4"/>
  <c r="AX20" i="4"/>
  <c r="AX21" i="4"/>
  <c r="AX22" i="4"/>
  <c r="AX23" i="4"/>
  <c r="AX24" i="4"/>
  <c r="AW16" i="4"/>
  <c r="AW17" i="4"/>
  <c r="AW18" i="4"/>
  <c r="AW19" i="4"/>
  <c r="AW20" i="4"/>
  <c r="AW21" i="4"/>
  <c r="AW22" i="4"/>
  <c r="AW23" i="4"/>
  <c r="AW24" i="4"/>
  <c r="AV16" i="4"/>
  <c r="AV17" i="4"/>
  <c r="AV18" i="4"/>
  <c r="AV19" i="4"/>
  <c r="AV20" i="4"/>
  <c r="AV21" i="4"/>
  <c r="AV22" i="4"/>
  <c r="AV23" i="4"/>
  <c r="AV24" i="4"/>
  <c r="AU16" i="4"/>
  <c r="AU17" i="4"/>
  <c r="AU18" i="4"/>
  <c r="AU19" i="4"/>
  <c r="AU20" i="4"/>
  <c r="AU21" i="4"/>
  <c r="AU22" i="4"/>
  <c r="AU23" i="4"/>
  <c r="AU24" i="4"/>
  <c r="AT16" i="4"/>
  <c r="AT17" i="4"/>
  <c r="AT18" i="4"/>
  <c r="AT19" i="4"/>
  <c r="AT20" i="4"/>
  <c r="AT21" i="4"/>
  <c r="AT22" i="4"/>
  <c r="AT23" i="4"/>
  <c r="AT24" i="4"/>
  <c r="AS16" i="4"/>
  <c r="AS17" i="4"/>
  <c r="AS18" i="4"/>
  <c r="AS19" i="4"/>
  <c r="AS20" i="4"/>
  <c r="AS21" i="4"/>
  <c r="AS22" i="4"/>
  <c r="AS23" i="4"/>
  <c r="AS24" i="4"/>
  <c r="AR16" i="4"/>
  <c r="AR17" i="4"/>
  <c r="AR18" i="4"/>
  <c r="AR19" i="4"/>
  <c r="AR20" i="4"/>
  <c r="AR21" i="4"/>
  <c r="AR22" i="4"/>
  <c r="AR23" i="4"/>
  <c r="AR24" i="4"/>
  <c r="AQ16" i="4"/>
  <c r="AQ17" i="4"/>
  <c r="AQ18" i="4"/>
  <c r="AQ19" i="4"/>
  <c r="AQ20" i="4"/>
  <c r="AQ21" i="4"/>
  <c r="AQ22" i="4"/>
  <c r="AQ23" i="4"/>
  <c r="AQ24" i="4"/>
  <c r="AP16" i="4"/>
  <c r="AP17" i="4"/>
  <c r="AP18" i="4"/>
  <c r="AP19" i="4"/>
  <c r="AP20" i="4"/>
  <c r="AP21" i="4"/>
  <c r="AP22" i="4"/>
  <c r="AP23" i="4"/>
  <c r="AP24" i="4"/>
  <c r="AZ16" i="1"/>
  <c r="AZ17" i="1"/>
  <c r="AZ18" i="1"/>
  <c r="AZ19" i="1"/>
  <c r="AZ20" i="1"/>
  <c r="AZ21" i="1"/>
  <c r="AZ22" i="1"/>
  <c r="AZ23" i="1"/>
  <c r="AZ24" i="1"/>
  <c r="AY16" i="1"/>
  <c r="AY17" i="1"/>
  <c r="AY18" i="1"/>
  <c r="AY19" i="1"/>
  <c r="AY20" i="1"/>
  <c r="AY21" i="1"/>
  <c r="AY22" i="1"/>
  <c r="AY23" i="1"/>
  <c r="AY24" i="1"/>
  <c r="AX16" i="1"/>
  <c r="AX17" i="1"/>
  <c r="AX18" i="1"/>
  <c r="AX19" i="1"/>
  <c r="AX20" i="1"/>
  <c r="AX21" i="1"/>
  <c r="AX22" i="1"/>
  <c r="AX23" i="1"/>
  <c r="AX24" i="1"/>
  <c r="AW16" i="1"/>
  <c r="AW17" i="1"/>
  <c r="AW18" i="1"/>
  <c r="AW19" i="1"/>
  <c r="AW20" i="1"/>
  <c r="AW21" i="1"/>
  <c r="AW22" i="1"/>
  <c r="AW23" i="1"/>
  <c r="AW24" i="1"/>
  <c r="AV16" i="1"/>
  <c r="AV17" i="1"/>
  <c r="AV18" i="1"/>
  <c r="AV19" i="1"/>
  <c r="AV20" i="1"/>
  <c r="AV21" i="1"/>
  <c r="AV22" i="1"/>
  <c r="AV23" i="1"/>
  <c r="AV24" i="1"/>
  <c r="AU16" i="1"/>
  <c r="AU17" i="1"/>
  <c r="AU18" i="1"/>
  <c r="AU19" i="1"/>
  <c r="AU20" i="1"/>
  <c r="AU21" i="1"/>
  <c r="AU22" i="1"/>
  <c r="AU23" i="1"/>
  <c r="AU24" i="1"/>
  <c r="AT16" i="1"/>
  <c r="AT17" i="1"/>
  <c r="AT18" i="1"/>
  <c r="AT19" i="1"/>
  <c r="AT20" i="1"/>
  <c r="AT21" i="1"/>
  <c r="AT22" i="1"/>
  <c r="AT23" i="1"/>
  <c r="AT24" i="1"/>
  <c r="AS16" i="1"/>
  <c r="AS17" i="1"/>
  <c r="AS18" i="1"/>
  <c r="AS19" i="1"/>
  <c r="AS20" i="1"/>
  <c r="AS21" i="1"/>
  <c r="AS22" i="1"/>
  <c r="AS23" i="1"/>
  <c r="AS24" i="1"/>
  <c r="AR16" i="1"/>
  <c r="AR17" i="1"/>
  <c r="AR18" i="1"/>
  <c r="AR19" i="1"/>
  <c r="AR20" i="1"/>
  <c r="AR21" i="1"/>
  <c r="AR22" i="1"/>
  <c r="AR23" i="1"/>
  <c r="AR24" i="1"/>
  <c r="AQ16" i="1"/>
  <c r="AQ17" i="1"/>
  <c r="AQ18" i="1"/>
  <c r="AQ19" i="1"/>
  <c r="AQ20" i="1"/>
  <c r="AQ21" i="1"/>
  <c r="AQ22" i="1"/>
  <c r="AQ23" i="1"/>
  <c r="AQ24" i="1"/>
  <c r="AG15" i="15"/>
  <c r="CT31" i="15" l="1"/>
  <c r="CW31" i="15" s="1"/>
  <c r="BB24" i="1"/>
  <c r="BA24" i="1"/>
  <c r="AP24" i="1"/>
  <c r="AO24" i="1"/>
  <c r="AN24" i="1"/>
  <c r="AM24" i="1"/>
  <c r="AL24" i="1"/>
  <c r="AK24" i="1"/>
  <c r="K25" i="15"/>
  <c r="L25" i="15"/>
  <c r="M25" i="15"/>
  <c r="N25" i="15"/>
  <c r="O25" i="15"/>
  <c r="P25" i="15"/>
  <c r="Q25" i="15"/>
  <c r="R25" i="15"/>
  <c r="S25" i="15"/>
  <c r="J25" i="15"/>
  <c r="AQ34" i="1" l="1"/>
  <c r="BA20" i="10"/>
  <c r="BT20" i="10" s="1"/>
  <c r="BA20" i="9"/>
  <c r="BT20" i="9" s="1"/>
  <c r="BB20" i="8"/>
  <c r="BU20" i="8" s="1"/>
  <c r="BB21" i="7"/>
  <c r="BB22" i="7"/>
  <c r="BB23" i="7"/>
  <c r="BB24" i="7"/>
  <c r="BB25" i="7"/>
  <c r="BB20" i="7"/>
  <c r="BU20" i="7" s="1"/>
  <c r="BB21" i="6"/>
  <c r="BB22" i="6"/>
  <c r="BB23" i="6"/>
  <c r="BB24" i="6"/>
  <c r="BB20" i="6"/>
  <c r="BU20" i="6" s="1"/>
  <c r="AY32" i="10" l="1"/>
  <c r="AX32" i="10"/>
  <c r="AW32" i="10"/>
  <c r="AV32" i="10"/>
  <c r="AU32" i="10"/>
  <c r="AT32" i="10"/>
  <c r="AS32" i="10"/>
  <c r="AR32" i="10"/>
  <c r="AQ32" i="10"/>
  <c r="AP32" i="10"/>
  <c r="AY31" i="10"/>
  <c r="AX31" i="10"/>
  <c r="AW31" i="10"/>
  <c r="AV31" i="10"/>
  <c r="AU31" i="10"/>
  <c r="AT31" i="10"/>
  <c r="AS31" i="10"/>
  <c r="AR31" i="10"/>
  <c r="AQ31" i="10"/>
  <c r="AP31" i="10"/>
  <c r="AY30" i="10"/>
  <c r="AX30" i="10"/>
  <c r="AW30" i="10"/>
  <c r="AV30" i="10"/>
  <c r="AU30" i="10"/>
  <c r="AT30" i="10"/>
  <c r="AS30" i="10"/>
  <c r="AR30" i="10"/>
  <c r="AQ30" i="10"/>
  <c r="AP30" i="10"/>
  <c r="AY29" i="10"/>
  <c r="AX29" i="10"/>
  <c r="AW29" i="10"/>
  <c r="AV29" i="10"/>
  <c r="AU29" i="10"/>
  <c r="AT29" i="10"/>
  <c r="AS29" i="10"/>
  <c r="AR29" i="10"/>
  <c r="AQ29" i="10"/>
  <c r="AP29" i="10"/>
  <c r="AY28" i="10"/>
  <c r="AX28" i="10"/>
  <c r="AW28" i="10"/>
  <c r="AV28" i="10"/>
  <c r="AU28" i="10"/>
  <c r="AT28" i="10"/>
  <c r="AS28" i="10"/>
  <c r="AR28" i="10"/>
  <c r="AQ28" i="10"/>
  <c r="AP28" i="10"/>
  <c r="AY27" i="10"/>
  <c r="AX27" i="10"/>
  <c r="AW27" i="10"/>
  <c r="AV27" i="10"/>
  <c r="AU27" i="10"/>
  <c r="AT27" i="10"/>
  <c r="AS27" i="10"/>
  <c r="AR27" i="10"/>
  <c r="AQ27" i="10"/>
  <c r="AP27" i="10"/>
  <c r="AY25" i="10"/>
  <c r="AX25" i="10"/>
  <c r="AW25" i="10"/>
  <c r="AV25" i="10"/>
  <c r="AU25" i="10"/>
  <c r="AT25" i="10"/>
  <c r="AS25" i="10"/>
  <c r="AQ25" i="10"/>
  <c r="AQ26" i="10" s="1"/>
  <c r="AP25" i="10"/>
  <c r="AY24" i="10"/>
  <c r="AY26" i="10" s="1"/>
  <c r="AX24" i="10"/>
  <c r="AX26" i="10" s="1"/>
  <c r="AU26" i="10"/>
  <c r="AT26" i="10"/>
  <c r="AP26" i="10"/>
  <c r="AY23" i="10"/>
  <c r="AX23" i="10"/>
  <c r="AY22" i="10"/>
  <c r="AX22" i="10"/>
  <c r="AY21" i="10"/>
  <c r="AX21" i="10"/>
  <c r="AY20" i="10"/>
  <c r="AX20" i="10"/>
  <c r="AY19" i="10"/>
  <c r="AX19" i="10"/>
  <c r="AY18" i="10"/>
  <c r="AX18" i="10"/>
  <c r="AY17" i="10"/>
  <c r="AX17" i="10"/>
  <c r="AY16" i="10"/>
  <c r="AX16" i="10"/>
  <c r="AY15" i="10"/>
  <c r="AX15" i="10"/>
  <c r="AW15" i="10"/>
  <c r="AV15" i="10"/>
  <c r="AU15" i="10"/>
  <c r="AT15" i="10"/>
  <c r="AS15" i="10"/>
  <c r="AQ15" i="10"/>
  <c r="AP15" i="10"/>
  <c r="AY14" i="10"/>
  <c r="AX14" i="10"/>
  <c r="AW14" i="10"/>
  <c r="AV14" i="10"/>
  <c r="AU14" i="10"/>
  <c r="AT14" i="10"/>
  <c r="AS14" i="10"/>
  <c r="AQ14" i="10"/>
  <c r="AP14" i="10"/>
  <c r="AY13" i="10"/>
  <c r="AX13" i="10"/>
  <c r="AW13" i="10"/>
  <c r="AV13" i="10"/>
  <c r="AU13" i="10"/>
  <c r="AT13" i="10"/>
  <c r="AS13" i="10"/>
  <c r="AQ13" i="10"/>
  <c r="AP13" i="10"/>
  <c r="AY12" i="10"/>
  <c r="AX12" i="10"/>
  <c r="AW12" i="10"/>
  <c r="AV12" i="10"/>
  <c r="AU12" i="10"/>
  <c r="AT12" i="10"/>
  <c r="AS12" i="10"/>
  <c r="AQ12" i="10"/>
  <c r="AP12" i="10"/>
  <c r="AY11" i="10"/>
  <c r="AX11" i="10"/>
  <c r="AW11" i="10"/>
  <c r="AV11" i="10"/>
  <c r="AU11" i="10"/>
  <c r="AT11" i="10"/>
  <c r="AS11" i="10"/>
  <c r="AQ11" i="10"/>
  <c r="AP11" i="10"/>
  <c r="AY10" i="10"/>
  <c r="AX10" i="10"/>
  <c r="AW10" i="10"/>
  <c r="AV10" i="10"/>
  <c r="AU10" i="10"/>
  <c r="AT10" i="10"/>
  <c r="AS10" i="10"/>
  <c r="AQ10" i="10"/>
  <c r="AP10" i="10"/>
  <c r="AY9" i="10"/>
  <c r="AX9" i="10"/>
  <c r="AW9" i="10"/>
  <c r="AV9" i="10"/>
  <c r="AU9" i="10"/>
  <c r="AT9" i="10"/>
  <c r="AS9" i="10"/>
  <c r="AQ9" i="10"/>
  <c r="AP9" i="10"/>
  <c r="AY32" i="9"/>
  <c r="AX32" i="9"/>
  <c r="AW32" i="9"/>
  <c r="AV32" i="9"/>
  <c r="AU32" i="9"/>
  <c r="AT32" i="9"/>
  <c r="AS32" i="9"/>
  <c r="AR32" i="9"/>
  <c r="AQ32" i="9"/>
  <c r="AP32" i="9"/>
  <c r="AY31" i="9"/>
  <c r="AX31" i="9"/>
  <c r="AW31" i="9"/>
  <c r="AV31" i="9"/>
  <c r="AU31" i="9"/>
  <c r="AT31" i="9"/>
  <c r="AS31" i="9"/>
  <c r="AR31" i="9"/>
  <c r="AQ31" i="9"/>
  <c r="AP31" i="9"/>
  <c r="AY30" i="9"/>
  <c r="AX30" i="9"/>
  <c r="AW30" i="9"/>
  <c r="AV30" i="9"/>
  <c r="AU30" i="9"/>
  <c r="AT30" i="9"/>
  <c r="AS30" i="9"/>
  <c r="AR30" i="9"/>
  <c r="AQ30" i="9"/>
  <c r="AP30" i="9"/>
  <c r="AY29" i="9"/>
  <c r="AX29" i="9"/>
  <c r="AW29" i="9"/>
  <c r="AV29" i="9"/>
  <c r="AU29" i="9"/>
  <c r="AT29" i="9"/>
  <c r="AS29" i="9"/>
  <c r="AR29" i="9"/>
  <c r="AQ29" i="9"/>
  <c r="AP29" i="9"/>
  <c r="AY28" i="9"/>
  <c r="AX28" i="9"/>
  <c r="AW28" i="9"/>
  <c r="AV28" i="9"/>
  <c r="AU28" i="9"/>
  <c r="AT28" i="9"/>
  <c r="AS28" i="9"/>
  <c r="AR28" i="9"/>
  <c r="AQ28" i="9"/>
  <c r="AP28" i="9"/>
  <c r="AY27" i="9"/>
  <c r="AX27" i="9"/>
  <c r="AW27" i="9"/>
  <c r="AV27" i="9"/>
  <c r="AU27" i="9"/>
  <c r="AT27" i="9"/>
  <c r="AS27" i="9"/>
  <c r="AR27" i="9"/>
  <c r="AQ27" i="9"/>
  <c r="AP27" i="9"/>
  <c r="AY25" i="9"/>
  <c r="AX25" i="9"/>
  <c r="AW25" i="9"/>
  <c r="AV25" i="9"/>
  <c r="AU25" i="9"/>
  <c r="AT25" i="9"/>
  <c r="AS25" i="9"/>
  <c r="AQ25" i="9"/>
  <c r="AP25" i="9"/>
  <c r="AY24" i="9"/>
  <c r="AX24" i="9"/>
  <c r="AW26" i="9"/>
  <c r="AV26" i="9"/>
  <c r="AS26" i="9"/>
  <c r="AY23" i="9"/>
  <c r="AX23" i="9"/>
  <c r="AY22" i="9"/>
  <c r="AX22" i="9"/>
  <c r="AY21" i="9"/>
  <c r="AX21" i="9"/>
  <c r="AY20" i="9"/>
  <c r="AX20" i="9"/>
  <c r="AY19" i="9"/>
  <c r="AX19" i="9"/>
  <c r="AY18" i="9"/>
  <c r="AX18" i="9"/>
  <c r="AY17" i="9"/>
  <c r="AX17" i="9"/>
  <c r="AY16" i="9"/>
  <c r="AX16" i="9"/>
  <c r="AY15" i="9"/>
  <c r="AX15" i="9"/>
  <c r="AW15" i="9"/>
  <c r="AV15" i="9"/>
  <c r="AU15" i="9"/>
  <c r="AT15" i="9"/>
  <c r="AS15" i="9"/>
  <c r="AQ15" i="9"/>
  <c r="AP15" i="9"/>
  <c r="AY14" i="9"/>
  <c r="AX14" i="9"/>
  <c r="AW14" i="9"/>
  <c r="AV14" i="9"/>
  <c r="AU14" i="9"/>
  <c r="AT14" i="9"/>
  <c r="AS14" i="9"/>
  <c r="AQ14" i="9"/>
  <c r="AP14" i="9"/>
  <c r="AY13" i="9"/>
  <c r="AX13" i="9"/>
  <c r="AW13" i="9"/>
  <c r="AV13" i="9"/>
  <c r="AU13" i="9"/>
  <c r="AT13" i="9"/>
  <c r="AS13" i="9"/>
  <c r="AQ13" i="9"/>
  <c r="AP13" i="9"/>
  <c r="AY12" i="9"/>
  <c r="AX12" i="9"/>
  <c r="AW12" i="9"/>
  <c r="AV12" i="9"/>
  <c r="AU12" i="9"/>
  <c r="AT12" i="9"/>
  <c r="AS12" i="9"/>
  <c r="AQ12" i="9"/>
  <c r="AP12" i="9"/>
  <c r="AY11" i="9"/>
  <c r="AX11" i="9"/>
  <c r="AW11" i="9"/>
  <c r="AV11" i="9"/>
  <c r="AU11" i="9"/>
  <c r="AT11" i="9"/>
  <c r="AS11" i="9"/>
  <c r="AQ11" i="9"/>
  <c r="AP11" i="9"/>
  <c r="AY10" i="9"/>
  <c r="AX10" i="9"/>
  <c r="AW10" i="9"/>
  <c r="AV10" i="9"/>
  <c r="AU10" i="9"/>
  <c r="AT10" i="9"/>
  <c r="AS10" i="9"/>
  <c r="AQ10" i="9"/>
  <c r="AP10" i="9"/>
  <c r="AY9" i="9"/>
  <c r="AX9" i="9"/>
  <c r="AW9" i="9"/>
  <c r="AV9" i="9"/>
  <c r="AU9" i="9"/>
  <c r="AT9" i="9"/>
  <c r="AS9" i="9"/>
  <c r="AQ9" i="9"/>
  <c r="AP9" i="9"/>
  <c r="AX10" i="8"/>
  <c r="AY10" i="8"/>
  <c r="AX11" i="8"/>
  <c r="AY11" i="8"/>
  <c r="AX12" i="8"/>
  <c r="AY12" i="8"/>
  <c r="AX13" i="8"/>
  <c r="AY13" i="8"/>
  <c r="AX14" i="8"/>
  <c r="AY14" i="8"/>
  <c r="AX15" i="8"/>
  <c r="AY15" i="8"/>
  <c r="AX16" i="8"/>
  <c r="AY16" i="8"/>
  <c r="AX17" i="8"/>
  <c r="AY17" i="8"/>
  <c r="AX18" i="8"/>
  <c r="AY18" i="8"/>
  <c r="AX19" i="8"/>
  <c r="AY19" i="8"/>
  <c r="AX20" i="8"/>
  <c r="AY20" i="8"/>
  <c r="AX21" i="8"/>
  <c r="AY21" i="8"/>
  <c r="AX22" i="8"/>
  <c r="AY22" i="8"/>
  <c r="AX23" i="8"/>
  <c r="AY23" i="8"/>
  <c r="AS26" i="8"/>
  <c r="AV26" i="8"/>
  <c r="AX24" i="8"/>
  <c r="AY24" i="8"/>
  <c r="AX25" i="8"/>
  <c r="AY25" i="8"/>
  <c r="AP27" i="8"/>
  <c r="AQ27" i="8"/>
  <c r="AR27" i="8"/>
  <c r="AS27" i="8"/>
  <c r="AT27" i="8"/>
  <c r="AU27" i="8"/>
  <c r="AV27" i="8"/>
  <c r="AW27" i="8"/>
  <c r="AX27" i="8"/>
  <c r="AY27" i="8"/>
  <c r="AP28" i="8"/>
  <c r="AQ28" i="8"/>
  <c r="AR28" i="8"/>
  <c r="AS28" i="8"/>
  <c r="AT28" i="8"/>
  <c r="AU28" i="8"/>
  <c r="AV28" i="8"/>
  <c r="AW28" i="8"/>
  <c r="AX28" i="8"/>
  <c r="AY28" i="8"/>
  <c r="AP29" i="8"/>
  <c r="AQ29" i="8"/>
  <c r="AR29" i="8"/>
  <c r="AS29" i="8"/>
  <c r="AT29" i="8"/>
  <c r="AU29" i="8"/>
  <c r="AV29" i="8"/>
  <c r="AW29" i="8"/>
  <c r="AX29" i="8"/>
  <c r="AY29" i="8"/>
  <c r="AP30" i="8"/>
  <c r="AQ30" i="8"/>
  <c r="AR30" i="8"/>
  <c r="AS30" i="8"/>
  <c r="AT30" i="8"/>
  <c r="AU30" i="8"/>
  <c r="AV30" i="8"/>
  <c r="AW30" i="8"/>
  <c r="AX30" i="8"/>
  <c r="AY30" i="8"/>
  <c r="AP31" i="8"/>
  <c r="AQ31" i="8"/>
  <c r="AR31" i="8"/>
  <c r="AS31" i="8"/>
  <c r="AT31" i="8"/>
  <c r="AU31" i="8"/>
  <c r="AV31" i="8"/>
  <c r="AW31" i="8"/>
  <c r="AX31" i="8"/>
  <c r="AY31" i="8"/>
  <c r="AP32" i="8"/>
  <c r="AQ32" i="8"/>
  <c r="AR32" i="8"/>
  <c r="AS32" i="8"/>
  <c r="AT32" i="8"/>
  <c r="AU32" i="8"/>
  <c r="AV32" i="8"/>
  <c r="AW32" i="8"/>
  <c r="AX32" i="8"/>
  <c r="AY32" i="8"/>
  <c r="AY9" i="8"/>
  <c r="AX9" i="8"/>
  <c r="AP26" i="7"/>
  <c r="AQ26" i="7"/>
  <c r="AT26" i="7"/>
  <c r="AU26" i="7"/>
  <c r="AX26" i="7"/>
  <c r="AY26" i="7"/>
  <c r="AY10" i="6"/>
  <c r="AY11" i="6"/>
  <c r="AY12" i="6"/>
  <c r="AY13" i="6"/>
  <c r="AY14" i="6"/>
  <c r="AY15" i="6"/>
  <c r="AY16" i="6"/>
  <c r="AY17" i="6"/>
  <c r="AY18" i="6"/>
  <c r="AY19" i="6"/>
  <c r="AY20" i="6"/>
  <c r="AY21" i="6"/>
  <c r="AY22" i="6"/>
  <c r="AY23" i="6"/>
  <c r="AY24" i="6"/>
  <c r="AX10" i="6"/>
  <c r="AX11" i="6"/>
  <c r="AX12" i="6"/>
  <c r="AX13" i="6"/>
  <c r="AX14" i="6"/>
  <c r="AX15" i="6"/>
  <c r="AX16" i="6"/>
  <c r="AX17" i="6"/>
  <c r="AX18" i="6"/>
  <c r="AX19" i="6"/>
  <c r="AX20" i="6"/>
  <c r="AX21" i="6"/>
  <c r="AX22" i="6"/>
  <c r="AX23" i="6"/>
  <c r="AX24" i="6"/>
  <c r="AY9" i="6"/>
  <c r="AX9" i="6"/>
  <c r="AW26" i="7" l="1"/>
  <c r="AS26" i="7"/>
  <c r="AY26" i="8"/>
  <c r="AU26" i="8"/>
  <c r="AQ26" i="8"/>
  <c r="AP26" i="9"/>
  <c r="AT26" i="9"/>
  <c r="AX26" i="9"/>
  <c r="AV26" i="10"/>
  <c r="AV26" i="7"/>
  <c r="AX26" i="8"/>
  <c r="AT26" i="8"/>
  <c r="AP26" i="8"/>
  <c r="AQ26" i="9"/>
  <c r="AU26" i="9"/>
  <c r="AY26" i="9"/>
  <c r="AS26" i="10"/>
  <c r="AW26" i="10"/>
  <c r="BY7" i="15"/>
  <c r="BY8" i="15"/>
  <c r="AZ9" i="4"/>
  <c r="AZ32" i="8"/>
  <c r="AZ10" i="8"/>
  <c r="AZ11" i="8"/>
  <c r="AZ12" i="8"/>
  <c r="AZ13" i="8"/>
  <c r="AZ18" i="8"/>
  <c r="AZ20" i="8"/>
  <c r="AZ21" i="8"/>
  <c r="AZ22" i="8"/>
  <c r="AZ23" i="8"/>
  <c r="AZ24" i="8"/>
  <c r="AZ25" i="8"/>
  <c r="AZ26" i="8"/>
  <c r="AZ27" i="8"/>
  <c r="AZ28" i="8"/>
  <c r="AZ29" i="8"/>
  <c r="AZ30" i="8"/>
  <c r="AZ31" i="8"/>
  <c r="AZ9" i="8"/>
  <c r="AZ10" i="7"/>
  <c r="AZ11" i="7"/>
  <c r="AZ12" i="7"/>
  <c r="AZ13" i="7"/>
  <c r="AZ15" i="7"/>
  <c r="AZ16" i="7"/>
  <c r="AZ17" i="7"/>
  <c r="AZ18" i="7"/>
  <c r="AZ19" i="7"/>
  <c r="AZ20" i="7"/>
  <c r="AZ21" i="7"/>
  <c r="AZ22" i="7"/>
  <c r="AZ23" i="7"/>
  <c r="AZ24" i="7"/>
  <c r="AZ25" i="7"/>
  <c r="AZ26" i="7"/>
  <c r="AZ9" i="7"/>
  <c r="AZ10" i="6"/>
  <c r="AZ11" i="6"/>
  <c r="AZ12" i="6"/>
  <c r="AZ13" i="6"/>
  <c r="AZ15" i="6"/>
  <c r="AZ16" i="6"/>
  <c r="AZ17" i="6"/>
  <c r="AZ18" i="6"/>
  <c r="AZ19" i="6"/>
  <c r="AZ20" i="6"/>
  <c r="AZ21" i="6"/>
  <c r="AZ22" i="6"/>
  <c r="AZ23" i="6"/>
  <c r="AZ24" i="6"/>
  <c r="AZ9" i="6"/>
  <c r="AZ10" i="5"/>
  <c r="AZ11" i="5"/>
  <c r="AZ12" i="5"/>
  <c r="AZ13" i="5"/>
  <c r="AZ16" i="5"/>
  <c r="AZ17" i="5"/>
  <c r="AZ18" i="5"/>
  <c r="AZ19" i="5"/>
  <c r="AZ20" i="5"/>
  <c r="AZ21" i="5"/>
  <c r="AZ22" i="5"/>
  <c r="AZ23" i="5"/>
  <c r="AZ24" i="5"/>
  <c r="AZ9" i="5"/>
  <c r="AZ10" i="4"/>
  <c r="AZ11" i="4"/>
  <c r="AZ12" i="4"/>
  <c r="AZ13" i="4"/>
  <c r="AZ15" i="4"/>
  <c r="AZ16" i="4"/>
  <c r="AZ17" i="4"/>
  <c r="AZ18" i="4"/>
  <c r="AZ19" i="4"/>
  <c r="AZ20" i="4"/>
  <c r="AZ21" i="4"/>
  <c r="AZ22" i="4"/>
  <c r="AZ23" i="4"/>
  <c r="AZ24" i="4"/>
  <c r="BA12" i="1"/>
  <c r="BA13" i="1"/>
  <c r="BA15" i="1"/>
  <c r="BA16" i="1"/>
  <c r="BA17" i="1"/>
  <c r="BA18" i="1"/>
  <c r="BA19" i="1"/>
  <c r="BA20" i="1"/>
  <c r="BA21" i="1"/>
  <c r="BA22" i="1"/>
  <c r="BA23" i="1"/>
  <c r="BA9" i="1"/>
  <c r="AP26" i="16" l="1"/>
  <c r="BB21" i="15"/>
  <c r="BV21" i="15" s="1"/>
  <c r="BB22" i="15"/>
  <c r="BV22" i="15" s="1"/>
  <c r="BB23" i="15"/>
  <c r="BV23" i="15" s="1"/>
  <c r="BB24" i="15"/>
  <c r="BV24" i="15" s="1"/>
  <c r="BQ9" i="6" l="1"/>
  <c r="AP9" i="16"/>
  <c r="AQ9" i="16"/>
  <c r="AS9" i="16"/>
  <c r="AT9" i="16"/>
  <c r="AU9" i="16"/>
  <c r="AV9" i="16"/>
  <c r="AX9" i="16"/>
  <c r="AY9" i="16"/>
  <c r="AZ9" i="16"/>
  <c r="BC9" i="16"/>
  <c r="AP10" i="16"/>
  <c r="AQ10" i="16"/>
  <c r="AS10" i="16"/>
  <c r="AT10" i="16"/>
  <c r="AU10" i="16"/>
  <c r="AV10" i="16"/>
  <c r="AX10" i="16"/>
  <c r="AY10" i="16"/>
  <c r="AZ10" i="16"/>
  <c r="BC10" i="16"/>
  <c r="AP11" i="16"/>
  <c r="AQ11" i="16"/>
  <c r="AS11" i="16"/>
  <c r="AT11" i="16"/>
  <c r="AU11" i="16"/>
  <c r="AV11" i="16"/>
  <c r="AX11" i="16"/>
  <c r="AY11" i="16"/>
  <c r="AZ11" i="16"/>
  <c r="BC11" i="16"/>
  <c r="AP12" i="16"/>
  <c r="AQ12" i="16"/>
  <c r="AS12" i="16"/>
  <c r="AT12" i="16"/>
  <c r="AU12" i="16"/>
  <c r="AV12" i="16"/>
  <c r="AX12" i="16"/>
  <c r="AY12" i="16"/>
  <c r="AZ12" i="16"/>
  <c r="BC12" i="16"/>
  <c r="AP13" i="16"/>
  <c r="AQ13" i="16"/>
  <c r="AS13" i="16"/>
  <c r="AT13" i="16"/>
  <c r="AU13" i="16"/>
  <c r="AV13" i="16"/>
  <c r="AX13" i="16"/>
  <c r="AY13" i="16"/>
  <c r="AZ13" i="16"/>
  <c r="BC13" i="16"/>
  <c r="AP14" i="16"/>
  <c r="AQ14" i="16"/>
  <c r="AS14" i="16"/>
  <c r="AT14" i="16"/>
  <c r="AU14" i="16"/>
  <c r="AV14" i="16"/>
  <c r="AX14" i="16"/>
  <c r="AY14" i="16"/>
  <c r="BC14" i="16"/>
  <c r="AX15" i="16"/>
  <c r="AY15" i="16"/>
  <c r="BC15" i="16"/>
  <c r="AX16" i="16"/>
  <c r="AY16" i="16"/>
  <c r="BC16" i="16"/>
  <c r="AX17" i="16"/>
  <c r="AY17" i="16"/>
  <c r="BC17" i="16"/>
  <c r="AX18" i="16"/>
  <c r="AY18" i="16"/>
  <c r="AZ18" i="16"/>
  <c r="BC18" i="16"/>
  <c r="AX19" i="16"/>
  <c r="AY19" i="16"/>
  <c r="BC19" i="16"/>
  <c r="AX20" i="16"/>
  <c r="AY20" i="16"/>
  <c r="AZ20" i="16"/>
  <c r="BC20" i="16"/>
  <c r="AX21" i="16"/>
  <c r="AY21" i="16"/>
  <c r="AZ21" i="16"/>
  <c r="BC21" i="16"/>
  <c r="AX22" i="16"/>
  <c r="AY22" i="16"/>
  <c r="AZ22" i="16"/>
  <c r="BC22" i="16"/>
  <c r="AX23" i="16"/>
  <c r="AY23" i="16"/>
  <c r="BC23" i="16"/>
  <c r="AX24" i="16"/>
  <c r="AY24" i="16"/>
  <c r="AZ24" i="16"/>
  <c r="BC24" i="16"/>
  <c r="AX25" i="16"/>
  <c r="AY25" i="16"/>
  <c r="AZ25" i="16"/>
  <c r="BC25" i="16"/>
  <c r="AQ26" i="16"/>
  <c r="AS26" i="16"/>
  <c r="AT26" i="16"/>
  <c r="AU26" i="16"/>
  <c r="AV26" i="16"/>
  <c r="AX26" i="16"/>
  <c r="AY26" i="16"/>
  <c r="AZ26" i="16"/>
  <c r="BC26" i="16"/>
  <c r="AP27" i="16"/>
  <c r="AQ27" i="16"/>
  <c r="AR27" i="16"/>
  <c r="AS27" i="16"/>
  <c r="AT27" i="16"/>
  <c r="AU27" i="16"/>
  <c r="AV27" i="16"/>
  <c r="AX27" i="16"/>
  <c r="AY27" i="16"/>
  <c r="AZ27" i="16"/>
  <c r="BC27" i="16"/>
  <c r="AP28" i="16"/>
  <c r="AQ28" i="16"/>
  <c r="AR28" i="16"/>
  <c r="AS28" i="16"/>
  <c r="AT28" i="16"/>
  <c r="AU28" i="16"/>
  <c r="AV28" i="16"/>
  <c r="AX28" i="16"/>
  <c r="AY28" i="16"/>
  <c r="AZ28" i="16"/>
  <c r="BC28" i="16"/>
  <c r="AP29" i="16"/>
  <c r="AQ29" i="16"/>
  <c r="AR29" i="16"/>
  <c r="AS29" i="16"/>
  <c r="AT29" i="16"/>
  <c r="AU29" i="16"/>
  <c r="AV29" i="16"/>
  <c r="AX29" i="16"/>
  <c r="AY29" i="16"/>
  <c r="AZ29" i="16"/>
  <c r="BC29" i="16"/>
  <c r="AP30" i="16"/>
  <c r="AQ30" i="16"/>
  <c r="AR30" i="16"/>
  <c r="AS30" i="16"/>
  <c r="AT30" i="16"/>
  <c r="AU30" i="16"/>
  <c r="AV30" i="16"/>
  <c r="AX30" i="16"/>
  <c r="AY30" i="16"/>
  <c r="AZ30" i="16"/>
  <c r="BC30" i="16"/>
  <c r="AP31" i="16"/>
  <c r="AQ31" i="16"/>
  <c r="AR31" i="16"/>
  <c r="AS31" i="16"/>
  <c r="AT31" i="16"/>
  <c r="AU31" i="16"/>
  <c r="AV31" i="16"/>
  <c r="AX31" i="16"/>
  <c r="AY31" i="16"/>
  <c r="AZ31" i="16"/>
  <c r="BC31" i="16"/>
  <c r="AP32" i="16"/>
  <c r="AQ32" i="16"/>
  <c r="AR32" i="16"/>
  <c r="AS32" i="16"/>
  <c r="AT32" i="16"/>
  <c r="AU32" i="16"/>
  <c r="AV32" i="16"/>
  <c r="AX32" i="16"/>
  <c r="AY32" i="16"/>
  <c r="AZ32" i="16"/>
  <c r="BC32" i="16"/>
  <c r="AM16" i="1" l="1"/>
  <c r="AM17" i="1"/>
  <c r="AM18" i="1"/>
  <c r="AM19" i="1"/>
  <c r="AM20" i="1"/>
  <c r="AM21" i="1"/>
  <c r="AM22" i="1"/>
  <c r="AM23" i="1"/>
  <c r="AL16" i="1"/>
  <c r="AL17" i="1"/>
  <c r="AL18" i="1"/>
  <c r="AL19" i="1"/>
  <c r="AL20" i="1"/>
  <c r="AL21" i="1"/>
  <c r="AL22" i="1"/>
  <c r="AL23" i="1"/>
  <c r="AK16" i="1"/>
  <c r="AN16" i="1"/>
  <c r="AO16" i="1"/>
  <c r="AP16" i="1"/>
  <c r="AK17" i="1"/>
  <c r="AN17" i="1"/>
  <c r="AO17" i="1"/>
  <c r="AP17" i="1"/>
  <c r="AK18" i="1"/>
  <c r="AN18" i="1"/>
  <c r="AO18" i="1"/>
  <c r="AP18" i="1"/>
  <c r="AK19" i="1"/>
  <c r="AN19" i="1"/>
  <c r="AO19" i="1"/>
  <c r="AP19" i="1"/>
  <c r="AK20" i="1"/>
  <c r="AN20" i="1"/>
  <c r="AO20" i="1"/>
  <c r="AP20" i="1"/>
  <c r="AK21" i="1"/>
  <c r="AN21" i="1"/>
  <c r="AO21" i="1"/>
  <c r="AP21" i="1"/>
  <c r="AK22" i="1"/>
  <c r="AN22" i="1"/>
  <c r="AO22" i="1"/>
  <c r="AP22" i="1"/>
  <c r="AK23" i="1"/>
  <c r="AN23" i="1"/>
  <c r="AO23" i="1"/>
  <c r="AP23" i="1"/>
  <c r="E99" i="16"/>
  <c r="F99" i="16"/>
  <c r="G99" i="16"/>
  <c r="H99" i="16"/>
  <c r="I99" i="16"/>
  <c r="J99" i="16"/>
  <c r="K99" i="16"/>
  <c r="L99" i="16"/>
  <c r="M99" i="16"/>
  <c r="N99" i="16"/>
  <c r="O99" i="16"/>
  <c r="P99" i="16"/>
  <c r="Q99" i="16"/>
  <c r="R99" i="16"/>
  <c r="S99" i="16"/>
  <c r="T99" i="16"/>
  <c r="U99" i="16"/>
  <c r="V99" i="16"/>
  <c r="W99" i="16"/>
  <c r="X99" i="16"/>
  <c r="Y99" i="16"/>
  <c r="Z99" i="16"/>
  <c r="AA99" i="16"/>
  <c r="AB99" i="16"/>
  <c r="AC99" i="16"/>
  <c r="AD99" i="16"/>
  <c r="AE99" i="16"/>
  <c r="AF99" i="16"/>
  <c r="AG99" i="16"/>
  <c r="AH99" i="16"/>
  <c r="AI99" i="16"/>
  <c r="BC99" i="16"/>
  <c r="E100" i="16"/>
  <c r="F100" i="16"/>
  <c r="G100" i="16"/>
  <c r="H100" i="16"/>
  <c r="I100" i="16"/>
  <c r="J100" i="16"/>
  <c r="K100" i="16"/>
  <c r="L100" i="16"/>
  <c r="M100" i="16"/>
  <c r="N100" i="16"/>
  <c r="O100" i="16"/>
  <c r="P100" i="16"/>
  <c r="Q100" i="16"/>
  <c r="R100" i="16"/>
  <c r="S100" i="16"/>
  <c r="T100" i="16"/>
  <c r="U100" i="16"/>
  <c r="V100" i="16"/>
  <c r="W100" i="16"/>
  <c r="X100" i="16"/>
  <c r="Y100" i="16"/>
  <c r="Z100" i="16"/>
  <c r="AA100" i="16"/>
  <c r="AB100" i="16"/>
  <c r="AC100" i="16"/>
  <c r="AD100" i="16"/>
  <c r="AE100" i="16"/>
  <c r="AF100" i="16"/>
  <c r="AG100" i="16"/>
  <c r="AH100" i="16"/>
  <c r="AI100" i="16"/>
  <c r="BC100" i="16"/>
  <c r="E101" i="16"/>
  <c r="F101" i="16"/>
  <c r="G101" i="16"/>
  <c r="H101" i="16"/>
  <c r="I101" i="16"/>
  <c r="J101" i="16"/>
  <c r="K101" i="16"/>
  <c r="L101" i="16"/>
  <c r="M101" i="16"/>
  <c r="N101" i="16"/>
  <c r="O101" i="16"/>
  <c r="P101" i="16"/>
  <c r="Q101" i="16"/>
  <c r="R101" i="16"/>
  <c r="S101" i="16"/>
  <c r="T101" i="16"/>
  <c r="U101" i="16"/>
  <c r="V101" i="16"/>
  <c r="W101" i="16"/>
  <c r="X101" i="16"/>
  <c r="Y101" i="16"/>
  <c r="Z101" i="16"/>
  <c r="AA101" i="16"/>
  <c r="AB101" i="16"/>
  <c r="AC101" i="16"/>
  <c r="AD101" i="16"/>
  <c r="AE101" i="16"/>
  <c r="AF101" i="16"/>
  <c r="AG101" i="16"/>
  <c r="AH101" i="16"/>
  <c r="AI101" i="16"/>
  <c r="BC101" i="16"/>
  <c r="E102" i="16"/>
  <c r="F102" i="16"/>
  <c r="G102" i="16"/>
  <c r="H102" i="16"/>
  <c r="I102" i="16"/>
  <c r="J102" i="16"/>
  <c r="K102" i="16"/>
  <c r="L102" i="16"/>
  <c r="M102" i="16"/>
  <c r="N102" i="16"/>
  <c r="O102" i="16"/>
  <c r="P102" i="16"/>
  <c r="Q102" i="16"/>
  <c r="R102" i="16"/>
  <c r="S102" i="16"/>
  <c r="T102" i="16"/>
  <c r="U102" i="16"/>
  <c r="V102" i="16"/>
  <c r="W102" i="16"/>
  <c r="X102" i="16"/>
  <c r="Y102" i="16"/>
  <c r="Z102" i="16"/>
  <c r="AA102" i="16"/>
  <c r="AB102" i="16"/>
  <c r="AC102" i="16"/>
  <c r="AD102" i="16"/>
  <c r="AE102" i="16"/>
  <c r="AF102" i="16"/>
  <c r="AG102" i="16"/>
  <c r="AH102" i="16"/>
  <c r="AI102" i="16"/>
  <c r="BC102" i="16"/>
  <c r="E103" i="16"/>
  <c r="F103" i="16"/>
  <c r="G103" i="16"/>
  <c r="H103" i="16"/>
  <c r="I103" i="16"/>
  <c r="J103" i="16"/>
  <c r="K103" i="16"/>
  <c r="L103" i="16"/>
  <c r="M103" i="16"/>
  <c r="N103" i="16"/>
  <c r="O103" i="16"/>
  <c r="P103" i="16"/>
  <c r="Q103" i="16"/>
  <c r="R103" i="16"/>
  <c r="S103" i="16"/>
  <c r="T103" i="16"/>
  <c r="U103" i="16"/>
  <c r="V103" i="16"/>
  <c r="W103" i="16"/>
  <c r="X103" i="16"/>
  <c r="Y103" i="16"/>
  <c r="Z103" i="16"/>
  <c r="AA103" i="16"/>
  <c r="AB103" i="16"/>
  <c r="AC103" i="16"/>
  <c r="AD103" i="16"/>
  <c r="AE103" i="16"/>
  <c r="AF103" i="16"/>
  <c r="AG103" i="16"/>
  <c r="AH103" i="16"/>
  <c r="AI103" i="16"/>
  <c r="BC103" i="16"/>
  <c r="E104" i="16"/>
  <c r="F104" i="16"/>
  <c r="G104" i="16"/>
  <c r="H104" i="16"/>
  <c r="I104" i="16"/>
  <c r="J104" i="16"/>
  <c r="K104" i="16"/>
  <c r="L104" i="16"/>
  <c r="M104" i="16"/>
  <c r="N104" i="16"/>
  <c r="O104" i="16"/>
  <c r="P104" i="16"/>
  <c r="Q104" i="16"/>
  <c r="R104" i="16"/>
  <c r="S104" i="16"/>
  <c r="T104" i="16"/>
  <c r="U104" i="16"/>
  <c r="V104" i="16"/>
  <c r="W104" i="16"/>
  <c r="X104" i="16"/>
  <c r="Y104" i="16"/>
  <c r="Z104" i="16"/>
  <c r="AA104" i="16"/>
  <c r="AB104" i="16"/>
  <c r="AC104" i="16"/>
  <c r="AD104" i="16"/>
  <c r="AE104" i="16"/>
  <c r="AG104" i="16"/>
  <c r="AH104" i="16"/>
  <c r="AI104" i="16"/>
  <c r="BC104" i="16"/>
  <c r="E105" i="16"/>
  <c r="F105" i="16"/>
  <c r="G105" i="16"/>
  <c r="H105" i="16"/>
  <c r="I105" i="16"/>
  <c r="J105" i="16"/>
  <c r="K105" i="16"/>
  <c r="L105" i="16"/>
  <c r="M105" i="16"/>
  <c r="N105" i="16"/>
  <c r="O105" i="16"/>
  <c r="P105" i="16"/>
  <c r="Q105" i="16"/>
  <c r="R105" i="16"/>
  <c r="S105" i="16"/>
  <c r="T105" i="16"/>
  <c r="U105" i="16"/>
  <c r="V105" i="16"/>
  <c r="W105" i="16"/>
  <c r="X105" i="16"/>
  <c r="Y105" i="16"/>
  <c r="Z105" i="16"/>
  <c r="AA105" i="16"/>
  <c r="AB105" i="16"/>
  <c r="AC105" i="16"/>
  <c r="AD105" i="16"/>
  <c r="AE105" i="16"/>
  <c r="AG105" i="16"/>
  <c r="AH105" i="16"/>
  <c r="AI105" i="16"/>
  <c r="BC105" i="16"/>
  <c r="E106" i="16"/>
  <c r="F106" i="16"/>
  <c r="G106" i="16"/>
  <c r="H106" i="16"/>
  <c r="I106" i="16"/>
  <c r="J106" i="16"/>
  <c r="K106" i="16"/>
  <c r="L106" i="16"/>
  <c r="M106" i="16"/>
  <c r="N106" i="16"/>
  <c r="O106" i="16"/>
  <c r="P106" i="16"/>
  <c r="Q106" i="16"/>
  <c r="R106" i="16"/>
  <c r="S106" i="16"/>
  <c r="T106" i="16"/>
  <c r="U106" i="16"/>
  <c r="V106" i="16"/>
  <c r="W106" i="16"/>
  <c r="X106" i="16"/>
  <c r="Y106" i="16"/>
  <c r="Z106" i="16"/>
  <c r="AA106" i="16"/>
  <c r="AB106" i="16"/>
  <c r="AC106" i="16"/>
  <c r="AD106" i="16"/>
  <c r="AE106" i="16"/>
  <c r="AG106" i="16"/>
  <c r="AH106" i="16"/>
  <c r="AI106" i="16"/>
  <c r="BC106" i="16"/>
  <c r="E107" i="16"/>
  <c r="F107" i="16"/>
  <c r="G107" i="16"/>
  <c r="H107" i="16"/>
  <c r="I107" i="16"/>
  <c r="J107" i="16"/>
  <c r="K107" i="16"/>
  <c r="L107" i="16"/>
  <c r="M107" i="16"/>
  <c r="N107" i="16"/>
  <c r="O107" i="16"/>
  <c r="P107" i="16"/>
  <c r="Q107" i="16"/>
  <c r="R107" i="16"/>
  <c r="S107" i="16"/>
  <c r="T107" i="16"/>
  <c r="U107" i="16"/>
  <c r="V107" i="16"/>
  <c r="W107" i="16"/>
  <c r="X107" i="16"/>
  <c r="Y107" i="16"/>
  <c r="Z107" i="16"/>
  <c r="AA107" i="16"/>
  <c r="AB107" i="16"/>
  <c r="AC107" i="16"/>
  <c r="AD107" i="16"/>
  <c r="AE107" i="16"/>
  <c r="AG107" i="16"/>
  <c r="AH107" i="16"/>
  <c r="AI107" i="16"/>
  <c r="BC107" i="16"/>
  <c r="E108" i="16"/>
  <c r="F108" i="16"/>
  <c r="G108" i="16"/>
  <c r="H108" i="16"/>
  <c r="I108" i="16"/>
  <c r="J108" i="16"/>
  <c r="K108" i="16"/>
  <c r="L108" i="16"/>
  <c r="M108" i="16"/>
  <c r="N108" i="16"/>
  <c r="O108" i="16"/>
  <c r="P108" i="16"/>
  <c r="Q108" i="16"/>
  <c r="R108" i="16"/>
  <c r="S108" i="16"/>
  <c r="T108" i="16"/>
  <c r="U108" i="16"/>
  <c r="V108" i="16"/>
  <c r="W108" i="16"/>
  <c r="X108" i="16"/>
  <c r="Y108" i="16"/>
  <c r="Z108" i="16"/>
  <c r="AA108" i="16"/>
  <c r="AB108" i="16"/>
  <c r="AC108" i="16"/>
  <c r="AD108" i="16"/>
  <c r="AE108" i="16"/>
  <c r="AF108" i="16"/>
  <c r="AG108" i="16"/>
  <c r="AH108" i="16"/>
  <c r="AI108" i="16"/>
  <c r="BC108" i="16"/>
  <c r="E109" i="16"/>
  <c r="F109" i="16"/>
  <c r="G109" i="16"/>
  <c r="H109" i="16"/>
  <c r="I109" i="16"/>
  <c r="J109" i="16"/>
  <c r="K109" i="16"/>
  <c r="L109" i="16"/>
  <c r="M109" i="16"/>
  <c r="N109" i="16"/>
  <c r="O109" i="16"/>
  <c r="P109" i="16"/>
  <c r="Q109" i="16"/>
  <c r="R109" i="16"/>
  <c r="S109" i="16"/>
  <c r="T109" i="16"/>
  <c r="U109" i="16"/>
  <c r="V109" i="16"/>
  <c r="W109" i="16"/>
  <c r="X109" i="16"/>
  <c r="Y109" i="16"/>
  <c r="Z109" i="16"/>
  <c r="AA109" i="16"/>
  <c r="AB109" i="16"/>
  <c r="AC109" i="16"/>
  <c r="AD109" i="16"/>
  <c r="AE109" i="16"/>
  <c r="AG109" i="16"/>
  <c r="AH109" i="16"/>
  <c r="AI109" i="16"/>
  <c r="BC109" i="16"/>
  <c r="E110" i="16"/>
  <c r="F110" i="16"/>
  <c r="G110" i="16"/>
  <c r="H110" i="16"/>
  <c r="I110" i="16"/>
  <c r="J110" i="16"/>
  <c r="K110" i="16"/>
  <c r="L110" i="16"/>
  <c r="M110" i="16"/>
  <c r="N110" i="16"/>
  <c r="O110" i="16"/>
  <c r="P110" i="16"/>
  <c r="Q110" i="16"/>
  <c r="R110" i="16"/>
  <c r="S110" i="16"/>
  <c r="T110" i="16"/>
  <c r="U110" i="16"/>
  <c r="V110" i="16"/>
  <c r="W110" i="16"/>
  <c r="X110" i="16"/>
  <c r="Y110" i="16"/>
  <c r="Z110" i="16"/>
  <c r="AA110" i="16"/>
  <c r="AB110" i="16"/>
  <c r="AC110" i="16"/>
  <c r="AD110" i="16"/>
  <c r="AE110" i="16"/>
  <c r="AF110" i="16"/>
  <c r="AG110" i="16"/>
  <c r="AH110" i="16"/>
  <c r="AI110" i="16"/>
  <c r="BC110" i="16"/>
  <c r="E111" i="16"/>
  <c r="F111" i="16"/>
  <c r="G111" i="16"/>
  <c r="H111" i="16"/>
  <c r="I111" i="16"/>
  <c r="J111" i="16"/>
  <c r="K111" i="16"/>
  <c r="L111" i="16"/>
  <c r="M111" i="16"/>
  <c r="N111" i="16"/>
  <c r="O111" i="16"/>
  <c r="P111" i="16"/>
  <c r="Q111" i="16"/>
  <c r="R111" i="16"/>
  <c r="S111" i="16"/>
  <c r="T111" i="16"/>
  <c r="U111" i="16"/>
  <c r="V111" i="16"/>
  <c r="W111" i="16"/>
  <c r="X111" i="16"/>
  <c r="Y111" i="16"/>
  <c r="Z111" i="16"/>
  <c r="AA111" i="16"/>
  <c r="AB111" i="16"/>
  <c r="AC111" i="16"/>
  <c r="AD111" i="16"/>
  <c r="AE111" i="16"/>
  <c r="AF111" i="16"/>
  <c r="AG111" i="16"/>
  <c r="AH111" i="16"/>
  <c r="AI111" i="16"/>
  <c r="BC111" i="16"/>
  <c r="E112" i="16"/>
  <c r="F112" i="16"/>
  <c r="G112" i="16"/>
  <c r="H112" i="16"/>
  <c r="I112" i="16"/>
  <c r="J112" i="16"/>
  <c r="K112" i="16"/>
  <c r="L112" i="16"/>
  <c r="M112" i="16"/>
  <c r="N112" i="16"/>
  <c r="O112" i="16"/>
  <c r="P112" i="16"/>
  <c r="Q112" i="16"/>
  <c r="R112" i="16"/>
  <c r="S112" i="16"/>
  <c r="T112" i="16"/>
  <c r="U112" i="16"/>
  <c r="V112" i="16"/>
  <c r="W112" i="16"/>
  <c r="X112" i="16"/>
  <c r="Y112" i="16"/>
  <c r="Z112" i="16"/>
  <c r="AA112" i="16"/>
  <c r="AB112" i="16"/>
  <c r="AC112" i="16"/>
  <c r="AD112" i="16"/>
  <c r="AE112" i="16"/>
  <c r="AF112" i="16"/>
  <c r="AG112" i="16"/>
  <c r="AH112" i="16"/>
  <c r="AI112" i="16"/>
  <c r="BC112" i="16"/>
  <c r="E113" i="16"/>
  <c r="F113" i="16"/>
  <c r="G113" i="16"/>
  <c r="H113" i="16"/>
  <c r="I113" i="16"/>
  <c r="J113" i="16"/>
  <c r="K113" i="16"/>
  <c r="L113" i="16"/>
  <c r="M113" i="16"/>
  <c r="N113" i="16"/>
  <c r="O113" i="16"/>
  <c r="P113" i="16"/>
  <c r="Q113" i="16"/>
  <c r="R113" i="16"/>
  <c r="S113" i="16"/>
  <c r="T113" i="16"/>
  <c r="U113" i="16"/>
  <c r="V113" i="16"/>
  <c r="W113" i="16"/>
  <c r="X113" i="16"/>
  <c r="Y113" i="16"/>
  <c r="Z113" i="16"/>
  <c r="AA113" i="16"/>
  <c r="AB113" i="16"/>
  <c r="AC113" i="16"/>
  <c r="AD113" i="16"/>
  <c r="AE113" i="16"/>
  <c r="AF113" i="16"/>
  <c r="AG113" i="16"/>
  <c r="AH113" i="16"/>
  <c r="AI113" i="16"/>
  <c r="BC113" i="16"/>
  <c r="E114" i="16"/>
  <c r="F114" i="16"/>
  <c r="G114" i="16"/>
  <c r="H114" i="16"/>
  <c r="I114" i="16"/>
  <c r="J114" i="16"/>
  <c r="K114" i="16"/>
  <c r="L114" i="16"/>
  <c r="M114" i="16"/>
  <c r="N114" i="16"/>
  <c r="O114" i="16"/>
  <c r="P114" i="16"/>
  <c r="Q114" i="16"/>
  <c r="R114" i="16"/>
  <c r="S114" i="16"/>
  <c r="T114" i="16"/>
  <c r="U114" i="16"/>
  <c r="V114" i="16"/>
  <c r="W114" i="16"/>
  <c r="X114" i="16"/>
  <c r="Y114" i="16"/>
  <c r="Z114" i="16"/>
  <c r="AA114" i="16"/>
  <c r="AB114" i="16"/>
  <c r="AC114" i="16"/>
  <c r="AD114" i="16"/>
  <c r="AE114" i="16"/>
  <c r="AF114" i="16"/>
  <c r="AG114" i="16"/>
  <c r="AH114" i="16"/>
  <c r="AI114" i="16"/>
  <c r="BC114" i="16"/>
  <c r="E115" i="16"/>
  <c r="F115" i="16"/>
  <c r="G115" i="16"/>
  <c r="H115" i="16"/>
  <c r="I115" i="16"/>
  <c r="J115" i="16"/>
  <c r="K115" i="16"/>
  <c r="L115" i="16"/>
  <c r="M115" i="16"/>
  <c r="N115" i="16"/>
  <c r="O115" i="16"/>
  <c r="P115" i="16"/>
  <c r="Q115" i="16"/>
  <c r="R115" i="16"/>
  <c r="S115" i="16"/>
  <c r="T115" i="16"/>
  <c r="U115" i="16"/>
  <c r="V115" i="16"/>
  <c r="W115" i="16"/>
  <c r="X115" i="16"/>
  <c r="Y115" i="16"/>
  <c r="Z115" i="16"/>
  <c r="AA115" i="16"/>
  <c r="AB115" i="16"/>
  <c r="AC115" i="16"/>
  <c r="AD115" i="16"/>
  <c r="AE115" i="16"/>
  <c r="AF115" i="16"/>
  <c r="AG115" i="16"/>
  <c r="AH115" i="16"/>
  <c r="AI115" i="16"/>
  <c r="BC115" i="16"/>
  <c r="E116" i="16"/>
  <c r="F116" i="16"/>
  <c r="G116" i="16"/>
  <c r="H116" i="16"/>
  <c r="I116" i="16"/>
  <c r="J116" i="16"/>
  <c r="K116" i="16"/>
  <c r="L116" i="16"/>
  <c r="M116" i="16"/>
  <c r="N116" i="16"/>
  <c r="O116" i="16"/>
  <c r="P116" i="16"/>
  <c r="Q116" i="16"/>
  <c r="R116" i="16"/>
  <c r="S116" i="16"/>
  <c r="T116" i="16"/>
  <c r="U116" i="16"/>
  <c r="V116" i="16"/>
  <c r="W116" i="16"/>
  <c r="X116" i="16"/>
  <c r="Y116" i="16"/>
  <c r="Z116" i="16"/>
  <c r="AA116" i="16"/>
  <c r="AB116" i="16"/>
  <c r="AC116" i="16"/>
  <c r="AD116" i="16"/>
  <c r="AE116" i="16"/>
  <c r="AF116" i="16"/>
  <c r="AG116" i="16"/>
  <c r="AH116" i="16"/>
  <c r="AI116" i="16"/>
  <c r="BC116" i="16"/>
  <c r="E117" i="16"/>
  <c r="F117" i="16"/>
  <c r="G117" i="16"/>
  <c r="H117" i="16"/>
  <c r="I117" i="16"/>
  <c r="J117" i="16"/>
  <c r="K117" i="16"/>
  <c r="L117" i="16"/>
  <c r="M117" i="16"/>
  <c r="N117" i="16"/>
  <c r="O117" i="16"/>
  <c r="P117" i="16"/>
  <c r="Q117" i="16"/>
  <c r="R117" i="16"/>
  <c r="S117" i="16"/>
  <c r="T117" i="16"/>
  <c r="U117" i="16"/>
  <c r="V117" i="16"/>
  <c r="W117" i="16"/>
  <c r="X117" i="16"/>
  <c r="Y117" i="16"/>
  <c r="Z117" i="16"/>
  <c r="AA117" i="16"/>
  <c r="AB117" i="16"/>
  <c r="AC117" i="16"/>
  <c r="AD117" i="16"/>
  <c r="AE117" i="16"/>
  <c r="AF117" i="16"/>
  <c r="AG117" i="16"/>
  <c r="AH117" i="16"/>
  <c r="AI117" i="16"/>
  <c r="BC117" i="16"/>
  <c r="E118" i="16"/>
  <c r="F118" i="16"/>
  <c r="G118" i="16"/>
  <c r="H118" i="16"/>
  <c r="I118" i="16"/>
  <c r="J118" i="16"/>
  <c r="K118" i="16"/>
  <c r="L118" i="16"/>
  <c r="M118" i="16"/>
  <c r="N118" i="16"/>
  <c r="O118" i="16"/>
  <c r="P118" i="16"/>
  <c r="Q118" i="16"/>
  <c r="R118" i="16"/>
  <c r="S118" i="16"/>
  <c r="T118" i="16"/>
  <c r="U118" i="16"/>
  <c r="V118" i="16"/>
  <c r="W118" i="16"/>
  <c r="X118" i="16"/>
  <c r="Y118" i="16"/>
  <c r="Z118" i="16"/>
  <c r="AA118" i="16"/>
  <c r="AB118" i="16"/>
  <c r="AC118" i="16"/>
  <c r="AD118" i="16"/>
  <c r="AE118" i="16"/>
  <c r="AF118" i="16"/>
  <c r="AG118" i="16"/>
  <c r="AH118" i="16"/>
  <c r="AI118" i="16"/>
  <c r="BC118" i="16"/>
  <c r="E119" i="16"/>
  <c r="F119" i="16"/>
  <c r="G119" i="16"/>
  <c r="H119" i="16"/>
  <c r="I119" i="16"/>
  <c r="J119" i="16"/>
  <c r="K119" i="16"/>
  <c r="L119" i="16"/>
  <c r="M119" i="16"/>
  <c r="N119" i="16"/>
  <c r="O119" i="16"/>
  <c r="P119" i="16"/>
  <c r="Q119" i="16"/>
  <c r="R119" i="16"/>
  <c r="S119" i="16"/>
  <c r="T119" i="16"/>
  <c r="U119" i="16"/>
  <c r="V119" i="16"/>
  <c r="W119" i="16"/>
  <c r="X119" i="16"/>
  <c r="Y119" i="16"/>
  <c r="Z119" i="16"/>
  <c r="AA119" i="16"/>
  <c r="AB119" i="16"/>
  <c r="AC119" i="16"/>
  <c r="AD119" i="16"/>
  <c r="AE119" i="16"/>
  <c r="AF119" i="16"/>
  <c r="AG119" i="16"/>
  <c r="AH119" i="16"/>
  <c r="AI119" i="16"/>
  <c r="BC119" i="16"/>
  <c r="E120" i="16"/>
  <c r="F120" i="16"/>
  <c r="G120" i="16"/>
  <c r="H120" i="16"/>
  <c r="I120" i="16"/>
  <c r="J120" i="16"/>
  <c r="K120" i="16"/>
  <c r="L120" i="16"/>
  <c r="M120" i="16"/>
  <c r="N120" i="16"/>
  <c r="O120" i="16"/>
  <c r="P120" i="16"/>
  <c r="Q120" i="16"/>
  <c r="R120" i="16"/>
  <c r="S120" i="16"/>
  <c r="T120" i="16"/>
  <c r="U120" i="16"/>
  <c r="V120" i="16"/>
  <c r="W120" i="16"/>
  <c r="X120" i="16"/>
  <c r="Y120" i="16"/>
  <c r="Z120" i="16"/>
  <c r="AA120" i="16"/>
  <c r="AB120" i="16"/>
  <c r="AC120" i="16"/>
  <c r="AD120" i="16"/>
  <c r="AE120" i="16"/>
  <c r="AF120" i="16"/>
  <c r="AG120" i="16"/>
  <c r="AH120" i="16"/>
  <c r="AI120" i="16"/>
  <c r="BC120" i="16"/>
  <c r="E121" i="16"/>
  <c r="F121" i="16"/>
  <c r="G121" i="16"/>
  <c r="H121" i="16"/>
  <c r="I121" i="16"/>
  <c r="J121" i="16"/>
  <c r="K121" i="16"/>
  <c r="L121" i="16"/>
  <c r="M121" i="16"/>
  <c r="N121" i="16"/>
  <c r="O121" i="16"/>
  <c r="P121" i="16"/>
  <c r="Q121" i="16"/>
  <c r="R121" i="16"/>
  <c r="S121" i="16"/>
  <c r="T121" i="16"/>
  <c r="U121" i="16"/>
  <c r="V121" i="16"/>
  <c r="W121" i="16"/>
  <c r="X121" i="16"/>
  <c r="Y121" i="16"/>
  <c r="Z121" i="16"/>
  <c r="AA121" i="16"/>
  <c r="AB121" i="16"/>
  <c r="AC121" i="16"/>
  <c r="AD121" i="16"/>
  <c r="AE121" i="16"/>
  <c r="AF121" i="16"/>
  <c r="AG121" i="16"/>
  <c r="AH121" i="16"/>
  <c r="AI121" i="16"/>
  <c r="BC121" i="16"/>
  <c r="E122" i="16"/>
  <c r="F122" i="16"/>
  <c r="G122" i="16"/>
  <c r="H122" i="16"/>
  <c r="I122" i="16"/>
  <c r="J122" i="16"/>
  <c r="K122" i="16"/>
  <c r="L122" i="16"/>
  <c r="M122" i="16"/>
  <c r="N122" i="16"/>
  <c r="O122" i="16"/>
  <c r="P122" i="16"/>
  <c r="Q122" i="16"/>
  <c r="R122" i="16"/>
  <c r="S122" i="16"/>
  <c r="T122" i="16"/>
  <c r="U122" i="16"/>
  <c r="V122" i="16"/>
  <c r="W122" i="16"/>
  <c r="X122" i="16"/>
  <c r="Y122" i="16"/>
  <c r="Z122" i="16"/>
  <c r="AA122" i="16"/>
  <c r="AB122" i="16"/>
  <c r="AC122" i="16"/>
  <c r="AD122" i="16"/>
  <c r="AE122" i="16"/>
  <c r="AF122" i="16"/>
  <c r="AG122" i="16"/>
  <c r="AH122" i="16"/>
  <c r="AI122" i="16"/>
  <c r="BC122" i="16"/>
  <c r="BU122" i="16"/>
  <c r="BV122" i="16"/>
  <c r="D100" i="16"/>
  <c r="D101" i="16"/>
  <c r="D102" i="16"/>
  <c r="D103" i="16"/>
  <c r="D104" i="16"/>
  <c r="D105" i="16"/>
  <c r="D106" i="16"/>
  <c r="D107" i="16"/>
  <c r="D108" i="16"/>
  <c r="D109" i="16"/>
  <c r="D110" i="16"/>
  <c r="D111" i="16"/>
  <c r="D112" i="16"/>
  <c r="D113" i="16"/>
  <c r="D114" i="16"/>
  <c r="D115" i="16"/>
  <c r="D116" i="16"/>
  <c r="D117" i="16"/>
  <c r="D118" i="16"/>
  <c r="D119" i="16"/>
  <c r="D120" i="16"/>
  <c r="D121" i="16"/>
  <c r="D122" i="16"/>
  <c r="D99" i="16"/>
  <c r="E69" i="16"/>
  <c r="F69" i="16"/>
  <c r="G69" i="16"/>
  <c r="H69" i="16"/>
  <c r="I69" i="16"/>
  <c r="J69" i="16"/>
  <c r="K69" i="16"/>
  <c r="L69" i="16"/>
  <c r="M69" i="16"/>
  <c r="N69" i="16"/>
  <c r="O69" i="16"/>
  <c r="P69" i="16"/>
  <c r="Q69" i="16"/>
  <c r="R69" i="16"/>
  <c r="S69" i="16"/>
  <c r="T69" i="16"/>
  <c r="U69" i="16"/>
  <c r="V69" i="16"/>
  <c r="W69" i="16"/>
  <c r="X69" i="16"/>
  <c r="Y69" i="16"/>
  <c r="Z69" i="16"/>
  <c r="AA69" i="16"/>
  <c r="AB69" i="16"/>
  <c r="AC69" i="16"/>
  <c r="AD69" i="16"/>
  <c r="AE69" i="16"/>
  <c r="AF69" i="16"/>
  <c r="AG69" i="16"/>
  <c r="AH69" i="16"/>
  <c r="AI69" i="16"/>
  <c r="BC69" i="16"/>
  <c r="E70" i="16"/>
  <c r="F70" i="16"/>
  <c r="G70" i="16"/>
  <c r="H70" i="16"/>
  <c r="I70" i="16"/>
  <c r="J70" i="16"/>
  <c r="K70" i="16"/>
  <c r="L70" i="16"/>
  <c r="M70" i="16"/>
  <c r="N70" i="16"/>
  <c r="O70" i="16"/>
  <c r="P70" i="16"/>
  <c r="Q70" i="16"/>
  <c r="R70" i="16"/>
  <c r="S70" i="16"/>
  <c r="T70" i="16"/>
  <c r="U70" i="16"/>
  <c r="V70" i="16"/>
  <c r="W70" i="16"/>
  <c r="X70" i="16"/>
  <c r="Y70" i="16"/>
  <c r="Z70" i="16"/>
  <c r="AA70" i="16"/>
  <c r="AB70" i="16"/>
  <c r="AC70" i="16"/>
  <c r="AD70" i="16"/>
  <c r="AE70" i="16"/>
  <c r="AF70" i="16"/>
  <c r="AG70" i="16"/>
  <c r="AH70" i="16"/>
  <c r="AI70" i="16"/>
  <c r="BC70" i="16"/>
  <c r="E71" i="16"/>
  <c r="F71" i="16"/>
  <c r="G71" i="16"/>
  <c r="H71" i="16"/>
  <c r="I71" i="16"/>
  <c r="J71" i="16"/>
  <c r="K71" i="16"/>
  <c r="L71" i="16"/>
  <c r="M71" i="16"/>
  <c r="N71" i="16"/>
  <c r="O71" i="16"/>
  <c r="P71" i="16"/>
  <c r="Q71" i="16"/>
  <c r="R71" i="16"/>
  <c r="S71" i="16"/>
  <c r="T71" i="16"/>
  <c r="U71" i="16"/>
  <c r="V71" i="16"/>
  <c r="W71" i="16"/>
  <c r="X71" i="16"/>
  <c r="Y71" i="16"/>
  <c r="Z71" i="16"/>
  <c r="AA71" i="16"/>
  <c r="AB71" i="16"/>
  <c r="AC71" i="16"/>
  <c r="AD71" i="16"/>
  <c r="AE71" i="16"/>
  <c r="AF71" i="16"/>
  <c r="AG71" i="16"/>
  <c r="AH71" i="16"/>
  <c r="AI71" i="16"/>
  <c r="BC71" i="16"/>
  <c r="E72" i="16"/>
  <c r="F72" i="16"/>
  <c r="G72" i="16"/>
  <c r="H72" i="16"/>
  <c r="I72" i="16"/>
  <c r="J72" i="16"/>
  <c r="K72" i="16"/>
  <c r="L72" i="16"/>
  <c r="M72" i="16"/>
  <c r="N72" i="16"/>
  <c r="O72" i="16"/>
  <c r="P72" i="16"/>
  <c r="Q72" i="16"/>
  <c r="R72" i="16"/>
  <c r="S72" i="16"/>
  <c r="T72" i="16"/>
  <c r="U72" i="16"/>
  <c r="V72" i="16"/>
  <c r="W72" i="16"/>
  <c r="X72" i="16"/>
  <c r="Y72" i="16"/>
  <c r="Z72" i="16"/>
  <c r="AA72" i="16"/>
  <c r="AB72" i="16"/>
  <c r="AC72" i="16"/>
  <c r="AD72" i="16"/>
  <c r="AE72" i="16"/>
  <c r="AF72" i="16"/>
  <c r="AG72" i="16"/>
  <c r="AH72" i="16"/>
  <c r="AI72" i="16"/>
  <c r="BC72" i="16"/>
  <c r="E73" i="16"/>
  <c r="F73" i="16"/>
  <c r="G73" i="16"/>
  <c r="H73" i="16"/>
  <c r="I73" i="16"/>
  <c r="J73" i="16"/>
  <c r="K73" i="16"/>
  <c r="L73" i="16"/>
  <c r="M73" i="16"/>
  <c r="N73" i="16"/>
  <c r="O73" i="16"/>
  <c r="P73" i="16"/>
  <c r="Q73" i="16"/>
  <c r="R73" i="16"/>
  <c r="S73" i="16"/>
  <c r="T73" i="16"/>
  <c r="U73" i="16"/>
  <c r="V73" i="16"/>
  <c r="W73" i="16"/>
  <c r="X73" i="16"/>
  <c r="Y73" i="16"/>
  <c r="Z73" i="16"/>
  <c r="AA73" i="16"/>
  <c r="AB73" i="16"/>
  <c r="AC73" i="16"/>
  <c r="AD73" i="16"/>
  <c r="AE73" i="16"/>
  <c r="AF73" i="16"/>
  <c r="AG73" i="16"/>
  <c r="AH73" i="16"/>
  <c r="AI73" i="16"/>
  <c r="BC73" i="16"/>
  <c r="E74" i="16"/>
  <c r="F74" i="16"/>
  <c r="G74" i="16"/>
  <c r="H74" i="16"/>
  <c r="I74" i="16"/>
  <c r="J74" i="16"/>
  <c r="K74" i="16"/>
  <c r="L74" i="16"/>
  <c r="M74" i="16"/>
  <c r="N74" i="16"/>
  <c r="O74" i="16"/>
  <c r="P74" i="16"/>
  <c r="Q74" i="16"/>
  <c r="R74" i="16"/>
  <c r="S74" i="16"/>
  <c r="T74" i="16"/>
  <c r="U74" i="16"/>
  <c r="V74" i="16"/>
  <c r="W74" i="16"/>
  <c r="X74" i="16"/>
  <c r="Y74" i="16"/>
  <c r="Z74" i="16"/>
  <c r="AA74" i="16"/>
  <c r="AB74" i="16"/>
  <c r="AC74" i="16"/>
  <c r="AD74" i="16"/>
  <c r="AE74" i="16"/>
  <c r="AG74" i="16"/>
  <c r="AH74" i="16"/>
  <c r="AI74" i="16"/>
  <c r="BC74" i="16"/>
  <c r="E75" i="16"/>
  <c r="F75" i="16"/>
  <c r="G75" i="16"/>
  <c r="H75" i="16"/>
  <c r="I75" i="16"/>
  <c r="J75" i="16"/>
  <c r="K75" i="16"/>
  <c r="L75" i="16"/>
  <c r="M75" i="16"/>
  <c r="N75" i="16"/>
  <c r="O75" i="16"/>
  <c r="P75" i="16"/>
  <c r="Q75" i="16"/>
  <c r="R75" i="16"/>
  <c r="S75" i="16"/>
  <c r="T75" i="16"/>
  <c r="U75" i="16"/>
  <c r="V75" i="16"/>
  <c r="W75" i="16"/>
  <c r="X75" i="16"/>
  <c r="Y75" i="16"/>
  <c r="Z75" i="16"/>
  <c r="AA75" i="16"/>
  <c r="AB75" i="16"/>
  <c r="AC75" i="16"/>
  <c r="AD75" i="16"/>
  <c r="AE75" i="16"/>
  <c r="AG75" i="16"/>
  <c r="AH75" i="16"/>
  <c r="AI75" i="16"/>
  <c r="BC75" i="16"/>
  <c r="E76" i="16"/>
  <c r="F76" i="16"/>
  <c r="G76" i="16"/>
  <c r="H76" i="16"/>
  <c r="I76" i="16"/>
  <c r="J76" i="16"/>
  <c r="K76" i="16"/>
  <c r="L76" i="16"/>
  <c r="M76" i="16"/>
  <c r="N76" i="16"/>
  <c r="O76" i="16"/>
  <c r="P76" i="16"/>
  <c r="Q76" i="16"/>
  <c r="R76" i="16"/>
  <c r="S76" i="16"/>
  <c r="T76" i="16"/>
  <c r="U76" i="16"/>
  <c r="V76" i="16"/>
  <c r="W76" i="16"/>
  <c r="X76" i="16"/>
  <c r="Y76" i="16"/>
  <c r="Z76" i="16"/>
  <c r="AA76" i="16"/>
  <c r="AB76" i="16"/>
  <c r="AC76" i="16"/>
  <c r="AD76" i="16"/>
  <c r="AE76" i="16"/>
  <c r="AG76" i="16"/>
  <c r="AH76" i="16"/>
  <c r="AI76" i="16"/>
  <c r="BC76" i="16"/>
  <c r="E77" i="16"/>
  <c r="F77" i="16"/>
  <c r="G77" i="16"/>
  <c r="H77" i="16"/>
  <c r="I77" i="16"/>
  <c r="J77" i="16"/>
  <c r="K77" i="16"/>
  <c r="L77" i="16"/>
  <c r="M77" i="16"/>
  <c r="N77" i="16"/>
  <c r="O77" i="16"/>
  <c r="P77" i="16"/>
  <c r="Q77" i="16"/>
  <c r="R77" i="16"/>
  <c r="S77" i="16"/>
  <c r="T77" i="16"/>
  <c r="U77" i="16"/>
  <c r="V77" i="16"/>
  <c r="W77" i="16"/>
  <c r="X77" i="16"/>
  <c r="Y77" i="16"/>
  <c r="Z77" i="16"/>
  <c r="AA77" i="16"/>
  <c r="AB77" i="16"/>
  <c r="AC77" i="16"/>
  <c r="AD77" i="16"/>
  <c r="AE77" i="16"/>
  <c r="AG77" i="16"/>
  <c r="AH77" i="16"/>
  <c r="AI77" i="16"/>
  <c r="BC77" i="16"/>
  <c r="E78" i="16"/>
  <c r="F78" i="16"/>
  <c r="G78" i="16"/>
  <c r="H78" i="16"/>
  <c r="I78" i="16"/>
  <c r="J78" i="16"/>
  <c r="K78" i="16"/>
  <c r="L78" i="16"/>
  <c r="M78" i="16"/>
  <c r="N78" i="16"/>
  <c r="O78" i="16"/>
  <c r="P78" i="16"/>
  <c r="Q78" i="16"/>
  <c r="R78" i="16"/>
  <c r="S78" i="16"/>
  <c r="T78" i="16"/>
  <c r="U78" i="16"/>
  <c r="V78" i="16"/>
  <c r="W78" i="16"/>
  <c r="X78" i="16"/>
  <c r="Y78" i="16"/>
  <c r="Z78" i="16"/>
  <c r="AA78" i="16"/>
  <c r="AB78" i="16"/>
  <c r="AC78" i="16"/>
  <c r="AD78" i="16"/>
  <c r="AE78" i="16"/>
  <c r="AF78" i="16"/>
  <c r="AG78" i="16"/>
  <c r="AH78" i="16"/>
  <c r="AI78" i="16"/>
  <c r="BC78" i="16"/>
  <c r="E79" i="16"/>
  <c r="F79" i="16"/>
  <c r="G79" i="16"/>
  <c r="H79" i="16"/>
  <c r="I79" i="16"/>
  <c r="J79" i="16"/>
  <c r="K79" i="16"/>
  <c r="L79" i="16"/>
  <c r="M79" i="16"/>
  <c r="N79" i="16"/>
  <c r="O79" i="16"/>
  <c r="P79" i="16"/>
  <c r="Q79" i="16"/>
  <c r="R79" i="16"/>
  <c r="S79" i="16"/>
  <c r="T79" i="16"/>
  <c r="U79" i="16"/>
  <c r="V79" i="16"/>
  <c r="W79" i="16"/>
  <c r="X79" i="16"/>
  <c r="Y79" i="16"/>
  <c r="Z79" i="16"/>
  <c r="AA79" i="16"/>
  <c r="AB79" i="16"/>
  <c r="AC79" i="16"/>
  <c r="AD79" i="16"/>
  <c r="AE79" i="16"/>
  <c r="AG79" i="16"/>
  <c r="AH79" i="16"/>
  <c r="AI79" i="16"/>
  <c r="BC79" i="16"/>
  <c r="E80" i="16"/>
  <c r="F80" i="16"/>
  <c r="G80" i="16"/>
  <c r="H80" i="16"/>
  <c r="I80" i="16"/>
  <c r="J80" i="16"/>
  <c r="K80" i="16"/>
  <c r="L80" i="16"/>
  <c r="M80" i="16"/>
  <c r="N80" i="16"/>
  <c r="O80" i="16"/>
  <c r="P80" i="16"/>
  <c r="Q80" i="16"/>
  <c r="R80" i="16"/>
  <c r="S80" i="16"/>
  <c r="T80" i="16"/>
  <c r="U80" i="16"/>
  <c r="V80" i="16"/>
  <c r="W80" i="16"/>
  <c r="X80" i="16"/>
  <c r="Y80" i="16"/>
  <c r="Z80" i="16"/>
  <c r="AA80" i="16"/>
  <c r="AB80" i="16"/>
  <c r="AC80" i="16"/>
  <c r="AD80" i="16"/>
  <c r="AE80" i="16"/>
  <c r="AF80" i="16"/>
  <c r="AG80" i="16"/>
  <c r="AH80" i="16"/>
  <c r="AI80" i="16"/>
  <c r="BC80" i="16"/>
  <c r="E81" i="16"/>
  <c r="F81" i="16"/>
  <c r="G81" i="16"/>
  <c r="H81" i="16"/>
  <c r="I81" i="16"/>
  <c r="J81" i="16"/>
  <c r="K81" i="16"/>
  <c r="L81" i="16"/>
  <c r="M81" i="16"/>
  <c r="N81" i="16"/>
  <c r="O81" i="16"/>
  <c r="P81" i="16"/>
  <c r="Q81" i="16"/>
  <c r="R81" i="16"/>
  <c r="S81" i="16"/>
  <c r="T81" i="16"/>
  <c r="U81" i="16"/>
  <c r="V81" i="16"/>
  <c r="W81" i="16"/>
  <c r="X81" i="16"/>
  <c r="Y81" i="16"/>
  <c r="Z81" i="16"/>
  <c r="AA81" i="16"/>
  <c r="AB81" i="16"/>
  <c r="AC81" i="16"/>
  <c r="AD81" i="16"/>
  <c r="AE81" i="16"/>
  <c r="AF81" i="16"/>
  <c r="AG81" i="16"/>
  <c r="AH81" i="16"/>
  <c r="AI81" i="16"/>
  <c r="BC81" i="16"/>
  <c r="E82" i="16"/>
  <c r="F82" i="16"/>
  <c r="G82" i="16"/>
  <c r="H82" i="16"/>
  <c r="I82" i="16"/>
  <c r="J82" i="16"/>
  <c r="K82" i="16"/>
  <c r="L82" i="16"/>
  <c r="M82" i="16"/>
  <c r="N82" i="16"/>
  <c r="O82" i="16"/>
  <c r="P82" i="16"/>
  <c r="Q82" i="16"/>
  <c r="R82" i="16"/>
  <c r="S82" i="16"/>
  <c r="T82" i="16"/>
  <c r="U82" i="16"/>
  <c r="V82" i="16"/>
  <c r="W82" i="16"/>
  <c r="X82" i="16"/>
  <c r="Y82" i="16"/>
  <c r="Z82" i="16"/>
  <c r="AA82" i="16"/>
  <c r="AB82" i="16"/>
  <c r="AC82" i="16"/>
  <c r="AD82" i="16"/>
  <c r="AE82" i="16"/>
  <c r="AF82" i="16"/>
  <c r="AG82" i="16"/>
  <c r="AH82" i="16"/>
  <c r="AI82" i="16"/>
  <c r="BC82" i="16"/>
  <c r="E83" i="16"/>
  <c r="F83" i="16"/>
  <c r="G83" i="16"/>
  <c r="H83" i="16"/>
  <c r="I83" i="16"/>
  <c r="J83" i="16"/>
  <c r="K83" i="16"/>
  <c r="L83" i="16"/>
  <c r="M83" i="16"/>
  <c r="N83" i="16"/>
  <c r="O83" i="16"/>
  <c r="P83" i="16"/>
  <c r="Q83" i="16"/>
  <c r="R83" i="16"/>
  <c r="S83" i="16"/>
  <c r="T83" i="16"/>
  <c r="U83" i="16"/>
  <c r="V83" i="16"/>
  <c r="W83" i="16"/>
  <c r="X83" i="16"/>
  <c r="Y83" i="16"/>
  <c r="Z83" i="16"/>
  <c r="AA83" i="16"/>
  <c r="AB83" i="16"/>
  <c r="AC83" i="16"/>
  <c r="AD83" i="16"/>
  <c r="AE83" i="16"/>
  <c r="AF83" i="16"/>
  <c r="AG83" i="16"/>
  <c r="AH83" i="16"/>
  <c r="AI83" i="16"/>
  <c r="BC83" i="16"/>
  <c r="E84" i="16"/>
  <c r="F84" i="16"/>
  <c r="G84" i="16"/>
  <c r="H84" i="16"/>
  <c r="I84" i="16"/>
  <c r="J84" i="16"/>
  <c r="K84" i="16"/>
  <c r="L84" i="16"/>
  <c r="M84" i="16"/>
  <c r="N84" i="16"/>
  <c r="O84" i="16"/>
  <c r="P84" i="16"/>
  <c r="Q84" i="16"/>
  <c r="R84" i="16"/>
  <c r="S84" i="16"/>
  <c r="T84" i="16"/>
  <c r="U84" i="16"/>
  <c r="V84" i="16"/>
  <c r="W84" i="16"/>
  <c r="X84" i="16"/>
  <c r="Y84" i="16"/>
  <c r="Z84" i="16"/>
  <c r="AA84" i="16"/>
  <c r="AB84" i="16"/>
  <c r="AC84" i="16"/>
  <c r="AD84" i="16"/>
  <c r="AE84" i="16"/>
  <c r="AF84" i="16"/>
  <c r="AG84" i="16"/>
  <c r="AH84" i="16"/>
  <c r="AI84" i="16"/>
  <c r="BC84" i="16"/>
  <c r="E85" i="16"/>
  <c r="F85" i="16"/>
  <c r="G85" i="16"/>
  <c r="H85" i="16"/>
  <c r="I85" i="16"/>
  <c r="J85" i="16"/>
  <c r="K85" i="16"/>
  <c r="L85" i="16"/>
  <c r="M85" i="16"/>
  <c r="N85" i="16"/>
  <c r="O85" i="16"/>
  <c r="P85" i="16"/>
  <c r="Q85" i="16"/>
  <c r="R85" i="16"/>
  <c r="S85" i="16"/>
  <c r="T85" i="16"/>
  <c r="U85" i="16"/>
  <c r="V85" i="16"/>
  <c r="W85" i="16"/>
  <c r="X85" i="16"/>
  <c r="Y85" i="16"/>
  <c r="Z85" i="16"/>
  <c r="AA85" i="16"/>
  <c r="AB85" i="16"/>
  <c r="AC85" i="16"/>
  <c r="AD85" i="16"/>
  <c r="AE85" i="16"/>
  <c r="AF85" i="16"/>
  <c r="AG85" i="16"/>
  <c r="AH85" i="16"/>
  <c r="AI85" i="16"/>
  <c r="BC85" i="16"/>
  <c r="E86" i="16"/>
  <c r="F86" i="16"/>
  <c r="G86" i="16"/>
  <c r="H86" i="16"/>
  <c r="I86" i="16"/>
  <c r="J86" i="16"/>
  <c r="K86" i="16"/>
  <c r="L86" i="16"/>
  <c r="M86" i="16"/>
  <c r="N86" i="16"/>
  <c r="O86" i="16"/>
  <c r="P86" i="16"/>
  <c r="Q86" i="16"/>
  <c r="R86" i="16"/>
  <c r="S86" i="16"/>
  <c r="T86" i="16"/>
  <c r="U86" i="16"/>
  <c r="V86" i="16"/>
  <c r="W86" i="16"/>
  <c r="X86" i="16"/>
  <c r="Y86" i="16"/>
  <c r="Z86" i="16"/>
  <c r="AA86" i="16"/>
  <c r="AB86" i="16"/>
  <c r="AC86" i="16"/>
  <c r="AD86" i="16"/>
  <c r="AE86" i="16"/>
  <c r="AF86" i="16"/>
  <c r="AG86" i="16"/>
  <c r="AH86" i="16"/>
  <c r="AI86" i="16"/>
  <c r="BC86" i="16"/>
  <c r="E87" i="16"/>
  <c r="F87" i="16"/>
  <c r="G87" i="16"/>
  <c r="H87" i="16"/>
  <c r="I87" i="16"/>
  <c r="J87" i="16"/>
  <c r="K87" i="16"/>
  <c r="L87" i="16"/>
  <c r="M87" i="16"/>
  <c r="N87" i="16"/>
  <c r="O87" i="16"/>
  <c r="P87" i="16"/>
  <c r="Q87" i="16"/>
  <c r="R87" i="16"/>
  <c r="S87" i="16"/>
  <c r="T87" i="16"/>
  <c r="U87" i="16"/>
  <c r="V87" i="16"/>
  <c r="W87" i="16"/>
  <c r="X87" i="16"/>
  <c r="Y87" i="16"/>
  <c r="Z87" i="16"/>
  <c r="AA87" i="16"/>
  <c r="AB87" i="16"/>
  <c r="AC87" i="16"/>
  <c r="AD87" i="16"/>
  <c r="AE87" i="16"/>
  <c r="AF87" i="16"/>
  <c r="AG87" i="16"/>
  <c r="AH87" i="16"/>
  <c r="AI87" i="16"/>
  <c r="BC87" i="16"/>
  <c r="E88" i="16"/>
  <c r="F88" i="16"/>
  <c r="G88" i="16"/>
  <c r="H88" i="16"/>
  <c r="I88" i="16"/>
  <c r="J88" i="16"/>
  <c r="K88" i="16"/>
  <c r="L88" i="16"/>
  <c r="M88" i="16"/>
  <c r="N88" i="16"/>
  <c r="O88" i="16"/>
  <c r="P88" i="16"/>
  <c r="Q88" i="16"/>
  <c r="R88" i="16"/>
  <c r="S88" i="16"/>
  <c r="T88" i="16"/>
  <c r="U88" i="16"/>
  <c r="V88" i="16"/>
  <c r="W88" i="16"/>
  <c r="X88" i="16"/>
  <c r="Y88" i="16"/>
  <c r="Z88" i="16"/>
  <c r="AA88" i="16"/>
  <c r="AB88" i="16"/>
  <c r="AC88" i="16"/>
  <c r="AD88" i="16"/>
  <c r="AE88" i="16"/>
  <c r="AF88" i="16"/>
  <c r="AG88" i="16"/>
  <c r="AH88" i="16"/>
  <c r="AI88" i="16"/>
  <c r="BC88" i="16"/>
  <c r="E89" i="16"/>
  <c r="F89" i="16"/>
  <c r="G89" i="16"/>
  <c r="H89" i="16"/>
  <c r="I89" i="16"/>
  <c r="J89" i="16"/>
  <c r="K89" i="16"/>
  <c r="L89" i="16"/>
  <c r="M89" i="16"/>
  <c r="N89" i="16"/>
  <c r="O89" i="16"/>
  <c r="P89" i="16"/>
  <c r="Q89" i="16"/>
  <c r="R89" i="16"/>
  <c r="S89" i="16"/>
  <c r="T89" i="16"/>
  <c r="U89" i="16"/>
  <c r="V89" i="16"/>
  <c r="W89" i="16"/>
  <c r="X89" i="16"/>
  <c r="Y89" i="16"/>
  <c r="Z89" i="16"/>
  <c r="AA89" i="16"/>
  <c r="AB89" i="16"/>
  <c r="AC89" i="16"/>
  <c r="AD89" i="16"/>
  <c r="AE89" i="16"/>
  <c r="AF89" i="16"/>
  <c r="AG89" i="16"/>
  <c r="AH89" i="16"/>
  <c r="AI89" i="16"/>
  <c r="BC89" i="16"/>
  <c r="E90" i="16"/>
  <c r="F90" i="16"/>
  <c r="G90" i="16"/>
  <c r="H90" i="16"/>
  <c r="I90" i="16"/>
  <c r="J90" i="16"/>
  <c r="K90" i="16"/>
  <c r="L90" i="16"/>
  <c r="M90" i="16"/>
  <c r="N90" i="16"/>
  <c r="O90" i="16"/>
  <c r="P90" i="16"/>
  <c r="Q90" i="16"/>
  <c r="R90" i="16"/>
  <c r="S90" i="16"/>
  <c r="T90" i="16"/>
  <c r="U90" i="16"/>
  <c r="V90" i="16"/>
  <c r="W90" i="16"/>
  <c r="X90" i="16"/>
  <c r="Y90" i="16"/>
  <c r="Z90" i="16"/>
  <c r="AA90" i="16"/>
  <c r="AB90" i="16"/>
  <c r="AC90" i="16"/>
  <c r="AD90" i="16"/>
  <c r="AE90" i="16"/>
  <c r="AF90" i="16"/>
  <c r="AG90" i="16"/>
  <c r="AH90" i="16"/>
  <c r="AI90" i="16"/>
  <c r="BC90" i="16"/>
  <c r="E91" i="16"/>
  <c r="F91" i="16"/>
  <c r="G91" i="16"/>
  <c r="H91" i="16"/>
  <c r="I91" i="16"/>
  <c r="J91" i="16"/>
  <c r="K91" i="16"/>
  <c r="L91" i="16"/>
  <c r="M91" i="16"/>
  <c r="N91" i="16"/>
  <c r="O91" i="16"/>
  <c r="P91" i="16"/>
  <c r="Q91" i="16"/>
  <c r="R91" i="16"/>
  <c r="S91" i="16"/>
  <c r="T91" i="16"/>
  <c r="U91" i="16"/>
  <c r="V91" i="16"/>
  <c r="W91" i="16"/>
  <c r="X91" i="16"/>
  <c r="Y91" i="16"/>
  <c r="Z91" i="16"/>
  <c r="AA91" i="16"/>
  <c r="AB91" i="16"/>
  <c r="AC91" i="16"/>
  <c r="AD91" i="16"/>
  <c r="AE91" i="16"/>
  <c r="AF91" i="16"/>
  <c r="AG91" i="16"/>
  <c r="AH91" i="16"/>
  <c r="AI91" i="16"/>
  <c r="BC91" i="16"/>
  <c r="E92" i="16"/>
  <c r="F92" i="16"/>
  <c r="G92" i="16"/>
  <c r="H92" i="16"/>
  <c r="I92" i="16"/>
  <c r="J92" i="16"/>
  <c r="K92" i="16"/>
  <c r="L92" i="16"/>
  <c r="M92" i="16"/>
  <c r="N92" i="16"/>
  <c r="O92" i="16"/>
  <c r="P92" i="16"/>
  <c r="Q92" i="16"/>
  <c r="R92" i="16"/>
  <c r="S92" i="16"/>
  <c r="T92" i="16"/>
  <c r="U92" i="16"/>
  <c r="V92" i="16"/>
  <c r="W92" i="16"/>
  <c r="X92" i="16"/>
  <c r="Y92" i="16"/>
  <c r="Z92" i="16"/>
  <c r="AA92" i="16"/>
  <c r="AB92" i="16"/>
  <c r="AC92" i="16"/>
  <c r="AD92" i="16"/>
  <c r="AE92" i="16"/>
  <c r="AF92" i="16"/>
  <c r="AG92" i="16"/>
  <c r="AH92" i="16"/>
  <c r="AI92" i="16"/>
  <c r="BC92" i="16"/>
  <c r="BU92" i="16"/>
  <c r="BV92" i="16"/>
  <c r="D70" i="16"/>
  <c r="D71" i="16"/>
  <c r="D72" i="16"/>
  <c r="D73" i="16"/>
  <c r="D74" i="16"/>
  <c r="D75" i="16"/>
  <c r="D76" i="16"/>
  <c r="D77" i="16"/>
  <c r="D78" i="16"/>
  <c r="D79" i="16"/>
  <c r="D80" i="16"/>
  <c r="D81" i="16"/>
  <c r="D82" i="16"/>
  <c r="D83" i="16"/>
  <c r="D84" i="16"/>
  <c r="D85" i="16"/>
  <c r="D86" i="16"/>
  <c r="D87" i="16"/>
  <c r="D88" i="16"/>
  <c r="D89" i="16"/>
  <c r="D90" i="16"/>
  <c r="D91" i="16"/>
  <c r="D92" i="16"/>
  <c r="D69" i="16"/>
  <c r="B125" i="15"/>
  <c r="B126" i="15"/>
  <c r="A125" i="15"/>
  <c r="A126" i="15"/>
  <c r="B94" i="15"/>
  <c r="B95" i="15"/>
  <c r="A94" i="15"/>
  <c r="A95" i="15"/>
  <c r="E102" i="15"/>
  <c r="F102" i="15"/>
  <c r="G102" i="15"/>
  <c r="H102" i="15"/>
  <c r="I102" i="15"/>
  <c r="J102" i="15"/>
  <c r="K102" i="15"/>
  <c r="L102" i="15"/>
  <c r="M102" i="15"/>
  <c r="N102" i="15"/>
  <c r="O102" i="15"/>
  <c r="P102" i="15"/>
  <c r="Q102" i="15"/>
  <c r="R102" i="15"/>
  <c r="S102" i="15"/>
  <c r="T102" i="15"/>
  <c r="U102" i="15"/>
  <c r="V102" i="15"/>
  <c r="W102" i="15"/>
  <c r="X102" i="15"/>
  <c r="Y102" i="15"/>
  <c r="Z102" i="15"/>
  <c r="AA102" i="15"/>
  <c r="AB102" i="15"/>
  <c r="AC102" i="15"/>
  <c r="AD102" i="15"/>
  <c r="AE102" i="15"/>
  <c r="AF102" i="15"/>
  <c r="AG102" i="15"/>
  <c r="AH102" i="15"/>
  <c r="AI102" i="15"/>
  <c r="BC102" i="15"/>
  <c r="BX102" i="15"/>
  <c r="E103" i="15"/>
  <c r="F103" i="15"/>
  <c r="G103" i="15"/>
  <c r="H103" i="15"/>
  <c r="I103" i="15"/>
  <c r="J103" i="15"/>
  <c r="K103" i="15"/>
  <c r="L103" i="15"/>
  <c r="M103" i="15"/>
  <c r="N103" i="15"/>
  <c r="O103" i="15"/>
  <c r="P103" i="15"/>
  <c r="Q103" i="15"/>
  <c r="R103" i="15"/>
  <c r="S103" i="15"/>
  <c r="T103" i="15"/>
  <c r="U103" i="15"/>
  <c r="V103" i="15"/>
  <c r="W103" i="15"/>
  <c r="X103" i="15"/>
  <c r="Y103" i="15"/>
  <c r="Z103" i="15"/>
  <c r="AA103" i="15"/>
  <c r="AB103" i="15"/>
  <c r="AC103" i="15"/>
  <c r="AD103" i="15"/>
  <c r="AE103" i="15"/>
  <c r="AG103" i="15"/>
  <c r="AH103" i="15"/>
  <c r="AI103" i="15"/>
  <c r="BC103" i="15"/>
  <c r="BX103" i="15"/>
  <c r="E104" i="15"/>
  <c r="F104" i="15"/>
  <c r="G104" i="15"/>
  <c r="H104" i="15"/>
  <c r="I104" i="15"/>
  <c r="J104" i="15"/>
  <c r="K104" i="15"/>
  <c r="L104" i="15"/>
  <c r="M104" i="15"/>
  <c r="N104" i="15"/>
  <c r="O104" i="15"/>
  <c r="P104" i="15"/>
  <c r="Q104" i="15"/>
  <c r="R104" i="15"/>
  <c r="S104" i="15"/>
  <c r="T104" i="15"/>
  <c r="U104" i="15"/>
  <c r="V104" i="15"/>
  <c r="W104" i="15"/>
  <c r="X104" i="15"/>
  <c r="Y104" i="15"/>
  <c r="Z104" i="15"/>
  <c r="AA104" i="15"/>
  <c r="AB104" i="15"/>
  <c r="AC104" i="15"/>
  <c r="AD104" i="15"/>
  <c r="AE104" i="15"/>
  <c r="AG104" i="15"/>
  <c r="AH104" i="15"/>
  <c r="AI104" i="15"/>
  <c r="BC104" i="15"/>
  <c r="BX104" i="15"/>
  <c r="E105" i="15"/>
  <c r="F105" i="15"/>
  <c r="G105" i="15"/>
  <c r="H105" i="15"/>
  <c r="I105" i="15"/>
  <c r="J105" i="15"/>
  <c r="K105" i="15"/>
  <c r="L105" i="15"/>
  <c r="M105" i="15"/>
  <c r="N105" i="15"/>
  <c r="O105" i="15"/>
  <c r="P105" i="15"/>
  <c r="Q105" i="15"/>
  <c r="R105" i="15"/>
  <c r="S105" i="15"/>
  <c r="T105" i="15"/>
  <c r="U105" i="15"/>
  <c r="V105" i="15"/>
  <c r="W105" i="15"/>
  <c r="X105" i="15"/>
  <c r="Y105" i="15"/>
  <c r="Z105" i="15"/>
  <c r="AA105" i="15"/>
  <c r="AB105" i="15"/>
  <c r="AC105" i="15"/>
  <c r="AD105" i="15"/>
  <c r="AE105" i="15"/>
  <c r="AF105" i="15"/>
  <c r="AG105" i="15"/>
  <c r="AH105" i="15"/>
  <c r="AI105" i="15"/>
  <c r="BC105" i="15"/>
  <c r="BX105" i="15"/>
  <c r="E106" i="15"/>
  <c r="F106" i="15"/>
  <c r="G106" i="15"/>
  <c r="H106" i="15"/>
  <c r="I106" i="15"/>
  <c r="J106" i="15"/>
  <c r="K106" i="15"/>
  <c r="L106" i="15"/>
  <c r="M106" i="15"/>
  <c r="N106" i="15"/>
  <c r="O106" i="15"/>
  <c r="P106" i="15"/>
  <c r="Q106" i="15"/>
  <c r="R106" i="15"/>
  <c r="S106" i="15"/>
  <c r="T106" i="15"/>
  <c r="U106" i="15"/>
  <c r="V106" i="15"/>
  <c r="W106" i="15"/>
  <c r="X106" i="15"/>
  <c r="Y106" i="15"/>
  <c r="Z106" i="15"/>
  <c r="AA106" i="15"/>
  <c r="AB106" i="15"/>
  <c r="AC106" i="15"/>
  <c r="AD106" i="15"/>
  <c r="AE106" i="15"/>
  <c r="AF106" i="15"/>
  <c r="AG106" i="15"/>
  <c r="AH106" i="15"/>
  <c r="AI106" i="15"/>
  <c r="BC106" i="15"/>
  <c r="BX106" i="15"/>
  <c r="E107" i="15"/>
  <c r="F107" i="15"/>
  <c r="G107" i="15"/>
  <c r="H107" i="15"/>
  <c r="I107" i="15"/>
  <c r="J107" i="15"/>
  <c r="K107" i="15"/>
  <c r="L107" i="15"/>
  <c r="M107" i="15"/>
  <c r="N107" i="15"/>
  <c r="O107" i="15"/>
  <c r="P107" i="15"/>
  <c r="Q107" i="15"/>
  <c r="R107" i="15"/>
  <c r="S107" i="15"/>
  <c r="T107" i="15"/>
  <c r="U107" i="15"/>
  <c r="V107" i="15"/>
  <c r="W107" i="15"/>
  <c r="X107" i="15"/>
  <c r="Y107" i="15"/>
  <c r="Z107" i="15"/>
  <c r="AA107" i="15"/>
  <c r="AB107" i="15"/>
  <c r="AC107" i="15"/>
  <c r="AD107" i="15"/>
  <c r="AE107" i="15"/>
  <c r="AG107" i="15"/>
  <c r="AH107" i="15"/>
  <c r="AI107" i="15"/>
  <c r="BC107" i="15"/>
  <c r="BX107" i="15"/>
  <c r="E108" i="15"/>
  <c r="F108" i="15"/>
  <c r="G108" i="15"/>
  <c r="H108" i="15"/>
  <c r="I108" i="15"/>
  <c r="J108" i="15"/>
  <c r="K108" i="15"/>
  <c r="L108" i="15"/>
  <c r="M108" i="15"/>
  <c r="N108" i="15"/>
  <c r="O108" i="15"/>
  <c r="P108" i="15"/>
  <c r="Q108" i="15"/>
  <c r="R108" i="15"/>
  <c r="S108" i="15"/>
  <c r="T108" i="15"/>
  <c r="U108" i="15"/>
  <c r="V108" i="15"/>
  <c r="W108" i="15"/>
  <c r="X108" i="15"/>
  <c r="Y108" i="15"/>
  <c r="Z108" i="15"/>
  <c r="AA108" i="15"/>
  <c r="AB108" i="15"/>
  <c r="AC108" i="15"/>
  <c r="AD108" i="15"/>
  <c r="AE108" i="15"/>
  <c r="AF108" i="15"/>
  <c r="AG108" i="15"/>
  <c r="AI108" i="15"/>
  <c r="BC108" i="15"/>
  <c r="BX108" i="15"/>
  <c r="E109" i="15"/>
  <c r="F109" i="15"/>
  <c r="G109" i="15"/>
  <c r="H109" i="15"/>
  <c r="I109" i="15"/>
  <c r="J109" i="15"/>
  <c r="K109" i="15"/>
  <c r="L109" i="15"/>
  <c r="M109" i="15"/>
  <c r="N109" i="15"/>
  <c r="O109" i="15"/>
  <c r="P109" i="15"/>
  <c r="Q109" i="15"/>
  <c r="R109" i="15"/>
  <c r="S109" i="15"/>
  <c r="T109" i="15"/>
  <c r="U109" i="15"/>
  <c r="V109" i="15"/>
  <c r="W109" i="15"/>
  <c r="X109" i="15"/>
  <c r="Y109" i="15"/>
  <c r="Z109" i="15"/>
  <c r="AA109" i="15"/>
  <c r="AB109" i="15"/>
  <c r="AC109" i="15"/>
  <c r="AD109" i="15"/>
  <c r="AE109" i="15"/>
  <c r="AF109" i="15"/>
  <c r="AG109" i="15"/>
  <c r="AH109" i="15"/>
  <c r="AI109" i="15"/>
  <c r="BC109" i="15"/>
  <c r="BX109" i="15"/>
  <c r="E110" i="15"/>
  <c r="F110" i="15"/>
  <c r="G110" i="15"/>
  <c r="H110" i="15"/>
  <c r="I110" i="15"/>
  <c r="J110" i="15"/>
  <c r="K110" i="15"/>
  <c r="L110" i="15"/>
  <c r="M110" i="15"/>
  <c r="N110" i="15"/>
  <c r="O110" i="15"/>
  <c r="P110" i="15"/>
  <c r="Q110" i="15"/>
  <c r="R110" i="15"/>
  <c r="S110" i="15"/>
  <c r="T110" i="15"/>
  <c r="U110" i="15"/>
  <c r="V110" i="15"/>
  <c r="W110" i="15"/>
  <c r="X110" i="15"/>
  <c r="Y110" i="15"/>
  <c r="Z110" i="15"/>
  <c r="AA110" i="15"/>
  <c r="AB110" i="15"/>
  <c r="AC110" i="15"/>
  <c r="AD110" i="15"/>
  <c r="AE110" i="15"/>
  <c r="AF110" i="15"/>
  <c r="AG110" i="15"/>
  <c r="AH110" i="15"/>
  <c r="AI110" i="15"/>
  <c r="BC110" i="15"/>
  <c r="E111" i="15"/>
  <c r="F111" i="15"/>
  <c r="G111" i="15"/>
  <c r="H111" i="15"/>
  <c r="I111" i="15"/>
  <c r="J111" i="15"/>
  <c r="K111" i="15"/>
  <c r="L111" i="15"/>
  <c r="M111" i="15"/>
  <c r="N111" i="15"/>
  <c r="O111" i="15"/>
  <c r="P111" i="15"/>
  <c r="Q111" i="15"/>
  <c r="R111" i="15"/>
  <c r="S111" i="15"/>
  <c r="T111" i="15"/>
  <c r="U111" i="15"/>
  <c r="V111" i="15"/>
  <c r="W111" i="15"/>
  <c r="X111" i="15"/>
  <c r="Y111" i="15"/>
  <c r="Z111" i="15"/>
  <c r="AA111" i="15"/>
  <c r="AB111" i="15"/>
  <c r="AC111" i="15"/>
  <c r="AD111" i="15"/>
  <c r="AE111" i="15"/>
  <c r="AF111" i="15"/>
  <c r="AG111" i="15"/>
  <c r="AH111" i="15"/>
  <c r="AI111" i="15"/>
  <c r="BC111" i="15"/>
  <c r="E112" i="15"/>
  <c r="F112" i="15"/>
  <c r="G112" i="15"/>
  <c r="H112" i="15"/>
  <c r="I112" i="15"/>
  <c r="J112" i="15"/>
  <c r="K112" i="15"/>
  <c r="L112" i="15"/>
  <c r="M112" i="15"/>
  <c r="N112" i="15"/>
  <c r="O112" i="15"/>
  <c r="P112" i="15"/>
  <c r="Q112" i="15"/>
  <c r="R112" i="15"/>
  <c r="S112" i="15"/>
  <c r="T112" i="15"/>
  <c r="U112" i="15"/>
  <c r="V112" i="15"/>
  <c r="W112" i="15"/>
  <c r="X112" i="15"/>
  <c r="Y112" i="15"/>
  <c r="Z112" i="15"/>
  <c r="AA112" i="15"/>
  <c r="AB112" i="15"/>
  <c r="AC112" i="15"/>
  <c r="AD112" i="15"/>
  <c r="AE112" i="15"/>
  <c r="AF112" i="15"/>
  <c r="AG112" i="15"/>
  <c r="AH112" i="15"/>
  <c r="AI112" i="15"/>
  <c r="BC112" i="15"/>
  <c r="E113" i="15"/>
  <c r="F113" i="15"/>
  <c r="G113" i="15"/>
  <c r="H113" i="15"/>
  <c r="I113" i="15"/>
  <c r="J113" i="15"/>
  <c r="K113" i="15"/>
  <c r="L113" i="15"/>
  <c r="M113" i="15"/>
  <c r="N113" i="15"/>
  <c r="O113" i="15"/>
  <c r="P113" i="15"/>
  <c r="Q113" i="15"/>
  <c r="R113" i="15"/>
  <c r="S113" i="15"/>
  <c r="T113" i="15"/>
  <c r="U113" i="15"/>
  <c r="V113" i="15"/>
  <c r="W113" i="15"/>
  <c r="X113" i="15"/>
  <c r="Y113" i="15"/>
  <c r="Z113" i="15"/>
  <c r="AA113" i="15"/>
  <c r="AB113" i="15"/>
  <c r="AC113" i="15"/>
  <c r="AD113" i="15"/>
  <c r="AE113" i="15"/>
  <c r="AF113" i="15"/>
  <c r="AG113" i="15"/>
  <c r="AH113" i="15"/>
  <c r="AI113" i="15"/>
  <c r="BC113" i="15"/>
  <c r="E114" i="15"/>
  <c r="F114" i="15"/>
  <c r="G114" i="15"/>
  <c r="H114" i="15"/>
  <c r="I114" i="15"/>
  <c r="J114" i="15"/>
  <c r="K114" i="15"/>
  <c r="L114" i="15"/>
  <c r="M114" i="15"/>
  <c r="N114" i="15"/>
  <c r="O114" i="15"/>
  <c r="P114" i="15"/>
  <c r="Q114" i="15"/>
  <c r="R114" i="15"/>
  <c r="S114" i="15"/>
  <c r="T114" i="15"/>
  <c r="U114" i="15"/>
  <c r="V114" i="15"/>
  <c r="W114" i="15"/>
  <c r="X114" i="15"/>
  <c r="Y114" i="15"/>
  <c r="Z114" i="15"/>
  <c r="AA114" i="15"/>
  <c r="AB114" i="15"/>
  <c r="AC114" i="15"/>
  <c r="AD114" i="15"/>
  <c r="AE114" i="15"/>
  <c r="AF114" i="15"/>
  <c r="AG114" i="15"/>
  <c r="AH114" i="15"/>
  <c r="AI114" i="15"/>
  <c r="BC114" i="15"/>
  <c r="E115" i="15"/>
  <c r="F115" i="15"/>
  <c r="G115" i="15"/>
  <c r="H115" i="15"/>
  <c r="I115" i="15"/>
  <c r="J115" i="15"/>
  <c r="K115" i="15"/>
  <c r="L115" i="15"/>
  <c r="M115" i="15"/>
  <c r="N115" i="15"/>
  <c r="O115" i="15"/>
  <c r="P115" i="15"/>
  <c r="Q115" i="15"/>
  <c r="R115" i="15"/>
  <c r="S115" i="15"/>
  <c r="T115" i="15"/>
  <c r="U115" i="15"/>
  <c r="V115" i="15"/>
  <c r="W115" i="15"/>
  <c r="X115" i="15"/>
  <c r="Y115" i="15"/>
  <c r="Z115" i="15"/>
  <c r="AA115" i="15"/>
  <c r="AB115" i="15"/>
  <c r="AC115" i="15"/>
  <c r="AD115" i="15"/>
  <c r="AE115" i="15"/>
  <c r="AF115" i="15"/>
  <c r="AG115" i="15"/>
  <c r="AH115" i="15"/>
  <c r="AI115" i="15"/>
  <c r="BC115" i="15"/>
  <c r="E116" i="15"/>
  <c r="F116" i="15"/>
  <c r="G116" i="15"/>
  <c r="H116" i="15"/>
  <c r="I116" i="15"/>
  <c r="J116" i="15"/>
  <c r="K116" i="15"/>
  <c r="L116" i="15"/>
  <c r="M116" i="15"/>
  <c r="N116" i="15"/>
  <c r="O116" i="15"/>
  <c r="P116" i="15"/>
  <c r="Q116" i="15"/>
  <c r="R116" i="15"/>
  <c r="S116" i="15"/>
  <c r="T116" i="15"/>
  <c r="U116" i="15"/>
  <c r="V116" i="15"/>
  <c r="W116" i="15"/>
  <c r="X116" i="15"/>
  <c r="Y116" i="15"/>
  <c r="Z116" i="15"/>
  <c r="AA116" i="15"/>
  <c r="AB116" i="15"/>
  <c r="AC116" i="15"/>
  <c r="AD116" i="15"/>
  <c r="AE116" i="15"/>
  <c r="AF116" i="15"/>
  <c r="AG116" i="15"/>
  <c r="AH116" i="15"/>
  <c r="AI116" i="15"/>
  <c r="BC116" i="15"/>
  <c r="E117" i="15"/>
  <c r="F117" i="15"/>
  <c r="G117" i="15"/>
  <c r="H117" i="15"/>
  <c r="I117" i="15"/>
  <c r="J117" i="15"/>
  <c r="K117" i="15"/>
  <c r="L117" i="15"/>
  <c r="M117" i="15"/>
  <c r="N117" i="15"/>
  <c r="O117" i="15"/>
  <c r="P117" i="15"/>
  <c r="Q117" i="15"/>
  <c r="R117" i="15"/>
  <c r="S117" i="15"/>
  <c r="T117" i="15"/>
  <c r="U117" i="15"/>
  <c r="V117" i="15"/>
  <c r="W117" i="15"/>
  <c r="X117" i="15"/>
  <c r="Y117" i="15"/>
  <c r="Z117" i="15"/>
  <c r="AA117" i="15"/>
  <c r="AB117" i="15"/>
  <c r="AC117" i="15"/>
  <c r="AD117" i="15"/>
  <c r="AE117" i="15"/>
  <c r="AF117" i="15"/>
  <c r="AG117" i="15"/>
  <c r="AH117" i="15"/>
  <c r="AI117" i="15"/>
  <c r="BC117" i="15"/>
  <c r="E118" i="15"/>
  <c r="F118" i="15"/>
  <c r="G118" i="15"/>
  <c r="H118" i="15"/>
  <c r="I118" i="15"/>
  <c r="J118" i="15"/>
  <c r="K118" i="15"/>
  <c r="L118" i="15"/>
  <c r="M118" i="15"/>
  <c r="N118" i="15"/>
  <c r="O118" i="15"/>
  <c r="P118" i="15"/>
  <c r="Q118" i="15"/>
  <c r="R118" i="15"/>
  <c r="S118" i="15"/>
  <c r="T118" i="15"/>
  <c r="U118" i="15"/>
  <c r="V118" i="15"/>
  <c r="W118" i="15"/>
  <c r="X118" i="15"/>
  <c r="Y118" i="15"/>
  <c r="Z118" i="15"/>
  <c r="AA118" i="15"/>
  <c r="AB118" i="15"/>
  <c r="AC118" i="15"/>
  <c r="AD118" i="15"/>
  <c r="AE118" i="15"/>
  <c r="AF118" i="15"/>
  <c r="AG118" i="15"/>
  <c r="AH118" i="15"/>
  <c r="AI118" i="15"/>
  <c r="BC118" i="15"/>
  <c r="E119" i="15"/>
  <c r="F119" i="15"/>
  <c r="G119" i="15"/>
  <c r="H119" i="15"/>
  <c r="I119" i="15"/>
  <c r="J119" i="15"/>
  <c r="K119" i="15"/>
  <c r="L119" i="15"/>
  <c r="M119" i="15"/>
  <c r="N119" i="15"/>
  <c r="O119" i="15"/>
  <c r="P119" i="15"/>
  <c r="Q119" i="15"/>
  <c r="R119" i="15"/>
  <c r="S119" i="15"/>
  <c r="T119" i="15"/>
  <c r="U119" i="15"/>
  <c r="V119" i="15"/>
  <c r="W119" i="15"/>
  <c r="X119" i="15"/>
  <c r="Y119" i="15"/>
  <c r="Z119" i="15"/>
  <c r="AA119" i="15"/>
  <c r="AB119" i="15"/>
  <c r="AC119" i="15"/>
  <c r="AD119" i="15"/>
  <c r="AE119" i="15"/>
  <c r="AF119" i="15"/>
  <c r="AG119" i="15"/>
  <c r="AH119" i="15"/>
  <c r="AI119" i="15"/>
  <c r="BC119" i="15"/>
  <c r="E120" i="15"/>
  <c r="F120" i="15"/>
  <c r="G120" i="15"/>
  <c r="H120" i="15"/>
  <c r="I120" i="15"/>
  <c r="J120" i="15"/>
  <c r="K120" i="15"/>
  <c r="L120" i="15"/>
  <c r="M120" i="15"/>
  <c r="N120" i="15"/>
  <c r="O120" i="15"/>
  <c r="P120" i="15"/>
  <c r="Q120" i="15"/>
  <c r="R120" i="15"/>
  <c r="S120" i="15"/>
  <c r="T120" i="15"/>
  <c r="U120" i="15"/>
  <c r="V120" i="15"/>
  <c r="W120" i="15"/>
  <c r="X120" i="15"/>
  <c r="Y120" i="15"/>
  <c r="Z120" i="15"/>
  <c r="AA120" i="15"/>
  <c r="AB120" i="15"/>
  <c r="AC120" i="15"/>
  <c r="AD120" i="15"/>
  <c r="AE120" i="15"/>
  <c r="AF120" i="15"/>
  <c r="AG120" i="15"/>
  <c r="AH120" i="15"/>
  <c r="AI120" i="15"/>
  <c r="BC120" i="15"/>
  <c r="E121" i="15"/>
  <c r="F121" i="15"/>
  <c r="G121" i="15"/>
  <c r="H121" i="15"/>
  <c r="I121" i="15"/>
  <c r="J121" i="15"/>
  <c r="K121" i="15"/>
  <c r="L121" i="15"/>
  <c r="M121" i="15"/>
  <c r="N121" i="15"/>
  <c r="O121" i="15"/>
  <c r="P121" i="15"/>
  <c r="Q121" i="15"/>
  <c r="R121" i="15"/>
  <c r="S121" i="15"/>
  <c r="T121" i="15"/>
  <c r="U121" i="15"/>
  <c r="V121" i="15"/>
  <c r="W121" i="15"/>
  <c r="X121" i="15"/>
  <c r="Y121" i="15"/>
  <c r="Z121" i="15"/>
  <c r="AA121" i="15"/>
  <c r="AB121" i="15"/>
  <c r="AC121" i="15"/>
  <c r="AD121" i="15"/>
  <c r="AE121" i="15"/>
  <c r="AF121" i="15"/>
  <c r="AG121" i="15"/>
  <c r="AH121" i="15"/>
  <c r="AI121" i="15"/>
  <c r="BC121" i="15"/>
  <c r="E122" i="15"/>
  <c r="F122" i="15"/>
  <c r="G122" i="15"/>
  <c r="H122" i="15"/>
  <c r="I122" i="15"/>
  <c r="J122" i="15"/>
  <c r="K122" i="15"/>
  <c r="L122" i="15"/>
  <c r="M122" i="15"/>
  <c r="N122" i="15"/>
  <c r="O122" i="15"/>
  <c r="P122" i="15"/>
  <c r="Q122" i="15"/>
  <c r="R122" i="15"/>
  <c r="S122" i="15"/>
  <c r="T122" i="15"/>
  <c r="U122" i="15"/>
  <c r="V122" i="15"/>
  <c r="W122" i="15"/>
  <c r="X122" i="15"/>
  <c r="Y122" i="15"/>
  <c r="Z122" i="15"/>
  <c r="AA122" i="15"/>
  <c r="AB122" i="15"/>
  <c r="AC122" i="15"/>
  <c r="AD122" i="15"/>
  <c r="AE122" i="15"/>
  <c r="AF122" i="15"/>
  <c r="AG122" i="15"/>
  <c r="AH122" i="15"/>
  <c r="AI122" i="15"/>
  <c r="BC122" i="15"/>
  <c r="E123" i="15"/>
  <c r="F123" i="15"/>
  <c r="G123" i="15"/>
  <c r="H123" i="15"/>
  <c r="I123" i="15"/>
  <c r="J123" i="15"/>
  <c r="K123" i="15"/>
  <c r="L123" i="15"/>
  <c r="M123" i="15"/>
  <c r="N123" i="15"/>
  <c r="O123" i="15"/>
  <c r="P123" i="15"/>
  <c r="Q123" i="15"/>
  <c r="R123" i="15"/>
  <c r="S123" i="15"/>
  <c r="T123" i="15"/>
  <c r="U123" i="15"/>
  <c r="V123" i="15"/>
  <c r="W123" i="15"/>
  <c r="X123" i="15"/>
  <c r="Y123" i="15"/>
  <c r="Z123" i="15"/>
  <c r="AA123" i="15"/>
  <c r="AB123" i="15"/>
  <c r="AC123" i="15"/>
  <c r="AD123" i="15"/>
  <c r="AE123" i="15"/>
  <c r="AF123" i="15"/>
  <c r="AG123" i="15"/>
  <c r="AH123" i="15"/>
  <c r="AI123" i="15"/>
  <c r="BC123" i="15"/>
  <c r="E124" i="15"/>
  <c r="F124" i="15"/>
  <c r="G124" i="15"/>
  <c r="H124" i="15"/>
  <c r="I124" i="15"/>
  <c r="J124" i="15"/>
  <c r="K124" i="15"/>
  <c r="L124" i="15"/>
  <c r="M124" i="15"/>
  <c r="N124" i="15"/>
  <c r="O124" i="15"/>
  <c r="P124" i="15"/>
  <c r="Q124" i="15"/>
  <c r="R124" i="15"/>
  <c r="S124" i="15"/>
  <c r="T124" i="15"/>
  <c r="U124" i="15"/>
  <c r="V124" i="15"/>
  <c r="W124" i="15"/>
  <c r="X124" i="15"/>
  <c r="Y124" i="15"/>
  <c r="Z124" i="15"/>
  <c r="AA124" i="15"/>
  <c r="AB124" i="15"/>
  <c r="AC124" i="15"/>
  <c r="AD124" i="15"/>
  <c r="AE124" i="15"/>
  <c r="AF124" i="15"/>
  <c r="AG124" i="15"/>
  <c r="AH124" i="15"/>
  <c r="AI124" i="15"/>
  <c r="BC124" i="15"/>
  <c r="E125" i="15"/>
  <c r="F125" i="15"/>
  <c r="G125" i="15"/>
  <c r="H125" i="15"/>
  <c r="I125" i="15"/>
  <c r="J125" i="15"/>
  <c r="K125" i="15"/>
  <c r="L125" i="15"/>
  <c r="M125" i="15"/>
  <c r="N125" i="15"/>
  <c r="O125" i="15"/>
  <c r="P125" i="15"/>
  <c r="Q125" i="15"/>
  <c r="R125" i="15"/>
  <c r="S125" i="15"/>
  <c r="T125" i="15"/>
  <c r="U125" i="15"/>
  <c r="V125" i="15"/>
  <c r="W125" i="15"/>
  <c r="X125" i="15"/>
  <c r="Y125" i="15"/>
  <c r="Z125" i="15"/>
  <c r="AA125" i="15"/>
  <c r="AB125" i="15"/>
  <c r="AC125" i="15"/>
  <c r="AD125" i="15"/>
  <c r="AE125" i="15"/>
  <c r="AF125" i="15"/>
  <c r="AG125" i="15"/>
  <c r="AH125" i="15"/>
  <c r="AI125" i="15"/>
  <c r="BC125" i="15"/>
  <c r="E126" i="15"/>
  <c r="F126" i="15"/>
  <c r="G126" i="15"/>
  <c r="H126" i="15"/>
  <c r="I126" i="15"/>
  <c r="J126" i="15"/>
  <c r="K126" i="15"/>
  <c r="L126" i="15"/>
  <c r="M126" i="15"/>
  <c r="N126" i="15"/>
  <c r="O126" i="15"/>
  <c r="P126" i="15"/>
  <c r="Q126" i="15"/>
  <c r="R126" i="15"/>
  <c r="S126" i="15"/>
  <c r="T126" i="15"/>
  <c r="U126" i="15"/>
  <c r="V126" i="15"/>
  <c r="W126" i="15"/>
  <c r="X126" i="15"/>
  <c r="Y126" i="15"/>
  <c r="Z126" i="15"/>
  <c r="AA126" i="15"/>
  <c r="AB126" i="15"/>
  <c r="AC126" i="15"/>
  <c r="AD126" i="15"/>
  <c r="AE126" i="15"/>
  <c r="AF126" i="15"/>
  <c r="AG126" i="15"/>
  <c r="AH126" i="15"/>
  <c r="AI126" i="15"/>
  <c r="AJ126" i="15"/>
  <c r="AK126" i="15"/>
  <c r="AL126" i="15"/>
  <c r="AM126" i="15"/>
  <c r="AN126" i="15"/>
  <c r="AO126" i="15"/>
  <c r="AP126" i="15"/>
  <c r="AQ126" i="15"/>
  <c r="AR126" i="15"/>
  <c r="AS126" i="15"/>
  <c r="AT126" i="15"/>
  <c r="AU126" i="15"/>
  <c r="AV126" i="15"/>
  <c r="AW126" i="15"/>
  <c r="AX126" i="15"/>
  <c r="AY126" i="15"/>
  <c r="AZ126" i="15"/>
  <c r="BA126" i="15"/>
  <c r="BB126" i="15"/>
  <c r="BC126" i="15"/>
  <c r="BD126" i="15"/>
  <c r="BE126" i="15"/>
  <c r="BF126" i="15"/>
  <c r="BG126" i="15"/>
  <c r="BH126" i="15"/>
  <c r="BI126" i="15"/>
  <c r="BJ126" i="15"/>
  <c r="BK126" i="15"/>
  <c r="BL126" i="15"/>
  <c r="BM126" i="15"/>
  <c r="BN126" i="15"/>
  <c r="BO126" i="15"/>
  <c r="BP126" i="15"/>
  <c r="BQ126" i="15"/>
  <c r="BR126" i="15"/>
  <c r="BS126" i="15"/>
  <c r="BU126" i="15"/>
  <c r="BV126" i="15"/>
  <c r="BW126" i="15"/>
  <c r="BX126" i="15"/>
  <c r="D103" i="15"/>
  <c r="D104" i="15"/>
  <c r="D105" i="15"/>
  <c r="D106" i="15"/>
  <c r="D107" i="15"/>
  <c r="D108" i="15"/>
  <c r="D109" i="15"/>
  <c r="D110" i="15"/>
  <c r="D111" i="15"/>
  <c r="D112" i="15"/>
  <c r="D113" i="15"/>
  <c r="D114" i="15"/>
  <c r="D115" i="15"/>
  <c r="D116" i="15"/>
  <c r="D117" i="15"/>
  <c r="D118" i="15"/>
  <c r="D119" i="15"/>
  <c r="D120" i="15"/>
  <c r="D121" i="15"/>
  <c r="D122" i="15"/>
  <c r="D123" i="15"/>
  <c r="D124" i="15"/>
  <c r="D125" i="15"/>
  <c r="D126" i="15"/>
  <c r="D102" i="15"/>
  <c r="C102" i="15"/>
  <c r="BC71" i="15"/>
  <c r="BX71" i="15"/>
  <c r="BC72" i="15"/>
  <c r="BX72" i="15"/>
  <c r="BC73" i="15"/>
  <c r="BX73" i="15"/>
  <c r="BC74" i="15"/>
  <c r="BX74" i="15"/>
  <c r="BC75" i="15"/>
  <c r="BX75" i="15"/>
  <c r="BC76" i="15"/>
  <c r="BX76" i="15"/>
  <c r="BC77" i="15"/>
  <c r="BX77" i="15"/>
  <c r="BC78" i="15"/>
  <c r="BX78" i="15"/>
  <c r="BC79" i="15"/>
  <c r="BC80" i="15"/>
  <c r="BC81" i="15"/>
  <c r="BC82" i="15"/>
  <c r="BC83" i="15"/>
  <c r="BC84" i="15"/>
  <c r="BC85" i="15"/>
  <c r="BC86" i="15"/>
  <c r="BC87" i="15"/>
  <c r="BC88" i="15"/>
  <c r="BC89" i="15"/>
  <c r="BC90" i="15"/>
  <c r="BC91" i="15"/>
  <c r="BC92" i="15"/>
  <c r="BC93" i="15"/>
  <c r="BC94" i="15"/>
  <c r="AX95" i="15"/>
  <c r="AY95" i="15"/>
  <c r="AZ95" i="15"/>
  <c r="BA95" i="15"/>
  <c r="BB95" i="15"/>
  <c r="BC95" i="15"/>
  <c r="BD95" i="15"/>
  <c r="BE95" i="15"/>
  <c r="BF95" i="15"/>
  <c r="BG95" i="15"/>
  <c r="BH95" i="15"/>
  <c r="BI95" i="15"/>
  <c r="BJ95" i="15"/>
  <c r="BK95" i="15"/>
  <c r="BL95" i="15"/>
  <c r="BM95" i="15"/>
  <c r="BN95" i="15"/>
  <c r="BO95" i="15"/>
  <c r="BP95" i="15"/>
  <c r="BQ95" i="15"/>
  <c r="BR95" i="15"/>
  <c r="BS95" i="15"/>
  <c r="BU95" i="15"/>
  <c r="BV95" i="15"/>
  <c r="BW95" i="15"/>
  <c r="BX95" i="15"/>
  <c r="AW95" i="15"/>
  <c r="AV95" i="15"/>
  <c r="AU95" i="15"/>
  <c r="AT95" i="15"/>
  <c r="AS95" i="15"/>
  <c r="AR95" i="15"/>
  <c r="AQ95" i="15"/>
  <c r="AP95" i="15"/>
  <c r="AO95" i="15"/>
  <c r="AN95" i="15"/>
  <c r="AM95" i="15"/>
  <c r="AL95" i="15"/>
  <c r="AK95" i="15"/>
  <c r="AJ95" i="15"/>
  <c r="AI95" i="15"/>
  <c r="AH95" i="15"/>
  <c r="AG95" i="15"/>
  <c r="AF95" i="15"/>
  <c r="AE95" i="15"/>
  <c r="AD95" i="15"/>
  <c r="AC95" i="15"/>
  <c r="AB95" i="15"/>
  <c r="AA95" i="15"/>
  <c r="Z95" i="15"/>
  <c r="Y95" i="15"/>
  <c r="X95" i="15"/>
  <c r="W95" i="15"/>
  <c r="V95" i="15"/>
  <c r="U95" i="15"/>
  <c r="T95" i="15"/>
  <c r="S95" i="15"/>
  <c r="R95" i="15"/>
  <c r="Q95" i="15"/>
  <c r="P95" i="15"/>
  <c r="O95" i="15"/>
  <c r="N95" i="15"/>
  <c r="M95" i="15"/>
  <c r="L95" i="15"/>
  <c r="K95" i="15"/>
  <c r="J95" i="15"/>
  <c r="I95" i="15"/>
  <c r="H95" i="15"/>
  <c r="G95" i="15"/>
  <c r="F95" i="15"/>
  <c r="E95" i="15"/>
  <c r="D95" i="15"/>
  <c r="AV94" i="15"/>
  <c r="AU94" i="15"/>
  <c r="AT94" i="15"/>
  <c r="AS94" i="15"/>
  <c r="AR94" i="15"/>
  <c r="AQ94" i="15"/>
  <c r="AP94" i="15"/>
  <c r="AO94" i="15"/>
  <c r="AN94" i="15"/>
  <c r="AM94" i="15"/>
  <c r="AL94" i="15"/>
  <c r="AK94" i="15"/>
  <c r="AJ94" i="15"/>
  <c r="AI94" i="15"/>
  <c r="AH94" i="15"/>
  <c r="AG94" i="15"/>
  <c r="AF94" i="15"/>
  <c r="AE94" i="15"/>
  <c r="AD94" i="15"/>
  <c r="AC94" i="15"/>
  <c r="AB94" i="15"/>
  <c r="AA94" i="15"/>
  <c r="Z94" i="15"/>
  <c r="Y94" i="15"/>
  <c r="X94" i="15"/>
  <c r="W94" i="15"/>
  <c r="V94" i="15"/>
  <c r="U94" i="15"/>
  <c r="T94" i="15"/>
  <c r="S94" i="15"/>
  <c r="R94" i="15"/>
  <c r="Q94" i="15"/>
  <c r="P94" i="15"/>
  <c r="O94" i="15"/>
  <c r="N94" i="15"/>
  <c r="M94" i="15"/>
  <c r="L94" i="15"/>
  <c r="K94" i="15"/>
  <c r="J94" i="15"/>
  <c r="I94" i="15"/>
  <c r="H94" i="15"/>
  <c r="G94" i="15"/>
  <c r="F94" i="15"/>
  <c r="E94" i="15"/>
  <c r="D94" i="15"/>
  <c r="E71" i="15"/>
  <c r="F71" i="15"/>
  <c r="G71" i="15"/>
  <c r="H71" i="15"/>
  <c r="I71" i="15"/>
  <c r="J71" i="15"/>
  <c r="K71" i="15"/>
  <c r="L71" i="15"/>
  <c r="M71" i="15"/>
  <c r="N71" i="15"/>
  <c r="O71" i="15"/>
  <c r="P71" i="15"/>
  <c r="Q71" i="15"/>
  <c r="R71" i="15"/>
  <c r="S71" i="15"/>
  <c r="T71" i="15"/>
  <c r="U71" i="15"/>
  <c r="V71" i="15"/>
  <c r="W71" i="15"/>
  <c r="X71" i="15"/>
  <c r="Y71" i="15"/>
  <c r="Z71" i="15"/>
  <c r="AA71" i="15"/>
  <c r="AB71" i="15"/>
  <c r="AC71" i="15"/>
  <c r="AD71" i="15"/>
  <c r="AE71" i="15"/>
  <c r="AF71" i="15"/>
  <c r="AG71" i="15"/>
  <c r="AH71" i="15"/>
  <c r="AI71" i="15"/>
  <c r="E72" i="15"/>
  <c r="F72" i="15"/>
  <c r="G72" i="15"/>
  <c r="H72" i="15"/>
  <c r="I72" i="15"/>
  <c r="J72" i="15"/>
  <c r="K72" i="15"/>
  <c r="L72" i="15"/>
  <c r="M72" i="15"/>
  <c r="N72" i="15"/>
  <c r="O72" i="15"/>
  <c r="P72" i="15"/>
  <c r="Q72" i="15"/>
  <c r="R72" i="15"/>
  <c r="S72" i="15"/>
  <c r="T72" i="15"/>
  <c r="U72" i="15"/>
  <c r="V72" i="15"/>
  <c r="W72" i="15"/>
  <c r="X72" i="15"/>
  <c r="Y72" i="15"/>
  <c r="Z72" i="15"/>
  <c r="AA72" i="15"/>
  <c r="AB72" i="15"/>
  <c r="AC72" i="15"/>
  <c r="AD72" i="15"/>
  <c r="AE72" i="15"/>
  <c r="AG72" i="15"/>
  <c r="AH72" i="15"/>
  <c r="AI72" i="15"/>
  <c r="E73" i="15"/>
  <c r="F73" i="15"/>
  <c r="G73" i="15"/>
  <c r="H73" i="15"/>
  <c r="I73" i="15"/>
  <c r="J73" i="15"/>
  <c r="K73" i="15"/>
  <c r="L73" i="15"/>
  <c r="M73" i="15"/>
  <c r="N73" i="15"/>
  <c r="O73" i="15"/>
  <c r="P73" i="15"/>
  <c r="Q73" i="15"/>
  <c r="R73" i="15"/>
  <c r="S73" i="15"/>
  <c r="T73" i="15"/>
  <c r="U73" i="15"/>
  <c r="V73" i="15"/>
  <c r="W73" i="15"/>
  <c r="X73" i="15"/>
  <c r="Y73" i="15"/>
  <c r="Z73" i="15"/>
  <c r="AA73" i="15"/>
  <c r="AB73" i="15"/>
  <c r="AC73" i="15"/>
  <c r="AD73" i="15"/>
  <c r="AE73" i="15"/>
  <c r="AG73" i="15"/>
  <c r="AH73" i="15"/>
  <c r="AI73" i="15"/>
  <c r="E74" i="15"/>
  <c r="F74" i="15"/>
  <c r="G74" i="15"/>
  <c r="H74" i="15"/>
  <c r="I74" i="15"/>
  <c r="J74" i="15"/>
  <c r="K74" i="15"/>
  <c r="L74" i="15"/>
  <c r="M74" i="15"/>
  <c r="N74" i="15"/>
  <c r="O74" i="15"/>
  <c r="P74" i="15"/>
  <c r="Q74" i="15"/>
  <c r="R74" i="15"/>
  <c r="S74" i="15"/>
  <c r="T74" i="15"/>
  <c r="U74" i="15"/>
  <c r="V74" i="15"/>
  <c r="W74" i="15"/>
  <c r="X74" i="15"/>
  <c r="Y74" i="15"/>
  <c r="Z74" i="15"/>
  <c r="AA74" i="15"/>
  <c r="AB74" i="15"/>
  <c r="AC74" i="15"/>
  <c r="AD74" i="15"/>
  <c r="AE74" i="15"/>
  <c r="AF74" i="15"/>
  <c r="AG74" i="15"/>
  <c r="AH74" i="15"/>
  <c r="AI74" i="15"/>
  <c r="E75" i="15"/>
  <c r="F75" i="15"/>
  <c r="G75" i="15"/>
  <c r="H75" i="15"/>
  <c r="I75" i="15"/>
  <c r="J75" i="15"/>
  <c r="K75" i="15"/>
  <c r="L75" i="15"/>
  <c r="M75" i="15"/>
  <c r="N75" i="15"/>
  <c r="O75" i="15"/>
  <c r="P75" i="15"/>
  <c r="Q75" i="15"/>
  <c r="R75" i="15"/>
  <c r="S75" i="15"/>
  <c r="T75" i="15"/>
  <c r="U75" i="15"/>
  <c r="V75" i="15"/>
  <c r="W75" i="15"/>
  <c r="X75" i="15"/>
  <c r="Y75" i="15"/>
  <c r="Z75" i="15"/>
  <c r="AA75" i="15"/>
  <c r="AB75" i="15"/>
  <c r="AC75" i="15"/>
  <c r="AD75" i="15"/>
  <c r="AE75" i="15"/>
  <c r="AF75" i="15"/>
  <c r="AG75" i="15"/>
  <c r="AH75" i="15"/>
  <c r="AI75" i="15"/>
  <c r="E76" i="15"/>
  <c r="F76" i="15"/>
  <c r="G76" i="15"/>
  <c r="H76" i="15"/>
  <c r="I76" i="15"/>
  <c r="J76" i="15"/>
  <c r="K76" i="15"/>
  <c r="L76" i="15"/>
  <c r="M76" i="15"/>
  <c r="N76" i="15"/>
  <c r="O76" i="15"/>
  <c r="P76" i="15"/>
  <c r="Q76" i="15"/>
  <c r="R76" i="15"/>
  <c r="S76" i="15"/>
  <c r="T76" i="15"/>
  <c r="U76" i="15"/>
  <c r="V76" i="15"/>
  <c r="W76" i="15"/>
  <c r="X76" i="15"/>
  <c r="Y76" i="15"/>
  <c r="Z76" i="15"/>
  <c r="AA76" i="15"/>
  <c r="AB76" i="15"/>
  <c r="AC76" i="15"/>
  <c r="AD76" i="15"/>
  <c r="AE76" i="15"/>
  <c r="AG76" i="15"/>
  <c r="AH76" i="15"/>
  <c r="AI76" i="15"/>
  <c r="E77" i="15"/>
  <c r="F77" i="15"/>
  <c r="G77" i="15"/>
  <c r="H77" i="15"/>
  <c r="I77" i="15"/>
  <c r="J77" i="15"/>
  <c r="K77" i="15"/>
  <c r="L77" i="15"/>
  <c r="M77" i="15"/>
  <c r="N77" i="15"/>
  <c r="O77" i="15"/>
  <c r="P77" i="15"/>
  <c r="Q77" i="15"/>
  <c r="R77" i="15"/>
  <c r="S77" i="15"/>
  <c r="T77" i="15"/>
  <c r="U77" i="15"/>
  <c r="V77" i="15"/>
  <c r="W77" i="15"/>
  <c r="X77" i="15"/>
  <c r="Y77" i="15"/>
  <c r="Z77" i="15"/>
  <c r="AA77" i="15"/>
  <c r="AB77" i="15"/>
  <c r="AC77" i="15"/>
  <c r="AD77" i="15"/>
  <c r="AE77" i="15"/>
  <c r="AF77" i="15"/>
  <c r="AG77" i="15"/>
  <c r="AI77" i="15"/>
  <c r="E78" i="15"/>
  <c r="F78" i="15"/>
  <c r="G78" i="15"/>
  <c r="H78" i="15"/>
  <c r="I78" i="15"/>
  <c r="J78" i="15"/>
  <c r="K78" i="15"/>
  <c r="L78" i="15"/>
  <c r="M78" i="15"/>
  <c r="N78" i="15"/>
  <c r="O78" i="15"/>
  <c r="P78" i="15"/>
  <c r="Q78" i="15"/>
  <c r="R78" i="15"/>
  <c r="S78" i="15"/>
  <c r="T78" i="15"/>
  <c r="U78" i="15"/>
  <c r="V78" i="15"/>
  <c r="W78" i="15"/>
  <c r="X78" i="15"/>
  <c r="Y78" i="15"/>
  <c r="Z78" i="15"/>
  <c r="AA78" i="15"/>
  <c r="AB78" i="15"/>
  <c r="AC78" i="15"/>
  <c r="AD78" i="15"/>
  <c r="AE78" i="15"/>
  <c r="AF78" i="15"/>
  <c r="AG78" i="15"/>
  <c r="AH78" i="15"/>
  <c r="AI78" i="15"/>
  <c r="E79" i="15"/>
  <c r="F79" i="15"/>
  <c r="G79" i="15"/>
  <c r="H79" i="15"/>
  <c r="I79" i="15"/>
  <c r="J79" i="15"/>
  <c r="K79" i="15"/>
  <c r="L79" i="15"/>
  <c r="M79" i="15"/>
  <c r="N79" i="15"/>
  <c r="O79" i="15"/>
  <c r="P79" i="15"/>
  <c r="Q79" i="15"/>
  <c r="R79" i="15"/>
  <c r="S79" i="15"/>
  <c r="T79" i="15"/>
  <c r="U79" i="15"/>
  <c r="V79" i="15"/>
  <c r="W79" i="15"/>
  <c r="X79" i="15"/>
  <c r="Y79" i="15"/>
  <c r="Z79" i="15"/>
  <c r="AA79" i="15"/>
  <c r="AB79" i="15"/>
  <c r="AC79" i="15"/>
  <c r="AD79" i="15"/>
  <c r="AE79" i="15"/>
  <c r="AF79" i="15"/>
  <c r="AG79" i="15"/>
  <c r="AH79" i="15"/>
  <c r="AI79" i="15"/>
  <c r="E80" i="15"/>
  <c r="F80" i="15"/>
  <c r="G80" i="15"/>
  <c r="H80" i="15"/>
  <c r="I80" i="15"/>
  <c r="J80" i="15"/>
  <c r="K80" i="15"/>
  <c r="L80" i="15"/>
  <c r="M80" i="15"/>
  <c r="N80" i="15"/>
  <c r="O80" i="15"/>
  <c r="P80" i="15"/>
  <c r="Q80" i="15"/>
  <c r="R80" i="15"/>
  <c r="S80" i="15"/>
  <c r="T80" i="15"/>
  <c r="U80" i="15"/>
  <c r="V80" i="15"/>
  <c r="W80" i="15"/>
  <c r="X80" i="15"/>
  <c r="Y80" i="15"/>
  <c r="Z80" i="15"/>
  <c r="AA80" i="15"/>
  <c r="AB80" i="15"/>
  <c r="AC80" i="15"/>
  <c r="AD80" i="15"/>
  <c r="AE80" i="15"/>
  <c r="AF80" i="15"/>
  <c r="AG80" i="15"/>
  <c r="AH80" i="15"/>
  <c r="AI80" i="15"/>
  <c r="E81" i="15"/>
  <c r="F81" i="15"/>
  <c r="G81" i="15"/>
  <c r="H81" i="15"/>
  <c r="I81" i="15"/>
  <c r="J81" i="15"/>
  <c r="K81" i="15"/>
  <c r="L81" i="15"/>
  <c r="M81" i="15"/>
  <c r="N81" i="15"/>
  <c r="O81" i="15"/>
  <c r="P81" i="15"/>
  <c r="Q81" i="15"/>
  <c r="R81" i="15"/>
  <c r="S81" i="15"/>
  <c r="T81" i="15"/>
  <c r="U81" i="15"/>
  <c r="V81" i="15"/>
  <c r="W81" i="15"/>
  <c r="X81" i="15"/>
  <c r="Y81" i="15"/>
  <c r="Z81" i="15"/>
  <c r="AA81" i="15"/>
  <c r="AB81" i="15"/>
  <c r="AC81" i="15"/>
  <c r="AD81" i="15"/>
  <c r="AE81" i="15"/>
  <c r="AF81" i="15"/>
  <c r="AG81" i="15"/>
  <c r="AH81" i="15"/>
  <c r="AI81" i="15"/>
  <c r="E82" i="15"/>
  <c r="F82" i="15"/>
  <c r="G82" i="15"/>
  <c r="H82" i="15"/>
  <c r="I82" i="15"/>
  <c r="J82" i="15"/>
  <c r="K82" i="15"/>
  <c r="L82" i="15"/>
  <c r="M82" i="15"/>
  <c r="N82" i="15"/>
  <c r="O82" i="15"/>
  <c r="P82" i="15"/>
  <c r="Q82" i="15"/>
  <c r="R82" i="15"/>
  <c r="S82" i="15"/>
  <c r="T82" i="15"/>
  <c r="U82" i="15"/>
  <c r="V82" i="15"/>
  <c r="W82" i="15"/>
  <c r="X82" i="15"/>
  <c r="Y82" i="15"/>
  <c r="Z82" i="15"/>
  <c r="AA82" i="15"/>
  <c r="AB82" i="15"/>
  <c r="AC82" i="15"/>
  <c r="AD82" i="15"/>
  <c r="AE82" i="15"/>
  <c r="AF82" i="15"/>
  <c r="AG82" i="15"/>
  <c r="AH82" i="15"/>
  <c r="AI82" i="15"/>
  <c r="E83" i="15"/>
  <c r="F83" i="15"/>
  <c r="G83" i="15"/>
  <c r="H83" i="15"/>
  <c r="I83" i="15"/>
  <c r="J83" i="15"/>
  <c r="K83" i="15"/>
  <c r="L83" i="15"/>
  <c r="M83" i="15"/>
  <c r="N83" i="15"/>
  <c r="O83" i="15"/>
  <c r="P83" i="15"/>
  <c r="Q83" i="15"/>
  <c r="R83" i="15"/>
  <c r="S83" i="15"/>
  <c r="T83" i="15"/>
  <c r="U83" i="15"/>
  <c r="V83" i="15"/>
  <c r="W83" i="15"/>
  <c r="X83" i="15"/>
  <c r="Y83" i="15"/>
  <c r="Z83" i="15"/>
  <c r="AA83" i="15"/>
  <c r="AB83" i="15"/>
  <c r="AC83" i="15"/>
  <c r="AD83" i="15"/>
  <c r="AE83" i="15"/>
  <c r="AF83" i="15"/>
  <c r="AG83" i="15"/>
  <c r="AH83" i="15"/>
  <c r="AI83" i="15"/>
  <c r="E84" i="15"/>
  <c r="F84" i="15"/>
  <c r="G84" i="15"/>
  <c r="H84" i="15"/>
  <c r="I84" i="15"/>
  <c r="J84" i="15"/>
  <c r="K84" i="15"/>
  <c r="L84" i="15"/>
  <c r="M84" i="15"/>
  <c r="N84" i="15"/>
  <c r="O84" i="15"/>
  <c r="P84" i="15"/>
  <c r="Q84" i="15"/>
  <c r="R84" i="15"/>
  <c r="S84" i="15"/>
  <c r="T84" i="15"/>
  <c r="U84" i="15"/>
  <c r="V84" i="15"/>
  <c r="W84" i="15"/>
  <c r="X84" i="15"/>
  <c r="Y84" i="15"/>
  <c r="Z84" i="15"/>
  <c r="AA84" i="15"/>
  <c r="AB84" i="15"/>
  <c r="AC84" i="15"/>
  <c r="AD84" i="15"/>
  <c r="AE84" i="15"/>
  <c r="AF84" i="15"/>
  <c r="AG84" i="15"/>
  <c r="AH84" i="15"/>
  <c r="AI84" i="15"/>
  <c r="E85" i="15"/>
  <c r="F85" i="15"/>
  <c r="G85" i="15"/>
  <c r="H85" i="15"/>
  <c r="I85" i="15"/>
  <c r="J85" i="15"/>
  <c r="K85" i="15"/>
  <c r="L85" i="15"/>
  <c r="M85" i="15"/>
  <c r="N85" i="15"/>
  <c r="O85" i="15"/>
  <c r="P85" i="15"/>
  <c r="Q85" i="15"/>
  <c r="R85" i="15"/>
  <c r="S85" i="15"/>
  <c r="T85" i="15"/>
  <c r="U85" i="15"/>
  <c r="V85" i="15"/>
  <c r="W85" i="15"/>
  <c r="X85" i="15"/>
  <c r="Y85" i="15"/>
  <c r="Z85" i="15"/>
  <c r="AA85" i="15"/>
  <c r="AB85" i="15"/>
  <c r="AC85" i="15"/>
  <c r="AD85" i="15"/>
  <c r="AE85" i="15"/>
  <c r="AF85" i="15"/>
  <c r="AG85" i="15"/>
  <c r="AH85" i="15"/>
  <c r="AI85" i="15"/>
  <c r="E86" i="15"/>
  <c r="F86" i="15"/>
  <c r="G86" i="15"/>
  <c r="H86" i="15"/>
  <c r="I86" i="15"/>
  <c r="J86" i="15"/>
  <c r="K86" i="15"/>
  <c r="L86" i="15"/>
  <c r="M86" i="15"/>
  <c r="N86" i="15"/>
  <c r="O86" i="15"/>
  <c r="P86" i="15"/>
  <c r="Q86" i="15"/>
  <c r="R86" i="15"/>
  <c r="S86" i="15"/>
  <c r="T86" i="15"/>
  <c r="U86" i="15"/>
  <c r="V86" i="15"/>
  <c r="W86" i="15"/>
  <c r="X86" i="15"/>
  <c r="Y86" i="15"/>
  <c r="Z86" i="15"/>
  <c r="AA86" i="15"/>
  <c r="AB86" i="15"/>
  <c r="AC86" i="15"/>
  <c r="AD86" i="15"/>
  <c r="AE86" i="15"/>
  <c r="AF86" i="15"/>
  <c r="AG86" i="15"/>
  <c r="AH86" i="15"/>
  <c r="AI86" i="15"/>
  <c r="E87" i="15"/>
  <c r="F87" i="15"/>
  <c r="G87" i="15"/>
  <c r="H87" i="15"/>
  <c r="I87" i="15"/>
  <c r="J87" i="15"/>
  <c r="K87" i="15"/>
  <c r="L87" i="15"/>
  <c r="M87" i="15"/>
  <c r="N87" i="15"/>
  <c r="O87" i="15"/>
  <c r="P87" i="15"/>
  <c r="Q87" i="15"/>
  <c r="R87" i="15"/>
  <c r="S87" i="15"/>
  <c r="T87" i="15"/>
  <c r="U87" i="15"/>
  <c r="V87" i="15"/>
  <c r="W87" i="15"/>
  <c r="X87" i="15"/>
  <c r="Y87" i="15"/>
  <c r="Z87" i="15"/>
  <c r="AA87" i="15"/>
  <c r="AB87" i="15"/>
  <c r="AC87" i="15"/>
  <c r="AD87" i="15"/>
  <c r="AE87" i="15"/>
  <c r="AF87" i="15"/>
  <c r="AG87" i="15"/>
  <c r="AH87" i="15"/>
  <c r="AI87" i="15"/>
  <c r="E88" i="15"/>
  <c r="F88" i="15"/>
  <c r="G88" i="15"/>
  <c r="H88" i="15"/>
  <c r="I88" i="15"/>
  <c r="J88" i="15"/>
  <c r="K88" i="15"/>
  <c r="L88" i="15"/>
  <c r="M88" i="15"/>
  <c r="N88" i="15"/>
  <c r="O88" i="15"/>
  <c r="P88" i="15"/>
  <c r="Q88" i="15"/>
  <c r="R88" i="15"/>
  <c r="S88" i="15"/>
  <c r="T88" i="15"/>
  <c r="U88" i="15"/>
  <c r="V88" i="15"/>
  <c r="W88" i="15"/>
  <c r="X88" i="15"/>
  <c r="Y88" i="15"/>
  <c r="Z88" i="15"/>
  <c r="AA88" i="15"/>
  <c r="AB88" i="15"/>
  <c r="AC88" i="15"/>
  <c r="AD88" i="15"/>
  <c r="AE88" i="15"/>
  <c r="AF88" i="15"/>
  <c r="AG88" i="15"/>
  <c r="AH88" i="15"/>
  <c r="AI88" i="15"/>
  <c r="E89" i="15"/>
  <c r="F89" i="15"/>
  <c r="G89" i="15"/>
  <c r="H89" i="15"/>
  <c r="I89" i="15"/>
  <c r="J89" i="15"/>
  <c r="K89" i="15"/>
  <c r="L89" i="15"/>
  <c r="M89" i="15"/>
  <c r="N89" i="15"/>
  <c r="O89" i="15"/>
  <c r="P89" i="15"/>
  <c r="Q89" i="15"/>
  <c r="R89" i="15"/>
  <c r="S89" i="15"/>
  <c r="T89" i="15"/>
  <c r="U89" i="15"/>
  <c r="V89" i="15"/>
  <c r="W89" i="15"/>
  <c r="X89" i="15"/>
  <c r="Y89" i="15"/>
  <c r="Z89" i="15"/>
  <c r="AA89" i="15"/>
  <c r="AB89" i="15"/>
  <c r="AC89" i="15"/>
  <c r="AD89" i="15"/>
  <c r="AE89" i="15"/>
  <c r="AF89" i="15"/>
  <c r="AG89" i="15"/>
  <c r="AH89" i="15"/>
  <c r="AI89" i="15"/>
  <c r="E90" i="15"/>
  <c r="F90" i="15"/>
  <c r="G90" i="15"/>
  <c r="H90" i="15"/>
  <c r="I90" i="15"/>
  <c r="J90" i="15"/>
  <c r="K90" i="15"/>
  <c r="L90" i="15"/>
  <c r="M90" i="15"/>
  <c r="N90" i="15"/>
  <c r="O90" i="15"/>
  <c r="P90" i="15"/>
  <c r="Q90" i="15"/>
  <c r="R90" i="15"/>
  <c r="S90" i="15"/>
  <c r="T90" i="15"/>
  <c r="U90" i="15"/>
  <c r="V90" i="15"/>
  <c r="W90" i="15"/>
  <c r="X90" i="15"/>
  <c r="Y90" i="15"/>
  <c r="Z90" i="15"/>
  <c r="AA90" i="15"/>
  <c r="AB90" i="15"/>
  <c r="AC90" i="15"/>
  <c r="AD90" i="15"/>
  <c r="AE90" i="15"/>
  <c r="AF90" i="15"/>
  <c r="AG90" i="15"/>
  <c r="AH90" i="15"/>
  <c r="AI90" i="15"/>
  <c r="E91" i="15"/>
  <c r="F91" i="15"/>
  <c r="G91" i="15"/>
  <c r="H91" i="15"/>
  <c r="I91" i="15"/>
  <c r="J91" i="15"/>
  <c r="K91" i="15"/>
  <c r="L91" i="15"/>
  <c r="M91" i="15"/>
  <c r="N91" i="15"/>
  <c r="O91" i="15"/>
  <c r="P91" i="15"/>
  <c r="Q91" i="15"/>
  <c r="R91" i="15"/>
  <c r="S91" i="15"/>
  <c r="T91" i="15"/>
  <c r="U91" i="15"/>
  <c r="V91" i="15"/>
  <c r="W91" i="15"/>
  <c r="X91" i="15"/>
  <c r="Y91" i="15"/>
  <c r="Z91" i="15"/>
  <c r="AA91" i="15"/>
  <c r="AB91" i="15"/>
  <c r="AC91" i="15"/>
  <c r="AD91" i="15"/>
  <c r="AE91" i="15"/>
  <c r="AF91" i="15"/>
  <c r="AG91" i="15"/>
  <c r="AH91" i="15"/>
  <c r="AI91" i="15"/>
  <c r="E92" i="15"/>
  <c r="F92" i="15"/>
  <c r="G92" i="15"/>
  <c r="H92" i="15"/>
  <c r="I92" i="15"/>
  <c r="J92" i="15"/>
  <c r="K92" i="15"/>
  <c r="L92" i="15"/>
  <c r="M92" i="15"/>
  <c r="N92" i="15"/>
  <c r="O92" i="15"/>
  <c r="P92" i="15"/>
  <c r="Q92" i="15"/>
  <c r="R92" i="15"/>
  <c r="S92" i="15"/>
  <c r="T92" i="15"/>
  <c r="U92" i="15"/>
  <c r="V92" i="15"/>
  <c r="W92" i="15"/>
  <c r="X92" i="15"/>
  <c r="Y92" i="15"/>
  <c r="Z92" i="15"/>
  <c r="AA92" i="15"/>
  <c r="AB92" i="15"/>
  <c r="AC92" i="15"/>
  <c r="AD92" i="15"/>
  <c r="AE92" i="15"/>
  <c r="AF92" i="15"/>
  <c r="AG92" i="15"/>
  <c r="AH92" i="15"/>
  <c r="AI92" i="15"/>
  <c r="E93" i="15"/>
  <c r="F93" i="15"/>
  <c r="G93" i="15"/>
  <c r="H93" i="15"/>
  <c r="I93" i="15"/>
  <c r="J93" i="15"/>
  <c r="K93" i="15"/>
  <c r="L93" i="15"/>
  <c r="M93" i="15"/>
  <c r="N93" i="15"/>
  <c r="O93" i="15"/>
  <c r="P93" i="15"/>
  <c r="Q93" i="15"/>
  <c r="R93" i="15"/>
  <c r="S93" i="15"/>
  <c r="T93" i="15"/>
  <c r="U93" i="15"/>
  <c r="V93" i="15"/>
  <c r="W93" i="15"/>
  <c r="X93" i="15"/>
  <c r="Y93" i="15"/>
  <c r="Z93" i="15"/>
  <c r="AA93" i="15"/>
  <c r="AB93" i="15"/>
  <c r="AC93" i="15"/>
  <c r="AD93" i="15"/>
  <c r="AE93" i="15"/>
  <c r="AF93" i="15"/>
  <c r="AG93" i="15"/>
  <c r="AH93" i="15"/>
  <c r="AI93" i="15"/>
  <c r="D72" i="15"/>
  <c r="D73" i="15"/>
  <c r="D74" i="15"/>
  <c r="D75" i="15"/>
  <c r="D76" i="15"/>
  <c r="D77" i="15"/>
  <c r="D78" i="15"/>
  <c r="D79" i="15"/>
  <c r="D80" i="15"/>
  <c r="D81" i="15"/>
  <c r="D82" i="15"/>
  <c r="D83" i="15"/>
  <c r="D84" i="15"/>
  <c r="D85" i="15"/>
  <c r="D86" i="15"/>
  <c r="D87" i="15"/>
  <c r="D88" i="15"/>
  <c r="D89" i="15"/>
  <c r="D90" i="15"/>
  <c r="D91" i="15"/>
  <c r="D92" i="15"/>
  <c r="D93" i="15"/>
  <c r="D71" i="15"/>
  <c r="C72" i="15"/>
  <c r="C104" i="15" s="1"/>
  <c r="C71" i="15"/>
  <c r="C103" i="15" s="1"/>
  <c r="BB9" i="8" l="1"/>
  <c r="BB9" i="7"/>
  <c r="BB9" i="6" l="1"/>
  <c r="BB9" i="16" s="1"/>
  <c r="BB13" i="6"/>
  <c r="BB13" i="8"/>
  <c r="BB13" i="7"/>
  <c r="BB12" i="8"/>
  <c r="BB12" i="7"/>
  <c r="BB12" i="6"/>
  <c r="BB15" i="7"/>
  <c r="BB15" i="6"/>
  <c r="BB105" i="16" s="1"/>
  <c r="BB15" i="8"/>
  <c r="BB77" i="15"/>
  <c r="BB11" i="7"/>
  <c r="BB11" i="6"/>
  <c r="BB11" i="16" s="1"/>
  <c r="BB11" i="8"/>
  <c r="BB14" i="6"/>
  <c r="BB14" i="8"/>
  <c r="BB107" i="15"/>
  <c r="BB14" i="7"/>
  <c r="BB10" i="6"/>
  <c r="BB10" i="8"/>
  <c r="BB70" i="16" s="1"/>
  <c r="BB72" i="15"/>
  <c r="BB10" i="7"/>
  <c r="BB20" i="16"/>
  <c r="BB104" i="16"/>
  <c r="BB102" i="15"/>
  <c r="BB114" i="15"/>
  <c r="BB83" i="15"/>
  <c r="BB69" i="16"/>
  <c r="BB117" i="15"/>
  <c r="BB86" i="15"/>
  <c r="BB105" i="15"/>
  <c r="BB110" i="16"/>
  <c r="BB80" i="16"/>
  <c r="BB102" i="16"/>
  <c r="BB116" i="15"/>
  <c r="BB85" i="15"/>
  <c r="BB104" i="15"/>
  <c r="BB103" i="15"/>
  <c r="BB84" i="15"/>
  <c r="BB115" i="15"/>
  <c r="BB99" i="16" l="1"/>
  <c r="BB101" i="16"/>
  <c r="BB75" i="16"/>
  <c r="BB14" i="16"/>
  <c r="BB72" i="16"/>
  <c r="BB73" i="16"/>
  <c r="BB71" i="16"/>
  <c r="BB10" i="16"/>
  <c r="BB11" i="15"/>
  <c r="BV11" i="15" s="1"/>
  <c r="BW11" i="15" s="1"/>
  <c r="BB13" i="16"/>
  <c r="BB9" i="15"/>
  <c r="BV9" i="15" s="1"/>
  <c r="BW9" i="15" s="1"/>
  <c r="BB15" i="15"/>
  <c r="BV15" i="15" s="1"/>
  <c r="BW15" i="15" s="1"/>
  <c r="BB106" i="15"/>
  <c r="BB108" i="15"/>
  <c r="BB103" i="16"/>
  <c r="BB75" i="15"/>
  <c r="BB100" i="16"/>
  <c r="BB14" i="15"/>
  <c r="BV14" i="15" s="1"/>
  <c r="BW14" i="15" s="1"/>
  <c r="BB15" i="16"/>
  <c r="BB16" i="8"/>
  <c r="BB16" i="7"/>
  <c r="BB16" i="6"/>
  <c r="BB76" i="15"/>
  <c r="BB73" i="15"/>
  <c r="BB74" i="15"/>
  <c r="BB71" i="15"/>
  <c r="BB74" i="16"/>
  <c r="BB10" i="15"/>
  <c r="BV10" i="15" s="1"/>
  <c r="BW10" i="15" s="1"/>
  <c r="BB12" i="16"/>
  <c r="BB12" i="15"/>
  <c r="BV12" i="15" s="1"/>
  <c r="BW12" i="15" s="1"/>
  <c r="BB13" i="15"/>
  <c r="BV13" i="15" s="1"/>
  <c r="BW13" i="15" s="1"/>
  <c r="BA10" i="8"/>
  <c r="BA11" i="8"/>
  <c r="BA12" i="8"/>
  <c r="BA13" i="8"/>
  <c r="BA18" i="8"/>
  <c r="BA20" i="8"/>
  <c r="BA21" i="8"/>
  <c r="BA22" i="8"/>
  <c r="BA23" i="8"/>
  <c r="BA24" i="8"/>
  <c r="BA25" i="8"/>
  <c r="BA26" i="8"/>
  <c r="BA27" i="8"/>
  <c r="BA28" i="8"/>
  <c r="BA29" i="8"/>
  <c r="BA30" i="8"/>
  <c r="BA31" i="8"/>
  <c r="BA32" i="8"/>
  <c r="BA9" i="8"/>
  <c r="BA16" i="7"/>
  <c r="BA10" i="7"/>
  <c r="BA11" i="7"/>
  <c r="BA12" i="7"/>
  <c r="BA13" i="7"/>
  <c r="BA15" i="7"/>
  <c r="BA17" i="7"/>
  <c r="BA18" i="7"/>
  <c r="BA19" i="7"/>
  <c r="BA20" i="7"/>
  <c r="BA21" i="7"/>
  <c r="BA22" i="7"/>
  <c r="BA23" i="7"/>
  <c r="BA24" i="7"/>
  <c r="BA25" i="7"/>
  <c r="BA26" i="7"/>
  <c r="BA9" i="7"/>
  <c r="BA10" i="6"/>
  <c r="BA10" i="16" s="1"/>
  <c r="BA11" i="6"/>
  <c r="BA12" i="6"/>
  <c r="BA13" i="6"/>
  <c r="BA15" i="6"/>
  <c r="BA16" i="6"/>
  <c r="BA17" i="6"/>
  <c r="BA18" i="6"/>
  <c r="BA18" i="16" s="1"/>
  <c r="BA19" i="6"/>
  <c r="BA20" i="6"/>
  <c r="BA21" i="6"/>
  <c r="BA22" i="6"/>
  <c r="BA22" i="16" s="1"/>
  <c r="BA23" i="6"/>
  <c r="BA23" i="16" s="1"/>
  <c r="BA24" i="6"/>
  <c r="BA26" i="16"/>
  <c r="BA27" i="16"/>
  <c r="BA29" i="16"/>
  <c r="BA30" i="16"/>
  <c r="BA31" i="16"/>
  <c r="BA9" i="6"/>
  <c r="BA9" i="16" s="1"/>
  <c r="BA10" i="5"/>
  <c r="BA11" i="5"/>
  <c r="BA12" i="5"/>
  <c r="BA13" i="5"/>
  <c r="BA16" i="5"/>
  <c r="BA17" i="5"/>
  <c r="BA18" i="5"/>
  <c r="BA19" i="5"/>
  <c r="BA20" i="5"/>
  <c r="BA21" i="5"/>
  <c r="BA22" i="5"/>
  <c r="BA23" i="5"/>
  <c r="BA24" i="5"/>
  <c r="BA9" i="5"/>
  <c r="BA10" i="4"/>
  <c r="BA11" i="4"/>
  <c r="BA12" i="4"/>
  <c r="BA13" i="4"/>
  <c r="BA15" i="4"/>
  <c r="BA16" i="4"/>
  <c r="BA17" i="4"/>
  <c r="BA18" i="4"/>
  <c r="BA19" i="4"/>
  <c r="BA20" i="4"/>
  <c r="BA21" i="4"/>
  <c r="BA22" i="4"/>
  <c r="BA23" i="4"/>
  <c r="BA24" i="4"/>
  <c r="BA9" i="4"/>
  <c r="BB18" i="1"/>
  <c r="BB16" i="1"/>
  <c r="BA16" i="15" s="1"/>
  <c r="BB17" i="1"/>
  <c r="BB12" i="1"/>
  <c r="BB13" i="1"/>
  <c r="BB15" i="1"/>
  <c r="BB19" i="1"/>
  <c r="BB20" i="1"/>
  <c r="BA20" i="15" s="1"/>
  <c r="BB21" i="1"/>
  <c r="BB22" i="1"/>
  <c r="BB23" i="1"/>
  <c r="BA24" i="15"/>
  <c r="BB9" i="1"/>
  <c r="BA25" i="16" l="1"/>
  <c r="BA21" i="16"/>
  <c r="BA44" i="16"/>
  <c r="BA13" i="16"/>
  <c r="BB16" i="16"/>
  <c r="BB76" i="16"/>
  <c r="BB106" i="16"/>
  <c r="BB16" i="15"/>
  <c r="BV16" i="15" s="1"/>
  <c r="BB109" i="15"/>
  <c r="BB78" i="15"/>
  <c r="BA32" i="16"/>
  <c r="BA28" i="16"/>
  <c r="BA24" i="16"/>
  <c r="BA20" i="16"/>
  <c r="BA12" i="16"/>
  <c r="BA11" i="16"/>
  <c r="BB17" i="6"/>
  <c r="BB17" i="8"/>
  <c r="BB17" i="7"/>
  <c r="BB20" i="15"/>
  <c r="BV20" i="15" s="1"/>
  <c r="BB82" i="15"/>
  <c r="BB113" i="15"/>
  <c r="BA102" i="15"/>
  <c r="BA71" i="15"/>
  <c r="BA118" i="15"/>
  <c r="BA87" i="15"/>
  <c r="BA125" i="15"/>
  <c r="BA94" i="15"/>
  <c r="BA124" i="15"/>
  <c r="BA93" i="15"/>
  <c r="BA120" i="15"/>
  <c r="BA89" i="15"/>
  <c r="BA116" i="15"/>
  <c r="BA85" i="15"/>
  <c r="BA112" i="15"/>
  <c r="BA81" i="15"/>
  <c r="BA105" i="15"/>
  <c r="BA74" i="15"/>
  <c r="BA109" i="15"/>
  <c r="BA78" i="15"/>
  <c r="BA51" i="15"/>
  <c r="BA23" i="15"/>
  <c r="BA19" i="15"/>
  <c r="BA62" i="16"/>
  <c r="BA121" i="16"/>
  <c r="BA91" i="16"/>
  <c r="BA58" i="16"/>
  <c r="BA117" i="16"/>
  <c r="BA87" i="16"/>
  <c r="BA54" i="16"/>
  <c r="BA113" i="16"/>
  <c r="BA83" i="16"/>
  <c r="BA101" i="16"/>
  <c r="BA71" i="16"/>
  <c r="BA63" i="15"/>
  <c r="BA123" i="15"/>
  <c r="BA92" i="15"/>
  <c r="BA111" i="15"/>
  <c r="BA80" i="15"/>
  <c r="BA26" i="15"/>
  <c r="BA22" i="15"/>
  <c r="BA18" i="15"/>
  <c r="BA90" i="16"/>
  <c r="BA120" i="16"/>
  <c r="BA116" i="16"/>
  <c r="BA86" i="16"/>
  <c r="BA112" i="16"/>
  <c r="BA82" i="16"/>
  <c r="BA49" i="16"/>
  <c r="BA108" i="16"/>
  <c r="BA78" i="16"/>
  <c r="BA41" i="16"/>
  <c r="BA100" i="16"/>
  <c r="BA70" i="16"/>
  <c r="BA59" i="15"/>
  <c r="BA61" i="16"/>
  <c r="BA119" i="15"/>
  <c r="BA88" i="15"/>
  <c r="BA114" i="15"/>
  <c r="BA83" i="15"/>
  <c r="BA9" i="15"/>
  <c r="BA61" i="15"/>
  <c r="BA57" i="15"/>
  <c r="BA53" i="15"/>
  <c r="BA17" i="15"/>
  <c r="BA13" i="15"/>
  <c r="BA99" i="16"/>
  <c r="BA69" i="16"/>
  <c r="BA119" i="16"/>
  <c r="BA89" i="16"/>
  <c r="BA115" i="16"/>
  <c r="BA85" i="16"/>
  <c r="BA111" i="16"/>
  <c r="BA81" i="16"/>
  <c r="BA103" i="16"/>
  <c r="BA73" i="16"/>
  <c r="BA55" i="15"/>
  <c r="BA57" i="16"/>
  <c r="BA115" i="15"/>
  <c r="BA84" i="15"/>
  <c r="BA122" i="15"/>
  <c r="BA91" i="15"/>
  <c r="BA121" i="15"/>
  <c r="BA90" i="15"/>
  <c r="BA117" i="15"/>
  <c r="BA86" i="15"/>
  <c r="BA113" i="15"/>
  <c r="BA82" i="15"/>
  <c r="BA106" i="15"/>
  <c r="BA75" i="15"/>
  <c r="BA110" i="15"/>
  <c r="BA79" i="15"/>
  <c r="BA60" i="15"/>
  <c r="BA56" i="15"/>
  <c r="BA52" i="15"/>
  <c r="BA48" i="15"/>
  <c r="BA44" i="15"/>
  <c r="BA92" i="16"/>
  <c r="BA122" i="16"/>
  <c r="BA118" i="16"/>
  <c r="BA88" i="16"/>
  <c r="BA114" i="16"/>
  <c r="BA84" i="16"/>
  <c r="BA110" i="16"/>
  <c r="BA80" i="16"/>
  <c r="BA102" i="16"/>
  <c r="BA72" i="16"/>
  <c r="BA50" i="15"/>
  <c r="BA53" i="16"/>
  <c r="BA40" i="16"/>
  <c r="BA60" i="16"/>
  <c r="BA56" i="16"/>
  <c r="BA52" i="16"/>
  <c r="BA43" i="16"/>
  <c r="BA63" i="16"/>
  <c r="BA59" i="16"/>
  <c r="BA55" i="16"/>
  <c r="BA51" i="16"/>
  <c r="BA42" i="16"/>
  <c r="BA25" i="15"/>
  <c r="BA21" i="15"/>
  <c r="BA12" i="15"/>
  <c r="BA41" i="15"/>
  <c r="BA62" i="15"/>
  <c r="BA58" i="15"/>
  <c r="BA54" i="15"/>
  <c r="BA49" i="15"/>
  <c r="BA45" i="15"/>
  <c r="BB17" i="15" l="1"/>
  <c r="BV17" i="15" s="1"/>
  <c r="BB110" i="15"/>
  <c r="BB79" i="15"/>
  <c r="BB18" i="6"/>
  <c r="BB18" i="8"/>
  <c r="BB18" i="7"/>
  <c r="BB17" i="16"/>
  <c r="BB77" i="16"/>
  <c r="BB107" i="16"/>
  <c r="BT12" i="6"/>
  <c r="E41" i="15"/>
  <c r="F41" i="15"/>
  <c r="G41" i="15"/>
  <c r="H41" i="15"/>
  <c r="I41" i="15"/>
  <c r="J41" i="15"/>
  <c r="K41" i="15"/>
  <c r="L41" i="15"/>
  <c r="M41" i="15"/>
  <c r="N41" i="15"/>
  <c r="O41" i="15"/>
  <c r="P41" i="15"/>
  <c r="Q41" i="15"/>
  <c r="R41" i="15"/>
  <c r="S41" i="15"/>
  <c r="T41" i="15"/>
  <c r="U41" i="15"/>
  <c r="V41" i="15"/>
  <c r="W41" i="15"/>
  <c r="X41" i="15"/>
  <c r="Y41" i="15"/>
  <c r="Z41" i="15"/>
  <c r="AA41" i="15"/>
  <c r="AB41" i="15"/>
  <c r="AC41" i="15"/>
  <c r="AD41" i="15"/>
  <c r="AE41" i="15"/>
  <c r="AF41" i="15"/>
  <c r="AG41" i="15"/>
  <c r="AH41" i="15"/>
  <c r="AI41" i="15"/>
  <c r="BB41" i="15"/>
  <c r="BC41" i="15"/>
  <c r="BX41" i="15"/>
  <c r="E42" i="15"/>
  <c r="F42" i="15"/>
  <c r="G42" i="15"/>
  <c r="H42" i="15"/>
  <c r="I42" i="15"/>
  <c r="J42" i="15"/>
  <c r="K42" i="15"/>
  <c r="L42" i="15"/>
  <c r="M42" i="15"/>
  <c r="N42" i="15"/>
  <c r="O42" i="15"/>
  <c r="P42" i="15"/>
  <c r="Q42" i="15"/>
  <c r="R42" i="15"/>
  <c r="S42" i="15"/>
  <c r="T42" i="15"/>
  <c r="U42" i="15"/>
  <c r="V42" i="15"/>
  <c r="W42" i="15"/>
  <c r="X42" i="15"/>
  <c r="Y42" i="15"/>
  <c r="Z42" i="15"/>
  <c r="AA42" i="15"/>
  <c r="AB42" i="15"/>
  <c r="AC42" i="15"/>
  <c r="AD42" i="15"/>
  <c r="AE42" i="15"/>
  <c r="AG42" i="15"/>
  <c r="AH42" i="15"/>
  <c r="AI42" i="15"/>
  <c r="BB42" i="15"/>
  <c r="BC42" i="15"/>
  <c r="BX42" i="15"/>
  <c r="E43" i="15"/>
  <c r="F43" i="15"/>
  <c r="G43" i="15"/>
  <c r="H43" i="15"/>
  <c r="I43" i="15"/>
  <c r="J43" i="15"/>
  <c r="K43" i="15"/>
  <c r="L43" i="15"/>
  <c r="M43" i="15"/>
  <c r="N43" i="15"/>
  <c r="O43" i="15"/>
  <c r="P43" i="15"/>
  <c r="Q43" i="15"/>
  <c r="R43" i="15"/>
  <c r="S43" i="15"/>
  <c r="T43" i="15"/>
  <c r="U43" i="15"/>
  <c r="V43" i="15"/>
  <c r="W43" i="15"/>
  <c r="X43" i="15"/>
  <c r="Y43" i="15"/>
  <c r="Z43" i="15"/>
  <c r="AA43" i="15"/>
  <c r="AB43" i="15"/>
  <c r="AC43" i="15"/>
  <c r="AD43" i="15"/>
  <c r="AE43" i="15"/>
  <c r="AG43" i="15"/>
  <c r="AH43" i="15"/>
  <c r="AI43" i="15"/>
  <c r="BB43" i="15"/>
  <c r="BC43" i="15"/>
  <c r="BX43" i="15"/>
  <c r="E44" i="15"/>
  <c r="F44" i="15"/>
  <c r="G44" i="15"/>
  <c r="H44" i="15"/>
  <c r="I44" i="15"/>
  <c r="J44" i="15"/>
  <c r="K44" i="15"/>
  <c r="L44" i="15"/>
  <c r="M44" i="15"/>
  <c r="N44" i="15"/>
  <c r="O44" i="15"/>
  <c r="P44" i="15"/>
  <c r="Q44" i="15"/>
  <c r="R44" i="15"/>
  <c r="S44" i="15"/>
  <c r="T44" i="15"/>
  <c r="U44" i="15"/>
  <c r="V44" i="15"/>
  <c r="W44" i="15"/>
  <c r="X44" i="15"/>
  <c r="Y44" i="15"/>
  <c r="Z44" i="15"/>
  <c r="AA44" i="15"/>
  <c r="AB44" i="15"/>
  <c r="AC44" i="15"/>
  <c r="AD44" i="15"/>
  <c r="AE44" i="15"/>
  <c r="AF44" i="15"/>
  <c r="AG44" i="15"/>
  <c r="AH44" i="15"/>
  <c r="AI44" i="15"/>
  <c r="BB44" i="15"/>
  <c r="BC44" i="15"/>
  <c r="BX44" i="15"/>
  <c r="E45" i="15"/>
  <c r="F45" i="15"/>
  <c r="G45" i="15"/>
  <c r="H45" i="15"/>
  <c r="I45" i="15"/>
  <c r="J45" i="15"/>
  <c r="K45" i="15"/>
  <c r="L45" i="15"/>
  <c r="M45" i="15"/>
  <c r="N45" i="15"/>
  <c r="O45" i="15"/>
  <c r="P45" i="15"/>
  <c r="Q45" i="15"/>
  <c r="R45" i="15"/>
  <c r="S45" i="15"/>
  <c r="T45" i="15"/>
  <c r="U45" i="15"/>
  <c r="V45" i="15"/>
  <c r="W45" i="15"/>
  <c r="X45" i="15"/>
  <c r="Y45" i="15"/>
  <c r="Z45" i="15"/>
  <c r="AA45" i="15"/>
  <c r="AB45" i="15"/>
  <c r="AC45" i="15"/>
  <c r="AD45" i="15"/>
  <c r="AE45" i="15"/>
  <c r="AF45" i="15"/>
  <c r="AG45" i="15"/>
  <c r="AH45" i="15"/>
  <c r="AI45" i="15"/>
  <c r="BB45" i="15"/>
  <c r="BC45" i="15"/>
  <c r="BX45" i="15"/>
  <c r="E46" i="15"/>
  <c r="F46" i="15"/>
  <c r="G46" i="15"/>
  <c r="H46" i="15"/>
  <c r="I46" i="15"/>
  <c r="J46" i="15"/>
  <c r="K46" i="15"/>
  <c r="L46" i="15"/>
  <c r="M46" i="15"/>
  <c r="N46" i="15"/>
  <c r="O46" i="15"/>
  <c r="P46" i="15"/>
  <c r="Q46" i="15"/>
  <c r="R46" i="15"/>
  <c r="S46" i="15"/>
  <c r="T46" i="15"/>
  <c r="U46" i="15"/>
  <c r="V46" i="15"/>
  <c r="W46" i="15"/>
  <c r="X46" i="15"/>
  <c r="Y46" i="15"/>
  <c r="Z46" i="15"/>
  <c r="AA46" i="15"/>
  <c r="AB46" i="15"/>
  <c r="AC46" i="15"/>
  <c r="AD46" i="15"/>
  <c r="AE46" i="15"/>
  <c r="AG46" i="15"/>
  <c r="AH46" i="15"/>
  <c r="AI46" i="15"/>
  <c r="BB46" i="15"/>
  <c r="BC46" i="15"/>
  <c r="BX46" i="15"/>
  <c r="E47" i="15"/>
  <c r="F47" i="15"/>
  <c r="G47" i="15"/>
  <c r="H47" i="15"/>
  <c r="I47" i="15"/>
  <c r="J47" i="15"/>
  <c r="K47" i="15"/>
  <c r="L47" i="15"/>
  <c r="M47" i="15"/>
  <c r="N47" i="15"/>
  <c r="O47" i="15"/>
  <c r="P47" i="15"/>
  <c r="Q47" i="15"/>
  <c r="R47" i="15"/>
  <c r="S47" i="15"/>
  <c r="T47" i="15"/>
  <c r="U47" i="15"/>
  <c r="V47" i="15"/>
  <c r="W47" i="15"/>
  <c r="X47" i="15"/>
  <c r="Y47" i="15"/>
  <c r="Z47" i="15"/>
  <c r="AA47" i="15"/>
  <c r="AB47" i="15"/>
  <c r="AC47" i="15"/>
  <c r="AD47" i="15"/>
  <c r="AE47" i="15"/>
  <c r="AF47" i="15"/>
  <c r="AG47" i="15"/>
  <c r="AI47" i="15"/>
  <c r="BB47" i="15"/>
  <c r="BC47" i="15"/>
  <c r="BX47" i="15"/>
  <c r="E48" i="15"/>
  <c r="F48" i="15"/>
  <c r="G48" i="15"/>
  <c r="H48" i="15"/>
  <c r="I48" i="15"/>
  <c r="J48" i="15"/>
  <c r="K48" i="15"/>
  <c r="L48" i="15"/>
  <c r="M48" i="15"/>
  <c r="N48" i="15"/>
  <c r="O48" i="15"/>
  <c r="P48" i="15"/>
  <c r="Q48" i="15"/>
  <c r="R48" i="15"/>
  <c r="S48" i="15"/>
  <c r="T48" i="15"/>
  <c r="U48" i="15"/>
  <c r="V48" i="15"/>
  <c r="W48" i="15"/>
  <c r="X48" i="15"/>
  <c r="Y48" i="15"/>
  <c r="Z48" i="15"/>
  <c r="AA48" i="15"/>
  <c r="AB48" i="15"/>
  <c r="AC48" i="15"/>
  <c r="AD48" i="15"/>
  <c r="AE48" i="15"/>
  <c r="AF48" i="15"/>
  <c r="AG48" i="15"/>
  <c r="AH48" i="15"/>
  <c r="AI48" i="15"/>
  <c r="BB48" i="15"/>
  <c r="BC48" i="15"/>
  <c r="BX48" i="15"/>
  <c r="E49" i="15"/>
  <c r="F49" i="15"/>
  <c r="G49" i="15"/>
  <c r="H49" i="15"/>
  <c r="I49" i="15"/>
  <c r="J49" i="15"/>
  <c r="K49" i="15"/>
  <c r="L49" i="15"/>
  <c r="M49" i="15"/>
  <c r="N49" i="15"/>
  <c r="O49" i="15"/>
  <c r="P49" i="15"/>
  <c r="Q49" i="15"/>
  <c r="R49" i="15"/>
  <c r="S49" i="15"/>
  <c r="T49" i="15"/>
  <c r="U49" i="15"/>
  <c r="V49" i="15"/>
  <c r="W49" i="15"/>
  <c r="X49" i="15"/>
  <c r="Y49" i="15"/>
  <c r="Z49" i="15"/>
  <c r="AA49" i="15"/>
  <c r="AB49" i="15"/>
  <c r="AC49" i="15"/>
  <c r="AD49" i="15"/>
  <c r="AE49" i="15"/>
  <c r="AF49" i="15"/>
  <c r="AG49" i="15"/>
  <c r="AH49" i="15"/>
  <c r="AI49" i="15"/>
  <c r="BB49" i="15"/>
  <c r="BC49" i="15"/>
  <c r="E50" i="15"/>
  <c r="F50" i="15"/>
  <c r="G50" i="15"/>
  <c r="H50" i="15"/>
  <c r="I50" i="15"/>
  <c r="J50" i="15"/>
  <c r="K50" i="15"/>
  <c r="L50" i="15"/>
  <c r="M50" i="15"/>
  <c r="N50" i="15"/>
  <c r="O50" i="15"/>
  <c r="P50" i="15"/>
  <c r="Q50" i="15"/>
  <c r="R50" i="15"/>
  <c r="S50" i="15"/>
  <c r="T50" i="15"/>
  <c r="U50" i="15"/>
  <c r="V50" i="15"/>
  <c r="W50" i="15"/>
  <c r="X50" i="15"/>
  <c r="Y50" i="15"/>
  <c r="Z50" i="15"/>
  <c r="AA50" i="15"/>
  <c r="AB50" i="15"/>
  <c r="AC50" i="15"/>
  <c r="AD50" i="15"/>
  <c r="AE50" i="15"/>
  <c r="AF50" i="15"/>
  <c r="AG50" i="15"/>
  <c r="AH50" i="15"/>
  <c r="AI50" i="15"/>
  <c r="BC50" i="15"/>
  <c r="E51" i="15"/>
  <c r="F51" i="15"/>
  <c r="G51" i="15"/>
  <c r="H51" i="15"/>
  <c r="I51" i="15"/>
  <c r="J51" i="15"/>
  <c r="K51" i="15"/>
  <c r="L51" i="15"/>
  <c r="M51" i="15"/>
  <c r="N51" i="15"/>
  <c r="O51" i="15"/>
  <c r="P51" i="15"/>
  <c r="Q51" i="15"/>
  <c r="R51" i="15"/>
  <c r="S51" i="15"/>
  <c r="T51" i="15"/>
  <c r="U51" i="15"/>
  <c r="V51" i="15"/>
  <c r="W51" i="15"/>
  <c r="X51" i="15"/>
  <c r="Y51" i="15"/>
  <c r="Z51" i="15"/>
  <c r="AA51" i="15"/>
  <c r="AB51" i="15"/>
  <c r="AC51" i="15"/>
  <c r="AD51" i="15"/>
  <c r="AE51" i="15"/>
  <c r="AF51" i="15"/>
  <c r="AG51" i="15"/>
  <c r="AH51" i="15"/>
  <c r="AI51" i="15"/>
  <c r="BC51" i="15"/>
  <c r="E52" i="15"/>
  <c r="F52" i="15"/>
  <c r="G52" i="15"/>
  <c r="H52" i="15"/>
  <c r="I52" i="15"/>
  <c r="J52" i="15"/>
  <c r="K52" i="15"/>
  <c r="L52" i="15"/>
  <c r="M52" i="15"/>
  <c r="N52" i="15"/>
  <c r="O52" i="15"/>
  <c r="P52" i="15"/>
  <c r="Q52" i="15"/>
  <c r="R52" i="15"/>
  <c r="S52" i="15"/>
  <c r="T52" i="15"/>
  <c r="U52" i="15"/>
  <c r="V52" i="15"/>
  <c r="W52" i="15"/>
  <c r="X52" i="15"/>
  <c r="Y52" i="15"/>
  <c r="Z52" i="15"/>
  <c r="AA52" i="15"/>
  <c r="AB52" i="15"/>
  <c r="AC52" i="15"/>
  <c r="AD52" i="15"/>
  <c r="AE52" i="15"/>
  <c r="AF52" i="15"/>
  <c r="AG52" i="15"/>
  <c r="AH52" i="15"/>
  <c r="AI52" i="15"/>
  <c r="BB52" i="15"/>
  <c r="BC52" i="15"/>
  <c r="E53" i="15"/>
  <c r="F53" i="15"/>
  <c r="G53" i="15"/>
  <c r="H53" i="15"/>
  <c r="I53" i="15"/>
  <c r="J53" i="15"/>
  <c r="K53" i="15"/>
  <c r="L53" i="15"/>
  <c r="M53" i="15"/>
  <c r="N53" i="15"/>
  <c r="O53" i="15"/>
  <c r="P53" i="15"/>
  <c r="Q53" i="15"/>
  <c r="R53" i="15"/>
  <c r="S53" i="15"/>
  <c r="T53" i="15"/>
  <c r="U53" i="15"/>
  <c r="V53" i="15"/>
  <c r="W53" i="15"/>
  <c r="X53" i="15"/>
  <c r="Y53" i="15"/>
  <c r="Z53" i="15"/>
  <c r="AA53" i="15"/>
  <c r="AB53" i="15"/>
  <c r="AC53" i="15"/>
  <c r="AD53" i="15"/>
  <c r="AE53" i="15"/>
  <c r="AF53" i="15"/>
  <c r="AG53" i="15"/>
  <c r="AH53" i="15"/>
  <c r="AI53" i="15"/>
  <c r="BB53" i="15"/>
  <c r="BC53" i="15"/>
  <c r="E54" i="15"/>
  <c r="F54" i="15"/>
  <c r="G54" i="15"/>
  <c r="H54" i="15"/>
  <c r="I54" i="15"/>
  <c r="J54" i="15"/>
  <c r="K54" i="15"/>
  <c r="L54" i="15"/>
  <c r="M54" i="15"/>
  <c r="N54" i="15"/>
  <c r="O54" i="15"/>
  <c r="P54" i="15"/>
  <c r="Q54" i="15"/>
  <c r="R54" i="15"/>
  <c r="S54" i="15"/>
  <c r="T54" i="15"/>
  <c r="U54" i="15"/>
  <c r="V54" i="15"/>
  <c r="W54" i="15"/>
  <c r="X54" i="15"/>
  <c r="Y54" i="15"/>
  <c r="Z54" i="15"/>
  <c r="AA54" i="15"/>
  <c r="AB54" i="15"/>
  <c r="AC54" i="15"/>
  <c r="AD54" i="15"/>
  <c r="AE54" i="15"/>
  <c r="AF54" i="15"/>
  <c r="AG54" i="15"/>
  <c r="AH54" i="15"/>
  <c r="AI54" i="15"/>
  <c r="BB54" i="15"/>
  <c r="BC54" i="15"/>
  <c r="E55" i="15"/>
  <c r="F55" i="15"/>
  <c r="G55" i="15"/>
  <c r="H55" i="15"/>
  <c r="I55" i="15"/>
  <c r="J55" i="15"/>
  <c r="K55" i="15"/>
  <c r="L55" i="15"/>
  <c r="M55" i="15"/>
  <c r="N55" i="15"/>
  <c r="O55" i="15"/>
  <c r="P55" i="15"/>
  <c r="Q55" i="15"/>
  <c r="R55" i="15"/>
  <c r="S55" i="15"/>
  <c r="T55" i="15"/>
  <c r="U55" i="15"/>
  <c r="V55" i="15"/>
  <c r="W55" i="15"/>
  <c r="X55" i="15"/>
  <c r="Y55" i="15"/>
  <c r="Z55" i="15"/>
  <c r="AA55" i="15"/>
  <c r="AB55" i="15"/>
  <c r="AC55" i="15"/>
  <c r="AD55" i="15"/>
  <c r="AE55" i="15"/>
  <c r="AF55" i="15"/>
  <c r="AG55" i="15"/>
  <c r="AH55" i="15"/>
  <c r="AI55" i="15"/>
  <c r="BB55" i="15"/>
  <c r="BC55" i="15"/>
  <c r="E56" i="15"/>
  <c r="F56" i="15"/>
  <c r="G56" i="15"/>
  <c r="H56" i="15"/>
  <c r="I56" i="15"/>
  <c r="J56" i="15"/>
  <c r="K56" i="15"/>
  <c r="L56" i="15"/>
  <c r="M56" i="15"/>
  <c r="N56" i="15"/>
  <c r="O56" i="15"/>
  <c r="P56" i="15"/>
  <c r="Q56" i="15"/>
  <c r="R56" i="15"/>
  <c r="S56" i="15"/>
  <c r="T56" i="15"/>
  <c r="U56" i="15"/>
  <c r="V56" i="15"/>
  <c r="W56" i="15"/>
  <c r="X56" i="15"/>
  <c r="Y56" i="15"/>
  <c r="Z56" i="15"/>
  <c r="AA56" i="15"/>
  <c r="AB56" i="15"/>
  <c r="AC56" i="15"/>
  <c r="AD56" i="15"/>
  <c r="AE56" i="15"/>
  <c r="AF56" i="15"/>
  <c r="AG56" i="15"/>
  <c r="AH56" i="15"/>
  <c r="AI56" i="15"/>
  <c r="BB56" i="15"/>
  <c r="BC56" i="15"/>
  <c r="E57" i="15"/>
  <c r="F57" i="15"/>
  <c r="G57" i="15"/>
  <c r="H57" i="15"/>
  <c r="I57" i="15"/>
  <c r="J57" i="15"/>
  <c r="K57" i="15"/>
  <c r="L57" i="15"/>
  <c r="M57" i="15"/>
  <c r="N57" i="15"/>
  <c r="O57" i="15"/>
  <c r="P57" i="15"/>
  <c r="Q57" i="15"/>
  <c r="R57" i="15"/>
  <c r="S57" i="15"/>
  <c r="T57" i="15"/>
  <c r="U57" i="15"/>
  <c r="V57" i="15"/>
  <c r="W57" i="15"/>
  <c r="X57" i="15"/>
  <c r="Y57" i="15"/>
  <c r="Z57" i="15"/>
  <c r="AA57" i="15"/>
  <c r="AB57" i="15"/>
  <c r="AC57" i="15"/>
  <c r="AD57" i="15"/>
  <c r="AE57" i="15"/>
  <c r="AF57" i="15"/>
  <c r="AG57" i="15"/>
  <c r="AH57" i="15"/>
  <c r="AI57" i="15"/>
  <c r="BC57" i="15"/>
  <c r="E58" i="15"/>
  <c r="F58" i="15"/>
  <c r="G58" i="15"/>
  <c r="H58" i="15"/>
  <c r="I58" i="15"/>
  <c r="J58" i="15"/>
  <c r="K58" i="15"/>
  <c r="L58" i="15"/>
  <c r="M58" i="15"/>
  <c r="N58" i="15"/>
  <c r="O58" i="15"/>
  <c r="P58" i="15"/>
  <c r="Q58" i="15"/>
  <c r="R58" i="15"/>
  <c r="S58" i="15"/>
  <c r="T58" i="15"/>
  <c r="U58" i="15"/>
  <c r="V58" i="15"/>
  <c r="W58" i="15"/>
  <c r="X58" i="15"/>
  <c r="Y58" i="15"/>
  <c r="Z58" i="15"/>
  <c r="AA58" i="15"/>
  <c r="AB58" i="15"/>
  <c r="AC58" i="15"/>
  <c r="AD58" i="15"/>
  <c r="AE58" i="15"/>
  <c r="AF58" i="15"/>
  <c r="AG58" i="15"/>
  <c r="AH58" i="15"/>
  <c r="AI58" i="15"/>
  <c r="BC58" i="15"/>
  <c r="E59" i="15"/>
  <c r="F59" i="15"/>
  <c r="G59" i="15"/>
  <c r="H59" i="15"/>
  <c r="I59" i="15"/>
  <c r="J59" i="15"/>
  <c r="K59" i="15"/>
  <c r="L59" i="15"/>
  <c r="M59" i="15"/>
  <c r="N59" i="15"/>
  <c r="O59" i="15"/>
  <c r="P59" i="15"/>
  <c r="Q59" i="15"/>
  <c r="R59" i="15"/>
  <c r="S59" i="15"/>
  <c r="T59" i="15"/>
  <c r="U59" i="15"/>
  <c r="V59" i="15"/>
  <c r="W59" i="15"/>
  <c r="X59" i="15"/>
  <c r="Y59" i="15"/>
  <c r="Z59" i="15"/>
  <c r="AA59" i="15"/>
  <c r="AB59" i="15"/>
  <c r="AC59" i="15"/>
  <c r="AD59" i="15"/>
  <c r="AE59" i="15"/>
  <c r="AF59" i="15"/>
  <c r="AG59" i="15"/>
  <c r="AH59" i="15"/>
  <c r="AI59" i="15"/>
  <c r="BC59" i="15"/>
  <c r="E60" i="15"/>
  <c r="F60" i="15"/>
  <c r="G60" i="15"/>
  <c r="H60" i="15"/>
  <c r="I60" i="15"/>
  <c r="J60" i="15"/>
  <c r="K60" i="15"/>
  <c r="L60" i="15"/>
  <c r="M60" i="15"/>
  <c r="N60" i="15"/>
  <c r="O60" i="15"/>
  <c r="P60" i="15"/>
  <c r="Q60" i="15"/>
  <c r="R60" i="15"/>
  <c r="S60" i="15"/>
  <c r="T60" i="15"/>
  <c r="U60" i="15"/>
  <c r="V60" i="15"/>
  <c r="W60" i="15"/>
  <c r="X60" i="15"/>
  <c r="Y60" i="15"/>
  <c r="Z60" i="15"/>
  <c r="AA60" i="15"/>
  <c r="AB60" i="15"/>
  <c r="AC60" i="15"/>
  <c r="AD60" i="15"/>
  <c r="AE60" i="15"/>
  <c r="AF60" i="15"/>
  <c r="AG60" i="15"/>
  <c r="AH60" i="15"/>
  <c r="AI60" i="15"/>
  <c r="BC60" i="15"/>
  <c r="E61" i="15"/>
  <c r="F61" i="15"/>
  <c r="G61" i="15"/>
  <c r="H61" i="15"/>
  <c r="I61" i="15"/>
  <c r="J61" i="15"/>
  <c r="K61" i="15"/>
  <c r="L61" i="15"/>
  <c r="M61" i="15"/>
  <c r="N61" i="15"/>
  <c r="O61" i="15"/>
  <c r="P61" i="15"/>
  <c r="Q61" i="15"/>
  <c r="R61" i="15"/>
  <c r="S61" i="15"/>
  <c r="T61" i="15"/>
  <c r="U61" i="15"/>
  <c r="V61" i="15"/>
  <c r="W61" i="15"/>
  <c r="X61" i="15"/>
  <c r="Y61" i="15"/>
  <c r="Z61" i="15"/>
  <c r="AA61" i="15"/>
  <c r="AB61" i="15"/>
  <c r="AC61" i="15"/>
  <c r="AD61" i="15"/>
  <c r="AE61" i="15"/>
  <c r="AF61" i="15"/>
  <c r="AG61" i="15"/>
  <c r="AH61" i="15"/>
  <c r="AI61" i="15"/>
  <c r="BC61" i="15"/>
  <c r="E62" i="15"/>
  <c r="F62" i="15"/>
  <c r="G62" i="15"/>
  <c r="H62" i="15"/>
  <c r="I62" i="15"/>
  <c r="J62" i="15"/>
  <c r="K62" i="15"/>
  <c r="L62" i="15"/>
  <c r="M62" i="15"/>
  <c r="N62" i="15"/>
  <c r="O62" i="15"/>
  <c r="P62" i="15"/>
  <c r="Q62" i="15"/>
  <c r="R62" i="15"/>
  <c r="S62" i="15"/>
  <c r="T62" i="15"/>
  <c r="U62" i="15"/>
  <c r="V62" i="15"/>
  <c r="W62" i="15"/>
  <c r="X62" i="15"/>
  <c r="Y62" i="15"/>
  <c r="Z62" i="15"/>
  <c r="AA62" i="15"/>
  <c r="AB62" i="15"/>
  <c r="AC62" i="15"/>
  <c r="AD62" i="15"/>
  <c r="AE62" i="15"/>
  <c r="AF62" i="15"/>
  <c r="AG62" i="15"/>
  <c r="AH62" i="15"/>
  <c r="AI62" i="15"/>
  <c r="BC62" i="15"/>
  <c r="E63" i="15"/>
  <c r="F63" i="15"/>
  <c r="G63" i="15"/>
  <c r="H63" i="15"/>
  <c r="I63" i="15"/>
  <c r="J63" i="15"/>
  <c r="K63" i="15"/>
  <c r="L63" i="15"/>
  <c r="M63" i="15"/>
  <c r="N63" i="15"/>
  <c r="O63" i="15"/>
  <c r="P63" i="15"/>
  <c r="Q63" i="15"/>
  <c r="R63" i="15"/>
  <c r="S63" i="15"/>
  <c r="T63" i="15"/>
  <c r="U63" i="15"/>
  <c r="V63" i="15"/>
  <c r="W63" i="15"/>
  <c r="X63" i="15"/>
  <c r="Y63" i="15"/>
  <c r="Z63" i="15"/>
  <c r="AA63" i="15"/>
  <c r="AB63" i="15"/>
  <c r="AC63" i="15"/>
  <c r="AD63" i="15"/>
  <c r="AE63" i="15"/>
  <c r="AF63" i="15"/>
  <c r="AG63" i="15"/>
  <c r="AH63" i="15"/>
  <c r="AI63" i="15"/>
  <c r="BC63" i="15"/>
  <c r="D42" i="15"/>
  <c r="D43" i="15"/>
  <c r="D44" i="15"/>
  <c r="D45" i="15"/>
  <c r="D46" i="15"/>
  <c r="D47" i="15"/>
  <c r="D48" i="15"/>
  <c r="D49" i="15"/>
  <c r="D50" i="15"/>
  <c r="D51" i="15"/>
  <c r="D52" i="15"/>
  <c r="D53" i="15"/>
  <c r="D54" i="15"/>
  <c r="D55" i="15"/>
  <c r="D56" i="15"/>
  <c r="D57" i="15"/>
  <c r="D58" i="15"/>
  <c r="D59" i="15"/>
  <c r="D60" i="15"/>
  <c r="D61" i="15"/>
  <c r="D62" i="15"/>
  <c r="D63" i="15"/>
  <c r="D41" i="15"/>
  <c r="BB41" i="16"/>
  <c r="BV41" i="16"/>
  <c r="BB42" i="16"/>
  <c r="BV42" i="16"/>
  <c r="BB43" i="16"/>
  <c r="BV43" i="16"/>
  <c r="BB44" i="16"/>
  <c r="BV44" i="16"/>
  <c r="BB45" i="16"/>
  <c r="BV45" i="16"/>
  <c r="BB46" i="16"/>
  <c r="BV46" i="16"/>
  <c r="BB47" i="16"/>
  <c r="BV47" i="16"/>
  <c r="BB48" i="16"/>
  <c r="BV48" i="16"/>
  <c r="BB49" i="16"/>
  <c r="BV49" i="16"/>
  <c r="BB50" i="16"/>
  <c r="BV50" i="16"/>
  <c r="BB51" i="16"/>
  <c r="BV51" i="16"/>
  <c r="BB52" i="16"/>
  <c r="BV52" i="16"/>
  <c r="BB53" i="16"/>
  <c r="BV53" i="16"/>
  <c r="BB54" i="16"/>
  <c r="BV54" i="16"/>
  <c r="BB55" i="16"/>
  <c r="BV55" i="16"/>
  <c r="BB56" i="16"/>
  <c r="BV56" i="16"/>
  <c r="BB57" i="16"/>
  <c r="BV57" i="16"/>
  <c r="BB58" i="16"/>
  <c r="BV58" i="16"/>
  <c r="BB59" i="16"/>
  <c r="BV59" i="16"/>
  <c r="BB60" i="16"/>
  <c r="BV60" i="16"/>
  <c r="BB61" i="16"/>
  <c r="BV61" i="16"/>
  <c r="BB62" i="16"/>
  <c r="BV62" i="16"/>
  <c r="BB63" i="16"/>
  <c r="BT63" i="16"/>
  <c r="BU63" i="16"/>
  <c r="BV63" i="16"/>
  <c r="BV40" i="16"/>
  <c r="BB40" i="16"/>
  <c r="D41" i="16"/>
  <c r="E41" i="16"/>
  <c r="F41" i="16"/>
  <c r="G41" i="16"/>
  <c r="H41" i="16"/>
  <c r="I41" i="16"/>
  <c r="J41" i="16"/>
  <c r="K41" i="16"/>
  <c r="L41" i="16"/>
  <c r="M41" i="16"/>
  <c r="N41" i="16"/>
  <c r="O41" i="16"/>
  <c r="P41" i="16"/>
  <c r="Q41" i="16"/>
  <c r="R41" i="16"/>
  <c r="S41" i="16"/>
  <c r="T41" i="16"/>
  <c r="U41" i="16"/>
  <c r="V41" i="16"/>
  <c r="W41" i="16"/>
  <c r="X41" i="16"/>
  <c r="Y41" i="16"/>
  <c r="Z41" i="16"/>
  <c r="AA41" i="16"/>
  <c r="AB41" i="16"/>
  <c r="AC41" i="16"/>
  <c r="AD41" i="16"/>
  <c r="AE41" i="16"/>
  <c r="AF41" i="16"/>
  <c r="AG41" i="16"/>
  <c r="AH41" i="16"/>
  <c r="AI41" i="16"/>
  <c r="D42" i="16"/>
  <c r="E42" i="16"/>
  <c r="F42" i="16"/>
  <c r="G42" i="16"/>
  <c r="H42" i="16"/>
  <c r="I42" i="16"/>
  <c r="J42" i="16"/>
  <c r="K42" i="16"/>
  <c r="L42" i="16"/>
  <c r="M42" i="16"/>
  <c r="N42" i="16"/>
  <c r="O42" i="16"/>
  <c r="P42" i="16"/>
  <c r="Q42" i="16"/>
  <c r="R42" i="16"/>
  <c r="S42" i="16"/>
  <c r="T42" i="16"/>
  <c r="U42" i="16"/>
  <c r="V42" i="16"/>
  <c r="W42" i="16"/>
  <c r="X42" i="16"/>
  <c r="Y42" i="16"/>
  <c r="Z42" i="16"/>
  <c r="AA42" i="16"/>
  <c r="AB42" i="16"/>
  <c r="AC42" i="16"/>
  <c r="AD42" i="16"/>
  <c r="AE42" i="16"/>
  <c r="AF42" i="16"/>
  <c r="AG42" i="16"/>
  <c r="AH42" i="16"/>
  <c r="AI42" i="16"/>
  <c r="D43" i="16"/>
  <c r="E43" i="16"/>
  <c r="F43" i="16"/>
  <c r="G43" i="16"/>
  <c r="H43" i="16"/>
  <c r="I43" i="16"/>
  <c r="J43" i="16"/>
  <c r="K43" i="16"/>
  <c r="L43" i="16"/>
  <c r="M43" i="16"/>
  <c r="N43" i="16"/>
  <c r="O43" i="16"/>
  <c r="P43" i="16"/>
  <c r="Q43" i="16"/>
  <c r="R43" i="16"/>
  <c r="S43" i="16"/>
  <c r="T43" i="16"/>
  <c r="U43" i="16"/>
  <c r="V43" i="16"/>
  <c r="W43" i="16"/>
  <c r="X43" i="16"/>
  <c r="Y43" i="16"/>
  <c r="Z43" i="16"/>
  <c r="AA43" i="16"/>
  <c r="AB43" i="16"/>
  <c r="AC43" i="16"/>
  <c r="AD43" i="16"/>
  <c r="AE43" i="16"/>
  <c r="AF43" i="16"/>
  <c r="AG43" i="16"/>
  <c r="AH43" i="16"/>
  <c r="AI43" i="16"/>
  <c r="D44" i="16"/>
  <c r="E44" i="16"/>
  <c r="F44" i="16"/>
  <c r="G44" i="16"/>
  <c r="H44" i="16"/>
  <c r="I44" i="16"/>
  <c r="J44" i="16"/>
  <c r="K44" i="16"/>
  <c r="L44" i="16"/>
  <c r="M44" i="16"/>
  <c r="N44" i="16"/>
  <c r="O44" i="16"/>
  <c r="P44" i="16"/>
  <c r="Q44" i="16"/>
  <c r="R44" i="16"/>
  <c r="S44" i="16"/>
  <c r="T44" i="16"/>
  <c r="U44" i="16"/>
  <c r="V44" i="16"/>
  <c r="W44" i="16"/>
  <c r="X44" i="16"/>
  <c r="Y44" i="16"/>
  <c r="Z44" i="16"/>
  <c r="AA44" i="16"/>
  <c r="AB44" i="16"/>
  <c r="AC44" i="16"/>
  <c r="AD44" i="16"/>
  <c r="AE44" i="16"/>
  <c r="AF44" i="16"/>
  <c r="AG44" i="16"/>
  <c r="AH44" i="16"/>
  <c r="AI44" i="16"/>
  <c r="D45" i="16"/>
  <c r="E45" i="16"/>
  <c r="F45" i="16"/>
  <c r="G45" i="16"/>
  <c r="H45" i="16"/>
  <c r="I45" i="16"/>
  <c r="J45" i="16"/>
  <c r="K45" i="16"/>
  <c r="L45" i="16"/>
  <c r="M45" i="16"/>
  <c r="N45" i="16"/>
  <c r="O45" i="16"/>
  <c r="P45" i="16"/>
  <c r="Q45" i="16"/>
  <c r="R45" i="16"/>
  <c r="S45" i="16"/>
  <c r="T45" i="16"/>
  <c r="U45" i="16"/>
  <c r="V45" i="16"/>
  <c r="W45" i="16"/>
  <c r="X45" i="16"/>
  <c r="Y45" i="16"/>
  <c r="Z45" i="16"/>
  <c r="AA45" i="16"/>
  <c r="AB45" i="16"/>
  <c r="AC45" i="16"/>
  <c r="AD45" i="16"/>
  <c r="AE45" i="16"/>
  <c r="AG45" i="16"/>
  <c r="AH45" i="16"/>
  <c r="AI45" i="16"/>
  <c r="D46" i="16"/>
  <c r="E46" i="16"/>
  <c r="F46" i="16"/>
  <c r="G46" i="16"/>
  <c r="H46" i="16"/>
  <c r="I46" i="16"/>
  <c r="J46" i="16"/>
  <c r="K46" i="16"/>
  <c r="L46" i="16"/>
  <c r="M46" i="16"/>
  <c r="N46" i="16"/>
  <c r="O46" i="16"/>
  <c r="P46" i="16"/>
  <c r="Q46" i="16"/>
  <c r="R46" i="16"/>
  <c r="S46" i="16"/>
  <c r="T46" i="16"/>
  <c r="U46" i="16"/>
  <c r="V46" i="16"/>
  <c r="W46" i="16"/>
  <c r="X46" i="16"/>
  <c r="Y46" i="16"/>
  <c r="Z46" i="16"/>
  <c r="AA46" i="16"/>
  <c r="AB46" i="16"/>
  <c r="AC46" i="16"/>
  <c r="AD46" i="16"/>
  <c r="AE46" i="16"/>
  <c r="AG46" i="16"/>
  <c r="AH46" i="16"/>
  <c r="AI46" i="16"/>
  <c r="D47" i="16"/>
  <c r="E47" i="16"/>
  <c r="F47" i="16"/>
  <c r="G47" i="16"/>
  <c r="H47" i="16"/>
  <c r="I47" i="16"/>
  <c r="J47" i="16"/>
  <c r="K47" i="16"/>
  <c r="L47" i="16"/>
  <c r="M47" i="16"/>
  <c r="N47" i="16"/>
  <c r="O47" i="16"/>
  <c r="P47" i="16"/>
  <c r="Q47" i="16"/>
  <c r="R47" i="16"/>
  <c r="S47" i="16"/>
  <c r="T47" i="16"/>
  <c r="U47" i="16"/>
  <c r="V47" i="16"/>
  <c r="W47" i="16"/>
  <c r="X47" i="16"/>
  <c r="Y47" i="16"/>
  <c r="Z47" i="16"/>
  <c r="AA47" i="16"/>
  <c r="AB47" i="16"/>
  <c r="AC47" i="16"/>
  <c r="AD47" i="16"/>
  <c r="AE47" i="16"/>
  <c r="AG47" i="16"/>
  <c r="AH47" i="16"/>
  <c r="AI47" i="16"/>
  <c r="D48" i="16"/>
  <c r="E48" i="16"/>
  <c r="F48" i="16"/>
  <c r="G48" i="16"/>
  <c r="H48" i="16"/>
  <c r="I48" i="16"/>
  <c r="J48" i="16"/>
  <c r="K48" i="16"/>
  <c r="L48" i="16"/>
  <c r="M48" i="16"/>
  <c r="N48" i="16"/>
  <c r="O48" i="16"/>
  <c r="P48" i="16"/>
  <c r="Q48" i="16"/>
  <c r="R48" i="16"/>
  <c r="S48" i="16"/>
  <c r="T48" i="16"/>
  <c r="U48" i="16"/>
  <c r="V48" i="16"/>
  <c r="W48" i="16"/>
  <c r="X48" i="16"/>
  <c r="Y48" i="16"/>
  <c r="Z48" i="16"/>
  <c r="AA48" i="16"/>
  <c r="AB48" i="16"/>
  <c r="AC48" i="16"/>
  <c r="AD48" i="16"/>
  <c r="AE48" i="16"/>
  <c r="AG48" i="16"/>
  <c r="AH48" i="16"/>
  <c r="AI48" i="16"/>
  <c r="D49" i="16"/>
  <c r="E49" i="16"/>
  <c r="F49" i="16"/>
  <c r="G49" i="16"/>
  <c r="H49" i="16"/>
  <c r="I49" i="16"/>
  <c r="J49" i="16"/>
  <c r="K49" i="16"/>
  <c r="L49" i="16"/>
  <c r="M49" i="16"/>
  <c r="N49" i="16"/>
  <c r="O49" i="16"/>
  <c r="P49" i="16"/>
  <c r="Q49" i="16"/>
  <c r="R49" i="16"/>
  <c r="S49" i="16"/>
  <c r="T49" i="16"/>
  <c r="U49" i="16"/>
  <c r="V49" i="16"/>
  <c r="W49" i="16"/>
  <c r="X49" i="16"/>
  <c r="Y49" i="16"/>
  <c r="Z49" i="16"/>
  <c r="AA49" i="16"/>
  <c r="AB49" i="16"/>
  <c r="AC49" i="16"/>
  <c r="AD49" i="16"/>
  <c r="AE49" i="16"/>
  <c r="AF49" i="16"/>
  <c r="AG49" i="16"/>
  <c r="AH49" i="16"/>
  <c r="AI49" i="16"/>
  <c r="D50" i="16"/>
  <c r="E50" i="16"/>
  <c r="F50" i="16"/>
  <c r="G50" i="16"/>
  <c r="H50" i="16"/>
  <c r="I50" i="16"/>
  <c r="J50" i="16"/>
  <c r="K50" i="16"/>
  <c r="L50" i="16"/>
  <c r="M50" i="16"/>
  <c r="N50" i="16"/>
  <c r="O50" i="16"/>
  <c r="P50" i="16"/>
  <c r="Q50" i="16"/>
  <c r="R50" i="16"/>
  <c r="S50" i="16"/>
  <c r="T50" i="16"/>
  <c r="U50" i="16"/>
  <c r="V50" i="16"/>
  <c r="W50" i="16"/>
  <c r="X50" i="16"/>
  <c r="Y50" i="16"/>
  <c r="Z50" i="16"/>
  <c r="AA50" i="16"/>
  <c r="AB50" i="16"/>
  <c r="AC50" i="16"/>
  <c r="AD50" i="16"/>
  <c r="AE50" i="16"/>
  <c r="AG50" i="16"/>
  <c r="AH50" i="16"/>
  <c r="AI50" i="16"/>
  <c r="D51" i="16"/>
  <c r="E51" i="16"/>
  <c r="F51" i="16"/>
  <c r="G51" i="16"/>
  <c r="H51" i="16"/>
  <c r="I51" i="16"/>
  <c r="J51" i="16"/>
  <c r="K51" i="16"/>
  <c r="L51" i="16"/>
  <c r="M51" i="16"/>
  <c r="N51" i="16"/>
  <c r="O51" i="16"/>
  <c r="P51" i="16"/>
  <c r="Q51" i="16"/>
  <c r="R51" i="16"/>
  <c r="S51" i="16"/>
  <c r="T51" i="16"/>
  <c r="U51" i="16"/>
  <c r="V51" i="16"/>
  <c r="W51" i="16"/>
  <c r="X51" i="16"/>
  <c r="Y51" i="16"/>
  <c r="Z51" i="16"/>
  <c r="AA51" i="16"/>
  <c r="AB51" i="16"/>
  <c r="AC51" i="16"/>
  <c r="AD51" i="16"/>
  <c r="AE51" i="16"/>
  <c r="AF51" i="16"/>
  <c r="AG51" i="16"/>
  <c r="AH51" i="16"/>
  <c r="AI51" i="16"/>
  <c r="D52" i="16"/>
  <c r="E52" i="16"/>
  <c r="F52" i="16"/>
  <c r="G52" i="16"/>
  <c r="H52" i="16"/>
  <c r="I52" i="16"/>
  <c r="J52" i="16"/>
  <c r="K52" i="16"/>
  <c r="L52" i="16"/>
  <c r="M52" i="16"/>
  <c r="N52" i="16"/>
  <c r="O52" i="16"/>
  <c r="P52" i="16"/>
  <c r="Q52" i="16"/>
  <c r="R52" i="16"/>
  <c r="S52" i="16"/>
  <c r="T52" i="16"/>
  <c r="U52" i="16"/>
  <c r="V52" i="16"/>
  <c r="W52" i="16"/>
  <c r="X52" i="16"/>
  <c r="Y52" i="16"/>
  <c r="Z52" i="16"/>
  <c r="AA52" i="16"/>
  <c r="AB52" i="16"/>
  <c r="AC52" i="16"/>
  <c r="AD52" i="16"/>
  <c r="AE52" i="16"/>
  <c r="AF52" i="16"/>
  <c r="AG52" i="16"/>
  <c r="AH52" i="16"/>
  <c r="AI52" i="16"/>
  <c r="D53" i="16"/>
  <c r="E53" i="16"/>
  <c r="F53" i="16"/>
  <c r="G53" i="16"/>
  <c r="H53" i="16"/>
  <c r="I53" i="16"/>
  <c r="J53" i="16"/>
  <c r="K53" i="16"/>
  <c r="L53" i="16"/>
  <c r="M53" i="16"/>
  <c r="N53" i="16"/>
  <c r="O53" i="16"/>
  <c r="P53" i="16"/>
  <c r="Q53" i="16"/>
  <c r="R53" i="16"/>
  <c r="S53" i="16"/>
  <c r="T53" i="16"/>
  <c r="U53" i="16"/>
  <c r="V53" i="16"/>
  <c r="W53" i="16"/>
  <c r="X53" i="16"/>
  <c r="Y53" i="16"/>
  <c r="Z53" i="16"/>
  <c r="AA53" i="16"/>
  <c r="AB53" i="16"/>
  <c r="AC53" i="16"/>
  <c r="AD53" i="16"/>
  <c r="AE53" i="16"/>
  <c r="AF53" i="16"/>
  <c r="AG53" i="16"/>
  <c r="AH53" i="16"/>
  <c r="AI53" i="16"/>
  <c r="D54" i="16"/>
  <c r="E54" i="16"/>
  <c r="F54" i="16"/>
  <c r="G54" i="16"/>
  <c r="H54" i="16"/>
  <c r="I54" i="16"/>
  <c r="J54" i="16"/>
  <c r="K54" i="16"/>
  <c r="L54" i="16"/>
  <c r="M54" i="16"/>
  <c r="N54" i="16"/>
  <c r="O54" i="16"/>
  <c r="P54" i="16"/>
  <c r="Q54" i="16"/>
  <c r="R54" i="16"/>
  <c r="S54" i="16"/>
  <c r="T54" i="16"/>
  <c r="U54" i="16"/>
  <c r="V54" i="16"/>
  <c r="W54" i="16"/>
  <c r="X54" i="16"/>
  <c r="Y54" i="16"/>
  <c r="Z54" i="16"/>
  <c r="AA54" i="16"/>
  <c r="AB54" i="16"/>
  <c r="AC54" i="16"/>
  <c r="AD54" i="16"/>
  <c r="AE54" i="16"/>
  <c r="AF54" i="16"/>
  <c r="AG54" i="16"/>
  <c r="AH54" i="16"/>
  <c r="AI54" i="16"/>
  <c r="D55" i="16"/>
  <c r="E55" i="16"/>
  <c r="F55" i="16"/>
  <c r="G55" i="16"/>
  <c r="H55" i="16"/>
  <c r="I55" i="16"/>
  <c r="J55" i="16"/>
  <c r="K55" i="16"/>
  <c r="L55" i="16"/>
  <c r="M55" i="16"/>
  <c r="N55" i="16"/>
  <c r="O55" i="16"/>
  <c r="P55" i="16"/>
  <c r="Q55" i="16"/>
  <c r="R55" i="16"/>
  <c r="S55" i="16"/>
  <c r="T55" i="16"/>
  <c r="U55" i="16"/>
  <c r="V55" i="16"/>
  <c r="W55" i="16"/>
  <c r="X55" i="16"/>
  <c r="Y55" i="16"/>
  <c r="Z55" i="16"/>
  <c r="AA55" i="16"/>
  <c r="AB55" i="16"/>
  <c r="AC55" i="16"/>
  <c r="AD55" i="16"/>
  <c r="AE55" i="16"/>
  <c r="AF55" i="16"/>
  <c r="AG55" i="16"/>
  <c r="AH55" i="16"/>
  <c r="AI55" i="16"/>
  <c r="D56" i="16"/>
  <c r="E56" i="16"/>
  <c r="F56" i="16"/>
  <c r="G56" i="16"/>
  <c r="H56" i="16"/>
  <c r="I56" i="16"/>
  <c r="J56" i="16"/>
  <c r="K56" i="16"/>
  <c r="L56" i="16"/>
  <c r="M56" i="16"/>
  <c r="N56" i="16"/>
  <c r="O56" i="16"/>
  <c r="P56" i="16"/>
  <c r="Q56" i="16"/>
  <c r="R56" i="16"/>
  <c r="S56" i="16"/>
  <c r="T56" i="16"/>
  <c r="U56" i="16"/>
  <c r="V56" i="16"/>
  <c r="W56" i="16"/>
  <c r="X56" i="16"/>
  <c r="Y56" i="16"/>
  <c r="Z56" i="16"/>
  <c r="AA56" i="16"/>
  <c r="AB56" i="16"/>
  <c r="AC56" i="16"/>
  <c r="AD56" i="16"/>
  <c r="AE56" i="16"/>
  <c r="AF56" i="16"/>
  <c r="AG56" i="16"/>
  <c r="AH56" i="16"/>
  <c r="AI56" i="16"/>
  <c r="D57" i="16"/>
  <c r="E57" i="16"/>
  <c r="F57" i="16"/>
  <c r="G57" i="16"/>
  <c r="H57" i="16"/>
  <c r="I57" i="16"/>
  <c r="J57" i="16"/>
  <c r="K57" i="16"/>
  <c r="L57" i="16"/>
  <c r="M57" i="16"/>
  <c r="N57" i="16"/>
  <c r="O57" i="16"/>
  <c r="P57" i="16"/>
  <c r="Q57" i="16"/>
  <c r="R57" i="16"/>
  <c r="S57" i="16"/>
  <c r="T57" i="16"/>
  <c r="U57" i="16"/>
  <c r="V57" i="16"/>
  <c r="W57" i="16"/>
  <c r="X57" i="16"/>
  <c r="Y57" i="16"/>
  <c r="Z57" i="16"/>
  <c r="AA57" i="16"/>
  <c r="AB57" i="16"/>
  <c r="AC57" i="16"/>
  <c r="AD57" i="16"/>
  <c r="AE57" i="16"/>
  <c r="AF57" i="16"/>
  <c r="AG57" i="16"/>
  <c r="AH57" i="16"/>
  <c r="AI57" i="16"/>
  <c r="D58" i="16"/>
  <c r="E58" i="16"/>
  <c r="F58" i="16"/>
  <c r="G58" i="16"/>
  <c r="H58" i="16"/>
  <c r="I58" i="16"/>
  <c r="J58" i="16"/>
  <c r="K58" i="16"/>
  <c r="L58" i="16"/>
  <c r="M58" i="16"/>
  <c r="N58" i="16"/>
  <c r="O58" i="16"/>
  <c r="P58" i="16"/>
  <c r="Q58" i="16"/>
  <c r="R58" i="16"/>
  <c r="S58" i="16"/>
  <c r="T58" i="16"/>
  <c r="U58" i="16"/>
  <c r="V58" i="16"/>
  <c r="W58" i="16"/>
  <c r="X58" i="16"/>
  <c r="Y58" i="16"/>
  <c r="Z58" i="16"/>
  <c r="AA58" i="16"/>
  <c r="AB58" i="16"/>
  <c r="AC58" i="16"/>
  <c r="AD58" i="16"/>
  <c r="AE58" i="16"/>
  <c r="AF58" i="16"/>
  <c r="AG58" i="16"/>
  <c r="AH58" i="16"/>
  <c r="AI58" i="16"/>
  <c r="D59" i="16"/>
  <c r="E59" i="16"/>
  <c r="F59" i="16"/>
  <c r="G59" i="16"/>
  <c r="H59" i="16"/>
  <c r="I59" i="16"/>
  <c r="J59" i="16"/>
  <c r="K59" i="16"/>
  <c r="L59" i="16"/>
  <c r="M59" i="16"/>
  <c r="N59" i="16"/>
  <c r="O59" i="16"/>
  <c r="P59" i="16"/>
  <c r="Q59" i="16"/>
  <c r="R59" i="16"/>
  <c r="S59" i="16"/>
  <c r="T59" i="16"/>
  <c r="U59" i="16"/>
  <c r="V59" i="16"/>
  <c r="W59" i="16"/>
  <c r="X59" i="16"/>
  <c r="Y59" i="16"/>
  <c r="Z59" i="16"/>
  <c r="AA59" i="16"/>
  <c r="AB59" i="16"/>
  <c r="AC59" i="16"/>
  <c r="AD59" i="16"/>
  <c r="AE59" i="16"/>
  <c r="AF59" i="16"/>
  <c r="AG59" i="16"/>
  <c r="AH59" i="16"/>
  <c r="AI59" i="16"/>
  <c r="D60" i="16"/>
  <c r="E60" i="16"/>
  <c r="F60" i="16"/>
  <c r="G60" i="16"/>
  <c r="H60" i="16"/>
  <c r="I60" i="16"/>
  <c r="J60" i="16"/>
  <c r="K60" i="16"/>
  <c r="L60" i="16"/>
  <c r="M60" i="16"/>
  <c r="N60" i="16"/>
  <c r="O60" i="16"/>
  <c r="P60" i="16"/>
  <c r="Q60" i="16"/>
  <c r="R60" i="16"/>
  <c r="S60" i="16"/>
  <c r="T60" i="16"/>
  <c r="U60" i="16"/>
  <c r="V60" i="16"/>
  <c r="W60" i="16"/>
  <c r="X60" i="16"/>
  <c r="Y60" i="16"/>
  <c r="Z60" i="16"/>
  <c r="AA60" i="16"/>
  <c r="AB60" i="16"/>
  <c r="AC60" i="16"/>
  <c r="AD60" i="16"/>
  <c r="AE60" i="16"/>
  <c r="AF60" i="16"/>
  <c r="AG60" i="16"/>
  <c r="AH60" i="16"/>
  <c r="AI60" i="16"/>
  <c r="D61" i="16"/>
  <c r="E61" i="16"/>
  <c r="F61" i="16"/>
  <c r="G61" i="16"/>
  <c r="H61" i="16"/>
  <c r="I61" i="16"/>
  <c r="J61" i="16"/>
  <c r="K61" i="16"/>
  <c r="L61" i="16"/>
  <c r="M61" i="16"/>
  <c r="N61" i="16"/>
  <c r="O61" i="16"/>
  <c r="P61" i="16"/>
  <c r="Q61" i="16"/>
  <c r="R61" i="16"/>
  <c r="S61" i="16"/>
  <c r="T61" i="16"/>
  <c r="U61" i="16"/>
  <c r="V61" i="16"/>
  <c r="W61" i="16"/>
  <c r="X61" i="16"/>
  <c r="Y61" i="16"/>
  <c r="Z61" i="16"/>
  <c r="AA61" i="16"/>
  <c r="AB61" i="16"/>
  <c r="AC61" i="16"/>
  <c r="AD61" i="16"/>
  <c r="AE61" i="16"/>
  <c r="AF61" i="16"/>
  <c r="AG61" i="16"/>
  <c r="AH61" i="16"/>
  <c r="AI61" i="16"/>
  <c r="D62" i="16"/>
  <c r="E62" i="16"/>
  <c r="F62" i="16"/>
  <c r="G62" i="16"/>
  <c r="H62" i="16"/>
  <c r="I62" i="16"/>
  <c r="J62" i="16"/>
  <c r="K62" i="16"/>
  <c r="L62" i="16"/>
  <c r="M62" i="16"/>
  <c r="N62" i="16"/>
  <c r="O62" i="16"/>
  <c r="P62" i="16"/>
  <c r="Q62" i="16"/>
  <c r="R62" i="16"/>
  <c r="S62" i="16"/>
  <c r="T62" i="16"/>
  <c r="U62" i="16"/>
  <c r="V62" i="16"/>
  <c r="W62" i="16"/>
  <c r="X62" i="16"/>
  <c r="Y62" i="16"/>
  <c r="Z62" i="16"/>
  <c r="AA62" i="16"/>
  <c r="AB62" i="16"/>
  <c r="AC62" i="16"/>
  <c r="AD62" i="16"/>
  <c r="AE62" i="16"/>
  <c r="AF62" i="16"/>
  <c r="AG62" i="16"/>
  <c r="AH62" i="16"/>
  <c r="AI62" i="16"/>
  <c r="D63" i="16"/>
  <c r="E63" i="16"/>
  <c r="F63" i="16"/>
  <c r="G63" i="16"/>
  <c r="H63" i="16"/>
  <c r="I63" i="16"/>
  <c r="J63" i="16"/>
  <c r="K63" i="16"/>
  <c r="L63" i="16"/>
  <c r="M63" i="16"/>
  <c r="N63" i="16"/>
  <c r="O63" i="16"/>
  <c r="P63" i="16"/>
  <c r="Q63" i="16"/>
  <c r="R63" i="16"/>
  <c r="S63" i="16"/>
  <c r="T63" i="16"/>
  <c r="U63" i="16"/>
  <c r="V63" i="16"/>
  <c r="W63" i="16"/>
  <c r="X63" i="16"/>
  <c r="Y63" i="16"/>
  <c r="Z63" i="16"/>
  <c r="AA63" i="16"/>
  <c r="AB63" i="16"/>
  <c r="AC63" i="16"/>
  <c r="AD63" i="16"/>
  <c r="AE63" i="16"/>
  <c r="AF63" i="16"/>
  <c r="AG63" i="16"/>
  <c r="AH63" i="16"/>
  <c r="AI63" i="16"/>
  <c r="E40" i="16"/>
  <c r="F40" i="16"/>
  <c r="G40" i="16"/>
  <c r="H40" i="16"/>
  <c r="I40" i="16"/>
  <c r="J40" i="16"/>
  <c r="K40" i="16"/>
  <c r="L40" i="16"/>
  <c r="M40" i="16"/>
  <c r="N40" i="16"/>
  <c r="O40" i="16"/>
  <c r="P40" i="16"/>
  <c r="Q40" i="16"/>
  <c r="R40" i="16"/>
  <c r="S40" i="16"/>
  <c r="T40" i="16"/>
  <c r="U40" i="16"/>
  <c r="V40" i="16"/>
  <c r="W40" i="16"/>
  <c r="X40" i="16"/>
  <c r="Y40" i="16"/>
  <c r="Z40" i="16"/>
  <c r="AA40" i="16"/>
  <c r="AB40" i="16"/>
  <c r="AC40" i="16"/>
  <c r="AD40" i="16"/>
  <c r="AE40" i="16"/>
  <c r="AF40" i="16"/>
  <c r="AG40" i="16"/>
  <c r="AH40" i="16"/>
  <c r="AI40" i="16"/>
  <c r="D40" i="16"/>
  <c r="D9" i="16"/>
  <c r="BB50" i="15" l="1"/>
  <c r="BB80" i="15"/>
  <c r="BB111" i="15"/>
  <c r="BB18" i="15"/>
  <c r="BV18" i="15" s="1"/>
  <c r="BB19" i="7"/>
  <c r="BB19" i="6"/>
  <c r="BB19" i="8"/>
  <c r="BB18" i="16"/>
  <c r="BB108" i="16"/>
  <c r="BB78" i="16"/>
  <c r="AH10" i="17"/>
  <c r="AI10" i="17"/>
  <c r="AH11" i="17"/>
  <c r="AI11" i="17"/>
  <c r="AH12" i="17"/>
  <c r="AI12" i="17"/>
  <c r="AH13" i="17"/>
  <c r="AI13" i="17"/>
  <c r="AH14" i="17"/>
  <c r="AI14" i="17"/>
  <c r="AH15" i="17"/>
  <c r="AI15" i="17"/>
  <c r="AH16" i="17"/>
  <c r="AI16" i="17"/>
  <c r="AH17" i="17"/>
  <c r="AI17" i="17"/>
  <c r="AH18" i="17"/>
  <c r="AI18" i="17"/>
  <c r="AH19" i="17"/>
  <c r="AI19" i="17"/>
  <c r="AH20" i="17"/>
  <c r="AI20" i="17"/>
  <c r="AH21" i="17"/>
  <c r="AI21" i="17"/>
  <c r="AH22" i="17"/>
  <c r="AI22" i="17"/>
  <c r="AH23" i="17"/>
  <c r="AI23" i="17"/>
  <c r="AH24" i="17"/>
  <c r="AI24" i="17"/>
  <c r="AH25" i="17"/>
  <c r="AI25" i="17"/>
  <c r="AH26" i="17"/>
  <c r="AI26" i="17"/>
  <c r="AH27" i="17"/>
  <c r="AI27" i="17"/>
  <c r="AH28" i="17"/>
  <c r="AI28" i="17"/>
  <c r="AH29" i="17"/>
  <c r="AI29" i="17"/>
  <c r="AH30" i="17"/>
  <c r="AI30" i="17"/>
  <c r="AH31" i="17"/>
  <c r="AI31" i="17"/>
  <c r="AI9" i="17"/>
  <c r="AH10" i="16"/>
  <c r="AI10" i="16"/>
  <c r="AH11" i="16"/>
  <c r="AI11" i="16"/>
  <c r="AH12" i="16"/>
  <c r="AI12" i="16"/>
  <c r="AH13" i="16"/>
  <c r="AI13" i="16"/>
  <c r="AH14" i="16"/>
  <c r="AI14" i="16"/>
  <c r="AH15" i="16"/>
  <c r="AI15" i="16"/>
  <c r="AH16" i="16"/>
  <c r="AI16" i="16"/>
  <c r="AH17" i="16"/>
  <c r="AI17" i="16"/>
  <c r="AH18" i="16"/>
  <c r="AI18" i="16"/>
  <c r="AH19" i="16"/>
  <c r="AI19" i="16"/>
  <c r="AH20" i="16"/>
  <c r="AI20" i="16"/>
  <c r="AH21" i="16"/>
  <c r="AI21" i="16"/>
  <c r="AH22" i="16"/>
  <c r="AI22" i="16"/>
  <c r="AH23" i="16"/>
  <c r="AI23" i="16"/>
  <c r="AH24" i="16"/>
  <c r="AI24" i="16"/>
  <c r="AH25" i="16"/>
  <c r="AI25" i="16"/>
  <c r="AH26" i="16"/>
  <c r="AI26" i="16"/>
  <c r="AH27" i="16"/>
  <c r="AI27" i="16"/>
  <c r="AH28" i="16"/>
  <c r="AI28" i="16"/>
  <c r="AH29" i="16"/>
  <c r="AI29" i="16"/>
  <c r="AH30" i="16"/>
  <c r="AI30" i="16"/>
  <c r="AH31" i="16"/>
  <c r="AI31" i="16"/>
  <c r="AH32" i="16"/>
  <c r="AI32" i="16"/>
  <c r="AI9" i="16"/>
  <c r="AH10" i="15"/>
  <c r="AI10" i="15"/>
  <c r="AH11" i="15"/>
  <c r="AI11" i="15"/>
  <c r="AH12" i="15"/>
  <c r="AI12" i="15"/>
  <c r="AH13" i="15"/>
  <c r="AI13" i="15"/>
  <c r="AH14" i="15"/>
  <c r="AI14" i="15"/>
  <c r="AI15" i="15"/>
  <c r="AH16" i="15"/>
  <c r="AI16" i="15"/>
  <c r="AH17" i="15"/>
  <c r="AI17" i="15"/>
  <c r="AH18" i="15"/>
  <c r="AI18" i="15"/>
  <c r="AH19" i="15"/>
  <c r="AI19" i="15"/>
  <c r="AH20" i="15"/>
  <c r="AI20" i="15"/>
  <c r="AH21" i="15"/>
  <c r="AI21" i="15"/>
  <c r="AH22" i="15"/>
  <c r="AI22" i="15"/>
  <c r="AH23" i="15"/>
  <c r="AI23" i="15"/>
  <c r="AH24" i="15"/>
  <c r="AI24" i="15"/>
  <c r="AH25" i="15"/>
  <c r="AI25" i="15"/>
  <c r="AH26" i="15"/>
  <c r="AI26" i="15"/>
  <c r="AI9" i="15"/>
  <c r="BB81" i="15" l="1"/>
  <c r="BB112" i="15"/>
  <c r="BB19" i="15"/>
  <c r="BV19" i="15" s="1"/>
  <c r="BB51" i="15"/>
  <c r="BB19" i="16"/>
  <c r="BB79" i="16"/>
  <c r="BB109" i="16"/>
  <c r="E9" i="17"/>
  <c r="AK9" i="17" s="1"/>
  <c r="BD9" i="17" s="1"/>
  <c r="F9" i="17"/>
  <c r="G9" i="17"/>
  <c r="AM9" i="17" s="1"/>
  <c r="BF9" i="17" s="1"/>
  <c r="H9" i="17"/>
  <c r="AN9" i="17" s="1"/>
  <c r="BG9" i="17" s="1"/>
  <c r="I9" i="17"/>
  <c r="AO9" i="17" s="1"/>
  <c r="BH9" i="17" s="1"/>
  <c r="J9" i="17"/>
  <c r="K9" i="17"/>
  <c r="BJ9" i="17" s="1"/>
  <c r="L9" i="17"/>
  <c r="BK9" i="17" s="1"/>
  <c r="M9" i="17"/>
  <c r="BL9" i="17" s="1"/>
  <c r="N9" i="17"/>
  <c r="O9" i="17"/>
  <c r="BN9" i="17" s="1"/>
  <c r="P9" i="17"/>
  <c r="BO9" i="17" s="1"/>
  <c r="Q9" i="17"/>
  <c r="BP9" i="17" s="1"/>
  <c r="R9" i="17"/>
  <c r="S9" i="17"/>
  <c r="BR9" i="17" s="1"/>
  <c r="T9" i="17"/>
  <c r="U9" i="17"/>
  <c r="V9" i="17"/>
  <c r="W9" i="17"/>
  <c r="X9" i="17"/>
  <c r="Y9" i="17"/>
  <c r="Z9" i="17"/>
  <c r="AA9" i="17"/>
  <c r="AB9" i="17"/>
  <c r="AC9" i="17"/>
  <c r="AD9" i="17"/>
  <c r="AE9" i="17"/>
  <c r="AF9" i="17"/>
  <c r="AG9" i="17"/>
  <c r="AH9" i="17"/>
  <c r="E10" i="17"/>
  <c r="AK10" i="17" s="1"/>
  <c r="BD10" i="17" s="1"/>
  <c r="F10" i="17"/>
  <c r="G10" i="17"/>
  <c r="AM10" i="17" s="1"/>
  <c r="BF10" i="17" s="1"/>
  <c r="H10" i="17"/>
  <c r="I10" i="17"/>
  <c r="J10" i="17"/>
  <c r="K10" i="17"/>
  <c r="BJ10" i="17" s="1"/>
  <c r="L10" i="17"/>
  <c r="M10" i="17"/>
  <c r="BL10" i="17" s="1"/>
  <c r="N10" i="17"/>
  <c r="O10" i="17"/>
  <c r="BN10" i="17" s="1"/>
  <c r="P10" i="17"/>
  <c r="Q10" i="17"/>
  <c r="R10" i="17"/>
  <c r="S10" i="17"/>
  <c r="BR10" i="17" s="1"/>
  <c r="T10" i="17"/>
  <c r="U10" i="17"/>
  <c r="V10" i="17"/>
  <c r="W10" i="17"/>
  <c r="X10" i="17"/>
  <c r="Y10" i="17"/>
  <c r="Z10" i="17"/>
  <c r="AA10" i="17"/>
  <c r="AB10" i="17"/>
  <c r="AC10" i="17"/>
  <c r="AD10" i="17"/>
  <c r="AE10" i="17"/>
  <c r="AF10" i="17"/>
  <c r="AZ10" i="17" s="1"/>
  <c r="BS10" i="17" s="1"/>
  <c r="AG10" i="17"/>
  <c r="E11" i="17"/>
  <c r="AK11" i="17" s="1"/>
  <c r="BD11" i="17" s="1"/>
  <c r="F11" i="17"/>
  <c r="G11" i="17"/>
  <c r="AM11" i="17" s="1"/>
  <c r="BF11" i="17" s="1"/>
  <c r="H11" i="17"/>
  <c r="AN11" i="17" s="1"/>
  <c r="BG11" i="17" s="1"/>
  <c r="I11" i="17"/>
  <c r="AO11" i="17" s="1"/>
  <c r="BH11" i="17" s="1"/>
  <c r="J11" i="17"/>
  <c r="K11" i="17"/>
  <c r="L11" i="17"/>
  <c r="BK11" i="17" s="1"/>
  <c r="M11" i="17"/>
  <c r="BL11" i="17" s="1"/>
  <c r="N11" i="17"/>
  <c r="O11" i="17"/>
  <c r="P11" i="17"/>
  <c r="BO11" i="17" s="1"/>
  <c r="Q11" i="17"/>
  <c r="BP11" i="17" s="1"/>
  <c r="R11" i="17"/>
  <c r="S11" i="17"/>
  <c r="T11" i="17"/>
  <c r="U11" i="17"/>
  <c r="V11" i="17"/>
  <c r="W11" i="17"/>
  <c r="X11" i="17"/>
  <c r="Y11" i="17"/>
  <c r="Z11" i="17"/>
  <c r="AA11" i="17"/>
  <c r="AB11" i="17"/>
  <c r="AC11" i="17"/>
  <c r="AD11" i="17"/>
  <c r="AE11" i="17"/>
  <c r="AF11" i="17"/>
  <c r="AZ11" i="17" s="1"/>
  <c r="BS11" i="17" s="1"/>
  <c r="AG11" i="17"/>
  <c r="E12" i="17"/>
  <c r="AK12" i="17" s="1"/>
  <c r="BD12" i="17" s="1"/>
  <c r="F12" i="17"/>
  <c r="AL12" i="17" s="1"/>
  <c r="BE12" i="17" s="1"/>
  <c r="G12" i="17"/>
  <c r="AM12" i="17" s="1"/>
  <c r="BF12" i="17" s="1"/>
  <c r="H12" i="17"/>
  <c r="AN12" i="17" s="1"/>
  <c r="BG12" i="17" s="1"/>
  <c r="I12" i="17"/>
  <c r="AO12" i="17" s="1"/>
  <c r="BH12" i="17" s="1"/>
  <c r="J12" i="17"/>
  <c r="BI12" i="17" s="1"/>
  <c r="K12" i="17"/>
  <c r="BJ12" i="17" s="1"/>
  <c r="L12" i="17"/>
  <c r="M12" i="17"/>
  <c r="BL12" i="17" s="1"/>
  <c r="N12" i="17"/>
  <c r="BM12" i="17" s="1"/>
  <c r="O12" i="17"/>
  <c r="BN12" i="17" s="1"/>
  <c r="P12" i="17"/>
  <c r="BO12" i="17" s="1"/>
  <c r="Q12" i="17"/>
  <c r="BP12" i="17" s="1"/>
  <c r="R12" i="17"/>
  <c r="BQ12" i="17" s="1"/>
  <c r="S12" i="17"/>
  <c r="BR12" i="17" s="1"/>
  <c r="T12" i="17"/>
  <c r="U12" i="17"/>
  <c r="V12" i="17"/>
  <c r="W12" i="17"/>
  <c r="X12" i="17"/>
  <c r="Y12" i="17"/>
  <c r="Z12" i="17"/>
  <c r="AA12" i="17"/>
  <c r="AB12" i="17"/>
  <c r="AC12" i="17"/>
  <c r="AD12" i="17"/>
  <c r="AE12" i="17"/>
  <c r="AF12" i="17"/>
  <c r="AZ12" i="17" s="1"/>
  <c r="BS12" i="17" s="1"/>
  <c r="AG12" i="17"/>
  <c r="E13" i="17"/>
  <c r="AK13" i="17" s="1"/>
  <c r="BD13" i="17" s="1"/>
  <c r="F13" i="17"/>
  <c r="G13" i="17"/>
  <c r="AM13" i="17" s="1"/>
  <c r="BF13" i="17" s="1"/>
  <c r="H13" i="17"/>
  <c r="AN13" i="17" s="1"/>
  <c r="BG13" i="17" s="1"/>
  <c r="I13" i="17"/>
  <c r="AO13" i="17" s="1"/>
  <c r="BH13" i="17" s="1"/>
  <c r="J13" i="17"/>
  <c r="K13" i="17"/>
  <c r="BJ13" i="17" s="1"/>
  <c r="L13" i="17"/>
  <c r="BK13" i="17" s="1"/>
  <c r="M13" i="17"/>
  <c r="BL13" i="17" s="1"/>
  <c r="N13" i="17"/>
  <c r="O13" i="17"/>
  <c r="P13" i="17"/>
  <c r="BO13" i="17" s="1"/>
  <c r="Q13" i="17"/>
  <c r="BP13" i="17" s="1"/>
  <c r="R13" i="17"/>
  <c r="S13" i="17"/>
  <c r="BR13" i="17" s="1"/>
  <c r="T13" i="17"/>
  <c r="U13" i="17"/>
  <c r="V13" i="17"/>
  <c r="W13" i="17"/>
  <c r="X13" i="17"/>
  <c r="Y13" i="17"/>
  <c r="Z13" i="17"/>
  <c r="AA13" i="17"/>
  <c r="AB13" i="17"/>
  <c r="AC13" i="17"/>
  <c r="AD13" i="17"/>
  <c r="AE13" i="17"/>
  <c r="AF13" i="17"/>
  <c r="AZ13" i="17" s="1"/>
  <c r="BS13" i="17" s="1"/>
  <c r="AG13" i="17"/>
  <c r="E14" i="17"/>
  <c r="F14" i="17"/>
  <c r="AL14" i="17" s="1"/>
  <c r="BE14" i="17" s="1"/>
  <c r="G14" i="17"/>
  <c r="AM14" i="17" s="1"/>
  <c r="BF14" i="17" s="1"/>
  <c r="H14" i="17"/>
  <c r="I14" i="17"/>
  <c r="J14" i="17"/>
  <c r="BI14" i="17" s="1"/>
  <c r="K14" i="17"/>
  <c r="BJ14" i="17" s="1"/>
  <c r="L14" i="17"/>
  <c r="M14" i="17"/>
  <c r="N14" i="17"/>
  <c r="BM14" i="17" s="1"/>
  <c r="O14" i="17"/>
  <c r="BN14" i="17" s="1"/>
  <c r="P14" i="17"/>
  <c r="Q14" i="17"/>
  <c r="R14" i="17"/>
  <c r="BQ14" i="17" s="1"/>
  <c r="S14" i="17"/>
  <c r="BR14" i="17" s="1"/>
  <c r="T14" i="17"/>
  <c r="U14" i="17"/>
  <c r="V14" i="17"/>
  <c r="W14" i="17"/>
  <c r="X14" i="17"/>
  <c r="Y14" i="17"/>
  <c r="Z14" i="17"/>
  <c r="AA14" i="17"/>
  <c r="AB14" i="17"/>
  <c r="AC14" i="17"/>
  <c r="AD14" i="17"/>
  <c r="AE14" i="17"/>
  <c r="AF14" i="17"/>
  <c r="AZ14" i="17" s="1"/>
  <c r="BS14" i="17" s="1"/>
  <c r="AG14" i="17"/>
  <c r="E15" i="17"/>
  <c r="AK15" i="17" s="1"/>
  <c r="BD15" i="17" s="1"/>
  <c r="F15" i="17"/>
  <c r="G15" i="17"/>
  <c r="H15" i="17"/>
  <c r="AN15" i="17" s="1"/>
  <c r="BG15" i="17" s="1"/>
  <c r="I15" i="17"/>
  <c r="AO15" i="17" s="1"/>
  <c r="BH15" i="17" s="1"/>
  <c r="J15" i="17"/>
  <c r="K15" i="17"/>
  <c r="L15" i="17"/>
  <c r="BK15" i="17" s="1"/>
  <c r="M15" i="17"/>
  <c r="BL15" i="17" s="1"/>
  <c r="N15" i="17"/>
  <c r="O15" i="17"/>
  <c r="P15" i="17"/>
  <c r="BO15" i="17" s="1"/>
  <c r="Q15" i="17"/>
  <c r="BP15" i="17" s="1"/>
  <c r="R15" i="17"/>
  <c r="S15" i="17"/>
  <c r="T15" i="17"/>
  <c r="U15" i="17"/>
  <c r="V15" i="17"/>
  <c r="W15" i="17"/>
  <c r="X15" i="17"/>
  <c r="Y15" i="17"/>
  <c r="Z15" i="17"/>
  <c r="AA15" i="17"/>
  <c r="AB15" i="17"/>
  <c r="AC15" i="17"/>
  <c r="AD15" i="17"/>
  <c r="AE15" i="17"/>
  <c r="AF15" i="17"/>
  <c r="AZ15" i="17" s="1"/>
  <c r="BS15" i="17" s="1"/>
  <c r="AG15" i="17"/>
  <c r="E16" i="17"/>
  <c r="AK16" i="17" s="1"/>
  <c r="BD16" i="17" s="1"/>
  <c r="F16" i="17"/>
  <c r="AL16" i="17" s="1"/>
  <c r="BE16" i="17" s="1"/>
  <c r="G16" i="17"/>
  <c r="AM16" i="17" s="1"/>
  <c r="BF16" i="17" s="1"/>
  <c r="H16" i="17"/>
  <c r="AN16" i="17" s="1"/>
  <c r="BG16" i="17" s="1"/>
  <c r="I16" i="17"/>
  <c r="AO16" i="17" s="1"/>
  <c r="BH16" i="17" s="1"/>
  <c r="J16" i="17"/>
  <c r="BI16" i="17" s="1"/>
  <c r="K16" i="17"/>
  <c r="BJ16" i="17" s="1"/>
  <c r="L16" i="17"/>
  <c r="BK16" i="17" s="1"/>
  <c r="M16" i="17"/>
  <c r="BL16" i="17" s="1"/>
  <c r="N16" i="17"/>
  <c r="BM16" i="17" s="1"/>
  <c r="O16" i="17"/>
  <c r="BN16" i="17" s="1"/>
  <c r="P16" i="17"/>
  <c r="Q16" i="17"/>
  <c r="BP16" i="17" s="1"/>
  <c r="R16" i="17"/>
  <c r="BQ16" i="17" s="1"/>
  <c r="S16" i="17"/>
  <c r="BR16" i="17" s="1"/>
  <c r="T16" i="17"/>
  <c r="U16" i="17"/>
  <c r="V16" i="17"/>
  <c r="W16" i="17"/>
  <c r="X16" i="17"/>
  <c r="Y16" i="17"/>
  <c r="Z16" i="17"/>
  <c r="AA16" i="17"/>
  <c r="AB16" i="17"/>
  <c r="AC16" i="17"/>
  <c r="AD16" i="17"/>
  <c r="AE16" i="17"/>
  <c r="AF16" i="17"/>
  <c r="AZ16" i="17" s="1"/>
  <c r="BS16" i="17" s="1"/>
  <c r="AG16" i="17"/>
  <c r="E17" i="17"/>
  <c r="AK17" i="17" s="1"/>
  <c r="BD17" i="17" s="1"/>
  <c r="F17" i="17"/>
  <c r="G17" i="17"/>
  <c r="AM17" i="17" s="1"/>
  <c r="BF17" i="17" s="1"/>
  <c r="H17" i="17"/>
  <c r="AN17" i="17" s="1"/>
  <c r="BG17" i="17" s="1"/>
  <c r="I17" i="17"/>
  <c r="AO17" i="17" s="1"/>
  <c r="BH17" i="17" s="1"/>
  <c r="J17" i="17"/>
  <c r="K17" i="17"/>
  <c r="BJ17" i="17" s="1"/>
  <c r="BK17" i="17"/>
  <c r="M17" i="17"/>
  <c r="BL17" i="17" s="1"/>
  <c r="N17" i="17"/>
  <c r="O17" i="17"/>
  <c r="BN17" i="17" s="1"/>
  <c r="P17" i="17"/>
  <c r="BO17" i="17" s="1"/>
  <c r="Q17" i="17"/>
  <c r="BP17" i="17" s="1"/>
  <c r="R17" i="17"/>
  <c r="S17" i="17"/>
  <c r="BR17" i="17" s="1"/>
  <c r="T17" i="17"/>
  <c r="U17" i="17"/>
  <c r="V17" i="17"/>
  <c r="W17" i="17"/>
  <c r="X17" i="17"/>
  <c r="Y17" i="17"/>
  <c r="Z17" i="17"/>
  <c r="AA17" i="17"/>
  <c r="AB17" i="17"/>
  <c r="AC17" i="17"/>
  <c r="AD17" i="17"/>
  <c r="AE17" i="17"/>
  <c r="AF17" i="17"/>
  <c r="AZ17" i="17" s="1"/>
  <c r="BS17" i="17" s="1"/>
  <c r="AG17" i="17"/>
  <c r="E18" i="17"/>
  <c r="AK18" i="17" s="1"/>
  <c r="BD18" i="17" s="1"/>
  <c r="F18" i="17"/>
  <c r="G18" i="17"/>
  <c r="AM18" i="17" s="1"/>
  <c r="BF18" i="17" s="1"/>
  <c r="H18" i="17"/>
  <c r="I18" i="17"/>
  <c r="AO18" i="17" s="1"/>
  <c r="BH18" i="17" s="1"/>
  <c r="J18" i="17"/>
  <c r="BI18" i="17" s="1"/>
  <c r="K18" i="17"/>
  <c r="BJ18" i="17" s="1"/>
  <c r="L18" i="17"/>
  <c r="M18" i="17"/>
  <c r="BL18" i="17" s="1"/>
  <c r="N18" i="17"/>
  <c r="O18" i="17"/>
  <c r="BN18" i="17" s="1"/>
  <c r="P18" i="17"/>
  <c r="Q18" i="17"/>
  <c r="R18" i="17"/>
  <c r="BQ18" i="17" s="1"/>
  <c r="S18" i="17"/>
  <c r="BR18" i="17" s="1"/>
  <c r="T18" i="17"/>
  <c r="U18" i="17"/>
  <c r="V18" i="17"/>
  <c r="W18" i="17"/>
  <c r="X18" i="17"/>
  <c r="Y18" i="17"/>
  <c r="Z18" i="17"/>
  <c r="AA18" i="17"/>
  <c r="AB18" i="17"/>
  <c r="AC18" i="17"/>
  <c r="AD18" i="17"/>
  <c r="AE18" i="17"/>
  <c r="AF18" i="17"/>
  <c r="AZ18" i="17" s="1"/>
  <c r="BS18" i="17" s="1"/>
  <c r="AG18" i="17"/>
  <c r="E19" i="17"/>
  <c r="AK19" i="17" s="1"/>
  <c r="BD19" i="17" s="1"/>
  <c r="F19" i="17"/>
  <c r="G19" i="17"/>
  <c r="H19" i="17"/>
  <c r="AN19" i="17" s="1"/>
  <c r="BG19" i="17" s="1"/>
  <c r="I19" i="17"/>
  <c r="AO19" i="17" s="1"/>
  <c r="BH19" i="17" s="1"/>
  <c r="J19" i="17"/>
  <c r="K19" i="17"/>
  <c r="L19" i="17"/>
  <c r="BK19" i="17" s="1"/>
  <c r="M19" i="17"/>
  <c r="BL19" i="17" s="1"/>
  <c r="N19" i="17"/>
  <c r="O19" i="17"/>
  <c r="P19" i="17"/>
  <c r="BO19" i="17" s="1"/>
  <c r="Q19" i="17"/>
  <c r="BP19" i="17" s="1"/>
  <c r="R19" i="17"/>
  <c r="S19" i="17"/>
  <c r="T19" i="17"/>
  <c r="U19" i="17"/>
  <c r="V19" i="17"/>
  <c r="W19" i="17"/>
  <c r="X19" i="17"/>
  <c r="Y19" i="17"/>
  <c r="Z19" i="17"/>
  <c r="AA19" i="17"/>
  <c r="AB19" i="17"/>
  <c r="AC19" i="17"/>
  <c r="AD19" i="17"/>
  <c r="AE19" i="17"/>
  <c r="AF19" i="17"/>
  <c r="AZ19" i="17" s="1"/>
  <c r="BS19" i="17" s="1"/>
  <c r="AG19" i="17"/>
  <c r="E20" i="17"/>
  <c r="AK20" i="17" s="1"/>
  <c r="BD20" i="17" s="1"/>
  <c r="F20" i="17"/>
  <c r="AL20" i="17" s="1"/>
  <c r="BE20" i="17" s="1"/>
  <c r="G20" i="17"/>
  <c r="AM20" i="17" s="1"/>
  <c r="BF20" i="17" s="1"/>
  <c r="H20" i="17"/>
  <c r="AN20" i="17" s="1"/>
  <c r="BG20" i="17" s="1"/>
  <c r="I20" i="17"/>
  <c r="AO20" i="17" s="1"/>
  <c r="BH20" i="17" s="1"/>
  <c r="J20" i="17"/>
  <c r="BI20" i="17" s="1"/>
  <c r="K20" i="17"/>
  <c r="BJ20" i="17" s="1"/>
  <c r="L20" i="17"/>
  <c r="BK20" i="17" s="1"/>
  <c r="M20" i="17"/>
  <c r="BL20" i="17" s="1"/>
  <c r="N20" i="17"/>
  <c r="BM20" i="17" s="1"/>
  <c r="O20" i="17"/>
  <c r="BN20" i="17" s="1"/>
  <c r="P20" i="17"/>
  <c r="Q20" i="17"/>
  <c r="BP20" i="17" s="1"/>
  <c r="R20" i="17"/>
  <c r="BQ20" i="17" s="1"/>
  <c r="S20" i="17"/>
  <c r="BR20" i="17" s="1"/>
  <c r="T20" i="17"/>
  <c r="U20" i="17"/>
  <c r="V20" i="17"/>
  <c r="W20" i="17"/>
  <c r="X20" i="17"/>
  <c r="Y20" i="17"/>
  <c r="Z20" i="17"/>
  <c r="AA20" i="17"/>
  <c r="AB20" i="17"/>
  <c r="AC20" i="17"/>
  <c r="AD20" i="17"/>
  <c r="AF20" i="17"/>
  <c r="AZ20" i="17" s="1"/>
  <c r="BS20" i="17" s="1"/>
  <c r="AG20" i="17"/>
  <c r="E21" i="17"/>
  <c r="AK21" i="17" s="1"/>
  <c r="BD21" i="17" s="1"/>
  <c r="F21" i="17"/>
  <c r="G21" i="17"/>
  <c r="AM21" i="17" s="1"/>
  <c r="BF21" i="17" s="1"/>
  <c r="H21" i="17"/>
  <c r="I21" i="17"/>
  <c r="AO21" i="17" s="1"/>
  <c r="BH21" i="17" s="1"/>
  <c r="J21" i="17"/>
  <c r="K21" i="17"/>
  <c r="BJ21" i="17" s="1"/>
  <c r="L21" i="17"/>
  <c r="M21" i="17"/>
  <c r="BL21" i="17" s="1"/>
  <c r="N21" i="17"/>
  <c r="O21" i="17"/>
  <c r="BN21" i="17" s="1"/>
  <c r="P21" i="17"/>
  <c r="Q21" i="17"/>
  <c r="BP21" i="17" s="1"/>
  <c r="R21" i="17"/>
  <c r="S21" i="17"/>
  <c r="BR21" i="17" s="1"/>
  <c r="T21" i="17"/>
  <c r="U21" i="17"/>
  <c r="V21" i="17"/>
  <c r="W21" i="17"/>
  <c r="X21" i="17"/>
  <c r="Y21" i="17"/>
  <c r="Z21" i="17"/>
  <c r="AA21" i="17"/>
  <c r="AB21" i="17"/>
  <c r="AC21" i="17"/>
  <c r="AD21" i="17"/>
  <c r="AE21" i="17"/>
  <c r="AF21" i="17"/>
  <c r="AG21" i="17"/>
  <c r="E22" i="17"/>
  <c r="F22" i="17"/>
  <c r="G22" i="17"/>
  <c r="AM22" i="17" s="1"/>
  <c r="BF22" i="17" s="1"/>
  <c r="H22" i="17"/>
  <c r="I22" i="17"/>
  <c r="AO22" i="17" s="1"/>
  <c r="BH22" i="17" s="1"/>
  <c r="J22" i="17"/>
  <c r="BI22" i="17" s="1"/>
  <c r="K22" i="17"/>
  <c r="BJ22" i="17" s="1"/>
  <c r="L22" i="17"/>
  <c r="M22" i="17"/>
  <c r="N22" i="17"/>
  <c r="BM22" i="17" s="1"/>
  <c r="O22" i="17"/>
  <c r="BN22" i="17" s="1"/>
  <c r="P22" i="17"/>
  <c r="Q22" i="17"/>
  <c r="BP22" i="17" s="1"/>
  <c r="R22" i="17"/>
  <c r="BQ22" i="17" s="1"/>
  <c r="S22" i="17"/>
  <c r="BR22" i="17" s="1"/>
  <c r="T22" i="17"/>
  <c r="U22" i="17"/>
  <c r="V22" i="17"/>
  <c r="W22" i="17"/>
  <c r="X22" i="17"/>
  <c r="Y22" i="17"/>
  <c r="Z22" i="17"/>
  <c r="AA22" i="17"/>
  <c r="AB22" i="17"/>
  <c r="AC22" i="17"/>
  <c r="AD22" i="17"/>
  <c r="AE22" i="17"/>
  <c r="AF22" i="17"/>
  <c r="AZ22" i="17" s="1"/>
  <c r="BS22" i="17" s="1"/>
  <c r="AG22" i="17"/>
  <c r="E23" i="17"/>
  <c r="AK23" i="17" s="1"/>
  <c r="BD23" i="17" s="1"/>
  <c r="F23" i="17"/>
  <c r="G23" i="17"/>
  <c r="H23" i="17"/>
  <c r="AN23" i="17" s="1"/>
  <c r="BG23" i="17" s="1"/>
  <c r="I23" i="17"/>
  <c r="AO23" i="17" s="1"/>
  <c r="BH23" i="17" s="1"/>
  <c r="J23" i="17"/>
  <c r="K23" i="17"/>
  <c r="L23" i="17"/>
  <c r="BK23" i="17" s="1"/>
  <c r="M23" i="17"/>
  <c r="BL23" i="17" s="1"/>
  <c r="N23" i="17"/>
  <c r="O23" i="17"/>
  <c r="P23" i="17"/>
  <c r="BO23" i="17" s="1"/>
  <c r="Q23" i="17"/>
  <c r="BP23" i="17" s="1"/>
  <c r="R23" i="17"/>
  <c r="S23" i="17"/>
  <c r="T23" i="17"/>
  <c r="U23" i="17"/>
  <c r="V23" i="17"/>
  <c r="W23" i="17"/>
  <c r="X23" i="17"/>
  <c r="Y23" i="17"/>
  <c r="Z23" i="17"/>
  <c r="AA23" i="17"/>
  <c r="AB23" i="17"/>
  <c r="AC23" i="17"/>
  <c r="AD23" i="17"/>
  <c r="AE23" i="17"/>
  <c r="AF23" i="17"/>
  <c r="AZ23" i="17" s="1"/>
  <c r="BS23" i="17" s="1"/>
  <c r="AG23" i="17"/>
  <c r="E24" i="17"/>
  <c r="AK24" i="17" s="1"/>
  <c r="BD24" i="17" s="1"/>
  <c r="F24" i="17"/>
  <c r="AL24" i="17" s="1"/>
  <c r="BE24" i="17" s="1"/>
  <c r="G24" i="17"/>
  <c r="AM24" i="17" s="1"/>
  <c r="BF24" i="17" s="1"/>
  <c r="H24" i="17"/>
  <c r="AN24" i="17" s="1"/>
  <c r="BG24" i="17" s="1"/>
  <c r="I24" i="17"/>
  <c r="AO24" i="17" s="1"/>
  <c r="BH24" i="17" s="1"/>
  <c r="J24" i="17"/>
  <c r="BI24" i="17" s="1"/>
  <c r="K24" i="17"/>
  <c r="BJ24" i="17" s="1"/>
  <c r="L24" i="17"/>
  <c r="BK24" i="17" s="1"/>
  <c r="M24" i="17"/>
  <c r="BL24" i="17" s="1"/>
  <c r="N24" i="17"/>
  <c r="BM24" i="17" s="1"/>
  <c r="O24" i="17"/>
  <c r="BN24" i="17" s="1"/>
  <c r="P24" i="17"/>
  <c r="Q24" i="17"/>
  <c r="BP24" i="17" s="1"/>
  <c r="R24" i="17"/>
  <c r="BQ24" i="17" s="1"/>
  <c r="S24" i="17"/>
  <c r="BR24" i="17" s="1"/>
  <c r="T24" i="17"/>
  <c r="U24" i="17"/>
  <c r="V24" i="17"/>
  <c r="W24" i="17"/>
  <c r="X24" i="17"/>
  <c r="Y24" i="17"/>
  <c r="Z24" i="17"/>
  <c r="AA24" i="17"/>
  <c r="AB24" i="17"/>
  <c r="AC24" i="17"/>
  <c r="AD24" i="17"/>
  <c r="AE24" i="17"/>
  <c r="AF24" i="17"/>
  <c r="AZ24" i="17" s="1"/>
  <c r="BS24" i="17" s="1"/>
  <c r="AG24" i="17"/>
  <c r="E25" i="17"/>
  <c r="AK25" i="17" s="1"/>
  <c r="BD25" i="17" s="1"/>
  <c r="F25" i="17"/>
  <c r="G25" i="17"/>
  <c r="AM25" i="17" s="1"/>
  <c r="BF25" i="17" s="1"/>
  <c r="H25" i="17"/>
  <c r="AN25" i="17" s="1"/>
  <c r="BG25" i="17" s="1"/>
  <c r="I25" i="17"/>
  <c r="AO25" i="17" s="1"/>
  <c r="BH25" i="17" s="1"/>
  <c r="J25" i="17"/>
  <c r="BI25" i="17" s="1"/>
  <c r="K25" i="17"/>
  <c r="BJ25" i="17" s="1"/>
  <c r="L25" i="17"/>
  <c r="BK25" i="17" s="1"/>
  <c r="M25" i="17"/>
  <c r="N25" i="17"/>
  <c r="BM25" i="17" s="1"/>
  <c r="O25" i="17"/>
  <c r="BN25" i="17" s="1"/>
  <c r="P25" i="17"/>
  <c r="BO25" i="17" s="1"/>
  <c r="Q25" i="17"/>
  <c r="BP25" i="17" s="1"/>
  <c r="R25" i="17"/>
  <c r="BQ25" i="17" s="1"/>
  <c r="S25" i="17"/>
  <c r="T25" i="17"/>
  <c r="U25" i="17"/>
  <c r="V25" i="17"/>
  <c r="W25" i="17"/>
  <c r="X25" i="17"/>
  <c r="Y25" i="17"/>
  <c r="Z25" i="17"/>
  <c r="AA25" i="17"/>
  <c r="AB25" i="17"/>
  <c r="AC25" i="17"/>
  <c r="AD25" i="17"/>
  <c r="AE25" i="17"/>
  <c r="AF25" i="17"/>
  <c r="AZ25" i="17" s="1"/>
  <c r="BS25" i="17" s="1"/>
  <c r="AG25" i="17"/>
  <c r="E26" i="17"/>
  <c r="F26" i="17"/>
  <c r="AL26" i="17" s="1"/>
  <c r="BE26" i="17" s="1"/>
  <c r="G26" i="17"/>
  <c r="AM26" i="17" s="1"/>
  <c r="BF26" i="17" s="1"/>
  <c r="H26" i="17"/>
  <c r="I26" i="17"/>
  <c r="AO26" i="17" s="1"/>
  <c r="BH26" i="17" s="1"/>
  <c r="J26" i="17"/>
  <c r="BI26" i="17" s="1"/>
  <c r="K26" i="17"/>
  <c r="BJ26" i="17" s="1"/>
  <c r="L26" i="17"/>
  <c r="M26" i="17"/>
  <c r="N26" i="17"/>
  <c r="BM26" i="17" s="1"/>
  <c r="O26" i="17"/>
  <c r="BN26" i="17" s="1"/>
  <c r="P26" i="17"/>
  <c r="Q26" i="17"/>
  <c r="BP26" i="17" s="1"/>
  <c r="R26" i="17"/>
  <c r="BQ26" i="17" s="1"/>
  <c r="S26" i="17"/>
  <c r="BR26" i="17" s="1"/>
  <c r="T26" i="17"/>
  <c r="U26" i="17"/>
  <c r="V26" i="17"/>
  <c r="W26" i="17"/>
  <c r="X26" i="17"/>
  <c r="Y26" i="17"/>
  <c r="Z26" i="17"/>
  <c r="AA26" i="17"/>
  <c r="AB26" i="17"/>
  <c r="AC26" i="17"/>
  <c r="AD26" i="17"/>
  <c r="AE26" i="17"/>
  <c r="AF26" i="17"/>
  <c r="AG26" i="17"/>
  <c r="AZ26" i="17"/>
  <c r="BS26" i="17" s="1"/>
  <c r="E27" i="17"/>
  <c r="AK27" i="17" s="1"/>
  <c r="BD27" i="17" s="1"/>
  <c r="F27" i="17"/>
  <c r="G27" i="17"/>
  <c r="AM27" i="17" s="1"/>
  <c r="BF27" i="17" s="1"/>
  <c r="H27" i="17"/>
  <c r="AN27" i="17" s="1"/>
  <c r="BG27" i="17" s="1"/>
  <c r="I27" i="17"/>
  <c r="AO27" i="17" s="1"/>
  <c r="BH27" i="17" s="1"/>
  <c r="J27" i="17"/>
  <c r="K27" i="17"/>
  <c r="BJ27" i="17" s="1"/>
  <c r="L27" i="17"/>
  <c r="BK27" i="17" s="1"/>
  <c r="M27" i="17"/>
  <c r="BL27" i="17" s="1"/>
  <c r="N27" i="17"/>
  <c r="O27" i="17"/>
  <c r="BN27" i="17" s="1"/>
  <c r="P27" i="17"/>
  <c r="BO27" i="17" s="1"/>
  <c r="Q27" i="17"/>
  <c r="BP27" i="17" s="1"/>
  <c r="R27" i="17"/>
  <c r="S27" i="17"/>
  <c r="BR27" i="17" s="1"/>
  <c r="T27" i="17"/>
  <c r="U27" i="17"/>
  <c r="V27" i="17"/>
  <c r="W27" i="17"/>
  <c r="X27" i="17"/>
  <c r="Y27" i="17"/>
  <c r="Z27" i="17"/>
  <c r="AA27" i="17"/>
  <c r="AB27" i="17"/>
  <c r="AC27" i="17"/>
  <c r="AD27" i="17"/>
  <c r="AE27" i="17"/>
  <c r="AF27" i="17"/>
  <c r="AZ27" i="17" s="1"/>
  <c r="BS27" i="17" s="1"/>
  <c r="AG27" i="17"/>
  <c r="E28" i="17"/>
  <c r="F28" i="17"/>
  <c r="AL28" i="17" s="1"/>
  <c r="BE28" i="17" s="1"/>
  <c r="G28" i="17"/>
  <c r="AM28" i="17" s="1"/>
  <c r="BF28" i="17" s="1"/>
  <c r="H28" i="17"/>
  <c r="AN28" i="17" s="1"/>
  <c r="BG28" i="17" s="1"/>
  <c r="I28" i="17"/>
  <c r="J28" i="17"/>
  <c r="BI28" i="17" s="1"/>
  <c r="K28" i="17"/>
  <c r="BJ28" i="17" s="1"/>
  <c r="L28" i="17"/>
  <c r="M28" i="17"/>
  <c r="N28" i="17"/>
  <c r="BM28" i="17" s="1"/>
  <c r="O28" i="17"/>
  <c r="BN28" i="17" s="1"/>
  <c r="P28" i="17"/>
  <c r="BO28" i="17" s="1"/>
  <c r="Q28" i="17"/>
  <c r="R28" i="17"/>
  <c r="BQ28" i="17" s="1"/>
  <c r="S28" i="17"/>
  <c r="BR28" i="17" s="1"/>
  <c r="T28" i="17"/>
  <c r="U28" i="17"/>
  <c r="V28" i="17"/>
  <c r="W28" i="17"/>
  <c r="X28" i="17"/>
  <c r="Y28" i="17"/>
  <c r="Z28" i="17"/>
  <c r="AA28" i="17"/>
  <c r="AB28" i="17"/>
  <c r="AC28" i="17"/>
  <c r="AD28" i="17"/>
  <c r="AE28" i="17"/>
  <c r="AF28" i="17"/>
  <c r="AZ28" i="17" s="1"/>
  <c r="BS28" i="17" s="1"/>
  <c r="AG28" i="17"/>
  <c r="E29" i="17"/>
  <c r="AK29" i="17" s="1"/>
  <c r="BD29" i="17" s="1"/>
  <c r="F29" i="17"/>
  <c r="AL29" i="17" s="1"/>
  <c r="BE29" i="17" s="1"/>
  <c r="G29" i="17"/>
  <c r="AM29" i="17" s="1"/>
  <c r="BF29" i="17" s="1"/>
  <c r="H29" i="17"/>
  <c r="AN29" i="17" s="1"/>
  <c r="BG29" i="17" s="1"/>
  <c r="I29" i="17"/>
  <c r="AO29" i="17" s="1"/>
  <c r="BH29" i="17" s="1"/>
  <c r="J29" i="17"/>
  <c r="K29" i="17"/>
  <c r="BJ29" i="17" s="1"/>
  <c r="L29" i="17"/>
  <c r="BK29" i="17" s="1"/>
  <c r="M29" i="17"/>
  <c r="BL29" i="17" s="1"/>
  <c r="N29" i="17"/>
  <c r="BM29" i="17" s="1"/>
  <c r="O29" i="17"/>
  <c r="BN29" i="17" s="1"/>
  <c r="P29" i="17"/>
  <c r="BO29" i="17" s="1"/>
  <c r="Q29" i="17"/>
  <c r="BP29" i="17" s="1"/>
  <c r="R29" i="17"/>
  <c r="BQ29" i="17" s="1"/>
  <c r="S29" i="17"/>
  <c r="BR29" i="17" s="1"/>
  <c r="T29" i="17"/>
  <c r="U29" i="17"/>
  <c r="V29" i="17"/>
  <c r="W29" i="17"/>
  <c r="X29" i="17"/>
  <c r="Y29" i="17"/>
  <c r="Z29" i="17"/>
  <c r="AA29" i="17"/>
  <c r="AB29" i="17"/>
  <c r="AC29" i="17"/>
  <c r="AD29" i="17"/>
  <c r="AE29" i="17"/>
  <c r="AF29" i="17"/>
  <c r="AZ29" i="17" s="1"/>
  <c r="BS29" i="17" s="1"/>
  <c r="AG29" i="17"/>
  <c r="E30" i="17"/>
  <c r="AK30" i="17" s="1"/>
  <c r="BD30" i="17" s="1"/>
  <c r="F30" i="17"/>
  <c r="AL30" i="17" s="1"/>
  <c r="BE30" i="17" s="1"/>
  <c r="G30" i="17"/>
  <c r="AM30" i="17" s="1"/>
  <c r="BF30" i="17" s="1"/>
  <c r="H30" i="17"/>
  <c r="I30" i="17"/>
  <c r="AO30" i="17" s="1"/>
  <c r="BH30" i="17" s="1"/>
  <c r="J30" i="17"/>
  <c r="BI30" i="17" s="1"/>
  <c r="K30" i="17"/>
  <c r="BJ30" i="17" s="1"/>
  <c r="L30" i="17"/>
  <c r="M30" i="17"/>
  <c r="BL30" i="17" s="1"/>
  <c r="N30" i="17"/>
  <c r="BM30" i="17" s="1"/>
  <c r="O30" i="17"/>
  <c r="BN30" i="17" s="1"/>
  <c r="P30" i="17"/>
  <c r="BO30" i="17" s="1"/>
  <c r="Q30" i="17"/>
  <c r="BP30" i="17" s="1"/>
  <c r="R30" i="17"/>
  <c r="BQ30" i="17" s="1"/>
  <c r="S30" i="17"/>
  <c r="BR30" i="17" s="1"/>
  <c r="T30" i="17"/>
  <c r="U30" i="17"/>
  <c r="V30" i="17"/>
  <c r="W30" i="17"/>
  <c r="X30" i="17"/>
  <c r="Y30" i="17"/>
  <c r="Z30" i="17"/>
  <c r="AA30" i="17"/>
  <c r="AB30" i="17"/>
  <c r="AC30" i="17"/>
  <c r="AD30" i="17"/>
  <c r="AE30" i="17"/>
  <c r="AF30" i="17"/>
  <c r="AZ30" i="17" s="1"/>
  <c r="BS30" i="17" s="1"/>
  <c r="AG30" i="17"/>
  <c r="E31" i="17"/>
  <c r="AK31" i="17" s="1"/>
  <c r="BD31" i="17" s="1"/>
  <c r="F31" i="17"/>
  <c r="G31" i="17"/>
  <c r="AM31" i="17" s="1"/>
  <c r="BF31" i="17" s="1"/>
  <c r="H31" i="17"/>
  <c r="AN31" i="17" s="1"/>
  <c r="BG31" i="17" s="1"/>
  <c r="I31" i="17"/>
  <c r="AO31" i="17" s="1"/>
  <c r="BH31" i="17" s="1"/>
  <c r="J31" i="17"/>
  <c r="K31" i="17"/>
  <c r="BJ31" i="17" s="1"/>
  <c r="L31" i="17"/>
  <c r="BK31" i="17" s="1"/>
  <c r="M31" i="17"/>
  <c r="BL31" i="17" s="1"/>
  <c r="N31" i="17"/>
  <c r="O31" i="17"/>
  <c r="BN31" i="17" s="1"/>
  <c r="P31" i="17"/>
  <c r="BO31" i="17" s="1"/>
  <c r="Q31" i="17"/>
  <c r="BP31" i="17" s="1"/>
  <c r="R31" i="17"/>
  <c r="BQ31" i="17" s="1"/>
  <c r="S31" i="17"/>
  <c r="BR31" i="17" s="1"/>
  <c r="T31" i="17"/>
  <c r="U31" i="17"/>
  <c r="V31" i="17"/>
  <c r="W31" i="17"/>
  <c r="X31" i="17"/>
  <c r="Y31" i="17"/>
  <c r="Z31" i="17"/>
  <c r="AA31" i="17"/>
  <c r="AB31" i="17"/>
  <c r="AC31" i="17"/>
  <c r="AD31" i="17"/>
  <c r="AE31" i="17"/>
  <c r="AF31" i="17"/>
  <c r="AZ31" i="17" s="1"/>
  <c r="BS31" i="17" s="1"/>
  <c r="AG31" i="17"/>
  <c r="D10" i="17"/>
  <c r="D11" i="17"/>
  <c r="AJ11" i="17" s="1"/>
  <c r="BC11" i="17" s="1"/>
  <c r="D12" i="17"/>
  <c r="AJ12" i="17" s="1"/>
  <c r="BC12" i="17" s="1"/>
  <c r="D13" i="17"/>
  <c r="D14" i="17"/>
  <c r="AJ14" i="17" s="1"/>
  <c r="BC14" i="17" s="1"/>
  <c r="D15" i="17"/>
  <c r="AJ15" i="17" s="1"/>
  <c r="BC15" i="17" s="1"/>
  <c r="D16" i="17"/>
  <c r="AJ16" i="17" s="1"/>
  <c r="BC16" i="17" s="1"/>
  <c r="D17" i="17"/>
  <c r="AJ17" i="17" s="1"/>
  <c r="BC17" i="17" s="1"/>
  <c r="D18" i="17"/>
  <c r="AJ18" i="17" s="1"/>
  <c r="BC18" i="17" s="1"/>
  <c r="D19" i="17"/>
  <c r="D20" i="17"/>
  <c r="AJ20" i="17" s="1"/>
  <c r="BC20" i="17" s="1"/>
  <c r="D21" i="17"/>
  <c r="AJ21" i="17" s="1"/>
  <c r="BC21" i="17" s="1"/>
  <c r="D22" i="17"/>
  <c r="AJ22" i="17" s="1"/>
  <c r="BC22" i="17" s="1"/>
  <c r="D23" i="17"/>
  <c r="AJ23" i="17" s="1"/>
  <c r="BC23" i="17" s="1"/>
  <c r="D24" i="17"/>
  <c r="AJ24" i="17" s="1"/>
  <c r="BC24" i="17" s="1"/>
  <c r="D25" i="17"/>
  <c r="AJ25" i="17" s="1"/>
  <c r="BC25" i="17" s="1"/>
  <c r="D26" i="17"/>
  <c r="AJ26" i="17" s="1"/>
  <c r="BC26" i="17" s="1"/>
  <c r="D27" i="17"/>
  <c r="AJ27" i="17" s="1"/>
  <c r="BC27" i="17" s="1"/>
  <c r="D28" i="17"/>
  <c r="AJ28" i="17" s="1"/>
  <c r="BC28" i="17" s="1"/>
  <c r="D29" i="17"/>
  <c r="AJ29" i="17" s="1"/>
  <c r="BC29" i="17" s="1"/>
  <c r="D30" i="17"/>
  <c r="D31" i="17"/>
  <c r="AJ31" i="17" s="1"/>
  <c r="BC31" i="17" s="1"/>
  <c r="D9" i="17"/>
  <c r="AJ9" i="17" s="1"/>
  <c r="BC9" i="17" s="1"/>
  <c r="AZ32" i="17"/>
  <c r="BS32" i="17" s="1"/>
  <c r="BR32" i="17"/>
  <c r="BQ32" i="17"/>
  <c r="BP32" i="17"/>
  <c r="BO32" i="17"/>
  <c r="BN32" i="17"/>
  <c r="BM32" i="17"/>
  <c r="BL32" i="17"/>
  <c r="BK32" i="17"/>
  <c r="BJ32" i="17"/>
  <c r="BI32" i="17"/>
  <c r="AO32" i="17"/>
  <c r="BH32" i="17" s="1"/>
  <c r="AN32" i="17"/>
  <c r="BG32" i="17" s="1"/>
  <c r="AM32" i="17"/>
  <c r="BF32" i="17" s="1"/>
  <c r="AL32" i="17"/>
  <c r="BE32" i="17" s="1"/>
  <c r="AK32" i="17"/>
  <c r="BD32" i="17" s="1"/>
  <c r="AJ32" i="17"/>
  <c r="BC32" i="17" s="1"/>
  <c r="BU31" i="17"/>
  <c r="BT31" i="17"/>
  <c r="BM31" i="17"/>
  <c r="BI31" i="17"/>
  <c r="AL31" i="17"/>
  <c r="BE31" i="17" s="1"/>
  <c r="B31" i="17"/>
  <c r="A31" i="17"/>
  <c r="BU30" i="17"/>
  <c r="BT30" i="17"/>
  <c r="BK30" i="17"/>
  <c r="AN30" i="17"/>
  <c r="BG30" i="17" s="1"/>
  <c r="AJ30" i="17"/>
  <c r="BC30" i="17" s="1"/>
  <c r="B30" i="17"/>
  <c r="A30" i="17"/>
  <c r="BU29" i="17"/>
  <c r="BT29" i="17"/>
  <c r="BI29" i="17"/>
  <c r="B29" i="17"/>
  <c r="A29" i="17"/>
  <c r="BU28" i="17"/>
  <c r="BT28" i="17"/>
  <c r="BP28" i="17"/>
  <c r="BL28" i="17"/>
  <c r="BK28" i="17"/>
  <c r="AO28" i="17"/>
  <c r="BH28" i="17" s="1"/>
  <c r="AK28" i="17"/>
  <c r="BD28" i="17" s="1"/>
  <c r="B28" i="17"/>
  <c r="A28" i="17"/>
  <c r="BU27" i="17"/>
  <c r="BT27" i="17"/>
  <c r="BQ27" i="17"/>
  <c r="BM27" i="17"/>
  <c r="BI27" i="17"/>
  <c r="AL27" i="17"/>
  <c r="BE27" i="17" s="1"/>
  <c r="B27" i="17"/>
  <c r="A27" i="17"/>
  <c r="BU26" i="17"/>
  <c r="BT26" i="17"/>
  <c r="BO26" i="17"/>
  <c r="BL26" i="17"/>
  <c r="BK26" i="17"/>
  <c r="AN26" i="17"/>
  <c r="BG26" i="17" s="1"/>
  <c r="AK26" i="17"/>
  <c r="BD26" i="17" s="1"/>
  <c r="B26" i="17"/>
  <c r="A26" i="17"/>
  <c r="BU25" i="17"/>
  <c r="BT25" i="17"/>
  <c r="BR25" i="17"/>
  <c r="BL25" i="17"/>
  <c r="AL25" i="17"/>
  <c r="BE25" i="17" s="1"/>
  <c r="A25" i="17"/>
  <c r="BU24" i="17"/>
  <c r="BT24" i="17"/>
  <c r="BO24" i="17"/>
  <c r="A24" i="17"/>
  <c r="BU23" i="17"/>
  <c r="BT23" i="17"/>
  <c r="BR23" i="17"/>
  <c r="BQ23" i="17"/>
  <c r="BN23" i="17"/>
  <c r="BM23" i="17"/>
  <c r="BJ23" i="17"/>
  <c r="BI23" i="17"/>
  <c r="AM23" i="17"/>
  <c r="BF23" i="17" s="1"/>
  <c r="AL23" i="17"/>
  <c r="BE23" i="17" s="1"/>
  <c r="A23" i="17"/>
  <c r="BU22" i="17"/>
  <c r="BT22" i="17"/>
  <c r="BO22" i="17"/>
  <c r="BL22" i="17"/>
  <c r="BK22" i="17"/>
  <c r="AN22" i="17"/>
  <c r="BG22" i="17" s="1"/>
  <c r="AL22" i="17"/>
  <c r="BE22" i="17" s="1"/>
  <c r="AK22" i="17"/>
  <c r="BD22" i="17" s="1"/>
  <c r="A22" i="17"/>
  <c r="BU21" i="17"/>
  <c r="BT21" i="17"/>
  <c r="AZ21" i="17"/>
  <c r="BS21" i="17" s="1"/>
  <c r="BQ21" i="17"/>
  <c r="BO21" i="17"/>
  <c r="BM21" i="17"/>
  <c r="BK21" i="17"/>
  <c r="BI21" i="17"/>
  <c r="AN21" i="17"/>
  <c r="BG21" i="17" s="1"/>
  <c r="AL21" i="17"/>
  <c r="BE21" i="17" s="1"/>
  <c r="A21" i="17"/>
  <c r="BU20" i="17"/>
  <c r="BT20" i="17"/>
  <c r="BO20" i="17"/>
  <c r="A20" i="17"/>
  <c r="BU19" i="17"/>
  <c r="BT19" i="17"/>
  <c r="BR19" i="17"/>
  <c r="BQ19" i="17"/>
  <c r="BN19" i="17"/>
  <c r="BM19" i="17"/>
  <c r="BJ19" i="17"/>
  <c r="BI19" i="17"/>
  <c r="AM19" i="17"/>
  <c r="BF19" i="17" s="1"/>
  <c r="AL19" i="17"/>
  <c r="BE19" i="17" s="1"/>
  <c r="AJ19" i="17"/>
  <c r="BC19" i="17" s="1"/>
  <c r="A19" i="17"/>
  <c r="BU18" i="17"/>
  <c r="BT18" i="17"/>
  <c r="BO18" i="17"/>
  <c r="BM18" i="17"/>
  <c r="BK18" i="17"/>
  <c r="AN18" i="17"/>
  <c r="BG18" i="17" s="1"/>
  <c r="AL18" i="17"/>
  <c r="BE18" i="17" s="1"/>
  <c r="A18" i="17"/>
  <c r="BU17" i="17"/>
  <c r="BT17" i="17"/>
  <c r="BQ17" i="17"/>
  <c r="BM17" i="17"/>
  <c r="BI17" i="17"/>
  <c r="AL17" i="17"/>
  <c r="BE17" i="17" s="1"/>
  <c r="A17" i="17"/>
  <c r="BU16" i="17"/>
  <c r="BT16" i="17"/>
  <c r="BO16" i="17"/>
  <c r="A16" i="17"/>
  <c r="BU15" i="17"/>
  <c r="BT15" i="17"/>
  <c r="BR15" i="17"/>
  <c r="BQ15" i="17"/>
  <c r="BN15" i="17"/>
  <c r="BM15" i="17"/>
  <c r="BJ15" i="17"/>
  <c r="BI15" i="17"/>
  <c r="AM15" i="17"/>
  <c r="BF15" i="17" s="1"/>
  <c r="AL15" i="17"/>
  <c r="BE15" i="17" s="1"/>
  <c r="B15" i="17"/>
  <c r="A15" i="17"/>
  <c r="BU14" i="17"/>
  <c r="BT14" i="17"/>
  <c r="BP14" i="17"/>
  <c r="BO14" i="17"/>
  <c r="BL14" i="17"/>
  <c r="BK14" i="17"/>
  <c r="AO14" i="17"/>
  <c r="BH14" i="17" s="1"/>
  <c r="AN14" i="17"/>
  <c r="BG14" i="17" s="1"/>
  <c r="AK14" i="17"/>
  <c r="BD14" i="17" s="1"/>
  <c r="B14" i="17"/>
  <c r="A14" i="17"/>
  <c r="BU13" i="17"/>
  <c r="BT13" i="17"/>
  <c r="BQ13" i="17"/>
  <c r="BN13" i="17"/>
  <c r="BM13" i="17"/>
  <c r="BI13" i="17"/>
  <c r="AL13" i="17"/>
  <c r="BE13" i="17" s="1"/>
  <c r="AJ13" i="17"/>
  <c r="BC13" i="17" s="1"/>
  <c r="B13" i="17"/>
  <c r="A13" i="17"/>
  <c r="BU12" i="17"/>
  <c r="BT12" i="17"/>
  <c r="BK12" i="17"/>
  <c r="B12" i="17"/>
  <c r="A12" i="17"/>
  <c r="BU11" i="17"/>
  <c r="BT11" i="17"/>
  <c r="BR11" i="17"/>
  <c r="BQ11" i="17"/>
  <c r="BN11" i="17"/>
  <c r="BM11" i="17"/>
  <c r="BJ11" i="17"/>
  <c r="BI11" i="17"/>
  <c r="AL11" i="17"/>
  <c r="BE11" i="17" s="1"/>
  <c r="B11" i="17"/>
  <c r="A11" i="17"/>
  <c r="BU10" i="17"/>
  <c r="BT10" i="17"/>
  <c r="BQ10" i="17"/>
  <c r="BP10" i="17"/>
  <c r="BO10" i="17"/>
  <c r="BM10" i="17"/>
  <c r="BK10" i="17"/>
  <c r="BI10" i="17"/>
  <c r="AO10" i="17"/>
  <c r="BH10" i="17" s="1"/>
  <c r="AN10" i="17"/>
  <c r="BG10" i="17" s="1"/>
  <c r="AL10" i="17"/>
  <c r="BE10" i="17" s="1"/>
  <c r="AJ10" i="17"/>
  <c r="BC10" i="17" s="1"/>
  <c r="B10" i="17"/>
  <c r="A10" i="17"/>
  <c r="BU9" i="17"/>
  <c r="BT9" i="17"/>
  <c r="BQ9" i="17"/>
  <c r="BM9" i="17"/>
  <c r="BI9" i="17"/>
  <c r="AL9" i="17"/>
  <c r="BE9" i="17" s="1"/>
  <c r="B9" i="17"/>
  <c r="A9" i="17"/>
  <c r="B4" i="17"/>
  <c r="E9" i="16"/>
  <c r="F9" i="16"/>
  <c r="G9" i="16"/>
  <c r="H9" i="16"/>
  <c r="I9" i="16"/>
  <c r="J9" i="16"/>
  <c r="K9" i="16"/>
  <c r="L9" i="16"/>
  <c r="M9" i="16"/>
  <c r="N9" i="16"/>
  <c r="O9" i="16"/>
  <c r="P9" i="16"/>
  <c r="Q9" i="16"/>
  <c r="AW9" i="16" s="1"/>
  <c r="BP9" i="16" s="1"/>
  <c r="R9" i="16"/>
  <c r="S9" i="16"/>
  <c r="T9" i="16"/>
  <c r="U9" i="16"/>
  <c r="V9" i="16"/>
  <c r="W9" i="16"/>
  <c r="X9" i="16"/>
  <c r="Y9" i="16"/>
  <c r="Z9" i="16"/>
  <c r="AA9" i="16"/>
  <c r="AB9" i="16"/>
  <c r="AC9" i="16"/>
  <c r="AD9" i="16"/>
  <c r="AE9" i="16"/>
  <c r="AF9" i="16"/>
  <c r="AG9" i="16"/>
  <c r="AH9" i="16"/>
  <c r="E10" i="16"/>
  <c r="F10" i="16"/>
  <c r="G10" i="16"/>
  <c r="H10" i="16"/>
  <c r="I10" i="16"/>
  <c r="J10" i="16"/>
  <c r="K10" i="16"/>
  <c r="L10" i="16"/>
  <c r="M10" i="16"/>
  <c r="N10" i="16"/>
  <c r="O10" i="16"/>
  <c r="P10" i="16"/>
  <c r="Q10" i="16"/>
  <c r="AW10" i="16" s="1"/>
  <c r="BP10" i="16" s="1"/>
  <c r="R10" i="16"/>
  <c r="S10" i="16"/>
  <c r="T10" i="16"/>
  <c r="U10" i="16"/>
  <c r="V10" i="16"/>
  <c r="W10" i="16"/>
  <c r="X10" i="16"/>
  <c r="Y10" i="16"/>
  <c r="Z10" i="16"/>
  <c r="AA10" i="16"/>
  <c r="AB10" i="16"/>
  <c r="AC10" i="16"/>
  <c r="AD10" i="16"/>
  <c r="AE10" i="16"/>
  <c r="AF10" i="16"/>
  <c r="AG10" i="16"/>
  <c r="E11" i="16"/>
  <c r="F11" i="16"/>
  <c r="G11" i="16"/>
  <c r="H11" i="16"/>
  <c r="I11" i="16"/>
  <c r="J11" i="16"/>
  <c r="K11" i="16"/>
  <c r="L11" i="16"/>
  <c r="M11" i="16"/>
  <c r="N11" i="16"/>
  <c r="O11" i="16"/>
  <c r="P11" i="16"/>
  <c r="Q11" i="16"/>
  <c r="AW11" i="16" s="1"/>
  <c r="BP11" i="16" s="1"/>
  <c r="R11" i="16"/>
  <c r="S11" i="16"/>
  <c r="T11" i="16"/>
  <c r="U11" i="16"/>
  <c r="V11" i="16"/>
  <c r="W11" i="16"/>
  <c r="X11" i="16"/>
  <c r="Y11" i="16"/>
  <c r="Z11" i="16"/>
  <c r="AA11" i="16"/>
  <c r="AB11" i="16"/>
  <c r="AC11" i="16"/>
  <c r="AD11" i="16"/>
  <c r="AE11" i="16"/>
  <c r="AF11" i="16"/>
  <c r="AG11" i="16"/>
  <c r="E12" i="16"/>
  <c r="F12" i="16"/>
  <c r="G12" i="16"/>
  <c r="H12" i="16"/>
  <c r="I12" i="16"/>
  <c r="J12" i="16"/>
  <c r="K12" i="16"/>
  <c r="L12" i="16"/>
  <c r="M12" i="16"/>
  <c r="N12" i="16"/>
  <c r="O12" i="16"/>
  <c r="P12" i="16"/>
  <c r="Q12" i="16"/>
  <c r="AW12" i="16" s="1"/>
  <c r="BP12" i="16" s="1"/>
  <c r="R12" i="16"/>
  <c r="S12" i="16"/>
  <c r="T12" i="16"/>
  <c r="U12" i="16"/>
  <c r="V12" i="16"/>
  <c r="W12" i="16"/>
  <c r="X12" i="16"/>
  <c r="Y12" i="16"/>
  <c r="Z12" i="16"/>
  <c r="AA12" i="16"/>
  <c r="AB12" i="16"/>
  <c r="AC12" i="16"/>
  <c r="AD12" i="16"/>
  <c r="AE12" i="16"/>
  <c r="AF12" i="16"/>
  <c r="AG12" i="16"/>
  <c r="E13" i="16"/>
  <c r="F13" i="16"/>
  <c r="G13" i="16"/>
  <c r="H13" i="16"/>
  <c r="I13" i="16"/>
  <c r="J13" i="16"/>
  <c r="K13" i="16"/>
  <c r="L13" i="16"/>
  <c r="M13" i="16"/>
  <c r="N13" i="16"/>
  <c r="O13" i="16"/>
  <c r="P13" i="16"/>
  <c r="Q13" i="16"/>
  <c r="AW13" i="16" s="1"/>
  <c r="BP13" i="16" s="1"/>
  <c r="R13" i="16"/>
  <c r="S13" i="16"/>
  <c r="T13" i="16"/>
  <c r="U13" i="16"/>
  <c r="V13" i="16"/>
  <c r="W13" i="16"/>
  <c r="X13" i="16"/>
  <c r="Y13" i="16"/>
  <c r="Z13" i="16"/>
  <c r="AA13" i="16"/>
  <c r="AB13" i="16"/>
  <c r="AC13" i="16"/>
  <c r="AD13" i="16"/>
  <c r="AE13" i="16"/>
  <c r="AF13" i="16"/>
  <c r="AG13" i="16"/>
  <c r="E14" i="16"/>
  <c r="F14" i="16"/>
  <c r="G14" i="16"/>
  <c r="H14" i="16"/>
  <c r="I14" i="16"/>
  <c r="J14" i="16"/>
  <c r="K14" i="16"/>
  <c r="L14" i="16"/>
  <c r="M14" i="16"/>
  <c r="N14" i="16"/>
  <c r="O14" i="16"/>
  <c r="P14" i="16"/>
  <c r="Q14" i="16"/>
  <c r="AW14" i="16" s="1"/>
  <c r="BP14" i="16" s="1"/>
  <c r="R14" i="16"/>
  <c r="S14" i="16"/>
  <c r="T14" i="16"/>
  <c r="U14" i="16"/>
  <c r="V14" i="16"/>
  <c r="W14" i="16"/>
  <c r="X14" i="16"/>
  <c r="Y14" i="16"/>
  <c r="Z14" i="16"/>
  <c r="AA14" i="16"/>
  <c r="AB14" i="16"/>
  <c r="AC14" i="16"/>
  <c r="AD14" i="16"/>
  <c r="AE14" i="16"/>
  <c r="AG14" i="16"/>
  <c r="E15" i="16"/>
  <c r="F15" i="16"/>
  <c r="G15" i="16"/>
  <c r="H15" i="16"/>
  <c r="I15" i="16"/>
  <c r="J15" i="16"/>
  <c r="AP15" i="16" s="1"/>
  <c r="K15" i="16"/>
  <c r="AQ15" i="16" s="1"/>
  <c r="L15" i="16"/>
  <c r="AR15" i="16" s="1"/>
  <c r="M15" i="16"/>
  <c r="AS15" i="16" s="1"/>
  <c r="N15" i="16"/>
  <c r="AT15" i="16" s="1"/>
  <c r="O15" i="16"/>
  <c r="AU15" i="16" s="1"/>
  <c r="P15" i="16"/>
  <c r="AV15" i="16" s="1"/>
  <c r="Q15" i="16"/>
  <c r="R15" i="16"/>
  <c r="S15" i="16"/>
  <c r="T15" i="16"/>
  <c r="U15" i="16"/>
  <c r="V15" i="16"/>
  <c r="W15" i="16"/>
  <c r="X15" i="16"/>
  <c r="Y15" i="16"/>
  <c r="Z15" i="16"/>
  <c r="AA15" i="16"/>
  <c r="AB15" i="16"/>
  <c r="AC15" i="16"/>
  <c r="AD15" i="16"/>
  <c r="AE15" i="16"/>
  <c r="AG15" i="16"/>
  <c r="E16" i="16"/>
  <c r="F16" i="16"/>
  <c r="G16" i="16"/>
  <c r="H16" i="16"/>
  <c r="I16" i="16"/>
  <c r="J16" i="16"/>
  <c r="K16" i="16"/>
  <c r="L16" i="16"/>
  <c r="M16" i="16"/>
  <c r="N16" i="16"/>
  <c r="O16" i="16"/>
  <c r="P16" i="16"/>
  <c r="Q16" i="16"/>
  <c r="BP16" i="16" s="1"/>
  <c r="R16" i="16"/>
  <c r="S16" i="16"/>
  <c r="T16" i="16"/>
  <c r="U16" i="16"/>
  <c r="V16" i="16"/>
  <c r="W16" i="16"/>
  <c r="X16" i="16"/>
  <c r="Y16" i="16"/>
  <c r="Z16" i="16"/>
  <c r="AA16" i="16"/>
  <c r="AB16" i="16"/>
  <c r="AC16" i="16"/>
  <c r="AD16" i="16"/>
  <c r="AE16" i="16"/>
  <c r="AG16" i="16"/>
  <c r="E17" i="16"/>
  <c r="F17" i="16"/>
  <c r="G17" i="16"/>
  <c r="H17" i="16"/>
  <c r="I17" i="16"/>
  <c r="J17" i="16"/>
  <c r="K17" i="16"/>
  <c r="L17" i="16"/>
  <c r="M17" i="16"/>
  <c r="N17" i="16"/>
  <c r="O17" i="16"/>
  <c r="P17" i="16"/>
  <c r="Q17" i="16"/>
  <c r="BP17" i="16" s="1"/>
  <c r="R17" i="16"/>
  <c r="S17" i="16"/>
  <c r="T17" i="16"/>
  <c r="U17" i="16"/>
  <c r="V17" i="16"/>
  <c r="W17" i="16"/>
  <c r="X17" i="16"/>
  <c r="Y17" i="16"/>
  <c r="Z17" i="16"/>
  <c r="AA17" i="16"/>
  <c r="AB17" i="16"/>
  <c r="AC17" i="16"/>
  <c r="AD17" i="16"/>
  <c r="AE17" i="16"/>
  <c r="AG17" i="16"/>
  <c r="E18" i="16"/>
  <c r="F18" i="16"/>
  <c r="G18" i="16"/>
  <c r="H18" i="16"/>
  <c r="I18" i="16"/>
  <c r="J18" i="16"/>
  <c r="K18" i="16"/>
  <c r="L18" i="16"/>
  <c r="M18" i="16"/>
  <c r="N18" i="16"/>
  <c r="O18" i="16"/>
  <c r="P18" i="16"/>
  <c r="Q18" i="16"/>
  <c r="BP18" i="16" s="1"/>
  <c r="R18" i="16"/>
  <c r="S18" i="16"/>
  <c r="T18" i="16"/>
  <c r="U18" i="16"/>
  <c r="V18" i="16"/>
  <c r="W18" i="16"/>
  <c r="X18" i="16"/>
  <c r="Y18" i="16"/>
  <c r="Z18" i="16"/>
  <c r="AA18" i="16"/>
  <c r="AB18" i="16"/>
  <c r="AC18" i="16"/>
  <c r="AD18" i="16"/>
  <c r="AE18" i="16"/>
  <c r="AF18" i="16"/>
  <c r="AG18" i="16"/>
  <c r="E19" i="16"/>
  <c r="F19" i="16"/>
  <c r="G19" i="16"/>
  <c r="H19" i="16"/>
  <c r="I19" i="16"/>
  <c r="J19" i="16"/>
  <c r="K19" i="16"/>
  <c r="L19" i="16"/>
  <c r="M19" i="16"/>
  <c r="N19" i="16"/>
  <c r="O19" i="16"/>
  <c r="P19" i="16"/>
  <c r="Q19" i="16"/>
  <c r="BP19" i="16" s="1"/>
  <c r="R19" i="16"/>
  <c r="S19" i="16"/>
  <c r="T19" i="16"/>
  <c r="U19" i="16"/>
  <c r="V19" i="16"/>
  <c r="W19" i="16"/>
  <c r="X19" i="16"/>
  <c r="Y19" i="16"/>
  <c r="Z19" i="16"/>
  <c r="AA19" i="16"/>
  <c r="AB19" i="16"/>
  <c r="AC19" i="16"/>
  <c r="AD19" i="16"/>
  <c r="AE19" i="16"/>
  <c r="AG19" i="16"/>
  <c r="E20" i="16"/>
  <c r="F20" i="16"/>
  <c r="G20" i="16"/>
  <c r="H20" i="16"/>
  <c r="I20" i="16"/>
  <c r="J20" i="16"/>
  <c r="K20" i="16"/>
  <c r="L20" i="16"/>
  <c r="M20" i="16"/>
  <c r="N20" i="16"/>
  <c r="O20" i="16"/>
  <c r="P20" i="16"/>
  <c r="Q20" i="16"/>
  <c r="R20" i="16"/>
  <c r="S20" i="16"/>
  <c r="T20" i="16"/>
  <c r="U20" i="16"/>
  <c r="V20" i="16"/>
  <c r="W20" i="16"/>
  <c r="X20" i="16"/>
  <c r="Y20" i="16"/>
  <c r="Z20" i="16"/>
  <c r="AA20" i="16"/>
  <c r="AB20" i="16"/>
  <c r="AC20" i="16"/>
  <c r="AD20" i="16"/>
  <c r="AF20" i="16"/>
  <c r="AG20" i="16"/>
  <c r="E21" i="16"/>
  <c r="F21" i="16"/>
  <c r="G21" i="16"/>
  <c r="H21" i="16"/>
  <c r="I21" i="16"/>
  <c r="J21" i="16"/>
  <c r="K21" i="16"/>
  <c r="L21" i="16"/>
  <c r="M21" i="16"/>
  <c r="N21" i="16"/>
  <c r="O21" i="16"/>
  <c r="P21" i="16"/>
  <c r="Q21" i="16"/>
  <c r="R21" i="16"/>
  <c r="S21" i="16"/>
  <c r="T21" i="16"/>
  <c r="U21" i="16"/>
  <c r="V21" i="16"/>
  <c r="W21" i="16"/>
  <c r="X21" i="16"/>
  <c r="Y21" i="16"/>
  <c r="Z21" i="16"/>
  <c r="AA21" i="16"/>
  <c r="AB21" i="16"/>
  <c r="AC21" i="16"/>
  <c r="AD21" i="16"/>
  <c r="AE21" i="16"/>
  <c r="AF21" i="16"/>
  <c r="AG21" i="16"/>
  <c r="E22" i="16"/>
  <c r="F22" i="16"/>
  <c r="G22" i="16"/>
  <c r="H22" i="16"/>
  <c r="I22" i="16"/>
  <c r="J22" i="16"/>
  <c r="K22" i="16"/>
  <c r="L22" i="16"/>
  <c r="M22" i="16"/>
  <c r="N22" i="16"/>
  <c r="O22" i="16"/>
  <c r="P22" i="16"/>
  <c r="Q22" i="16"/>
  <c r="R22" i="16"/>
  <c r="S22" i="16"/>
  <c r="T22" i="16"/>
  <c r="U22" i="16"/>
  <c r="V22" i="16"/>
  <c r="W22" i="16"/>
  <c r="X22" i="16"/>
  <c r="Y22" i="16"/>
  <c r="Z22" i="16"/>
  <c r="AA22" i="16"/>
  <c r="AB22" i="16"/>
  <c r="AC22" i="16"/>
  <c r="AD22" i="16"/>
  <c r="AE22" i="16"/>
  <c r="AF22" i="16"/>
  <c r="AG22" i="16"/>
  <c r="E23" i="16"/>
  <c r="F23" i="16"/>
  <c r="G23" i="16"/>
  <c r="H23" i="16"/>
  <c r="I23" i="16"/>
  <c r="J23" i="16"/>
  <c r="K23" i="16"/>
  <c r="L23" i="16"/>
  <c r="M23" i="16"/>
  <c r="N23" i="16"/>
  <c r="O23" i="16"/>
  <c r="P23" i="16"/>
  <c r="Q23" i="16"/>
  <c r="R23" i="16"/>
  <c r="S23" i="16"/>
  <c r="T23" i="16"/>
  <c r="U23" i="16"/>
  <c r="V23" i="16"/>
  <c r="W23" i="16"/>
  <c r="X23" i="16"/>
  <c r="Y23" i="16"/>
  <c r="Z23" i="16"/>
  <c r="AA23" i="16"/>
  <c r="AB23" i="16"/>
  <c r="AC23" i="16"/>
  <c r="AD23" i="16"/>
  <c r="AF23" i="16"/>
  <c r="AG23" i="16"/>
  <c r="E24" i="16"/>
  <c r="F24" i="16"/>
  <c r="G24" i="16"/>
  <c r="H24" i="16"/>
  <c r="I24" i="16"/>
  <c r="J24" i="16"/>
  <c r="K24" i="16"/>
  <c r="L24" i="16"/>
  <c r="M24" i="16"/>
  <c r="N24" i="16"/>
  <c r="O24" i="16"/>
  <c r="P24" i="16"/>
  <c r="Q24" i="16"/>
  <c r="R24" i="16"/>
  <c r="S24" i="16"/>
  <c r="T24" i="16"/>
  <c r="U24" i="16"/>
  <c r="V24" i="16"/>
  <c r="W24" i="16"/>
  <c r="X24" i="16"/>
  <c r="Y24" i="16"/>
  <c r="Z24" i="16"/>
  <c r="AA24" i="16"/>
  <c r="AB24" i="16"/>
  <c r="AC24" i="16"/>
  <c r="AD24" i="16"/>
  <c r="AE24" i="16"/>
  <c r="AF24" i="16"/>
  <c r="AG24" i="16"/>
  <c r="E25" i="16"/>
  <c r="F25" i="16"/>
  <c r="G25" i="16"/>
  <c r="H25" i="16"/>
  <c r="I25" i="16"/>
  <c r="J25" i="16"/>
  <c r="AP25" i="16" s="1"/>
  <c r="K25" i="16"/>
  <c r="AQ25" i="16" s="1"/>
  <c r="L25" i="16"/>
  <c r="AR25" i="16" s="1"/>
  <c r="M25" i="16"/>
  <c r="AS25" i="16" s="1"/>
  <c r="N25" i="16"/>
  <c r="AT25" i="16" s="1"/>
  <c r="O25" i="16"/>
  <c r="AU25" i="16" s="1"/>
  <c r="P25" i="16"/>
  <c r="AV25" i="16" s="1"/>
  <c r="Q25" i="16"/>
  <c r="AW25" i="16" s="1"/>
  <c r="R25" i="16"/>
  <c r="S25" i="16"/>
  <c r="T25" i="16"/>
  <c r="U25" i="16"/>
  <c r="V25" i="16"/>
  <c r="W25" i="16"/>
  <c r="X25" i="16"/>
  <c r="Y25" i="16"/>
  <c r="Z25" i="16"/>
  <c r="AA25" i="16"/>
  <c r="AB25" i="16"/>
  <c r="AC25" i="16"/>
  <c r="AD25" i="16"/>
  <c r="AE25" i="16"/>
  <c r="AF25" i="16"/>
  <c r="AG25" i="16"/>
  <c r="E26" i="16"/>
  <c r="F26" i="16"/>
  <c r="G26" i="16"/>
  <c r="H26" i="16"/>
  <c r="I26" i="16"/>
  <c r="J26" i="16"/>
  <c r="K26" i="16"/>
  <c r="L26" i="16"/>
  <c r="M26" i="16"/>
  <c r="N26" i="16"/>
  <c r="O26" i="16"/>
  <c r="P26" i="16"/>
  <c r="Q26" i="16"/>
  <c r="R26" i="16"/>
  <c r="S26" i="16"/>
  <c r="T26" i="16"/>
  <c r="U26" i="16"/>
  <c r="V26" i="16"/>
  <c r="W26" i="16"/>
  <c r="X26" i="16"/>
  <c r="Y26" i="16"/>
  <c r="Z26" i="16"/>
  <c r="AA26" i="16"/>
  <c r="AB26" i="16"/>
  <c r="AC26" i="16"/>
  <c r="AD26" i="16"/>
  <c r="AE26" i="16"/>
  <c r="AF26" i="16"/>
  <c r="AG26" i="16"/>
  <c r="E27" i="16"/>
  <c r="F27" i="16"/>
  <c r="G27" i="16"/>
  <c r="H27" i="16"/>
  <c r="I27" i="16"/>
  <c r="J27" i="16"/>
  <c r="K27" i="16"/>
  <c r="L27" i="16"/>
  <c r="M27" i="16"/>
  <c r="N27" i="16"/>
  <c r="O27" i="16"/>
  <c r="P27" i="16"/>
  <c r="Q27" i="16"/>
  <c r="AW27" i="16" s="1"/>
  <c r="R27" i="16"/>
  <c r="S27" i="16"/>
  <c r="T27" i="16"/>
  <c r="U27" i="16"/>
  <c r="V27" i="16"/>
  <c r="W27" i="16"/>
  <c r="X27" i="16"/>
  <c r="Y27" i="16"/>
  <c r="Z27" i="16"/>
  <c r="AA27" i="16"/>
  <c r="AB27" i="16"/>
  <c r="AC27" i="16"/>
  <c r="AD27" i="16"/>
  <c r="AE27" i="16"/>
  <c r="AF27" i="16"/>
  <c r="AG27" i="16"/>
  <c r="E28" i="16"/>
  <c r="F28" i="16"/>
  <c r="G28" i="16"/>
  <c r="H28" i="16"/>
  <c r="I28" i="16"/>
  <c r="J28" i="16"/>
  <c r="K28" i="16"/>
  <c r="L28" i="16"/>
  <c r="M28" i="16"/>
  <c r="N28" i="16"/>
  <c r="O28" i="16"/>
  <c r="P28" i="16"/>
  <c r="Q28" i="16"/>
  <c r="AW28" i="16" s="1"/>
  <c r="R28" i="16"/>
  <c r="S28" i="16"/>
  <c r="T28" i="16"/>
  <c r="U28" i="16"/>
  <c r="V28" i="16"/>
  <c r="W28" i="16"/>
  <c r="X28" i="16"/>
  <c r="Y28" i="16"/>
  <c r="Z28" i="16"/>
  <c r="AA28" i="16"/>
  <c r="AB28" i="16"/>
  <c r="AC28" i="16"/>
  <c r="AD28" i="16"/>
  <c r="AE28" i="16"/>
  <c r="AF28" i="16"/>
  <c r="AG28" i="16"/>
  <c r="E29" i="16"/>
  <c r="F29" i="16"/>
  <c r="G29" i="16"/>
  <c r="H29" i="16"/>
  <c r="I29" i="16"/>
  <c r="J29" i="16"/>
  <c r="K29" i="16"/>
  <c r="L29" i="16"/>
  <c r="M29" i="16"/>
  <c r="N29" i="16"/>
  <c r="O29" i="16"/>
  <c r="P29" i="16"/>
  <c r="Q29" i="16"/>
  <c r="AW29" i="16" s="1"/>
  <c r="R29" i="16"/>
  <c r="S29" i="16"/>
  <c r="T29" i="16"/>
  <c r="U29" i="16"/>
  <c r="V29" i="16"/>
  <c r="W29" i="16"/>
  <c r="X29" i="16"/>
  <c r="Y29" i="16"/>
  <c r="Z29" i="16"/>
  <c r="AA29" i="16"/>
  <c r="AB29" i="16"/>
  <c r="AC29" i="16"/>
  <c r="AD29" i="16"/>
  <c r="AE29" i="16"/>
  <c r="AF29" i="16"/>
  <c r="AG29" i="16"/>
  <c r="E30" i="16"/>
  <c r="F30" i="16"/>
  <c r="G30" i="16"/>
  <c r="H30" i="16"/>
  <c r="I30" i="16"/>
  <c r="J30" i="16"/>
  <c r="K30" i="16"/>
  <c r="L30" i="16"/>
  <c r="M30" i="16"/>
  <c r="N30" i="16"/>
  <c r="O30" i="16"/>
  <c r="P30" i="16"/>
  <c r="Q30" i="16"/>
  <c r="AW30" i="16" s="1"/>
  <c r="R30" i="16"/>
  <c r="S30" i="16"/>
  <c r="T30" i="16"/>
  <c r="U30" i="16"/>
  <c r="V30" i="16"/>
  <c r="W30" i="16"/>
  <c r="X30" i="16"/>
  <c r="Y30" i="16"/>
  <c r="Z30" i="16"/>
  <c r="AA30" i="16"/>
  <c r="AB30" i="16"/>
  <c r="AC30" i="16"/>
  <c r="AD30" i="16"/>
  <c r="AE30" i="16"/>
  <c r="AF30" i="16"/>
  <c r="AG30" i="16"/>
  <c r="E31" i="16"/>
  <c r="F31" i="16"/>
  <c r="G31" i="16"/>
  <c r="H31" i="16"/>
  <c r="I31" i="16"/>
  <c r="J31" i="16"/>
  <c r="K31" i="16"/>
  <c r="L31" i="16"/>
  <c r="M31" i="16"/>
  <c r="N31" i="16"/>
  <c r="O31" i="16"/>
  <c r="P31" i="16"/>
  <c r="Q31" i="16"/>
  <c r="AW31" i="16" s="1"/>
  <c r="R31" i="16"/>
  <c r="S31" i="16"/>
  <c r="T31" i="16"/>
  <c r="U31" i="16"/>
  <c r="V31" i="16"/>
  <c r="W31" i="16"/>
  <c r="X31" i="16"/>
  <c r="Y31" i="16"/>
  <c r="Z31" i="16"/>
  <c r="AA31" i="16"/>
  <c r="AB31" i="16"/>
  <c r="AC31" i="16"/>
  <c r="AD31" i="16"/>
  <c r="AE31" i="16"/>
  <c r="AF31" i="16"/>
  <c r="AG31" i="16"/>
  <c r="E32" i="16"/>
  <c r="F32" i="16"/>
  <c r="G32" i="16"/>
  <c r="H32" i="16"/>
  <c r="I32" i="16"/>
  <c r="J32" i="16"/>
  <c r="K32" i="16"/>
  <c r="L32" i="16"/>
  <c r="M32" i="16"/>
  <c r="N32" i="16"/>
  <c r="O32" i="16"/>
  <c r="P32" i="16"/>
  <c r="Q32" i="16"/>
  <c r="AW32" i="16" s="1"/>
  <c r="R32" i="16"/>
  <c r="S32" i="16"/>
  <c r="T32" i="16"/>
  <c r="U32" i="16"/>
  <c r="V32" i="16"/>
  <c r="W32" i="16"/>
  <c r="X32" i="16"/>
  <c r="Y32" i="16"/>
  <c r="Z32" i="16"/>
  <c r="AA32" i="16"/>
  <c r="AB32" i="16"/>
  <c r="AC32" i="16"/>
  <c r="AD32" i="16"/>
  <c r="AE32" i="16"/>
  <c r="AF32" i="16"/>
  <c r="AG32" i="16"/>
  <c r="D10" i="16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24" i="16"/>
  <c r="D25" i="16"/>
  <c r="D26" i="16"/>
  <c r="D27" i="16"/>
  <c r="D28" i="16"/>
  <c r="D29" i="16"/>
  <c r="D30" i="16"/>
  <c r="D31" i="16"/>
  <c r="D32" i="16"/>
  <c r="M19" i="15"/>
  <c r="K9" i="15"/>
  <c r="L9" i="15"/>
  <c r="M9" i="15"/>
  <c r="N9" i="15"/>
  <c r="O9" i="15"/>
  <c r="P9" i="15"/>
  <c r="Q9" i="15"/>
  <c r="R9" i="15"/>
  <c r="S9" i="15"/>
  <c r="T9" i="15"/>
  <c r="U9" i="15"/>
  <c r="V9" i="15"/>
  <c r="W9" i="15"/>
  <c r="X9" i="15"/>
  <c r="Y9" i="15"/>
  <c r="Z9" i="15"/>
  <c r="AA9" i="15"/>
  <c r="AB9" i="15"/>
  <c r="AC9" i="15"/>
  <c r="AD9" i="15"/>
  <c r="AE9" i="15"/>
  <c r="AF9" i="15"/>
  <c r="AG9" i="15"/>
  <c r="AH9" i="15"/>
  <c r="K10" i="15"/>
  <c r="L10" i="15"/>
  <c r="M10" i="15"/>
  <c r="N10" i="15"/>
  <c r="O10" i="15"/>
  <c r="P10" i="15"/>
  <c r="Q10" i="15"/>
  <c r="R10" i="15"/>
  <c r="S10" i="15"/>
  <c r="T10" i="15"/>
  <c r="U10" i="15"/>
  <c r="V10" i="15"/>
  <c r="W10" i="15"/>
  <c r="X10" i="15"/>
  <c r="Y10" i="15"/>
  <c r="Z10" i="15"/>
  <c r="AA10" i="15"/>
  <c r="AB10" i="15"/>
  <c r="AC10" i="15"/>
  <c r="AD10" i="15"/>
  <c r="AE10" i="15"/>
  <c r="AG10" i="15"/>
  <c r="K11" i="15"/>
  <c r="L11" i="15"/>
  <c r="M11" i="15"/>
  <c r="N11" i="15"/>
  <c r="O11" i="15"/>
  <c r="P11" i="15"/>
  <c r="Q11" i="15"/>
  <c r="R11" i="15"/>
  <c r="S11" i="15"/>
  <c r="T11" i="15"/>
  <c r="U11" i="15"/>
  <c r="V11" i="15"/>
  <c r="W11" i="15"/>
  <c r="X11" i="15"/>
  <c r="Y11" i="15"/>
  <c r="Z11" i="15"/>
  <c r="AA11" i="15"/>
  <c r="AB11" i="15"/>
  <c r="AC11" i="15"/>
  <c r="AD11" i="15"/>
  <c r="AE11" i="15"/>
  <c r="AG11" i="15"/>
  <c r="K12" i="15"/>
  <c r="L12" i="15"/>
  <c r="M12" i="15"/>
  <c r="N12" i="15"/>
  <c r="O12" i="15"/>
  <c r="P12" i="15"/>
  <c r="Q12" i="15"/>
  <c r="R12" i="15"/>
  <c r="S12" i="15"/>
  <c r="T12" i="15"/>
  <c r="U12" i="15"/>
  <c r="V12" i="15"/>
  <c r="W12" i="15"/>
  <c r="X12" i="15"/>
  <c r="Y12" i="15"/>
  <c r="Z12" i="15"/>
  <c r="AA12" i="15"/>
  <c r="AB12" i="15"/>
  <c r="AC12" i="15"/>
  <c r="AD12" i="15"/>
  <c r="AE12" i="15"/>
  <c r="AF12" i="15"/>
  <c r="AG12" i="15"/>
  <c r="K13" i="15"/>
  <c r="L13" i="15"/>
  <c r="M13" i="15"/>
  <c r="N13" i="15"/>
  <c r="O13" i="15"/>
  <c r="P13" i="15"/>
  <c r="Q13" i="15"/>
  <c r="R13" i="15"/>
  <c r="S13" i="15"/>
  <c r="T13" i="15"/>
  <c r="U13" i="15"/>
  <c r="V13" i="15"/>
  <c r="W13" i="15"/>
  <c r="X13" i="15"/>
  <c r="Y13" i="15"/>
  <c r="Z13" i="15"/>
  <c r="AA13" i="15"/>
  <c r="AB13" i="15"/>
  <c r="AC13" i="15"/>
  <c r="AD13" i="15"/>
  <c r="AE13" i="15"/>
  <c r="AF13" i="15"/>
  <c r="AG13" i="15"/>
  <c r="K14" i="15"/>
  <c r="L14" i="15"/>
  <c r="M14" i="15"/>
  <c r="N14" i="15"/>
  <c r="O14" i="15"/>
  <c r="P14" i="15"/>
  <c r="Q14" i="15"/>
  <c r="R14" i="15"/>
  <c r="S14" i="15"/>
  <c r="T14" i="15"/>
  <c r="U14" i="15"/>
  <c r="V14" i="15"/>
  <c r="W14" i="15"/>
  <c r="X14" i="15"/>
  <c r="Y14" i="15"/>
  <c r="Z14" i="15"/>
  <c r="AA14" i="15"/>
  <c r="AB14" i="15"/>
  <c r="AC14" i="15"/>
  <c r="AD14" i="15"/>
  <c r="AE14" i="15"/>
  <c r="AG14" i="15"/>
  <c r="K15" i="15"/>
  <c r="L15" i="15"/>
  <c r="M15" i="15"/>
  <c r="N15" i="15"/>
  <c r="O15" i="15"/>
  <c r="P15" i="15"/>
  <c r="Q15" i="15"/>
  <c r="R15" i="15"/>
  <c r="S15" i="15"/>
  <c r="T15" i="15"/>
  <c r="U15" i="15"/>
  <c r="V15" i="15"/>
  <c r="W15" i="15"/>
  <c r="X15" i="15"/>
  <c r="Y15" i="15"/>
  <c r="Z15" i="15"/>
  <c r="AA15" i="15"/>
  <c r="AB15" i="15"/>
  <c r="AC15" i="15"/>
  <c r="AD15" i="15"/>
  <c r="AE15" i="15"/>
  <c r="AF15" i="15"/>
  <c r="K16" i="15"/>
  <c r="L16" i="15"/>
  <c r="M16" i="15"/>
  <c r="N16" i="15"/>
  <c r="O16" i="15"/>
  <c r="P16" i="15"/>
  <c r="Q16" i="15"/>
  <c r="R16" i="15"/>
  <c r="S16" i="15"/>
  <c r="T16" i="15"/>
  <c r="U16" i="15"/>
  <c r="V16" i="15"/>
  <c r="W16" i="15"/>
  <c r="X16" i="15"/>
  <c r="Y16" i="15"/>
  <c r="Z16" i="15"/>
  <c r="AA16" i="15"/>
  <c r="AB16" i="15"/>
  <c r="AC16" i="15"/>
  <c r="AD16" i="15"/>
  <c r="AE16" i="15"/>
  <c r="AF16" i="15"/>
  <c r="AG16" i="15"/>
  <c r="K17" i="15"/>
  <c r="L17" i="15"/>
  <c r="M17" i="15"/>
  <c r="N17" i="15"/>
  <c r="O17" i="15"/>
  <c r="P17" i="15"/>
  <c r="Q17" i="15"/>
  <c r="R17" i="15"/>
  <c r="S17" i="15"/>
  <c r="T17" i="15"/>
  <c r="U17" i="15"/>
  <c r="V17" i="15"/>
  <c r="W17" i="15"/>
  <c r="X17" i="15"/>
  <c r="Y17" i="15"/>
  <c r="Z17" i="15"/>
  <c r="AA17" i="15"/>
  <c r="AB17" i="15"/>
  <c r="AC17" i="15"/>
  <c r="AD17" i="15"/>
  <c r="AE17" i="15"/>
  <c r="AF17" i="15"/>
  <c r="AG17" i="15"/>
  <c r="K18" i="15"/>
  <c r="L18" i="15"/>
  <c r="M18" i="15"/>
  <c r="N18" i="15"/>
  <c r="O18" i="15"/>
  <c r="P18" i="15"/>
  <c r="Q18" i="15"/>
  <c r="R18" i="15"/>
  <c r="S18" i="15"/>
  <c r="T18" i="15"/>
  <c r="U18" i="15"/>
  <c r="V18" i="15"/>
  <c r="W18" i="15"/>
  <c r="X18" i="15"/>
  <c r="Y18" i="15"/>
  <c r="Z18" i="15"/>
  <c r="AA18" i="15"/>
  <c r="AB18" i="15"/>
  <c r="AC18" i="15"/>
  <c r="AD18" i="15"/>
  <c r="AE18" i="15"/>
  <c r="AF18" i="15"/>
  <c r="AG18" i="15"/>
  <c r="K19" i="15"/>
  <c r="L19" i="15"/>
  <c r="N19" i="15"/>
  <c r="O19" i="15"/>
  <c r="P19" i="15"/>
  <c r="Q19" i="15"/>
  <c r="R19" i="15"/>
  <c r="S19" i="15"/>
  <c r="T19" i="15"/>
  <c r="U19" i="15"/>
  <c r="V19" i="15"/>
  <c r="W19" i="15"/>
  <c r="X19" i="15"/>
  <c r="Y19" i="15"/>
  <c r="Z19" i="15"/>
  <c r="AA19" i="15"/>
  <c r="AB19" i="15"/>
  <c r="AC19" i="15"/>
  <c r="AD19" i="15"/>
  <c r="AE19" i="15"/>
  <c r="AF19" i="15"/>
  <c r="AG19" i="15"/>
  <c r="K20" i="15"/>
  <c r="L20" i="15"/>
  <c r="M20" i="15"/>
  <c r="N20" i="15"/>
  <c r="O20" i="15"/>
  <c r="P20" i="15"/>
  <c r="Q20" i="15"/>
  <c r="R20" i="15"/>
  <c r="S20" i="15"/>
  <c r="T20" i="15"/>
  <c r="U20" i="15"/>
  <c r="V20" i="15"/>
  <c r="W20" i="15"/>
  <c r="X20" i="15"/>
  <c r="Y20" i="15"/>
  <c r="Z20" i="15"/>
  <c r="AA20" i="15"/>
  <c r="AB20" i="15"/>
  <c r="AC20" i="15"/>
  <c r="AD20" i="15"/>
  <c r="AF20" i="15"/>
  <c r="AG20" i="15"/>
  <c r="K21" i="15"/>
  <c r="L21" i="15"/>
  <c r="M21" i="15"/>
  <c r="N21" i="15"/>
  <c r="O21" i="15"/>
  <c r="P21" i="15"/>
  <c r="Q21" i="15"/>
  <c r="R21" i="15"/>
  <c r="S21" i="15"/>
  <c r="T21" i="15"/>
  <c r="U21" i="15"/>
  <c r="V21" i="15"/>
  <c r="W21" i="15"/>
  <c r="X21" i="15"/>
  <c r="Y21" i="15"/>
  <c r="Z21" i="15"/>
  <c r="AA21" i="15"/>
  <c r="AB21" i="15"/>
  <c r="AC21" i="15"/>
  <c r="AD21" i="15"/>
  <c r="AE21" i="15"/>
  <c r="AF21" i="15"/>
  <c r="AG21" i="15"/>
  <c r="K22" i="15"/>
  <c r="L22" i="15"/>
  <c r="M22" i="15"/>
  <c r="N22" i="15"/>
  <c r="O22" i="15"/>
  <c r="P22" i="15"/>
  <c r="Q22" i="15"/>
  <c r="R22" i="15"/>
  <c r="S22" i="15"/>
  <c r="T22" i="15"/>
  <c r="U22" i="15"/>
  <c r="V22" i="15"/>
  <c r="W22" i="15"/>
  <c r="X22" i="15"/>
  <c r="Y22" i="15"/>
  <c r="Z22" i="15"/>
  <c r="AA22" i="15"/>
  <c r="AB22" i="15"/>
  <c r="AC22" i="15"/>
  <c r="AD22" i="15"/>
  <c r="AE22" i="15"/>
  <c r="AF22" i="15"/>
  <c r="AG22" i="15"/>
  <c r="K23" i="15"/>
  <c r="L23" i="15"/>
  <c r="M23" i="15"/>
  <c r="N23" i="15"/>
  <c r="O23" i="15"/>
  <c r="P23" i="15"/>
  <c r="Q23" i="15"/>
  <c r="R23" i="15"/>
  <c r="S23" i="15"/>
  <c r="T23" i="15"/>
  <c r="U23" i="15"/>
  <c r="V23" i="15"/>
  <c r="W23" i="15"/>
  <c r="X23" i="15"/>
  <c r="Y23" i="15"/>
  <c r="Z23" i="15"/>
  <c r="AA23" i="15"/>
  <c r="AB23" i="15"/>
  <c r="AC23" i="15"/>
  <c r="AD23" i="15"/>
  <c r="AF23" i="15"/>
  <c r="AG23" i="15"/>
  <c r="K24" i="15"/>
  <c r="L24" i="15"/>
  <c r="M24" i="15"/>
  <c r="N24" i="15"/>
  <c r="O24" i="15"/>
  <c r="P24" i="15"/>
  <c r="Q24" i="15"/>
  <c r="R24" i="15"/>
  <c r="S24" i="15"/>
  <c r="T24" i="15"/>
  <c r="U24" i="15"/>
  <c r="V24" i="15"/>
  <c r="W24" i="15"/>
  <c r="X24" i="15"/>
  <c r="Y24" i="15"/>
  <c r="Z24" i="15"/>
  <c r="AA24" i="15"/>
  <c r="AB24" i="15"/>
  <c r="AC24" i="15"/>
  <c r="AD24" i="15"/>
  <c r="AE24" i="15"/>
  <c r="AF24" i="15"/>
  <c r="AG24" i="15"/>
  <c r="T25" i="15"/>
  <c r="U25" i="15"/>
  <c r="V25" i="15"/>
  <c r="W25" i="15"/>
  <c r="X25" i="15"/>
  <c r="Y25" i="15"/>
  <c r="Z25" i="15"/>
  <c r="AA25" i="15"/>
  <c r="AB25" i="15"/>
  <c r="AC25" i="15"/>
  <c r="AD25" i="15"/>
  <c r="AE25" i="15"/>
  <c r="AF25" i="15"/>
  <c r="AG25" i="15"/>
  <c r="T26" i="15"/>
  <c r="U26" i="15"/>
  <c r="V26" i="15"/>
  <c r="W26" i="15"/>
  <c r="X26" i="15"/>
  <c r="Y26" i="15"/>
  <c r="Z26" i="15"/>
  <c r="AA26" i="15"/>
  <c r="AB26" i="15"/>
  <c r="AC26" i="15"/>
  <c r="AD26" i="15"/>
  <c r="AE26" i="15"/>
  <c r="AF26" i="15"/>
  <c r="AG26" i="15"/>
  <c r="J10" i="15"/>
  <c r="J11" i="15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9" i="15"/>
  <c r="BP15" i="16" l="1"/>
  <c r="AW15" i="16"/>
  <c r="M26" i="15"/>
  <c r="J26" i="15"/>
  <c r="L26" i="15"/>
  <c r="Q26" i="15"/>
  <c r="O26" i="15"/>
  <c r="K26" i="15"/>
  <c r="N26" i="15"/>
  <c r="BP25" i="16"/>
  <c r="AW26" i="16"/>
  <c r="BP26" i="16" s="1"/>
  <c r="BP23" i="16"/>
  <c r="BP22" i="16"/>
  <c r="BP21" i="16"/>
  <c r="BP20" i="16"/>
  <c r="R26" i="15"/>
  <c r="S26" i="15"/>
  <c r="P26" i="15"/>
  <c r="AW18" i="17"/>
  <c r="BP18" i="17" s="1"/>
  <c r="BB21" i="8"/>
  <c r="BP24" i="16"/>
  <c r="AZ9" i="17"/>
  <c r="BS9" i="17" s="1"/>
  <c r="BI19" i="10"/>
  <c r="B10" i="16"/>
  <c r="B11" i="16"/>
  <c r="B12" i="16"/>
  <c r="B13" i="16"/>
  <c r="B14" i="16"/>
  <c r="B15" i="16"/>
  <c r="B16" i="16"/>
  <c r="B26" i="16"/>
  <c r="B27" i="16"/>
  <c r="B28" i="16"/>
  <c r="B29" i="16"/>
  <c r="B30" i="16"/>
  <c r="B31" i="16"/>
  <c r="B32" i="16"/>
  <c r="B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9" i="16"/>
  <c r="B10" i="15"/>
  <c r="B11" i="15"/>
  <c r="B12" i="15"/>
  <c r="B13" i="15"/>
  <c r="B14" i="15"/>
  <c r="B15" i="15"/>
  <c r="B26" i="15"/>
  <c r="B9" i="15"/>
  <c r="A10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9" i="15"/>
  <c r="B10" i="10"/>
  <c r="B11" i="10"/>
  <c r="B12" i="10"/>
  <c r="B13" i="10"/>
  <c r="B14" i="10"/>
  <c r="B15" i="10"/>
  <c r="B16" i="10"/>
  <c r="B26" i="10"/>
  <c r="B27" i="10"/>
  <c r="B28" i="10"/>
  <c r="B29" i="10"/>
  <c r="B30" i="10"/>
  <c r="B31" i="10"/>
  <c r="B9" i="10"/>
  <c r="A10" i="10"/>
  <c r="A11" i="10"/>
  <c r="A12" i="10"/>
  <c r="A13" i="10"/>
  <c r="A14" i="10"/>
  <c r="A15" i="10"/>
  <c r="A16" i="10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9" i="10"/>
  <c r="B10" i="9"/>
  <c r="B11" i="9"/>
  <c r="B12" i="9"/>
  <c r="B13" i="9"/>
  <c r="B14" i="9"/>
  <c r="B15" i="9"/>
  <c r="B16" i="9"/>
  <c r="B26" i="9"/>
  <c r="B27" i="9"/>
  <c r="B28" i="9"/>
  <c r="B29" i="9"/>
  <c r="B30" i="9"/>
  <c r="B31" i="9"/>
  <c r="B32" i="9"/>
  <c r="B9" i="9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9" i="9"/>
  <c r="B10" i="8"/>
  <c r="B11" i="8"/>
  <c r="B12" i="8"/>
  <c r="B13" i="8"/>
  <c r="B14" i="8"/>
  <c r="B15" i="8"/>
  <c r="B16" i="8"/>
  <c r="B26" i="8"/>
  <c r="B27" i="8"/>
  <c r="B28" i="8"/>
  <c r="B29" i="8"/>
  <c r="B30" i="8"/>
  <c r="B31" i="8"/>
  <c r="B32" i="8"/>
  <c r="B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9" i="8"/>
  <c r="B10" i="7"/>
  <c r="B11" i="7"/>
  <c r="B12" i="7"/>
  <c r="B13" i="7"/>
  <c r="B14" i="7"/>
  <c r="B15" i="7"/>
  <c r="B16" i="7"/>
  <c r="B26" i="7"/>
  <c r="B27" i="7"/>
  <c r="B28" i="7"/>
  <c r="B29" i="7"/>
  <c r="B30" i="7"/>
  <c r="B31" i="7"/>
  <c r="B32" i="7"/>
  <c r="B9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9" i="7"/>
  <c r="B10" i="6"/>
  <c r="B11" i="6"/>
  <c r="B12" i="6"/>
  <c r="B13" i="6"/>
  <c r="B14" i="6"/>
  <c r="B15" i="6"/>
  <c r="B16" i="6"/>
  <c r="B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9" i="6"/>
  <c r="B10" i="5"/>
  <c r="B11" i="5"/>
  <c r="B12" i="5"/>
  <c r="B13" i="5"/>
  <c r="B14" i="5"/>
  <c r="B15" i="5"/>
  <c r="B16" i="5"/>
  <c r="B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9" i="5"/>
  <c r="B10" i="4"/>
  <c r="B11" i="4"/>
  <c r="B12" i="4"/>
  <c r="B13" i="4"/>
  <c r="B14" i="4"/>
  <c r="B15" i="4"/>
  <c r="B16" i="4"/>
  <c r="B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9" i="4"/>
  <c r="BB21" i="16" l="1"/>
  <c r="BB111" i="16"/>
  <c r="BB81" i="16"/>
  <c r="BB22" i="8"/>
  <c r="B17" i="10"/>
  <c r="B17" i="5"/>
  <c r="B17" i="6"/>
  <c r="B17" i="7"/>
  <c r="B17" i="8"/>
  <c r="B17" i="9"/>
  <c r="B17" i="15"/>
  <c r="B79" i="15" s="1"/>
  <c r="B17" i="16"/>
  <c r="B107" i="16" s="1"/>
  <c r="B17" i="4"/>
  <c r="B17" i="17"/>
  <c r="A61" i="16"/>
  <c r="A120" i="16"/>
  <c r="A90" i="16"/>
  <c r="A57" i="16"/>
  <c r="A116" i="16"/>
  <c r="A86" i="16"/>
  <c r="A53" i="16"/>
  <c r="A82" i="16"/>
  <c r="A112" i="16"/>
  <c r="A49" i="16"/>
  <c r="A78" i="16"/>
  <c r="A108" i="16"/>
  <c r="A45" i="16"/>
  <c r="A74" i="16"/>
  <c r="A104" i="16"/>
  <c r="A41" i="16"/>
  <c r="A70" i="16"/>
  <c r="A100" i="16"/>
  <c r="B61" i="16"/>
  <c r="B90" i="16"/>
  <c r="B120" i="16"/>
  <c r="B57" i="16"/>
  <c r="B86" i="16"/>
  <c r="B116" i="16"/>
  <c r="B45" i="16"/>
  <c r="B104" i="16"/>
  <c r="B74" i="16"/>
  <c r="B41" i="16"/>
  <c r="B100" i="16"/>
  <c r="B70" i="16"/>
  <c r="A40" i="16"/>
  <c r="A99" i="16"/>
  <c r="A69" i="16"/>
  <c r="A60" i="16"/>
  <c r="A119" i="16"/>
  <c r="A89" i="16"/>
  <c r="A56" i="16"/>
  <c r="A115" i="16"/>
  <c r="A85" i="16"/>
  <c r="A52" i="16"/>
  <c r="A111" i="16"/>
  <c r="A81" i="16"/>
  <c r="A48" i="16"/>
  <c r="A107" i="16"/>
  <c r="A77" i="16"/>
  <c r="A44" i="16"/>
  <c r="A103" i="16"/>
  <c r="A73" i="16"/>
  <c r="B40" i="16"/>
  <c r="B99" i="16"/>
  <c r="B69" i="16"/>
  <c r="B60" i="16"/>
  <c r="B119" i="16"/>
  <c r="B89" i="16"/>
  <c r="B44" i="16"/>
  <c r="B103" i="16"/>
  <c r="B73" i="16"/>
  <c r="A63" i="16"/>
  <c r="A122" i="16"/>
  <c r="A92" i="16"/>
  <c r="A59" i="16"/>
  <c r="A118" i="16"/>
  <c r="A88" i="16"/>
  <c r="A55" i="16"/>
  <c r="A114" i="16"/>
  <c r="A84" i="16"/>
  <c r="A51" i="16"/>
  <c r="A110" i="16"/>
  <c r="A80" i="16"/>
  <c r="A47" i="16"/>
  <c r="A106" i="16"/>
  <c r="A76" i="16"/>
  <c r="A43" i="16"/>
  <c r="A102" i="16"/>
  <c r="A72" i="16"/>
  <c r="B63" i="16"/>
  <c r="B122" i="16"/>
  <c r="B92" i="16"/>
  <c r="B59" i="16"/>
  <c r="B118" i="16"/>
  <c r="B88" i="16"/>
  <c r="B47" i="16"/>
  <c r="B76" i="16"/>
  <c r="B106" i="16"/>
  <c r="B43" i="16"/>
  <c r="B72" i="16"/>
  <c r="B102" i="16"/>
  <c r="A62" i="16"/>
  <c r="A91" i="16"/>
  <c r="A121" i="16"/>
  <c r="A58" i="16"/>
  <c r="A87" i="16"/>
  <c r="A117" i="16"/>
  <c r="A50" i="16"/>
  <c r="A109" i="16"/>
  <c r="A79" i="16"/>
  <c r="A46" i="16"/>
  <c r="A105" i="16"/>
  <c r="A75" i="16"/>
  <c r="A42" i="16"/>
  <c r="A101" i="16"/>
  <c r="A71" i="16"/>
  <c r="B62" i="16"/>
  <c r="B121" i="16"/>
  <c r="B91" i="16"/>
  <c r="B58" i="16"/>
  <c r="B117" i="16"/>
  <c r="B87" i="16"/>
  <c r="B46" i="16"/>
  <c r="B105" i="16"/>
  <c r="B75" i="16"/>
  <c r="B42" i="16"/>
  <c r="B101" i="16"/>
  <c r="B71" i="16"/>
  <c r="A63" i="15"/>
  <c r="A93" i="15"/>
  <c r="A124" i="15"/>
  <c r="A59" i="15"/>
  <c r="A89" i="15"/>
  <c r="A120" i="15"/>
  <c r="A51" i="15"/>
  <c r="A112" i="15"/>
  <c r="A81" i="15"/>
  <c r="A47" i="15"/>
  <c r="A77" i="15"/>
  <c r="A108" i="15"/>
  <c r="A43" i="15"/>
  <c r="A104" i="15"/>
  <c r="A73" i="15"/>
  <c r="B62" i="15"/>
  <c r="B92" i="15"/>
  <c r="B123" i="15"/>
  <c r="B58" i="15"/>
  <c r="B88" i="15"/>
  <c r="B119" i="15"/>
  <c r="B46" i="15"/>
  <c r="B107" i="15"/>
  <c r="B76" i="15"/>
  <c r="B42" i="15"/>
  <c r="B72" i="15"/>
  <c r="B103" i="15"/>
  <c r="A62" i="15"/>
  <c r="A92" i="15"/>
  <c r="A123" i="15"/>
  <c r="A58" i="15"/>
  <c r="A88" i="15"/>
  <c r="A119" i="15"/>
  <c r="A54" i="15"/>
  <c r="A84" i="15"/>
  <c r="A115" i="15"/>
  <c r="A50" i="15"/>
  <c r="A80" i="15"/>
  <c r="A111" i="15"/>
  <c r="A46" i="15"/>
  <c r="A76" i="15"/>
  <c r="A107" i="15"/>
  <c r="A42" i="15"/>
  <c r="A72" i="15"/>
  <c r="A103" i="15"/>
  <c r="B61" i="15"/>
  <c r="B122" i="15"/>
  <c r="B91" i="15"/>
  <c r="B49" i="15"/>
  <c r="B45" i="15"/>
  <c r="B75" i="15"/>
  <c r="B106" i="15"/>
  <c r="A61" i="15"/>
  <c r="A122" i="15"/>
  <c r="A91" i="15"/>
  <c r="A57" i="15"/>
  <c r="A118" i="15"/>
  <c r="A87" i="15"/>
  <c r="A53" i="15"/>
  <c r="A83" i="15"/>
  <c r="A114" i="15"/>
  <c r="A49" i="15"/>
  <c r="A79" i="15"/>
  <c r="A110" i="15"/>
  <c r="A45" i="15"/>
  <c r="A75" i="15"/>
  <c r="A106" i="15"/>
  <c r="B41" i="15"/>
  <c r="B71" i="15"/>
  <c r="B102" i="15"/>
  <c r="B60" i="15"/>
  <c r="B121" i="15"/>
  <c r="B90" i="15"/>
  <c r="B48" i="15"/>
  <c r="B78" i="15"/>
  <c r="B109" i="15"/>
  <c r="B44" i="15"/>
  <c r="B74" i="15"/>
  <c r="B105" i="15"/>
  <c r="A41" i="15"/>
  <c r="A71" i="15"/>
  <c r="A102" i="15"/>
  <c r="A60" i="15"/>
  <c r="A121" i="15"/>
  <c r="A90" i="15"/>
  <c r="A56" i="15"/>
  <c r="A117" i="15"/>
  <c r="A86" i="15"/>
  <c r="A52" i="15"/>
  <c r="A113" i="15"/>
  <c r="A82" i="15"/>
  <c r="A48" i="15"/>
  <c r="A109" i="15"/>
  <c r="A78" i="15"/>
  <c r="A44" i="15"/>
  <c r="A105" i="15"/>
  <c r="A74" i="15"/>
  <c r="B63" i="15"/>
  <c r="B93" i="15"/>
  <c r="B124" i="15"/>
  <c r="B59" i="15"/>
  <c r="B89" i="15"/>
  <c r="B120" i="15"/>
  <c r="B47" i="15"/>
  <c r="B108" i="15"/>
  <c r="B77" i="15"/>
  <c r="B43" i="15"/>
  <c r="B104" i="15"/>
  <c r="B73" i="15"/>
  <c r="A55" i="15"/>
  <c r="A116" i="15"/>
  <c r="A85" i="15"/>
  <c r="A54" i="16"/>
  <c r="A83" i="16"/>
  <c r="A113" i="16"/>
  <c r="C10" i="15"/>
  <c r="C11" i="15"/>
  <c r="C12" i="15"/>
  <c r="C13" i="15"/>
  <c r="C14" i="15"/>
  <c r="C15" i="15"/>
  <c r="C16" i="15"/>
  <c r="C17" i="15"/>
  <c r="C18" i="15"/>
  <c r="C19" i="15"/>
  <c r="C20" i="15"/>
  <c r="C21" i="15"/>
  <c r="C22" i="15"/>
  <c r="C23" i="15"/>
  <c r="C24" i="15"/>
  <c r="C25" i="15"/>
  <c r="C26" i="15"/>
  <c r="C58" i="15" s="1"/>
  <c r="C90" i="15" s="1"/>
  <c r="C122" i="15" s="1"/>
  <c r="C59" i="15"/>
  <c r="C91" i="15" s="1"/>
  <c r="C123" i="15" s="1"/>
  <c r="C60" i="15"/>
  <c r="C92" i="15" s="1"/>
  <c r="C124" i="15" s="1"/>
  <c r="C61" i="15"/>
  <c r="C93" i="15" s="1"/>
  <c r="C125" i="15" s="1"/>
  <c r="C62" i="15"/>
  <c r="C94" i="15" s="1"/>
  <c r="C126" i="15" s="1"/>
  <c r="C63" i="15"/>
  <c r="C95" i="15" s="1"/>
  <c r="C9" i="15"/>
  <c r="E9" i="15"/>
  <c r="F9" i="15"/>
  <c r="G9" i="15"/>
  <c r="H9" i="15"/>
  <c r="I9" i="15"/>
  <c r="E10" i="15"/>
  <c r="F10" i="15"/>
  <c r="G10" i="15"/>
  <c r="H10" i="15"/>
  <c r="I10" i="15"/>
  <c r="E11" i="15"/>
  <c r="F11" i="15"/>
  <c r="G11" i="15"/>
  <c r="H11" i="15"/>
  <c r="I11" i="15"/>
  <c r="E12" i="15"/>
  <c r="F12" i="15"/>
  <c r="G12" i="15"/>
  <c r="H12" i="15"/>
  <c r="I12" i="15"/>
  <c r="E13" i="15"/>
  <c r="F13" i="15"/>
  <c r="G13" i="15"/>
  <c r="H13" i="15"/>
  <c r="I13" i="15"/>
  <c r="E14" i="15"/>
  <c r="F14" i="15"/>
  <c r="G14" i="15"/>
  <c r="H14" i="15"/>
  <c r="I14" i="15"/>
  <c r="E15" i="15"/>
  <c r="F15" i="15"/>
  <c r="G15" i="15"/>
  <c r="H15" i="15"/>
  <c r="I15" i="15"/>
  <c r="E16" i="15"/>
  <c r="F16" i="15"/>
  <c r="G16" i="15"/>
  <c r="H16" i="15"/>
  <c r="I16" i="15"/>
  <c r="E17" i="15"/>
  <c r="F17" i="15"/>
  <c r="G17" i="15"/>
  <c r="H17" i="15"/>
  <c r="I17" i="15"/>
  <c r="E18" i="15"/>
  <c r="F18" i="15"/>
  <c r="G18" i="15"/>
  <c r="H18" i="15"/>
  <c r="I18" i="15"/>
  <c r="E19" i="15"/>
  <c r="F19" i="15"/>
  <c r="G19" i="15"/>
  <c r="H19" i="15"/>
  <c r="I19" i="15"/>
  <c r="E20" i="15"/>
  <c r="F20" i="15"/>
  <c r="G20" i="15"/>
  <c r="H20" i="15"/>
  <c r="I20" i="15"/>
  <c r="E21" i="15"/>
  <c r="F21" i="15"/>
  <c r="G21" i="15"/>
  <c r="H21" i="15"/>
  <c r="I21" i="15"/>
  <c r="E22" i="15"/>
  <c r="F22" i="15"/>
  <c r="G22" i="15"/>
  <c r="H22" i="15"/>
  <c r="I22" i="15"/>
  <c r="E23" i="15"/>
  <c r="F23" i="15"/>
  <c r="G23" i="15"/>
  <c r="H23" i="15"/>
  <c r="I23" i="15"/>
  <c r="E24" i="15"/>
  <c r="F24" i="15"/>
  <c r="G24" i="15"/>
  <c r="H24" i="15"/>
  <c r="I24" i="15"/>
  <c r="E25" i="15"/>
  <c r="F25" i="15"/>
  <c r="G25" i="15"/>
  <c r="H25" i="15"/>
  <c r="I25" i="15"/>
  <c r="D10" i="15"/>
  <c r="D11" i="15"/>
  <c r="D12" i="15"/>
  <c r="D13" i="15"/>
  <c r="D14" i="15"/>
  <c r="D15" i="15"/>
  <c r="D16" i="15"/>
  <c r="D17" i="15"/>
  <c r="D18" i="15"/>
  <c r="D19" i="15"/>
  <c r="D20" i="15"/>
  <c r="D21" i="15"/>
  <c r="D22" i="15"/>
  <c r="D23" i="15"/>
  <c r="D24" i="15"/>
  <c r="D25" i="15"/>
  <c r="D9" i="15"/>
  <c r="AF16" i="8"/>
  <c r="AF17" i="8"/>
  <c r="AF19" i="8"/>
  <c r="AF15" i="8"/>
  <c r="AF14" i="8"/>
  <c r="AF14" i="7"/>
  <c r="AF14" i="6"/>
  <c r="AH15" i="5"/>
  <c r="AF14" i="5"/>
  <c r="AF14" i="4"/>
  <c r="C41" i="15" l="1"/>
  <c r="C73" i="15" s="1"/>
  <c r="C105" i="15" s="1"/>
  <c r="AY9" i="15"/>
  <c r="AX9" i="15"/>
  <c r="AR9" i="15"/>
  <c r="AU9" i="15"/>
  <c r="AT9" i="15"/>
  <c r="AW9" i="15"/>
  <c r="AQ9" i="15"/>
  <c r="AS9" i="15"/>
  <c r="AV9" i="15"/>
  <c r="C56" i="15"/>
  <c r="C88" i="15" s="1"/>
  <c r="C120" i="15" s="1"/>
  <c r="AP24" i="15"/>
  <c r="AR24" i="15"/>
  <c r="AT24" i="15"/>
  <c r="AX24" i="15"/>
  <c r="AV24" i="15"/>
  <c r="AQ24" i="15"/>
  <c r="AS24" i="15"/>
  <c r="AW24" i="15"/>
  <c r="AY24" i="15"/>
  <c r="AU24" i="15"/>
  <c r="C52" i="15"/>
  <c r="C84" i="15" s="1"/>
  <c r="C116" i="15" s="1"/>
  <c r="AT20" i="15"/>
  <c r="AV20" i="15"/>
  <c r="BP20" i="15" s="1"/>
  <c r="AU20" i="15"/>
  <c r="BO20" i="15" s="1"/>
  <c r="AP20" i="15"/>
  <c r="AW20" i="15"/>
  <c r="BQ20" i="15" s="1"/>
  <c r="AR20" i="15"/>
  <c r="BL20" i="15" s="1"/>
  <c r="AQ20" i="15"/>
  <c r="BK20" i="15" s="1"/>
  <c r="AS20" i="15"/>
  <c r="AX20" i="15"/>
  <c r="BR20" i="15" s="1"/>
  <c r="AY20" i="15"/>
  <c r="C48" i="15"/>
  <c r="C80" i="15" s="1"/>
  <c r="C112" i="15" s="1"/>
  <c r="AW16" i="15"/>
  <c r="AY16" i="15"/>
  <c r="BS16" i="15" s="1"/>
  <c r="AS16" i="15"/>
  <c r="BM16" i="15" s="1"/>
  <c r="AV16" i="15"/>
  <c r="AU16" i="15"/>
  <c r="AX16" i="15"/>
  <c r="AP16" i="15"/>
  <c r="AR16" i="15"/>
  <c r="AQ16" i="15"/>
  <c r="AT16" i="15"/>
  <c r="C44" i="15"/>
  <c r="C76" i="15" s="1"/>
  <c r="C108" i="15" s="1"/>
  <c r="AY12" i="15"/>
  <c r="AV12" i="15"/>
  <c r="AU12" i="15"/>
  <c r="AX12" i="15"/>
  <c r="AW12" i="15"/>
  <c r="AR12" i="15"/>
  <c r="AQ12" i="15"/>
  <c r="AT12" i="15"/>
  <c r="AS12" i="15"/>
  <c r="C55" i="15"/>
  <c r="C87" i="15" s="1"/>
  <c r="C119" i="15" s="1"/>
  <c r="AY23" i="15"/>
  <c r="AX23" i="15"/>
  <c r="AV23" i="15"/>
  <c r="BP23" i="15" s="1"/>
  <c r="AU23" i="15"/>
  <c r="AT23" i="15"/>
  <c r="BN23" i="15" s="1"/>
  <c r="AW23" i="15"/>
  <c r="BQ23" i="15" s="1"/>
  <c r="AR23" i="15"/>
  <c r="BL23" i="15" s="1"/>
  <c r="AQ23" i="15"/>
  <c r="AP23" i="15"/>
  <c r="BJ23" i="15" s="1"/>
  <c r="AS23" i="15"/>
  <c r="BM23" i="15" s="1"/>
  <c r="C51" i="15"/>
  <c r="C83" i="15" s="1"/>
  <c r="C115" i="15" s="1"/>
  <c r="AP19" i="15"/>
  <c r="AQ19" i="15"/>
  <c r="AW19" i="15"/>
  <c r="AR19" i="15"/>
  <c r="BL19" i="15" s="1"/>
  <c r="AS19" i="15"/>
  <c r="AY19" i="15"/>
  <c r="BS19" i="15" s="1"/>
  <c r="AX19" i="15"/>
  <c r="BR19" i="15" s="1"/>
  <c r="AV19" i="15"/>
  <c r="BP19" i="15" s="1"/>
  <c r="AU19" i="15"/>
  <c r="AT19" i="15"/>
  <c r="BN19" i="15" s="1"/>
  <c r="C47" i="15"/>
  <c r="C79" i="15" s="1"/>
  <c r="C111" i="15" s="1"/>
  <c r="AQ15" i="15"/>
  <c r="AT15" i="15"/>
  <c r="AS15" i="15"/>
  <c r="AR15" i="15"/>
  <c r="AP15" i="15"/>
  <c r="AY15" i="15"/>
  <c r="AU15" i="15"/>
  <c r="AX15" i="15"/>
  <c r="AW15" i="15"/>
  <c r="AV15" i="15"/>
  <c r="C43" i="15"/>
  <c r="C75" i="15" s="1"/>
  <c r="C107" i="15" s="1"/>
  <c r="AW11" i="15"/>
  <c r="AV11" i="15"/>
  <c r="AY11" i="15"/>
  <c r="AT11" i="15"/>
  <c r="AS11" i="15"/>
  <c r="AR11" i="15"/>
  <c r="AU11" i="15"/>
  <c r="AQ11" i="15"/>
  <c r="AX11" i="15"/>
  <c r="G26" i="15"/>
  <c r="AM26" i="15" s="1"/>
  <c r="BG26" i="15" s="1"/>
  <c r="C54" i="15"/>
  <c r="C86" i="15" s="1"/>
  <c r="C118" i="15" s="1"/>
  <c r="AP22" i="15"/>
  <c r="AS22" i="15"/>
  <c r="BM22" i="15" s="1"/>
  <c r="AV22" i="15"/>
  <c r="AU22" i="15"/>
  <c r="AT22" i="15"/>
  <c r="AR22" i="15"/>
  <c r="BL22" i="15" s="1"/>
  <c r="AQ22" i="15"/>
  <c r="BK22" i="15" s="1"/>
  <c r="AW22" i="15"/>
  <c r="AY22" i="15"/>
  <c r="BS22" i="15" s="1"/>
  <c r="AX22" i="15"/>
  <c r="C50" i="15"/>
  <c r="C82" i="15" s="1"/>
  <c r="C114" i="15" s="1"/>
  <c r="AU18" i="15"/>
  <c r="AW18" i="15"/>
  <c r="BQ18" i="15" s="1"/>
  <c r="AV18" i="15"/>
  <c r="BP18" i="15" s="1"/>
  <c r="AQ18" i="15"/>
  <c r="BK18" i="15" s="1"/>
  <c r="AX18" i="15"/>
  <c r="AS18" i="15"/>
  <c r="BM18" i="15" s="1"/>
  <c r="AR18" i="15"/>
  <c r="BL18" i="15" s="1"/>
  <c r="AT18" i="15"/>
  <c r="AY18" i="15"/>
  <c r="AP18" i="15"/>
  <c r="BJ18" i="15" s="1"/>
  <c r="C46" i="15"/>
  <c r="C78" i="15" s="1"/>
  <c r="C110" i="15" s="1"/>
  <c r="AW14" i="15"/>
  <c r="AV14" i="15"/>
  <c r="AY14" i="15"/>
  <c r="AX14" i="15"/>
  <c r="AS14" i="15"/>
  <c r="AR14" i="15"/>
  <c r="AU14" i="15"/>
  <c r="AT14" i="15"/>
  <c r="AQ14" i="15"/>
  <c r="C42" i="15"/>
  <c r="C74" i="15" s="1"/>
  <c r="C106" i="15" s="1"/>
  <c r="AS10" i="15"/>
  <c r="AV10" i="15"/>
  <c r="AU10" i="15"/>
  <c r="AX10" i="15"/>
  <c r="AR10" i="15"/>
  <c r="AQ10" i="15"/>
  <c r="AT10" i="15"/>
  <c r="AW10" i="15"/>
  <c r="C57" i="15"/>
  <c r="C89" i="15" s="1"/>
  <c r="C121" i="15" s="1"/>
  <c r="AV25" i="15"/>
  <c r="BP25" i="15" s="1"/>
  <c r="AQ25" i="15"/>
  <c r="AS25" i="15"/>
  <c r="AR25" i="15"/>
  <c r="BL25" i="15" s="1"/>
  <c r="AX25" i="15"/>
  <c r="BR25" i="15" s="1"/>
  <c r="AY25" i="15"/>
  <c r="AT25" i="15"/>
  <c r="AP25" i="15"/>
  <c r="AU25" i="15"/>
  <c r="BO25" i="15" s="1"/>
  <c r="AW25" i="15"/>
  <c r="BQ25" i="15" s="1"/>
  <c r="C53" i="15"/>
  <c r="C85" i="15" s="1"/>
  <c r="C117" i="15" s="1"/>
  <c r="AP21" i="15"/>
  <c r="BJ21" i="15" s="1"/>
  <c r="AQ21" i="15"/>
  <c r="AV21" i="15"/>
  <c r="BP21" i="15" s="1"/>
  <c r="AW21" i="15"/>
  <c r="AR21" i="15"/>
  <c r="BL21" i="15" s="1"/>
  <c r="AY21" i="15"/>
  <c r="BS21" i="15" s="1"/>
  <c r="AX21" i="15"/>
  <c r="BR21" i="15" s="1"/>
  <c r="AS21" i="15"/>
  <c r="AU21" i="15"/>
  <c r="BO21" i="15" s="1"/>
  <c r="AT21" i="15"/>
  <c r="BN21" i="15" s="1"/>
  <c r="C49" i="15"/>
  <c r="C81" i="15" s="1"/>
  <c r="C113" i="15" s="1"/>
  <c r="AS17" i="15"/>
  <c r="AQ17" i="15"/>
  <c r="AX17" i="15"/>
  <c r="BR17" i="15" s="1"/>
  <c r="AV17" i="15"/>
  <c r="BP17" i="15" s="1"/>
  <c r="AY17" i="15"/>
  <c r="AT17" i="15"/>
  <c r="BN17" i="15" s="1"/>
  <c r="AW17" i="15"/>
  <c r="AR17" i="15"/>
  <c r="BL17" i="15" s="1"/>
  <c r="AP17" i="15"/>
  <c r="AU17" i="15"/>
  <c r="BO17" i="15" s="1"/>
  <c r="C45" i="15"/>
  <c r="C77" i="15" s="1"/>
  <c r="C109" i="15" s="1"/>
  <c r="AR13" i="15"/>
  <c r="AU13" i="15"/>
  <c r="AX13" i="15"/>
  <c r="AS13" i="15"/>
  <c r="AQ13" i="15"/>
  <c r="AT13" i="15"/>
  <c r="AV13" i="15"/>
  <c r="AY13" i="15"/>
  <c r="AW13" i="15"/>
  <c r="AZ14" i="5"/>
  <c r="BA14" i="5"/>
  <c r="AZ14" i="8"/>
  <c r="BA14" i="8"/>
  <c r="F26" i="15"/>
  <c r="D26" i="15"/>
  <c r="AJ26" i="15" s="1"/>
  <c r="BD26" i="15" s="1"/>
  <c r="I26" i="15"/>
  <c r="AO26" i="15" s="1"/>
  <c r="BI26" i="15" s="1"/>
  <c r="E26" i="15"/>
  <c r="AK26" i="15" s="1"/>
  <c r="BE26" i="15" s="1"/>
  <c r="AZ14" i="4"/>
  <c r="BA14" i="4"/>
  <c r="AZ14" i="7"/>
  <c r="BA14" i="7"/>
  <c r="AZ17" i="8"/>
  <c r="AZ17" i="16" s="1"/>
  <c r="AF107" i="16"/>
  <c r="AF77" i="16"/>
  <c r="BA17" i="8"/>
  <c r="AF48" i="16"/>
  <c r="AF17" i="16"/>
  <c r="AZ16" i="8"/>
  <c r="AZ16" i="16" s="1"/>
  <c r="AF76" i="16"/>
  <c r="AF106" i="16"/>
  <c r="BA16" i="8"/>
  <c r="AF47" i="16"/>
  <c r="AF16" i="16"/>
  <c r="BB23" i="8"/>
  <c r="AZ15" i="5"/>
  <c r="AH108" i="15"/>
  <c r="AH77" i="15"/>
  <c r="BA15" i="5"/>
  <c r="AH47" i="15"/>
  <c r="AH15" i="15"/>
  <c r="AZ15" i="15" s="1"/>
  <c r="AZ15" i="8"/>
  <c r="AZ15" i="16" s="1"/>
  <c r="AF105" i="16"/>
  <c r="AF75" i="16"/>
  <c r="BA15" i="8"/>
  <c r="AF46" i="16"/>
  <c r="AF15" i="16"/>
  <c r="AZ14" i="6"/>
  <c r="AZ14" i="16" s="1"/>
  <c r="AF104" i="16"/>
  <c r="AF74" i="16"/>
  <c r="BA14" i="6"/>
  <c r="AF45" i="16"/>
  <c r="AF14" i="16"/>
  <c r="AZ19" i="8"/>
  <c r="AZ19" i="16" s="1"/>
  <c r="AF109" i="16"/>
  <c r="AF79" i="16"/>
  <c r="BA19" i="8"/>
  <c r="AF50" i="16"/>
  <c r="AF19" i="16"/>
  <c r="H26" i="15"/>
  <c r="AN26" i="15" s="1"/>
  <c r="BH26" i="15" s="1"/>
  <c r="BB22" i="16"/>
  <c r="BB82" i="16"/>
  <c r="BB112" i="16"/>
  <c r="B110" i="15"/>
  <c r="B77" i="16"/>
  <c r="B48" i="16"/>
  <c r="B18" i="17"/>
  <c r="B18" i="10"/>
  <c r="B18" i="4"/>
  <c r="B18" i="16"/>
  <c r="B18" i="15"/>
  <c r="B18" i="9"/>
  <c r="B18" i="8"/>
  <c r="B18" i="7"/>
  <c r="B18" i="6"/>
  <c r="B18" i="5"/>
  <c r="AG14" i="1"/>
  <c r="AF14" i="15" s="1"/>
  <c r="AZ14" i="15" s="1"/>
  <c r="AG11" i="1"/>
  <c r="AG10" i="1"/>
  <c r="B4" i="16"/>
  <c r="AZ26" i="15"/>
  <c r="AL26" i="15"/>
  <c r="BF26" i="15" s="1"/>
  <c r="AZ25" i="15"/>
  <c r="BS25" i="15"/>
  <c r="BN25" i="15"/>
  <c r="BM25" i="15"/>
  <c r="BK25" i="15"/>
  <c r="AO25" i="15"/>
  <c r="BI25" i="15" s="1"/>
  <c r="AN25" i="15"/>
  <c r="BH25" i="15" s="1"/>
  <c r="AM25" i="15"/>
  <c r="BG25" i="15" s="1"/>
  <c r="AL25" i="15"/>
  <c r="BF25" i="15" s="1"/>
  <c r="AK25" i="15"/>
  <c r="BE25" i="15" s="1"/>
  <c r="AJ25" i="15"/>
  <c r="BD25" i="15" s="1"/>
  <c r="AZ24" i="15"/>
  <c r="AO24" i="15"/>
  <c r="BI24" i="15" s="1"/>
  <c r="AN24" i="15"/>
  <c r="BH24" i="15" s="1"/>
  <c r="AM24" i="15"/>
  <c r="BG24" i="15" s="1"/>
  <c r="AL24" i="15"/>
  <c r="BF24" i="15" s="1"/>
  <c r="AK24" i="15"/>
  <c r="BE24" i="15" s="1"/>
  <c r="AJ24" i="15"/>
  <c r="BD24" i="15" s="1"/>
  <c r="AZ23" i="15"/>
  <c r="BS23" i="15"/>
  <c r="BR23" i="15"/>
  <c r="BO23" i="15"/>
  <c r="BK23" i="15"/>
  <c r="AO23" i="15"/>
  <c r="BI23" i="15" s="1"/>
  <c r="AN23" i="15"/>
  <c r="BH23" i="15" s="1"/>
  <c r="AM23" i="15"/>
  <c r="BG23" i="15" s="1"/>
  <c r="AL23" i="15"/>
  <c r="BF23" i="15" s="1"/>
  <c r="AK23" i="15"/>
  <c r="BE23" i="15" s="1"/>
  <c r="AJ23" i="15"/>
  <c r="BD23" i="15" s="1"/>
  <c r="AZ22" i="15"/>
  <c r="BR22" i="15"/>
  <c r="BQ22" i="15"/>
  <c r="BP22" i="15"/>
  <c r="BO22" i="15"/>
  <c r="BN22" i="15"/>
  <c r="BJ22" i="15"/>
  <c r="AO22" i="15"/>
  <c r="BI22" i="15" s="1"/>
  <c r="AN22" i="15"/>
  <c r="BH22" i="15" s="1"/>
  <c r="AM22" i="15"/>
  <c r="BG22" i="15" s="1"/>
  <c r="AL22" i="15"/>
  <c r="BF22" i="15" s="1"/>
  <c r="AK22" i="15"/>
  <c r="BE22" i="15" s="1"/>
  <c r="AJ22" i="15"/>
  <c r="BD22" i="15" s="1"/>
  <c r="AZ21" i="15"/>
  <c r="BQ21" i="15"/>
  <c r="BM21" i="15"/>
  <c r="BK21" i="15"/>
  <c r="AO21" i="15"/>
  <c r="BI21" i="15" s="1"/>
  <c r="AN21" i="15"/>
  <c r="BH21" i="15" s="1"/>
  <c r="AM21" i="15"/>
  <c r="BG21" i="15" s="1"/>
  <c r="AL21" i="15"/>
  <c r="BF21" i="15" s="1"/>
  <c r="AK21" i="15"/>
  <c r="BE21" i="15" s="1"/>
  <c r="AJ21" i="15"/>
  <c r="BD21" i="15" s="1"/>
  <c r="AZ20" i="15"/>
  <c r="BS20" i="15"/>
  <c r="BN20" i="15"/>
  <c r="BM20" i="15"/>
  <c r="BJ20" i="15"/>
  <c r="AO20" i="15"/>
  <c r="BI20" i="15" s="1"/>
  <c r="AN20" i="15"/>
  <c r="BH20" i="15" s="1"/>
  <c r="AM20" i="15"/>
  <c r="BG20" i="15" s="1"/>
  <c r="AL20" i="15"/>
  <c r="BF20" i="15" s="1"/>
  <c r="AK20" i="15"/>
  <c r="BE20" i="15" s="1"/>
  <c r="AJ20" i="15"/>
  <c r="BD20" i="15" s="1"/>
  <c r="AZ19" i="15"/>
  <c r="BQ19" i="15"/>
  <c r="BO19" i="15"/>
  <c r="BM19" i="15"/>
  <c r="BK19" i="15"/>
  <c r="BJ19" i="15"/>
  <c r="AO19" i="15"/>
  <c r="BI19" i="15" s="1"/>
  <c r="AN19" i="15"/>
  <c r="BH19" i="15" s="1"/>
  <c r="AM19" i="15"/>
  <c r="BG19" i="15" s="1"/>
  <c r="AL19" i="15"/>
  <c r="BF19" i="15" s="1"/>
  <c r="AK19" i="15"/>
  <c r="BE19" i="15" s="1"/>
  <c r="AJ19" i="15"/>
  <c r="BD19" i="15" s="1"/>
  <c r="AZ18" i="15"/>
  <c r="BS18" i="15"/>
  <c r="BR18" i="15"/>
  <c r="BO18" i="15"/>
  <c r="BN18" i="15"/>
  <c r="AO18" i="15"/>
  <c r="BI18" i="15" s="1"/>
  <c r="AN18" i="15"/>
  <c r="BH18" i="15" s="1"/>
  <c r="AM18" i="15"/>
  <c r="BG18" i="15" s="1"/>
  <c r="AL18" i="15"/>
  <c r="BF18" i="15" s="1"/>
  <c r="AK18" i="15"/>
  <c r="BE18" i="15" s="1"/>
  <c r="AJ18" i="15"/>
  <c r="BD18" i="15" s="1"/>
  <c r="AZ17" i="15"/>
  <c r="BS17" i="15"/>
  <c r="BQ17" i="15"/>
  <c r="BM17" i="15"/>
  <c r="BK17" i="15"/>
  <c r="BJ17" i="15"/>
  <c r="AO17" i="15"/>
  <c r="BI17" i="15" s="1"/>
  <c r="AN17" i="15"/>
  <c r="BH17" i="15" s="1"/>
  <c r="AM17" i="15"/>
  <c r="BG17" i="15" s="1"/>
  <c r="AL17" i="15"/>
  <c r="BF17" i="15" s="1"/>
  <c r="AK17" i="15"/>
  <c r="BE17" i="15" s="1"/>
  <c r="AJ17" i="15"/>
  <c r="BD17" i="15" s="1"/>
  <c r="AZ16" i="15"/>
  <c r="BR16" i="15"/>
  <c r="BQ16" i="15"/>
  <c r="BP16" i="15"/>
  <c r="BO16" i="15"/>
  <c r="BN16" i="15"/>
  <c r="BL16" i="15"/>
  <c r="BK16" i="15"/>
  <c r="BJ16" i="15"/>
  <c r="AO16" i="15"/>
  <c r="BI16" i="15" s="1"/>
  <c r="AN16" i="15"/>
  <c r="BH16" i="15" s="1"/>
  <c r="AM16" i="15"/>
  <c r="BG16" i="15" s="1"/>
  <c r="AL16" i="15"/>
  <c r="BF16" i="15" s="1"/>
  <c r="AK16" i="15"/>
  <c r="BE16" i="15" s="1"/>
  <c r="AJ16" i="15"/>
  <c r="BD16" i="15" s="1"/>
  <c r="AO15" i="15"/>
  <c r="BI15" i="15" s="1"/>
  <c r="AN15" i="15"/>
  <c r="BH15" i="15" s="1"/>
  <c r="AM15" i="15"/>
  <c r="BG15" i="15" s="1"/>
  <c r="AL15" i="15"/>
  <c r="BF15" i="15" s="1"/>
  <c r="AK15" i="15"/>
  <c r="BE15" i="15" s="1"/>
  <c r="AJ15" i="15"/>
  <c r="BD15" i="15" s="1"/>
  <c r="AP14" i="15"/>
  <c r="AO14" i="15"/>
  <c r="BI14" i="15" s="1"/>
  <c r="AN14" i="15"/>
  <c r="BH14" i="15" s="1"/>
  <c r="AM14" i="15"/>
  <c r="BG14" i="15" s="1"/>
  <c r="AL14" i="15"/>
  <c r="BF14" i="15" s="1"/>
  <c r="AK14" i="15"/>
  <c r="BE14" i="15" s="1"/>
  <c r="AJ14" i="15"/>
  <c r="BD14" i="15" s="1"/>
  <c r="AZ13" i="15"/>
  <c r="AP13" i="15"/>
  <c r="AO13" i="15"/>
  <c r="BI13" i="15" s="1"/>
  <c r="AN13" i="15"/>
  <c r="BH13" i="15" s="1"/>
  <c r="AM13" i="15"/>
  <c r="BG13" i="15" s="1"/>
  <c r="AL13" i="15"/>
  <c r="BF13" i="15" s="1"/>
  <c r="AK13" i="15"/>
  <c r="BE13" i="15" s="1"/>
  <c r="AJ13" i="15"/>
  <c r="BD13" i="15" s="1"/>
  <c r="AZ12" i="15"/>
  <c r="AP12" i="15"/>
  <c r="AO12" i="15"/>
  <c r="BI12" i="15" s="1"/>
  <c r="AN12" i="15"/>
  <c r="BH12" i="15" s="1"/>
  <c r="AM12" i="15"/>
  <c r="BG12" i="15" s="1"/>
  <c r="AL12" i="15"/>
  <c r="BF12" i="15" s="1"/>
  <c r="AK12" i="15"/>
  <c r="BE12" i="15" s="1"/>
  <c r="AJ12" i="15"/>
  <c r="BD12" i="15" s="1"/>
  <c r="AP11" i="15"/>
  <c r="AO11" i="15"/>
  <c r="BI11" i="15" s="1"/>
  <c r="AN11" i="15"/>
  <c r="BH11" i="15" s="1"/>
  <c r="AM11" i="15"/>
  <c r="BG11" i="15" s="1"/>
  <c r="AL11" i="15"/>
  <c r="BF11" i="15" s="1"/>
  <c r="AK11" i="15"/>
  <c r="BE11" i="15" s="1"/>
  <c r="AJ11" i="15"/>
  <c r="BD11" i="15" s="1"/>
  <c r="AY10" i="15"/>
  <c r="AP10" i="15"/>
  <c r="AO10" i="15"/>
  <c r="BI10" i="15" s="1"/>
  <c r="AN10" i="15"/>
  <c r="BH10" i="15" s="1"/>
  <c r="AM10" i="15"/>
  <c r="BG10" i="15" s="1"/>
  <c r="AL10" i="15"/>
  <c r="BF10" i="15" s="1"/>
  <c r="AK10" i="15"/>
  <c r="BE10" i="15" s="1"/>
  <c r="AJ10" i="15"/>
  <c r="BD10" i="15" s="1"/>
  <c r="AZ9" i="15"/>
  <c r="AP9" i="15"/>
  <c r="AO9" i="15"/>
  <c r="BI9" i="15" s="1"/>
  <c r="AN9" i="15"/>
  <c r="BH9" i="15" s="1"/>
  <c r="AM9" i="15"/>
  <c r="BG9" i="15" s="1"/>
  <c r="AL9" i="15"/>
  <c r="BF9" i="15" s="1"/>
  <c r="AK9" i="15"/>
  <c r="BE9" i="15" s="1"/>
  <c r="AJ9" i="15"/>
  <c r="BD9" i="15" s="1"/>
  <c r="B4" i="15"/>
  <c r="AZ32" i="10"/>
  <c r="BS32" i="10" s="1"/>
  <c r="BR32" i="10"/>
  <c r="BQ32" i="10"/>
  <c r="BP32" i="10"/>
  <c r="BO32" i="10"/>
  <c r="BN32" i="10"/>
  <c r="BM32" i="10"/>
  <c r="BL32" i="10"/>
  <c r="BK32" i="10"/>
  <c r="BJ32" i="10"/>
  <c r="BI32" i="10"/>
  <c r="AO32" i="10"/>
  <c r="BH32" i="10" s="1"/>
  <c r="AN32" i="10"/>
  <c r="BG32" i="10" s="1"/>
  <c r="AM32" i="10"/>
  <c r="BF32" i="10" s="1"/>
  <c r="AL32" i="10"/>
  <c r="BE32" i="10" s="1"/>
  <c r="AK32" i="10"/>
  <c r="BD32" i="10" s="1"/>
  <c r="AJ32" i="10"/>
  <c r="BC32" i="10" s="1"/>
  <c r="BU31" i="10"/>
  <c r="BT31" i="10"/>
  <c r="AZ31" i="10"/>
  <c r="BS31" i="10" s="1"/>
  <c r="BR31" i="10"/>
  <c r="BQ31" i="10"/>
  <c r="BP31" i="10"/>
  <c r="BO31" i="10"/>
  <c r="BN31" i="10"/>
  <c r="BM31" i="10"/>
  <c r="BL31" i="10"/>
  <c r="BK31" i="10"/>
  <c r="BJ31" i="10"/>
  <c r="BI31" i="10"/>
  <c r="AO31" i="10"/>
  <c r="BH31" i="10" s="1"/>
  <c r="AN31" i="10"/>
  <c r="BG31" i="10" s="1"/>
  <c r="AM31" i="10"/>
  <c r="BF31" i="10" s="1"/>
  <c r="AL31" i="10"/>
  <c r="BE31" i="10" s="1"/>
  <c r="AK31" i="10"/>
  <c r="BD31" i="10" s="1"/>
  <c r="AJ31" i="10"/>
  <c r="BC31" i="10" s="1"/>
  <c r="BU30" i="10"/>
  <c r="BT30" i="10"/>
  <c r="AZ30" i="10"/>
  <c r="BS30" i="10" s="1"/>
  <c r="BR30" i="10"/>
  <c r="BQ30" i="10"/>
  <c r="BP30" i="10"/>
  <c r="BO30" i="10"/>
  <c r="BN30" i="10"/>
  <c r="BM30" i="10"/>
  <c r="BL30" i="10"/>
  <c r="BK30" i="10"/>
  <c r="BJ30" i="10"/>
  <c r="BI30" i="10"/>
  <c r="AO30" i="10"/>
  <c r="BH30" i="10" s="1"/>
  <c r="AN30" i="10"/>
  <c r="BG30" i="10" s="1"/>
  <c r="AM30" i="10"/>
  <c r="BF30" i="10" s="1"/>
  <c r="AL30" i="10"/>
  <c r="BE30" i="10" s="1"/>
  <c r="AK30" i="10"/>
  <c r="BD30" i="10" s="1"/>
  <c r="AJ30" i="10"/>
  <c r="BC30" i="10" s="1"/>
  <c r="BU29" i="10"/>
  <c r="BT29" i="10"/>
  <c r="AZ29" i="10"/>
  <c r="BS29" i="10" s="1"/>
  <c r="BR29" i="10"/>
  <c r="BQ29" i="10"/>
  <c r="BP29" i="10"/>
  <c r="BO29" i="10"/>
  <c r="BN29" i="10"/>
  <c r="BM29" i="10"/>
  <c r="BL29" i="10"/>
  <c r="BK29" i="10"/>
  <c r="BJ29" i="10"/>
  <c r="BI29" i="10"/>
  <c r="AO29" i="10"/>
  <c r="BH29" i="10" s="1"/>
  <c r="AN29" i="10"/>
  <c r="BG29" i="10" s="1"/>
  <c r="AM29" i="10"/>
  <c r="BF29" i="10" s="1"/>
  <c r="AL29" i="10"/>
  <c r="BE29" i="10" s="1"/>
  <c r="AK29" i="10"/>
  <c r="BD29" i="10" s="1"/>
  <c r="AJ29" i="10"/>
  <c r="BC29" i="10" s="1"/>
  <c r="BU28" i="10"/>
  <c r="BT28" i="10"/>
  <c r="AZ28" i="10"/>
  <c r="BS28" i="10" s="1"/>
  <c r="BR28" i="10"/>
  <c r="BQ28" i="10"/>
  <c r="BP28" i="10"/>
  <c r="BO28" i="10"/>
  <c r="BN28" i="10"/>
  <c r="BM28" i="10"/>
  <c r="BL28" i="10"/>
  <c r="BK28" i="10"/>
  <c r="BJ28" i="10"/>
  <c r="BI28" i="10"/>
  <c r="AO28" i="10"/>
  <c r="BH28" i="10" s="1"/>
  <c r="AN28" i="10"/>
  <c r="BG28" i="10" s="1"/>
  <c r="AM28" i="10"/>
  <c r="BF28" i="10" s="1"/>
  <c r="AL28" i="10"/>
  <c r="BE28" i="10" s="1"/>
  <c r="AK28" i="10"/>
  <c r="BD28" i="10" s="1"/>
  <c r="AJ28" i="10"/>
  <c r="BC28" i="10" s="1"/>
  <c r="BU27" i="10"/>
  <c r="BT27" i="10"/>
  <c r="AZ27" i="10"/>
  <c r="BS27" i="10" s="1"/>
  <c r="BR27" i="10"/>
  <c r="BQ27" i="10"/>
  <c r="BP27" i="10"/>
  <c r="BO27" i="10"/>
  <c r="BN27" i="10"/>
  <c r="BM27" i="10"/>
  <c r="BL27" i="10"/>
  <c r="BK27" i="10"/>
  <c r="BJ27" i="10"/>
  <c r="BI27" i="10"/>
  <c r="AO27" i="10"/>
  <c r="BH27" i="10" s="1"/>
  <c r="AN27" i="10"/>
  <c r="BG27" i="10" s="1"/>
  <c r="AM27" i="10"/>
  <c r="BF27" i="10" s="1"/>
  <c r="AL27" i="10"/>
  <c r="BE27" i="10" s="1"/>
  <c r="AK27" i="10"/>
  <c r="BD27" i="10" s="1"/>
  <c r="AJ27" i="10"/>
  <c r="BC27" i="10" s="1"/>
  <c r="BU26" i="10"/>
  <c r="BT26" i="10"/>
  <c r="AZ26" i="10"/>
  <c r="BS26" i="10" s="1"/>
  <c r="BR26" i="10"/>
  <c r="BQ26" i="10"/>
  <c r="BP26" i="10"/>
  <c r="BO26" i="10"/>
  <c r="BN26" i="10"/>
  <c r="BM26" i="10"/>
  <c r="BL26" i="10"/>
  <c r="BJ26" i="10"/>
  <c r="BI26" i="10"/>
  <c r="BU25" i="10"/>
  <c r="BT25" i="10"/>
  <c r="AZ25" i="10"/>
  <c r="BS25" i="10" s="1"/>
  <c r="BR25" i="10"/>
  <c r="BQ25" i="10"/>
  <c r="BP25" i="10"/>
  <c r="BO25" i="10"/>
  <c r="BN25" i="10"/>
  <c r="BM25" i="10"/>
  <c r="BL25" i="10"/>
  <c r="BJ25" i="10"/>
  <c r="BI25" i="10"/>
  <c r="AO25" i="10"/>
  <c r="BH25" i="10" s="1"/>
  <c r="AN25" i="10"/>
  <c r="BG25" i="10" s="1"/>
  <c r="AM25" i="10"/>
  <c r="BF25" i="10" s="1"/>
  <c r="AL25" i="10"/>
  <c r="BE25" i="10" s="1"/>
  <c r="AK25" i="10"/>
  <c r="BD25" i="10" s="1"/>
  <c r="AJ25" i="10"/>
  <c r="BC25" i="10" s="1"/>
  <c r="BU24" i="10"/>
  <c r="BT24" i="10"/>
  <c r="BS24" i="10"/>
  <c r="BR24" i="10"/>
  <c r="BQ24" i="10"/>
  <c r="BP24" i="10"/>
  <c r="BO24" i="10"/>
  <c r="BN24" i="10"/>
  <c r="BM24" i="10"/>
  <c r="BL24" i="10"/>
  <c r="BJ24" i="10"/>
  <c r="BI24" i="10"/>
  <c r="AO24" i="10"/>
  <c r="AN24" i="10"/>
  <c r="AM24" i="10"/>
  <c r="AL24" i="10"/>
  <c r="AK24" i="10"/>
  <c r="AJ24" i="10"/>
  <c r="BU23" i="10"/>
  <c r="BT23" i="10"/>
  <c r="BS23" i="10"/>
  <c r="BR23" i="10"/>
  <c r="BQ23" i="10"/>
  <c r="BP23" i="10"/>
  <c r="BO23" i="10"/>
  <c r="BN23" i="10"/>
  <c r="BM23" i="10"/>
  <c r="BL23" i="10"/>
  <c r="BK23" i="10"/>
  <c r="BJ23" i="10"/>
  <c r="BI23" i="10"/>
  <c r="AO23" i="10"/>
  <c r="BH23" i="10" s="1"/>
  <c r="AN23" i="10"/>
  <c r="BG23" i="10" s="1"/>
  <c r="AM23" i="10"/>
  <c r="BF23" i="10" s="1"/>
  <c r="AL23" i="10"/>
  <c r="BE23" i="10" s="1"/>
  <c r="AK23" i="10"/>
  <c r="BD23" i="10" s="1"/>
  <c r="AJ23" i="10"/>
  <c r="BC23" i="10" s="1"/>
  <c r="BU22" i="10"/>
  <c r="BT22" i="10"/>
  <c r="BS22" i="10"/>
  <c r="BR22" i="10"/>
  <c r="BQ22" i="10"/>
  <c r="BP22" i="10"/>
  <c r="BO22" i="10"/>
  <c r="BN22" i="10"/>
  <c r="BM22" i="10"/>
  <c r="BL22" i="10"/>
  <c r="BJ22" i="10"/>
  <c r="BI22" i="10"/>
  <c r="AO22" i="10"/>
  <c r="BH22" i="10" s="1"/>
  <c r="AN22" i="10"/>
  <c r="BG22" i="10" s="1"/>
  <c r="AM22" i="10"/>
  <c r="BF22" i="10" s="1"/>
  <c r="AL22" i="10"/>
  <c r="BE22" i="10" s="1"/>
  <c r="AK22" i="10"/>
  <c r="BD22" i="10" s="1"/>
  <c r="AJ22" i="10"/>
  <c r="BC22" i="10" s="1"/>
  <c r="BU21" i="10"/>
  <c r="BT21" i="10"/>
  <c r="BS21" i="10"/>
  <c r="BR21" i="10"/>
  <c r="BQ21" i="10"/>
  <c r="BP21" i="10"/>
  <c r="BO21" i="10"/>
  <c r="BN21" i="10"/>
  <c r="BM21" i="10"/>
  <c r="BL21" i="10"/>
  <c r="BJ21" i="10"/>
  <c r="BI21" i="10"/>
  <c r="AO21" i="10"/>
  <c r="BH21" i="10" s="1"/>
  <c r="AN21" i="10"/>
  <c r="BG21" i="10" s="1"/>
  <c r="AM21" i="10"/>
  <c r="BF21" i="10" s="1"/>
  <c r="AL21" i="10"/>
  <c r="BE21" i="10" s="1"/>
  <c r="AK21" i="10"/>
  <c r="BD21" i="10" s="1"/>
  <c r="AJ21" i="10"/>
  <c r="BC21" i="10" s="1"/>
  <c r="BU20" i="10"/>
  <c r="BS20" i="10"/>
  <c r="BR20" i="10"/>
  <c r="BQ20" i="10"/>
  <c r="BP20" i="10"/>
  <c r="BO20" i="10"/>
  <c r="BN20" i="10"/>
  <c r="BM20" i="10"/>
  <c r="BL20" i="10"/>
  <c r="BJ20" i="10"/>
  <c r="BI20" i="10"/>
  <c r="AO20" i="10"/>
  <c r="BH20" i="10" s="1"/>
  <c r="AN20" i="10"/>
  <c r="BG20" i="10" s="1"/>
  <c r="AM20" i="10"/>
  <c r="BF20" i="10" s="1"/>
  <c r="AL20" i="10"/>
  <c r="BE20" i="10" s="1"/>
  <c r="AK20" i="10"/>
  <c r="BD20" i="10" s="1"/>
  <c r="AJ20" i="10"/>
  <c r="BC20" i="10" s="1"/>
  <c r="BU19" i="10"/>
  <c r="BT19" i="10"/>
  <c r="BS19" i="10"/>
  <c r="BR19" i="10"/>
  <c r="BQ19" i="10"/>
  <c r="BP19" i="10"/>
  <c r="BO19" i="10"/>
  <c r="BN19" i="10"/>
  <c r="BM19" i="10"/>
  <c r="BL19" i="10"/>
  <c r="BJ19" i="10"/>
  <c r="AO19" i="10"/>
  <c r="BH19" i="10" s="1"/>
  <c r="AN19" i="10"/>
  <c r="BG19" i="10" s="1"/>
  <c r="AM19" i="10"/>
  <c r="BF19" i="10" s="1"/>
  <c r="AL19" i="10"/>
  <c r="BE19" i="10" s="1"/>
  <c r="AK19" i="10"/>
  <c r="BD19" i="10" s="1"/>
  <c r="AJ19" i="10"/>
  <c r="BC19" i="10" s="1"/>
  <c r="BU18" i="10"/>
  <c r="BT18" i="10"/>
  <c r="BS18" i="10"/>
  <c r="BR18" i="10"/>
  <c r="BQ18" i="10"/>
  <c r="BP18" i="10"/>
  <c r="BO18" i="10"/>
  <c r="BN18" i="10"/>
  <c r="BM18" i="10"/>
  <c r="BL18" i="10"/>
  <c r="BJ18" i="10"/>
  <c r="BI18" i="10"/>
  <c r="AO18" i="10"/>
  <c r="BH18" i="10" s="1"/>
  <c r="AN18" i="10"/>
  <c r="BG18" i="10" s="1"/>
  <c r="AM18" i="10"/>
  <c r="BF18" i="10" s="1"/>
  <c r="AL18" i="10"/>
  <c r="BE18" i="10" s="1"/>
  <c r="AK18" i="10"/>
  <c r="BD18" i="10" s="1"/>
  <c r="AJ18" i="10"/>
  <c r="BC18" i="10" s="1"/>
  <c r="BU17" i="10"/>
  <c r="BT17" i="10"/>
  <c r="BS17" i="10"/>
  <c r="BR17" i="10"/>
  <c r="BQ17" i="10"/>
  <c r="BP17" i="10"/>
  <c r="BO17" i="10"/>
  <c r="BN17" i="10"/>
  <c r="BM17" i="10"/>
  <c r="BL17" i="10"/>
  <c r="BJ17" i="10"/>
  <c r="BI17" i="10"/>
  <c r="AO17" i="10"/>
  <c r="BH17" i="10" s="1"/>
  <c r="AN17" i="10"/>
  <c r="BG17" i="10" s="1"/>
  <c r="AM17" i="10"/>
  <c r="BF17" i="10" s="1"/>
  <c r="AL17" i="10"/>
  <c r="BE17" i="10" s="1"/>
  <c r="AK17" i="10"/>
  <c r="BD17" i="10" s="1"/>
  <c r="AJ17" i="10"/>
  <c r="BC17" i="10" s="1"/>
  <c r="BU16" i="10"/>
  <c r="BT16" i="10"/>
  <c r="BS16" i="10"/>
  <c r="BR16" i="10"/>
  <c r="BQ16" i="10"/>
  <c r="BP16" i="10"/>
  <c r="BO16" i="10"/>
  <c r="BN16" i="10"/>
  <c r="BM16" i="10"/>
  <c r="BL16" i="10"/>
  <c r="BJ16" i="10"/>
  <c r="BI16" i="10"/>
  <c r="AO16" i="10"/>
  <c r="BH16" i="10" s="1"/>
  <c r="AN16" i="10"/>
  <c r="BG16" i="10" s="1"/>
  <c r="AM16" i="10"/>
  <c r="BF16" i="10" s="1"/>
  <c r="AL16" i="10"/>
  <c r="BE16" i="10" s="1"/>
  <c r="AK16" i="10"/>
  <c r="BD16" i="10" s="1"/>
  <c r="AJ16" i="10"/>
  <c r="BC16" i="10" s="1"/>
  <c r="BU15" i="10"/>
  <c r="BT15" i="10"/>
  <c r="AZ15" i="10"/>
  <c r="BS15" i="10" s="1"/>
  <c r="BR15" i="10"/>
  <c r="BQ15" i="10"/>
  <c r="BP15" i="10"/>
  <c r="BO15" i="10"/>
  <c r="BN15" i="10"/>
  <c r="BM15" i="10"/>
  <c r="BL15" i="10"/>
  <c r="BJ15" i="10"/>
  <c r="BI15" i="10"/>
  <c r="AO15" i="10"/>
  <c r="BH15" i="10" s="1"/>
  <c r="AN15" i="10"/>
  <c r="BG15" i="10" s="1"/>
  <c r="AM15" i="10"/>
  <c r="BF15" i="10" s="1"/>
  <c r="AL15" i="10"/>
  <c r="BE15" i="10" s="1"/>
  <c r="AK15" i="10"/>
  <c r="BD15" i="10" s="1"/>
  <c r="AJ15" i="10"/>
  <c r="BC15" i="10" s="1"/>
  <c r="BU14" i="10"/>
  <c r="BT14" i="10"/>
  <c r="AZ14" i="10"/>
  <c r="BS14" i="10" s="1"/>
  <c r="BR14" i="10"/>
  <c r="BQ14" i="10"/>
  <c r="BP14" i="10"/>
  <c r="BO14" i="10"/>
  <c r="BN14" i="10"/>
  <c r="BM14" i="10"/>
  <c r="BL14" i="10"/>
  <c r="BJ14" i="10"/>
  <c r="BI14" i="10"/>
  <c r="AO14" i="10"/>
  <c r="BH14" i="10" s="1"/>
  <c r="AN14" i="10"/>
  <c r="BG14" i="10" s="1"/>
  <c r="AM14" i="10"/>
  <c r="BF14" i="10" s="1"/>
  <c r="AL14" i="10"/>
  <c r="BE14" i="10" s="1"/>
  <c r="AK14" i="10"/>
  <c r="BD14" i="10" s="1"/>
  <c r="AJ14" i="10"/>
  <c r="BC14" i="10" s="1"/>
  <c r="BU13" i="10"/>
  <c r="BT13" i="10"/>
  <c r="AZ13" i="10"/>
  <c r="BS13" i="10" s="1"/>
  <c r="BR13" i="10"/>
  <c r="BQ13" i="10"/>
  <c r="BP13" i="10"/>
  <c r="BO13" i="10"/>
  <c r="BN13" i="10"/>
  <c r="BM13" i="10"/>
  <c r="BL13" i="10"/>
  <c r="BJ13" i="10"/>
  <c r="BI13" i="10"/>
  <c r="AO13" i="10"/>
  <c r="BH13" i="10" s="1"/>
  <c r="AN13" i="10"/>
  <c r="BG13" i="10" s="1"/>
  <c r="AM13" i="10"/>
  <c r="BF13" i="10" s="1"/>
  <c r="AL13" i="10"/>
  <c r="BE13" i="10" s="1"/>
  <c r="AK13" i="10"/>
  <c r="BD13" i="10" s="1"/>
  <c r="AJ13" i="10"/>
  <c r="BC13" i="10" s="1"/>
  <c r="BU12" i="10"/>
  <c r="BT12" i="10"/>
  <c r="AZ12" i="10"/>
  <c r="BS12" i="10" s="1"/>
  <c r="BR12" i="10"/>
  <c r="BQ12" i="10"/>
  <c r="BP12" i="10"/>
  <c r="BO12" i="10"/>
  <c r="BN12" i="10"/>
  <c r="BM12" i="10"/>
  <c r="BL12" i="10"/>
  <c r="BJ12" i="10"/>
  <c r="BI12" i="10"/>
  <c r="AO12" i="10"/>
  <c r="BH12" i="10" s="1"/>
  <c r="AN12" i="10"/>
  <c r="BG12" i="10" s="1"/>
  <c r="AM12" i="10"/>
  <c r="BF12" i="10" s="1"/>
  <c r="AL12" i="10"/>
  <c r="BE12" i="10" s="1"/>
  <c r="AK12" i="10"/>
  <c r="BD12" i="10" s="1"/>
  <c r="AJ12" i="10"/>
  <c r="BC12" i="10" s="1"/>
  <c r="BU11" i="10"/>
  <c r="BT11" i="10"/>
  <c r="AZ11" i="10"/>
  <c r="BS11" i="10" s="1"/>
  <c r="BR11" i="10"/>
  <c r="BQ11" i="10"/>
  <c r="BP11" i="10"/>
  <c r="BO11" i="10"/>
  <c r="BN11" i="10"/>
  <c r="BM11" i="10"/>
  <c r="BL11" i="10"/>
  <c r="BJ11" i="10"/>
  <c r="BI11" i="10"/>
  <c r="AO11" i="10"/>
  <c r="BH11" i="10" s="1"/>
  <c r="AN11" i="10"/>
  <c r="BG11" i="10" s="1"/>
  <c r="AM11" i="10"/>
  <c r="BF11" i="10" s="1"/>
  <c r="AL11" i="10"/>
  <c r="BE11" i="10" s="1"/>
  <c r="AK11" i="10"/>
  <c r="BD11" i="10" s="1"/>
  <c r="AJ11" i="10"/>
  <c r="BC11" i="10" s="1"/>
  <c r="BU10" i="10"/>
  <c r="BT10" i="10"/>
  <c r="AZ10" i="10"/>
  <c r="BS10" i="10" s="1"/>
  <c r="BR10" i="10"/>
  <c r="BQ10" i="10"/>
  <c r="BP10" i="10"/>
  <c r="BO10" i="10"/>
  <c r="BN10" i="10"/>
  <c r="BM10" i="10"/>
  <c r="BL10" i="10"/>
  <c r="BJ10" i="10"/>
  <c r="BI10" i="10"/>
  <c r="AO10" i="10"/>
  <c r="BH10" i="10" s="1"/>
  <c r="AN10" i="10"/>
  <c r="BG10" i="10" s="1"/>
  <c r="AM10" i="10"/>
  <c r="BF10" i="10" s="1"/>
  <c r="AL10" i="10"/>
  <c r="BE10" i="10" s="1"/>
  <c r="AK10" i="10"/>
  <c r="BD10" i="10" s="1"/>
  <c r="AJ10" i="10"/>
  <c r="BC10" i="10" s="1"/>
  <c r="BU9" i="10"/>
  <c r="BT9" i="10"/>
  <c r="AZ9" i="10"/>
  <c r="BS9" i="10" s="1"/>
  <c r="BR9" i="10"/>
  <c r="BQ9" i="10"/>
  <c r="BP9" i="10"/>
  <c r="BO9" i="10"/>
  <c r="BN9" i="10"/>
  <c r="BM9" i="10"/>
  <c r="BL9" i="10"/>
  <c r="BJ9" i="10"/>
  <c r="BI9" i="10"/>
  <c r="AO9" i="10"/>
  <c r="BH9" i="10" s="1"/>
  <c r="AN9" i="10"/>
  <c r="BG9" i="10" s="1"/>
  <c r="AM9" i="10"/>
  <c r="BF9" i="10" s="1"/>
  <c r="AL9" i="10"/>
  <c r="BE9" i="10" s="1"/>
  <c r="AK9" i="10"/>
  <c r="BD9" i="10" s="1"/>
  <c r="AJ9" i="10"/>
  <c r="BC9" i="10" s="1"/>
  <c r="AZ32" i="9"/>
  <c r="BS32" i="9" s="1"/>
  <c r="BR32" i="9"/>
  <c r="BQ32" i="9"/>
  <c r="BP32" i="9"/>
  <c r="BO32" i="9"/>
  <c r="BN32" i="9"/>
  <c r="BM32" i="9"/>
  <c r="BL32" i="9"/>
  <c r="BK32" i="9"/>
  <c r="BJ32" i="9"/>
  <c r="BI32" i="9"/>
  <c r="AO32" i="9"/>
  <c r="BH32" i="9" s="1"/>
  <c r="AN32" i="9"/>
  <c r="BG32" i="9" s="1"/>
  <c r="AM32" i="9"/>
  <c r="BF32" i="9" s="1"/>
  <c r="AL32" i="9"/>
  <c r="BE32" i="9" s="1"/>
  <c r="AK32" i="9"/>
  <c r="BD32" i="9" s="1"/>
  <c r="AJ32" i="9"/>
  <c r="BC32" i="9" s="1"/>
  <c r="BU31" i="9"/>
  <c r="BT31" i="9"/>
  <c r="AZ31" i="9"/>
  <c r="BS31" i="9" s="1"/>
  <c r="BR31" i="9"/>
  <c r="BQ31" i="9"/>
  <c r="BP31" i="9"/>
  <c r="BO31" i="9"/>
  <c r="BN31" i="9"/>
  <c r="BM31" i="9"/>
  <c r="BL31" i="9"/>
  <c r="BK31" i="9"/>
  <c r="BJ31" i="9"/>
  <c r="BI31" i="9"/>
  <c r="AO31" i="9"/>
  <c r="BH31" i="9" s="1"/>
  <c r="AN31" i="9"/>
  <c r="BG31" i="9" s="1"/>
  <c r="AM31" i="9"/>
  <c r="BF31" i="9" s="1"/>
  <c r="AL31" i="9"/>
  <c r="BE31" i="9" s="1"/>
  <c r="AK31" i="9"/>
  <c r="BD31" i="9" s="1"/>
  <c r="AJ31" i="9"/>
  <c r="BC31" i="9" s="1"/>
  <c r="BU30" i="9"/>
  <c r="BT30" i="9"/>
  <c r="AZ30" i="9"/>
  <c r="BS30" i="9" s="1"/>
  <c r="BR30" i="9"/>
  <c r="BQ30" i="9"/>
  <c r="BP30" i="9"/>
  <c r="BO30" i="9"/>
  <c r="BN30" i="9"/>
  <c r="BM30" i="9"/>
  <c r="BL30" i="9"/>
  <c r="BK30" i="9"/>
  <c r="BJ30" i="9"/>
  <c r="BI30" i="9"/>
  <c r="AO30" i="9"/>
  <c r="BH30" i="9" s="1"/>
  <c r="AN30" i="9"/>
  <c r="BG30" i="9" s="1"/>
  <c r="AM30" i="9"/>
  <c r="BF30" i="9" s="1"/>
  <c r="AL30" i="9"/>
  <c r="BE30" i="9" s="1"/>
  <c r="AK30" i="9"/>
  <c r="BD30" i="9" s="1"/>
  <c r="AJ30" i="9"/>
  <c r="BC30" i="9" s="1"/>
  <c r="BU29" i="9"/>
  <c r="BT29" i="9"/>
  <c r="AZ29" i="9"/>
  <c r="BS29" i="9" s="1"/>
  <c r="BR29" i="9"/>
  <c r="BQ29" i="9"/>
  <c r="BP29" i="9"/>
  <c r="BO29" i="9"/>
  <c r="BN29" i="9"/>
  <c r="BM29" i="9"/>
  <c r="BL29" i="9"/>
  <c r="BK29" i="9"/>
  <c r="BJ29" i="9"/>
  <c r="BI29" i="9"/>
  <c r="AO29" i="9"/>
  <c r="BH29" i="9" s="1"/>
  <c r="AN29" i="9"/>
  <c r="BG29" i="9" s="1"/>
  <c r="AM29" i="9"/>
  <c r="BF29" i="9" s="1"/>
  <c r="AL29" i="9"/>
  <c r="BE29" i="9" s="1"/>
  <c r="AK29" i="9"/>
  <c r="BD29" i="9" s="1"/>
  <c r="AJ29" i="9"/>
  <c r="BC29" i="9" s="1"/>
  <c r="BU28" i="9"/>
  <c r="BT28" i="9"/>
  <c r="AZ28" i="9"/>
  <c r="BS28" i="9" s="1"/>
  <c r="BR28" i="9"/>
  <c r="BQ28" i="9"/>
  <c r="BP28" i="9"/>
  <c r="BO28" i="9"/>
  <c r="BN28" i="9"/>
  <c r="BM28" i="9"/>
  <c r="BL28" i="9"/>
  <c r="BK28" i="9"/>
  <c r="BJ28" i="9"/>
  <c r="BI28" i="9"/>
  <c r="AO28" i="9"/>
  <c r="BH28" i="9" s="1"/>
  <c r="AN28" i="9"/>
  <c r="BG28" i="9" s="1"/>
  <c r="AM28" i="9"/>
  <c r="BF28" i="9" s="1"/>
  <c r="AL28" i="9"/>
  <c r="BE28" i="9" s="1"/>
  <c r="AK28" i="9"/>
  <c r="BD28" i="9" s="1"/>
  <c r="AJ28" i="9"/>
  <c r="BC28" i="9" s="1"/>
  <c r="BU27" i="9"/>
  <c r="BT27" i="9"/>
  <c r="AZ27" i="9"/>
  <c r="BS27" i="9" s="1"/>
  <c r="BR27" i="9"/>
  <c r="BQ27" i="9"/>
  <c r="BP27" i="9"/>
  <c r="BO27" i="9"/>
  <c r="BN27" i="9"/>
  <c r="BM27" i="9"/>
  <c r="BL27" i="9"/>
  <c r="BK27" i="9"/>
  <c r="BJ27" i="9"/>
  <c r="BI27" i="9"/>
  <c r="AO27" i="9"/>
  <c r="BH27" i="9" s="1"/>
  <c r="AN27" i="9"/>
  <c r="BG27" i="9" s="1"/>
  <c r="AM27" i="9"/>
  <c r="BF27" i="9" s="1"/>
  <c r="AL27" i="9"/>
  <c r="BE27" i="9" s="1"/>
  <c r="AK27" i="9"/>
  <c r="BD27" i="9" s="1"/>
  <c r="AJ27" i="9"/>
  <c r="BC27" i="9" s="1"/>
  <c r="BU26" i="9"/>
  <c r="BT26" i="9"/>
  <c r="AZ26" i="9"/>
  <c r="BS26" i="9" s="1"/>
  <c r="BR26" i="9"/>
  <c r="BQ26" i="9"/>
  <c r="BP26" i="9"/>
  <c r="BO26" i="9"/>
  <c r="BN26" i="9"/>
  <c r="BM26" i="9"/>
  <c r="BL26" i="9"/>
  <c r="BJ26" i="9"/>
  <c r="BI26" i="9"/>
  <c r="BU25" i="9"/>
  <c r="BT25" i="9"/>
  <c r="AZ25" i="9"/>
  <c r="BS25" i="9" s="1"/>
  <c r="BR25" i="9"/>
  <c r="BQ25" i="9"/>
  <c r="BP25" i="9"/>
  <c r="BO25" i="9"/>
  <c r="BN25" i="9"/>
  <c r="BM25" i="9"/>
  <c r="BL25" i="9"/>
  <c r="BJ25" i="9"/>
  <c r="BI25" i="9"/>
  <c r="AO25" i="9"/>
  <c r="BH25" i="9" s="1"/>
  <c r="AN25" i="9"/>
  <c r="BG25" i="9" s="1"/>
  <c r="AM25" i="9"/>
  <c r="BF25" i="9" s="1"/>
  <c r="AL25" i="9"/>
  <c r="BE25" i="9" s="1"/>
  <c r="AK25" i="9"/>
  <c r="BD25" i="9" s="1"/>
  <c r="AJ25" i="9"/>
  <c r="BC25" i="9" s="1"/>
  <c r="BU24" i="9"/>
  <c r="BT24" i="9"/>
  <c r="BS24" i="9"/>
  <c r="BR24" i="9"/>
  <c r="BQ24" i="9"/>
  <c r="BP24" i="9"/>
  <c r="BO24" i="9"/>
  <c r="BN24" i="9"/>
  <c r="BM24" i="9"/>
  <c r="BL24" i="9"/>
  <c r="BK24" i="9"/>
  <c r="BJ24" i="9"/>
  <c r="BI24" i="9"/>
  <c r="AO24" i="9"/>
  <c r="AN24" i="9"/>
  <c r="AM24" i="9"/>
  <c r="AL24" i="9"/>
  <c r="AK24" i="9"/>
  <c r="AJ24" i="9"/>
  <c r="BU23" i="9"/>
  <c r="BT23" i="9"/>
  <c r="BS23" i="9"/>
  <c r="BR23" i="9"/>
  <c r="BQ23" i="9"/>
  <c r="BP23" i="9"/>
  <c r="BO23" i="9"/>
  <c r="BN23" i="9"/>
  <c r="BM23" i="9"/>
  <c r="BL23" i="9"/>
  <c r="BK23" i="9"/>
  <c r="BJ23" i="9"/>
  <c r="BI23" i="9"/>
  <c r="AO23" i="9"/>
  <c r="BH23" i="9" s="1"/>
  <c r="AN23" i="9"/>
  <c r="BG23" i="9" s="1"/>
  <c r="AM23" i="9"/>
  <c r="BF23" i="9" s="1"/>
  <c r="AL23" i="9"/>
  <c r="BE23" i="9" s="1"/>
  <c r="AK23" i="9"/>
  <c r="BD23" i="9" s="1"/>
  <c r="AJ23" i="9"/>
  <c r="BC23" i="9" s="1"/>
  <c r="BU22" i="9"/>
  <c r="BT22" i="9"/>
  <c r="BS22" i="9"/>
  <c r="BR22" i="9"/>
  <c r="BQ22" i="9"/>
  <c r="BP22" i="9"/>
  <c r="BO22" i="9"/>
  <c r="BN22" i="9"/>
  <c r="BM22" i="9"/>
  <c r="BL22" i="9"/>
  <c r="BJ22" i="9"/>
  <c r="BI22" i="9"/>
  <c r="AO22" i="9"/>
  <c r="BH22" i="9" s="1"/>
  <c r="AN22" i="9"/>
  <c r="BG22" i="9" s="1"/>
  <c r="AM22" i="9"/>
  <c r="BF22" i="9" s="1"/>
  <c r="AL22" i="9"/>
  <c r="BE22" i="9" s="1"/>
  <c r="AK22" i="9"/>
  <c r="BD22" i="9" s="1"/>
  <c r="AJ22" i="9"/>
  <c r="BC22" i="9" s="1"/>
  <c r="BU21" i="9"/>
  <c r="BT21" i="9"/>
  <c r="BS21" i="9"/>
  <c r="BR21" i="9"/>
  <c r="BQ21" i="9"/>
  <c r="BP21" i="9"/>
  <c r="BO21" i="9"/>
  <c r="BN21" i="9"/>
  <c r="BM21" i="9"/>
  <c r="BL21" i="9"/>
  <c r="BJ21" i="9"/>
  <c r="BI21" i="9"/>
  <c r="AO21" i="9"/>
  <c r="BH21" i="9" s="1"/>
  <c r="AN21" i="9"/>
  <c r="BG21" i="9" s="1"/>
  <c r="AM21" i="9"/>
  <c r="BF21" i="9" s="1"/>
  <c r="AL21" i="9"/>
  <c r="BE21" i="9" s="1"/>
  <c r="AK21" i="9"/>
  <c r="BD21" i="9" s="1"/>
  <c r="AJ21" i="9"/>
  <c r="BC21" i="9" s="1"/>
  <c r="BU20" i="9"/>
  <c r="BS20" i="9"/>
  <c r="BR20" i="9"/>
  <c r="BQ20" i="9"/>
  <c r="BP20" i="9"/>
  <c r="BO20" i="9"/>
  <c r="BN20" i="9"/>
  <c r="BM20" i="9"/>
  <c r="BL20" i="9"/>
  <c r="BK20" i="9"/>
  <c r="BJ20" i="9"/>
  <c r="BI20" i="9"/>
  <c r="AO20" i="9"/>
  <c r="BH20" i="9" s="1"/>
  <c r="AN20" i="9"/>
  <c r="BG20" i="9" s="1"/>
  <c r="AM20" i="9"/>
  <c r="BF20" i="9" s="1"/>
  <c r="AL20" i="9"/>
  <c r="BE20" i="9" s="1"/>
  <c r="AK20" i="9"/>
  <c r="BD20" i="9" s="1"/>
  <c r="AJ20" i="9"/>
  <c r="BC20" i="9" s="1"/>
  <c r="BU19" i="9"/>
  <c r="BT19" i="9"/>
  <c r="BS19" i="9"/>
  <c r="BR19" i="9"/>
  <c r="BQ19" i="9"/>
  <c r="BP19" i="9"/>
  <c r="BO19" i="9"/>
  <c r="BN19" i="9"/>
  <c r="BM19" i="9"/>
  <c r="BL19" i="9"/>
  <c r="BJ19" i="9"/>
  <c r="BI19" i="9"/>
  <c r="AO19" i="9"/>
  <c r="BH19" i="9" s="1"/>
  <c r="AN19" i="9"/>
  <c r="BG19" i="9" s="1"/>
  <c r="AM19" i="9"/>
  <c r="BF19" i="9" s="1"/>
  <c r="AL19" i="9"/>
  <c r="BE19" i="9" s="1"/>
  <c r="AK19" i="9"/>
  <c r="BD19" i="9" s="1"/>
  <c r="AJ19" i="9"/>
  <c r="BC19" i="9" s="1"/>
  <c r="BU18" i="9"/>
  <c r="BT18" i="9"/>
  <c r="BS18" i="9"/>
  <c r="BR18" i="9"/>
  <c r="BQ18" i="9"/>
  <c r="BP18" i="9"/>
  <c r="BO18" i="9"/>
  <c r="BN18" i="9"/>
  <c r="BM18" i="9"/>
  <c r="BL18" i="9"/>
  <c r="BJ18" i="9"/>
  <c r="BI18" i="9"/>
  <c r="AO18" i="9"/>
  <c r="BH18" i="9" s="1"/>
  <c r="AN18" i="9"/>
  <c r="BG18" i="9" s="1"/>
  <c r="AM18" i="9"/>
  <c r="BF18" i="9" s="1"/>
  <c r="AL18" i="9"/>
  <c r="BE18" i="9" s="1"/>
  <c r="AK18" i="9"/>
  <c r="BD18" i="9" s="1"/>
  <c r="AJ18" i="9"/>
  <c r="BC18" i="9" s="1"/>
  <c r="BU17" i="9"/>
  <c r="BT17" i="9"/>
  <c r="BS17" i="9"/>
  <c r="BR17" i="9"/>
  <c r="BQ17" i="9"/>
  <c r="BP17" i="9"/>
  <c r="BO17" i="9"/>
  <c r="BN17" i="9"/>
  <c r="BM17" i="9"/>
  <c r="BL17" i="9"/>
  <c r="BJ17" i="9"/>
  <c r="BI17" i="9"/>
  <c r="AO17" i="9"/>
  <c r="BH17" i="9" s="1"/>
  <c r="AN17" i="9"/>
  <c r="BG17" i="9" s="1"/>
  <c r="AM17" i="9"/>
  <c r="BF17" i="9" s="1"/>
  <c r="AL17" i="9"/>
  <c r="BE17" i="9" s="1"/>
  <c r="AK17" i="9"/>
  <c r="BD17" i="9" s="1"/>
  <c r="AJ17" i="9"/>
  <c r="BC17" i="9" s="1"/>
  <c r="BU16" i="9"/>
  <c r="BT16" i="9"/>
  <c r="BS16" i="9"/>
  <c r="BR16" i="9"/>
  <c r="BQ16" i="9"/>
  <c r="BP16" i="9"/>
  <c r="BO16" i="9"/>
  <c r="BN16" i="9"/>
  <c r="BM16" i="9"/>
  <c r="BL16" i="9"/>
  <c r="BJ16" i="9"/>
  <c r="BI16" i="9"/>
  <c r="AO16" i="9"/>
  <c r="BH16" i="9" s="1"/>
  <c r="AN16" i="9"/>
  <c r="BG16" i="9" s="1"/>
  <c r="AM16" i="9"/>
  <c r="BF16" i="9" s="1"/>
  <c r="AL16" i="9"/>
  <c r="BE16" i="9" s="1"/>
  <c r="AK16" i="9"/>
  <c r="BD16" i="9" s="1"/>
  <c r="AJ16" i="9"/>
  <c r="BC16" i="9" s="1"/>
  <c r="BU15" i="9"/>
  <c r="BT15" i="9"/>
  <c r="AZ15" i="9"/>
  <c r="BS15" i="9" s="1"/>
  <c r="BR15" i="9"/>
  <c r="BQ15" i="9"/>
  <c r="BP15" i="9"/>
  <c r="BO15" i="9"/>
  <c r="BN15" i="9"/>
  <c r="BM15" i="9"/>
  <c r="BL15" i="9"/>
  <c r="BJ15" i="9"/>
  <c r="BI15" i="9"/>
  <c r="AO15" i="9"/>
  <c r="BH15" i="9" s="1"/>
  <c r="AN15" i="9"/>
  <c r="BG15" i="9" s="1"/>
  <c r="AM15" i="9"/>
  <c r="BF15" i="9" s="1"/>
  <c r="AL15" i="9"/>
  <c r="BE15" i="9" s="1"/>
  <c r="AK15" i="9"/>
  <c r="BD15" i="9" s="1"/>
  <c r="AJ15" i="9"/>
  <c r="BC15" i="9" s="1"/>
  <c r="BU14" i="9"/>
  <c r="BT14" i="9"/>
  <c r="AZ14" i="9"/>
  <c r="BS14" i="9" s="1"/>
  <c r="BR14" i="9"/>
  <c r="BQ14" i="9"/>
  <c r="BP14" i="9"/>
  <c r="BO14" i="9"/>
  <c r="BN14" i="9"/>
  <c r="BM14" i="9"/>
  <c r="BL14" i="9"/>
  <c r="BJ14" i="9"/>
  <c r="BI14" i="9"/>
  <c r="AO14" i="9"/>
  <c r="BH14" i="9" s="1"/>
  <c r="AN14" i="9"/>
  <c r="BG14" i="9" s="1"/>
  <c r="AM14" i="9"/>
  <c r="BF14" i="9" s="1"/>
  <c r="AL14" i="9"/>
  <c r="BE14" i="9" s="1"/>
  <c r="AK14" i="9"/>
  <c r="BD14" i="9" s="1"/>
  <c r="AJ14" i="9"/>
  <c r="BC14" i="9" s="1"/>
  <c r="BU13" i="9"/>
  <c r="BT13" i="9"/>
  <c r="AZ13" i="9"/>
  <c r="BS13" i="9" s="1"/>
  <c r="BR13" i="9"/>
  <c r="BQ13" i="9"/>
  <c r="BP13" i="9"/>
  <c r="BO13" i="9"/>
  <c r="BN13" i="9"/>
  <c r="BM13" i="9"/>
  <c r="BL13" i="9"/>
  <c r="BJ13" i="9"/>
  <c r="BI13" i="9"/>
  <c r="AO13" i="9"/>
  <c r="BH13" i="9" s="1"/>
  <c r="AN13" i="9"/>
  <c r="BG13" i="9" s="1"/>
  <c r="AM13" i="9"/>
  <c r="BF13" i="9" s="1"/>
  <c r="AL13" i="9"/>
  <c r="BE13" i="9" s="1"/>
  <c r="AK13" i="9"/>
  <c r="BD13" i="9" s="1"/>
  <c r="AJ13" i="9"/>
  <c r="BC13" i="9" s="1"/>
  <c r="BU12" i="9"/>
  <c r="BT12" i="9"/>
  <c r="AZ12" i="9"/>
  <c r="BS12" i="9" s="1"/>
  <c r="BR12" i="9"/>
  <c r="BQ12" i="9"/>
  <c r="BP12" i="9"/>
  <c r="BO12" i="9"/>
  <c r="BN12" i="9"/>
  <c r="BM12" i="9"/>
  <c r="BL12" i="9"/>
  <c r="BJ12" i="9"/>
  <c r="BI12" i="9"/>
  <c r="AO12" i="9"/>
  <c r="BH12" i="9" s="1"/>
  <c r="AN12" i="9"/>
  <c r="BG12" i="9" s="1"/>
  <c r="AM12" i="9"/>
  <c r="BF12" i="9" s="1"/>
  <c r="AL12" i="9"/>
  <c r="BE12" i="9" s="1"/>
  <c r="AK12" i="9"/>
  <c r="BD12" i="9" s="1"/>
  <c r="AJ12" i="9"/>
  <c r="BC12" i="9" s="1"/>
  <c r="BU11" i="9"/>
  <c r="BT11" i="9"/>
  <c r="AZ11" i="9"/>
  <c r="BS11" i="9" s="1"/>
  <c r="BR11" i="9"/>
  <c r="BQ11" i="9"/>
  <c r="BP11" i="9"/>
  <c r="BO11" i="9"/>
  <c r="BN11" i="9"/>
  <c r="BM11" i="9"/>
  <c r="BL11" i="9"/>
  <c r="BJ11" i="9"/>
  <c r="BI11" i="9"/>
  <c r="AO11" i="9"/>
  <c r="BH11" i="9" s="1"/>
  <c r="AN11" i="9"/>
  <c r="BG11" i="9" s="1"/>
  <c r="AM11" i="9"/>
  <c r="BF11" i="9" s="1"/>
  <c r="AL11" i="9"/>
  <c r="BE11" i="9" s="1"/>
  <c r="AK11" i="9"/>
  <c r="BD11" i="9" s="1"/>
  <c r="AJ11" i="9"/>
  <c r="BC11" i="9" s="1"/>
  <c r="BU10" i="9"/>
  <c r="BT10" i="9"/>
  <c r="AZ10" i="9"/>
  <c r="BS10" i="9" s="1"/>
  <c r="BR10" i="9"/>
  <c r="BQ10" i="9"/>
  <c r="BP10" i="9"/>
  <c r="BO10" i="9"/>
  <c r="BN10" i="9"/>
  <c r="BM10" i="9"/>
  <c r="BL10" i="9"/>
  <c r="BJ10" i="9"/>
  <c r="BI10" i="9"/>
  <c r="AO10" i="9"/>
  <c r="BH10" i="9" s="1"/>
  <c r="AN10" i="9"/>
  <c r="BG10" i="9" s="1"/>
  <c r="AM10" i="9"/>
  <c r="BF10" i="9" s="1"/>
  <c r="AL10" i="9"/>
  <c r="BE10" i="9" s="1"/>
  <c r="AK10" i="9"/>
  <c r="BD10" i="9" s="1"/>
  <c r="AJ10" i="9"/>
  <c r="BC10" i="9" s="1"/>
  <c r="BU9" i="9"/>
  <c r="BT9" i="9"/>
  <c r="AZ9" i="9"/>
  <c r="BS9" i="9" s="1"/>
  <c r="BR9" i="9"/>
  <c r="BQ9" i="9"/>
  <c r="BP9" i="9"/>
  <c r="BO9" i="9"/>
  <c r="BN9" i="9"/>
  <c r="BM9" i="9"/>
  <c r="BL9" i="9"/>
  <c r="BJ9" i="9"/>
  <c r="BI9" i="9"/>
  <c r="AO9" i="9"/>
  <c r="BH9" i="9" s="1"/>
  <c r="AN9" i="9"/>
  <c r="BG9" i="9" s="1"/>
  <c r="AM9" i="9"/>
  <c r="BF9" i="9" s="1"/>
  <c r="AL9" i="9"/>
  <c r="BE9" i="9" s="1"/>
  <c r="AK9" i="9"/>
  <c r="BD9" i="9" s="1"/>
  <c r="AJ9" i="9"/>
  <c r="BC9" i="9" s="1"/>
  <c r="BT32" i="8"/>
  <c r="BS32" i="8"/>
  <c r="BR32" i="8"/>
  <c r="BQ32" i="8"/>
  <c r="BP32" i="8"/>
  <c r="BO32" i="8"/>
  <c r="BN32" i="8"/>
  <c r="BM32" i="8"/>
  <c r="BL32" i="8"/>
  <c r="BK32" i="8"/>
  <c r="BJ32" i="8"/>
  <c r="AO32" i="8"/>
  <c r="BI32" i="8" s="1"/>
  <c r="AN32" i="8"/>
  <c r="BH32" i="8" s="1"/>
  <c r="AM32" i="8"/>
  <c r="BG32" i="8" s="1"/>
  <c r="AL32" i="8"/>
  <c r="BF32" i="8" s="1"/>
  <c r="AK32" i="8"/>
  <c r="BE32" i="8" s="1"/>
  <c r="AJ32" i="8"/>
  <c r="BD32" i="8" s="1"/>
  <c r="BV31" i="8"/>
  <c r="BT31" i="8"/>
  <c r="BS31" i="8"/>
  <c r="BR31" i="8"/>
  <c r="BQ31" i="8"/>
  <c r="BP31" i="8"/>
  <c r="BO31" i="8"/>
  <c r="BN31" i="8"/>
  <c r="BM31" i="8"/>
  <c r="BL31" i="8"/>
  <c r="BK31" i="8"/>
  <c r="BJ31" i="8"/>
  <c r="AO31" i="8"/>
  <c r="BI31" i="8" s="1"/>
  <c r="AN31" i="8"/>
  <c r="BH31" i="8" s="1"/>
  <c r="AM31" i="8"/>
  <c r="BG31" i="8" s="1"/>
  <c r="AL31" i="8"/>
  <c r="BF31" i="8" s="1"/>
  <c r="AK31" i="8"/>
  <c r="BE31" i="8" s="1"/>
  <c r="AJ31" i="8"/>
  <c r="BD31" i="8" s="1"/>
  <c r="BV30" i="8"/>
  <c r="BT30" i="8"/>
  <c r="BS30" i="8"/>
  <c r="BR30" i="8"/>
  <c r="BQ30" i="8"/>
  <c r="BP30" i="8"/>
  <c r="BO30" i="8"/>
  <c r="BN30" i="8"/>
  <c r="BM30" i="8"/>
  <c r="BL30" i="8"/>
  <c r="BK30" i="8"/>
  <c r="BJ30" i="8"/>
  <c r="AO30" i="8"/>
  <c r="BI30" i="8" s="1"/>
  <c r="AN30" i="8"/>
  <c r="BH30" i="8" s="1"/>
  <c r="AM30" i="8"/>
  <c r="BG30" i="8" s="1"/>
  <c r="AL30" i="8"/>
  <c r="BF30" i="8" s="1"/>
  <c r="AK30" i="8"/>
  <c r="BE30" i="8" s="1"/>
  <c r="AJ30" i="8"/>
  <c r="BD30" i="8" s="1"/>
  <c r="BV29" i="8"/>
  <c r="BT29" i="8"/>
  <c r="BS29" i="8"/>
  <c r="BR29" i="8"/>
  <c r="BQ29" i="8"/>
  <c r="BP29" i="8"/>
  <c r="BO29" i="8"/>
  <c r="BN29" i="8"/>
  <c r="BM29" i="8"/>
  <c r="BL29" i="8"/>
  <c r="BK29" i="8"/>
  <c r="BJ29" i="8"/>
  <c r="AO29" i="8"/>
  <c r="BI29" i="8" s="1"/>
  <c r="AN29" i="8"/>
  <c r="BH29" i="8" s="1"/>
  <c r="AM29" i="8"/>
  <c r="BG29" i="8" s="1"/>
  <c r="AL29" i="8"/>
  <c r="BF29" i="8" s="1"/>
  <c r="AK29" i="8"/>
  <c r="BE29" i="8" s="1"/>
  <c r="AJ29" i="8"/>
  <c r="BD29" i="8" s="1"/>
  <c r="BV28" i="8"/>
  <c r="BT28" i="8"/>
  <c r="BS28" i="8"/>
  <c r="BR28" i="8"/>
  <c r="BQ28" i="8"/>
  <c r="BP28" i="8"/>
  <c r="BO28" i="8"/>
  <c r="BN28" i="8"/>
  <c r="BM28" i="8"/>
  <c r="BL28" i="8"/>
  <c r="BK28" i="8"/>
  <c r="BJ28" i="8"/>
  <c r="AO28" i="8"/>
  <c r="BI28" i="8" s="1"/>
  <c r="AN28" i="8"/>
  <c r="BH28" i="8" s="1"/>
  <c r="AM28" i="8"/>
  <c r="BG28" i="8" s="1"/>
  <c r="AL28" i="8"/>
  <c r="BF28" i="8" s="1"/>
  <c r="AK28" i="8"/>
  <c r="BE28" i="8" s="1"/>
  <c r="AJ28" i="8"/>
  <c r="BD28" i="8" s="1"/>
  <c r="BV27" i="8"/>
  <c r="BT27" i="8"/>
  <c r="BS27" i="8"/>
  <c r="BR27" i="8"/>
  <c r="BQ27" i="8"/>
  <c r="BP27" i="8"/>
  <c r="BO27" i="8"/>
  <c r="BN27" i="8"/>
  <c r="BM27" i="8"/>
  <c r="BL27" i="8"/>
  <c r="BK27" i="8"/>
  <c r="BJ27" i="8"/>
  <c r="AO27" i="8"/>
  <c r="BI27" i="8" s="1"/>
  <c r="AN27" i="8"/>
  <c r="BH27" i="8" s="1"/>
  <c r="AM27" i="8"/>
  <c r="BG27" i="8" s="1"/>
  <c r="AL27" i="8"/>
  <c r="BF27" i="8" s="1"/>
  <c r="AK27" i="8"/>
  <c r="BE27" i="8" s="1"/>
  <c r="AJ27" i="8"/>
  <c r="BD27" i="8" s="1"/>
  <c r="BV26" i="8"/>
  <c r="BT26" i="8"/>
  <c r="BS26" i="8"/>
  <c r="BR26" i="8"/>
  <c r="BQ26" i="8"/>
  <c r="BP26" i="8"/>
  <c r="BO26" i="8"/>
  <c r="BN26" i="8"/>
  <c r="BM26" i="8"/>
  <c r="BK26" i="8"/>
  <c r="BJ26" i="8"/>
  <c r="BV25" i="8"/>
  <c r="BT25" i="8"/>
  <c r="BS25" i="8"/>
  <c r="BR25" i="8"/>
  <c r="BQ25" i="8"/>
  <c r="BP25" i="8"/>
  <c r="BO25" i="8"/>
  <c r="BN25" i="8"/>
  <c r="BM25" i="8"/>
  <c r="BK25" i="8"/>
  <c r="BJ25" i="8"/>
  <c r="AO25" i="8"/>
  <c r="BI25" i="8" s="1"/>
  <c r="AN25" i="8"/>
  <c r="BH25" i="8" s="1"/>
  <c r="AM25" i="8"/>
  <c r="BG25" i="8" s="1"/>
  <c r="AL25" i="8"/>
  <c r="BF25" i="8" s="1"/>
  <c r="AK25" i="8"/>
  <c r="BE25" i="8" s="1"/>
  <c r="AJ25" i="8"/>
  <c r="BD25" i="8" s="1"/>
  <c r="BV24" i="8"/>
  <c r="BT24" i="8"/>
  <c r="BS24" i="8"/>
  <c r="BR24" i="8"/>
  <c r="BQ24" i="8"/>
  <c r="BP24" i="8"/>
  <c r="BO24" i="8"/>
  <c r="BN24" i="8"/>
  <c r="BM24" i="8"/>
  <c r="BK24" i="8"/>
  <c r="BJ24" i="8"/>
  <c r="AO24" i="8"/>
  <c r="AN24" i="8"/>
  <c r="AM24" i="8"/>
  <c r="AL24" i="8"/>
  <c r="AK24" i="8"/>
  <c r="AJ24" i="8"/>
  <c r="BV23" i="8"/>
  <c r="BU23" i="8"/>
  <c r="BT23" i="8"/>
  <c r="BS23" i="8"/>
  <c r="BR23" i="8"/>
  <c r="BQ23" i="8"/>
  <c r="BP23" i="8"/>
  <c r="BO23" i="8"/>
  <c r="BN23" i="8"/>
  <c r="BM23" i="8"/>
  <c r="BK23" i="8"/>
  <c r="BJ23" i="8"/>
  <c r="AO23" i="8"/>
  <c r="BI23" i="8" s="1"/>
  <c r="AN23" i="8"/>
  <c r="BH23" i="8" s="1"/>
  <c r="AM23" i="8"/>
  <c r="BG23" i="8" s="1"/>
  <c r="AL23" i="8"/>
  <c r="BF23" i="8" s="1"/>
  <c r="AK23" i="8"/>
  <c r="BE23" i="8" s="1"/>
  <c r="AJ23" i="8"/>
  <c r="BD23" i="8" s="1"/>
  <c r="BV22" i="8"/>
  <c r="BU22" i="8"/>
  <c r="BT22" i="8"/>
  <c r="BS22" i="8"/>
  <c r="BR22" i="8"/>
  <c r="BQ22" i="8"/>
  <c r="BP22" i="8"/>
  <c r="BO22" i="8"/>
  <c r="BN22" i="8"/>
  <c r="BM22" i="8"/>
  <c r="BK22" i="8"/>
  <c r="BJ22" i="8"/>
  <c r="AO22" i="8"/>
  <c r="BI22" i="8" s="1"/>
  <c r="AN22" i="8"/>
  <c r="BH22" i="8" s="1"/>
  <c r="AM22" i="8"/>
  <c r="BG22" i="8" s="1"/>
  <c r="AL22" i="8"/>
  <c r="BF22" i="8" s="1"/>
  <c r="AK22" i="8"/>
  <c r="BE22" i="8" s="1"/>
  <c r="AJ22" i="8"/>
  <c r="BD22" i="8" s="1"/>
  <c r="BV21" i="8"/>
  <c r="BU21" i="8"/>
  <c r="BT21" i="8"/>
  <c r="BS21" i="8"/>
  <c r="BR21" i="8"/>
  <c r="BQ21" i="8"/>
  <c r="BP21" i="8"/>
  <c r="BO21" i="8"/>
  <c r="BN21" i="8"/>
  <c r="BM21" i="8"/>
  <c r="BK21" i="8"/>
  <c r="BJ21" i="8"/>
  <c r="AO21" i="8"/>
  <c r="BI21" i="8" s="1"/>
  <c r="AN21" i="8"/>
  <c r="BH21" i="8" s="1"/>
  <c r="AM21" i="8"/>
  <c r="BG21" i="8" s="1"/>
  <c r="AL21" i="8"/>
  <c r="BF21" i="8" s="1"/>
  <c r="AK21" i="8"/>
  <c r="BE21" i="8" s="1"/>
  <c r="AJ21" i="8"/>
  <c r="BD21" i="8" s="1"/>
  <c r="BV20" i="8"/>
  <c r="BT20" i="8"/>
  <c r="BS20" i="8"/>
  <c r="BR20" i="8"/>
  <c r="BQ20" i="8"/>
  <c r="BP20" i="8"/>
  <c r="BO20" i="8"/>
  <c r="BN20" i="8"/>
  <c r="BM20" i="8"/>
  <c r="BK20" i="8"/>
  <c r="BJ20" i="8"/>
  <c r="AO20" i="8"/>
  <c r="BI20" i="8" s="1"/>
  <c r="AN20" i="8"/>
  <c r="BH20" i="8" s="1"/>
  <c r="AM20" i="8"/>
  <c r="BG20" i="8" s="1"/>
  <c r="AL20" i="8"/>
  <c r="BF20" i="8" s="1"/>
  <c r="AK20" i="8"/>
  <c r="BE20" i="8" s="1"/>
  <c r="AJ20" i="8"/>
  <c r="BD20" i="8" s="1"/>
  <c r="BV19" i="8"/>
  <c r="BU19" i="8"/>
  <c r="BT19" i="8"/>
  <c r="BS19" i="8"/>
  <c r="BR19" i="8"/>
  <c r="BQ19" i="8"/>
  <c r="BP19" i="8"/>
  <c r="BO19" i="8"/>
  <c r="BN19" i="8"/>
  <c r="BM19" i="8"/>
  <c r="BL19" i="8"/>
  <c r="BK19" i="8"/>
  <c r="BJ19" i="8"/>
  <c r="AO19" i="8"/>
  <c r="BI19" i="8" s="1"/>
  <c r="AN19" i="8"/>
  <c r="BH19" i="8" s="1"/>
  <c r="AM19" i="8"/>
  <c r="BG19" i="8" s="1"/>
  <c r="AL19" i="8"/>
  <c r="BF19" i="8" s="1"/>
  <c r="AK19" i="8"/>
  <c r="BE19" i="8" s="1"/>
  <c r="AJ19" i="8"/>
  <c r="BD19" i="8" s="1"/>
  <c r="BV18" i="8"/>
  <c r="BU18" i="8"/>
  <c r="BT18" i="8"/>
  <c r="BS18" i="8"/>
  <c r="BR18" i="8"/>
  <c r="BQ18" i="8"/>
  <c r="BP18" i="8"/>
  <c r="BO18" i="8"/>
  <c r="BN18" i="8"/>
  <c r="BM18" i="8"/>
  <c r="BK18" i="8"/>
  <c r="BJ18" i="8"/>
  <c r="AO18" i="8"/>
  <c r="BI18" i="8" s="1"/>
  <c r="AN18" i="8"/>
  <c r="BH18" i="8" s="1"/>
  <c r="AM18" i="8"/>
  <c r="BG18" i="8" s="1"/>
  <c r="AL18" i="8"/>
  <c r="BF18" i="8" s="1"/>
  <c r="AK18" i="8"/>
  <c r="BE18" i="8" s="1"/>
  <c r="AJ18" i="8"/>
  <c r="BD18" i="8" s="1"/>
  <c r="BV17" i="8"/>
  <c r="BU17" i="8"/>
  <c r="BT17" i="8"/>
  <c r="BS17" i="8"/>
  <c r="BR17" i="8"/>
  <c r="BQ17" i="8"/>
  <c r="BP17" i="8"/>
  <c r="BO17" i="8"/>
  <c r="BN17" i="8"/>
  <c r="BM17" i="8"/>
  <c r="BL17" i="8"/>
  <c r="BK17" i="8"/>
  <c r="BJ17" i="8"/>
  <c r="AO17" i="8"/>
  <c r="BI17" i="8" s="1"/>
  <c r="AN17" i="8"/>
  <c r="BH17" i="8" s="1"/>
  <c r="AM17" i="8"/>
  <c r="BG17" i="8" s="1"/>
  <c r="AL17" i="8"/>
  <c r="BF17" i="8" s="1"/>
  <c r="AK17" i="8"/>
  <c r="BE17" i="8" s="1"/>
  <c r="AJ17" i="8"/>
  <c r="BD17" i="8" s="1"/>
  <c r="BV16" i="8"/>
  <c r="BU16" i="8"/>
  <c r="BT16" i="8"/>
  <c r="BS16" i="8"/>
  <c r="BR16" i="8"/>
  <c r="BQ16" i="8"/>
  <c r="BP16" i="8"/>
  <c r="BO16" i="8"/>
  <c r="BN16" i="8"/>
  <c r="BM16" i="8"/>
  <c r="BK16" i="8"/>
  <c r="BJ16" i="8"/>
  <c r="AO16" i="8"/>
  <c r="BI16" i="8" s="1"/>
  <c r="AN16" i="8"/>
  <c r="BH16" i="8" s="1"/>
  <c r="AM16" i="8"/>
  <c r="BG16" i="8" s="1"/>
  <c r="AL16" i="8"/>
  <c r="BF16" i="8" s="1"/>
  <c r="AK16" i="8"/>
  <c r="BE16" i="8" s="1"/>
  <c r="AJ16" i="8"/>
  <c r="BD16" i="8" s="1"/>
  <c r="BV15" i="8"/>
  <c r="BU15" i="8"/>
  <c r="BT15" i="8"/>
  <c r="BS15" i="8"/>
  <c r="BR15" i="8"/>
  <c r="BQ15" i="8"/>
  <c r="BP15" i="8"/>
  <c r="BO15" i="8"/>
  <c r="BN15" i="8"/>
  <c r="BM15" i="8"/>
  <c r="BK15" i="8"/>
  <c r="BJ15" i="8"/>
  <c r="AO15" i="8"/>
  <c r="BI15" i="8" s="1"/>
  <c r="AN15" i="8"/>
  <c r="BH15" i="8" s="1"/>
  <c r="AM15" i="8"/>
  <c r="BG15" i="8" s="1"/>
  <c r="AL15" i="8"/>
  <c r="BF15" i="8" s="1"/>
  <c r="AK15" i="8"/>
  <c r="BE15" i="8" s="1"/>
  <c r="AJ15" i="8"/>
  <c r="BD15" i="8" s="1"/>
  <c r="BV14" i="8"/>
  <c r="BU14" i="8"/>
  <c r="BT14" i="8"/>
  <c r="BS14" i="8"/>
  <c r="BR14" i="8"/>
  <c r="BQ14" i="8"/>
  <c r="BP14" i="8"/>
  <c r="BO14" i="8"/>
  <c r="BN14" i="8"/>
  <c r="BM14" i="8"/>
  <c r="BK14" i="8"/>
  <c r="BJ14" i="8"/>
  <c r="AO14" i="8"/>
  <c r="BI14" i="8" s="1"/>
  <c r="AN14" i="8"/>
  <c r="BH14" i="8" s="1"/>
  <c r="AM14" i="8"/>
  <c r="BG14" i="8" s="1"/>
  <c r="AL14" i="8"/>
  <c r="BF14" i="8" s="1"/>
  <c r="AK14" i="8"/>
  <c r="BE14" i="8" s="1"/>
  <c r="AJ14" i="8"/>
  <c r="BD14" i="8" s="1"/>
  <c r="BV13" i="8"/>
  <c r="BU13" i="8"/>
  <c r="BT13" i="8"/>
  <c r="BS13" i="8"/>
  <c r="BR13" i="8"/>
  <c r="BQ13" i="8"/>
  <c r="BP13" i="8"/>
  <c r="BO13" i="8"/>
  <c r="BN13" i="8"/>
  <c r="BM13" i="8"/>
  <c r="BK13" i="8"/>
  <c r="BJ13" i="8"/>
  <c r="AO13" i="8"/>
  <c r="BI13" i="8" s="1"/>
  <c r="AN13" i="8"/>
  <c r="BH13" i="8" s="1"/>
  <c r="AM13" i="8"/>
  <c r="BG13" i="8" s="1"/>
  <c r="AL13" i="8"/>
  <c r="BF13" i="8" s="1"/>
  <c r="AK13" i="8"/>
  <c r="BE13" i="8" s="1"/>
  <c r="AJ13" i="8"/>
  <c r="BD13" i="8" s="1"/>
  <c r="BV12" i="8"/>
  <c r="BU12" i="8"/>
  <c r="BT12" i="8"/>
  <c r="BS12" i="8"/>
  <c r="BR12" i="8"/>
  <c r="BQ12" i="8"/>
  <c r="BP12" i="8"/>
  <c r="BO12" i="8"/>
  <c r="BN12" i="8"/>
  <c r="BM12" i="8"/>
  <c r="BK12" i="8"/>
  <c r="BJ12" i="8"/>
  <c r="AO12" i="8"/>
  <c r="BI12" i="8" s="1"/>
  <c r="AN12" i="8"/>
  <c r="BH12" i="8" s="1"/>
  <c r="AM12" i="8"/>
  <c r="BG12" i="8" s="1"/>
  <c r="AL12" i="8"/>
  <c r="BF12" i="8" s="1"/>
  <c r="AK12" i="8"/>
  <c r="BE12" i="8" s="1"/>
  <c r="AJ12" i="8"/>
  <c r="BD12" i="8" s="1"/>
  <c r="BV11" i="8"/>
  <c r="BU11" i="8"/>
  <c r="BT11" i="8"/>
  <c r="BS11" i="8"/>
  <c r="BR11" i="8"/>
  <c r="BQ11" i="8"/>
  <c r="BP11" i="8"/>
  <c r="BO11" i="8"/>
  <c r="BN11" i="8"/>
  <c r="BM11" i="8"/>
  <c r="BK11" i="8"/>
  <c r="BJ11" i="8"/>
  <c r="AO11" i="8"/>
  <c r="BI11" i="8" s="1"/>
  <c r="AN11" i="8"/>
  <c r="BH11" i="8" s="1"/>
  <c r="AM11" i="8"/>
  <c r="BG11" i="8" s="1"/>
  <c r="AL11" i="8"/>
  <c r="BF11" i="8" s="1"/>
  <c r="AK11" i="8"/>
  <c r="BE11" i="8" s="1"/>
  <c r="AJ11" i="8"/>
  <c r="BD11" i="8" s="1"/>
  <c r="BV10" i="8"/>
  <c r="BU10" i="8"/>
  <c r="BT10" i="8"/>
  <c r="BS10" i="8"/>
  <c r="BR10" i="8"/>
  <c r="BQ10" i="8"/>
  <c r="BP10" i="8"/>
  <c r="BO10" i="8"/>
  <c r="BN10" i="8"/>
  <c r="BM10" i="8"/>
  <c r="BK10" i="8"/>
  <c r="BJ10" i="8"/>
  <c r="AO10" i="8"/>
  <c r="BI10" i="8" s="1"/>
  <c r="AN10" i="8"/>
  <c r="BH10" i="8" s="1"/>
  <c r="AM10" i="8"/>
  <c r="BG10" i="8" s="1"/>
  <c r="AL10" i="8"/>
  <c r="BF10" i="8" s="1"/>
  <c r="AK10" i="8"/>
  <c r="BE10" i="8" s="1"/>
  <c r="AJ10" i="8"/>
  <c r="BD10" i="8" s="1"/>
  <c r="BV9" i="8"/>
  <c r="BU9" i="8"/>
  <c r="BT9" i="8"/>
  <c r="BS9" i="8"/>
  <c r="BR9" i="8"/>
  <c r="BQ9" i="8"/>
  <c r="BP9" i="8"/>
  <c r="BO9" i="8"/>
  <c r="BN9" i="8"/>
  <c r="BM9" i="8"/>
  <c r="BK9" i="8"/>
  <c r="BJ9" i="8"/>
  <c r="AO9" i="8"/>
  <c r="BI9" i="8" s="1"/>
  <c r="AN9" i="8"/>
  <c r="BH9" i="8" s="1"/>
  <c r="AM9" i="8"/>
  <c r="BG9" i="8" s="1"/>
  <c r="AL9" i="8"/>
  <c r="BF9" i="8" s="1"/>
  <c r="AK9" i="8"/>
  <c r="BE9" i="8" s="1"/>
  <c r="AJ9" i="8"/>
  <c r="BD9" i="8" s="1"/>
  <c r="BV26" i="7"/>
  <c r="BS26" i="7"/>
  <c r="BR26" i="7"/>
  <c r="BQ26" i="7"/>
  <c r="BP26" i="7"/>
  <c r="BO26" i="7"/>
  <c r="BN26" i="7"/>
  <c r="BM26" i="7"/>
  <c r="BK26" i="7"/>
  <c r="BJ26" i="7"/>
  <c r="BV25" i="7"/>
  <c r="BU25" i="7"/>
  <c r="BS25" i="7"/>
  <c r="BR25" i="7"/>
  <c r="BQ25" i="7"/>
  <c r="BP25" i="7"/>
  <c r="BO25" i="7"/>
  <c r="BN25" i="7"/>
  <c r="BM25" i="7"/>
  <c r="BK25" i="7"/>
  <c r="BJ25" i="7"/>
  <c r="AO25" i="7"/>
  <c r="BI25" i="7" s="1"/>
  <c r="AN25" i="7"/>
  <c r="BH25" i="7" s="1"/>
  <c r="AM25" i="7"/>
  <c r="BG25" i="7" s="1"/>
  <c r="AL25" i="7"/>
  <c r="BF25" i="7" s="1"/>
  <c r="AK25" i="7"/>
  <c r="BE25" i="7" s="1"/>
  <c r="AJ25" i="7"/>
  <c r="BD25" i="7" s="1"/>
  <c r="BV24" i="7"/>
  <c r="BU24" i="7"/>
  <c r="BS24" i="7"/>
  <c r="BR24" i="7"/>
  <c r="BQ24" i="7"/>
  <c r="BP24" i="7"/>
  <c r="BO24" i="7"/>
  <c r="BN24" i="7"/>
  <c r="BM24" i="7"/>
  <c r="BK24" i="7"/>
  <c r="BJ24" i="7"/>
  <c r="AO24" i="7"/>
  <c r="AN24" i="7"/>
  <c r="AM24" i="7"/>
  <c r="AL24" i="7"/>
  <c r="AK24" i="7"/>
  <c r="AJ24" i="7"/>
  <c r="BV23" i="7"/>
  <c r="BU23" i="7"/>
  <c r="AZ23" i="16"/>
  <c r="BS23" i="7"/>
  <c r="BR23" i="7"/>
  <c r="BQ23" i="7"/>
  <c r="BP23" i="7"/>
  <c r="BO23" i="7"/>
  <c r="BN23" i="7"/>
  <c r="BM23" i="7"/>
  <c r="BL23" i="7"/>
  <c r="BK23" i="7"/>
  <c r="BJ23" i="7"/>
  <c r="AO23" i="7"/>
  <c r="BI23" i="7" s="1"/>
  <c r="AN23" i="7"/>
  <c r="BH23" i="7" s="1"/>
  <c r="AM23" i="7"/>
  <c r="BG23" i="7" s="1"/>
  <c r="AL23" i="7"/>
  <c r="BF23" i="7" s="1"/>
  <c r="AK23" i="7"/>
  <c r="BE23" i="7" s="1"/>
  <c r="AJ23" i="7"/>
  <c r="BD23" i="7" s="1"/>
  <c r="BV22" i="7"/>
  <c r="BU22" i="7"/>
  <c r="BS22" i="7"/>
  <c r="BR22" i="7"/>
  <c r="BQ22" i="7"/>
  <c r="BP22" i="7"/>
  <c r="BO22" i="7"/>
  <c r="BN22" i="7"/>
  <c r="BM22" i="7"/>
  <c r="BL22" i="7"/>
  <c r="BK22" i="7"/>
  <c r="BJ22" i="7"/>
  <c r="AO22" i="7"/>
  <c r="BI22" i="7" s="1"/>
  <c r="AN22" i="7"/>
  <c r="BH22" i="7" s="1"/>
  <c r="AM22" i="7"/>
  <c r="BG22" i="7" s="1"/>
  <c r="AL22" i="7"/>
  <c r="BF22" i="7" s="1"/>
  <c r="AK22" i="7"/>
  <c r="BE22" i="7" s="1"/>
  <c r="AJ22" i="7"/>
  <c r="BD22" i="7" s="1"/>
  <c r="BV21" i="7"/>
  <c r="BU21" i="7"/>
  <c r="BS21" i="7"/>
  <c r="BR21" i="7"/>
  <c r="BQ21" i="7"/>
  <c r="BP21" i="7"/>
  <c r="BO21" i="7"/>
  <c r="BN21" i="7"/>
  <c r="BM21" i="7"/>
  <c r="BK21" i="7"/>
  <c r="BJ21" i="7"/>
  <c r="AO21" i="7"/>
  <c r="BI21" i="7" s="1"/>
  <c r="AN21" i="7"/>
  <c r="BH21" i="7" s="1"/>
  <c r="AM21" i="7"/>
  <c r="BG21" i="7" s="1"/>
  <c r="AL21" i="7"/>
  <c r="BF21" i="7" s="1"/>
  <c r="AK21" i="7"/>
  <c r="BE21" i="7" s="1"/>
  <c r="AJ21" i="7"/>
  <c r="BD21" i="7" s="1"/>
  <c r="BV20" i="7"/>
  <c r="BS20" i="7"/>
  <c r="BR20" i="7"/>
  <c r="BQ20" i="7"/>
  <c r="BP20" i="7"/>
  <c r="BO20" i="7"/>
  <c r="BN20" i="7"/>
  <c r="BM20" i="7"/>
  <c r="BL20" i="7"/>
  <c r="BK20" i="7"/>
  <c r="BJ20" i="7"/>
  <c r="AO20" i="7"/>
  <c r="BI20" i="7" s="1"/>
  <c r="AN20" i="7"/>
  <c r="BH20" i="7" s="1"/>
  <c r="AM20" i="7"/>
  <c r="BG20" i="7" s="1"/>
  <c r="AL20" i="7"/>
  <c r="BF20" i="7" s="1"/>
  <c r="AK20" i="7"/>
  <c r="BE20" i="7" s="1"/>
  <c r="AJ20" i="7"/>
  <c r="BD20" i="7" s="1"/>
  <c r="BV19" i="7"/>
  <c r="BU19" i="7"/>
  <c r="BS19" i="7"/>
  <c r="BR19" i="7"/>
  <c r="BQ19" i="7"/>
  <c r="BP19" i="7"/>
  <c r="BO19" i="7"/>
  <c r="BN19" i="7"/>
  <c r="BM19" i="7"/>
  <c r="BK19" i="7"/>
  <c r="BJ19" i="7"/>
  <c r="AO19" i="7"/>
  <c r="BI19" i="7" s="1"/>
  <c r="AN19" i="7"/>
  <c r="BH19" i="7" s="1"/>
  <c r="AM19" i="7"/>
  <c r="BG19" i="7" s="1"/>
  <c r="AL19" i="7"/>
  <c r="BF19" i="7" s="1"/>
  <c r="AK19" i="7"/>
  <c r="BE19" i="7" s="1"/>
  <c r="AJ19" i="7"/>
  <c r="BD19" i="7" s="1"/>
  <c r="BV18" i="7"/>
  <c r="BU18" i="7"/>
  <c r="BS18" i="7"/>
  <c r="BR18" i="7"/>
  <c r="BQ18" i="7"/>
  <c r="BP18" i="7"/>
  <c r="BO18" i="7"/>
  <c r="BN18" i="7"/>
  <c r="BM18" i="7"/>
  <c r="BK18" i="7"/>
  <c r="BJ18" i="7"/>
  <c r="AO18" i="7"/>
  <c r="BI18" i="7" s="1"/>
  <c r="AN18" i="7"/>
  <c r="BH18" i="7" s="1"/>
  <c r="AM18" i="7"/>
  <c r="BG18" i="7" s="1"/>
  <c r="AL18" i="7"/>
  <c r="BF18" i="7" s="1"/>
  <c r="AK18" i="7"/>
  <c r="BE18" i="7" s="1"/>
  <c r="AJ18" i="7"/>
  <c r="BD18" i="7" s="1"/>
  <c r="BV17" i="7"/>
  <c r="BU17" i="7"/>
  <c r="BS17" i="7"/>
  <c r="BR17" i="7"/>
  <c r="BQ17" i="7"/>
  <c r="BP17" i="7"/>
  <c r="BO17" i="7"/>
  <c r="BN17" i="7"/>
  <c r="BM17" i="7"/>
  <c r="BL17" i="7"/>
  <c r="BK17" i="7"/>
  <c r="BJ17" i="7"/>
  <c r="AO17" i="7"/>
  <c r="BI17" i="7" s="1"/>
  <c r="AN17" i="7"/>
  <c r="BH17" i="7" s="1"/>
  <c r="AM17" i="7"/>
  <c r="BG17" i="7" s="1"/>
  <c r="AL17" i="7"/>
  <c r="BF17" i="7" s="1"/>
  <c r="AK17" i="7"/>
  <c r="BE17" i="7" s="1"/>
  <c r="AJ17" i="7"/>
  <c r="BD17" i="7" s="1"/>
  <c r="BV16" i="7"/>
  <c r="BU16" i="7"/>
  <c r="BS16" i="7"/>
  <c r="BR16" i="7"/>
  <c r="BQ16" i="7"/>
  <c r="BP16" i="7"/>
  <c r="BO16" i="7"/>
  <c r="BN16" i="7"/>
  <c r="BM16" i="7"/>
  <c r="BK16" i="7"/>
  <c r="BJ16" i="7"/>
  <c r="AO16" i="7"/>
  <c r="BI16" i="7" s="1"/>
  <c r="AN16" i="7"/>
  <c r="BH16" i="7" s="1"/>
  <c r="AM16" i="7"/>
  <c r="BG16" i="7" s="1"/>
  <c r="AL16" i="7"/>
  <c r="BF16" i="7" s="1"/>
  <c r="AK16" i="7"/>
  <c r="BE16" i="7" s="1"/>
  <c r="AJ16" i="7"/>
  <c r="BD16" i="7" s="1"/>
  <c r="BV15" i="7"/>
  <c r="BU15" i="7"/>
  <c r="BS15" i="7"/>
  <c r="BR15" i="7"/>
  <c r="BQ15" i="7"/>
  <c r="BP15" i="7"/>
  <c r="BO15" i="7"/>
  <c r="BN15" i="7"/>
  <c r="BM15" i="7"/>
  <c r="BK15" i="7"/>
  <c r="BJ15" i="7"/>
  <c r="AO15" i="7"/>
  <c r="BI15" i="7" s="1"/>
  <c r="AN15" i="7"/>
  <c r="BH15" i="7" s="1"/>
  <c r="AM15" i="7"/>
  <c r="BG15" i="7" s="1"/>
  <c r="AL15" i="7"/>
  <c r="BF15" i="7" s="1"/>
  <c r="AK15" i="7"/>
  <c r="BE15" i="7" s="1"/>
  <c r="AJ15" i="7"/>
  <c r="BD15" i="7" s="1"/>
  <c r="BV14" i="7"/>
  <c r="BU14" i="7"/>
  <c r="BS14" i="7"/>
  <c r="BR14" i="7"/>
  <c r="BQ14" i="7"/>
  <c r="BP14" i="7"/>
  <c r="BO14" i="7"/>
  <c r="BN14" i="7"/>
  <c r="BM14" i="7"/>
  <c r="BK14" i="7"/>
  <c r="BJ14" i="7"/>
  <c r="AO14" i="7"/>
  <c r="BI14" i="7" s="1"/>
  <c r="AN14" i="7"/>
  <c r="BH14" i="7" s="1"/>
  <c r="AM14" i="7"/>
  <c r="BG14" i="7" s="1"/>
  <c r="AL14" i="7"/>
  <c r="BF14" i="7" s="1"/>
  <c r="AK14" i="7"/>
  <c r="BE14" i="7" s="1"/>
  <c r="AJ14" i="7"/>
  <c r="BD14" i="7" s="1"/>
  <c r="BV13" i="7"/>
  <c r="BU13" i="7"/>
  <c r="BS13" i="7"/>
  <c r="BR13" i="7"/>
  <c r="BQ13" i="7"/>
  <c r="BP13" i="7"/>
  <c r="BO13" i="7"/>
  <c r="BN13" i="7"/>
  <c r="BM13" i="7"/>
  <c r="BK13" i="7"/>
  <c r="BJ13" i="7"/>
  <c r="AO13" i="7"/>
  <c r="BI13" i="7" s="1"/>
  <c r="AN13" i="7"/>
  <c r="BH13" i="7" s="1"/>
  <c r="AM13" i="7"/>
  <c r="BG13" i="7" s="1"/>
  <c r="AL13" i="7"/>
  <c r="BF13" i="7" s="1"/>
  <c r="AK13" i="7"/>
  <c r="BE13" i="7" s="1"/>
  <c r="AJ13" i="7"/>
  <c r="BD13" i="7" s="1"/>
  <c r="BV12" i="7"/>
  <c r="BU12" i="7"/>
  <c r="BS12" i="7"/>
  <c r="BR12" i="7"/>
  <c r="BQ12" i="7"/>
  <c r="BP12" i="7"/>
  <c r="BO12" i="7"/>
  <c r="BN12" i="7"/>
  <c r="BM12" i="7"/>
  <c r="BK12" i="7"/>
  <c r="BJ12" i="7"/>
  <c r="AO12" i="7"/>
  <c r="BI12" i="7" s="1"/>
  <c r="AN12" i="7"/>
  <c r="BH12" i="7" s="1"/>
  <c r="AM12" i="7"/>
  <c r="BG12" i="7" s="1"/>
  <c r="AL12" i="7"/>
  <c r="BF12" i="7" s="1"/>
  <c r="AK12" i="7"/>
  <c r="BE12" i="7" s="1"/>
  <c r="AJ12" i="7"/>
  <c r="BD12" i="7" s="1"/>
  <c r="BV11" i="7"/>
  <c r="BU11" i="7"/>
  <c r="BS11" i="7"/>
  <c r="BR11" i="7"/>
  <c r="BQ11" i="7"/>
  <c r="BP11" i="7"/>
  <c r="BO11" i="7"/>
  <c r="BN11" i="7"/>
  <c r="BM11" i="7"/>
  <c r="BK11" i="7"/>
  <c r="BJ11" i="7"/>
  <c r="AO11" i="7"/>
  <c r="BI11" i="7" s="1"/>
  <c r="AN11" i="7"/>
  <c r="BH11" i="7" s="1"/>
  <c r="AM11" i="7"/>
  <c r="BG11" i="7" s="1"/>
  <c r="AL11" i="7"/>
  <c r="BF11" i="7" s="1"/>
  <c r="AK11" i="7"/>
  <c r="BE11" i="7" s="1"/>
  <c r="AJ11" i="7"/>
  <c r="BD11" i="7" s="1"/>
  <c r="BV10" i="7"/>
  <c r="BU10" i="7"/>
  <c r="BS10" i="7"/>
  <c r="BR10" i="7"/>
  <c r="BQ10" i="7"/>
  <c r="BP10" i="7"/>
  <c r="BO10" i="7"/>
  <c r="BN10" i="7"/>
  <c r="BM10" i="7"/>
  <c r="BK10" i="7"/>
  <c r="BJ10" i="7"/>
  <c r="AO10" i="7"/>
  <c r="BI10" i="7" s="1"/>
  <c r="AN10" i="7"/>
  <c r="BH10" i="7" s="1"/>
  <c r="AM10" i="7"/>
  <c r="BG10" i="7" s="1"/>
  <c r="AL10" i="7"/>
  <c r="BF10" i="7" s="1"/>
  <c r="AK10" i="7"/>
  <c r="BE10" i="7" s="1"/>
  <c r="AJ10" i="7"/>
  <c r="BD10" i="7" s="1"/>
  <c r="BV9" i="7"/>
  <c r="BU9" i="7"/>
  <c r="BS9" i="7"/>
  <c r="BR9" i="7"/>
  <c r="BQ9" i="7"/>
  <c r="BP9" i="7"/>
  <c r="BO9" i="7"/>
  <c r="BN9" i="7"/>
  <c r="BM9" i="7"/>
  <c r="BK9" i="7"/>
  <c r="BJ9" i="7"/>
  <c r="AO9" i="7"/>
  <c r="BI9" i="7" s="1"/>
  <c r="AN9" i="7"/>
  <c r="BH9" i="7" s="1"/>
  <c r="AM9" i="7"/>
  <c r="BG9" i="7" s="1"/>
  <c r="AL9" i="7"/>
  <c r="BF9" i="7" s="1"/>
  <c r="AK9" i="7"/>
  <c r="BE9" i="7" s="1"/>
  <c r="AJ9" i="7"/>
  <c r="BD9" i="7" s="1"/>
  <c r="AO32" i="16"/>
  <c r="AO31" i="16"/>
  <c r="AO30" i="16"/>
  <c r="AO29" i="16"/>
  <c r="AO28" i="16"/>
  <c r="AO27" i="16"/>
  <c r="AO25" i="16"/>
  <c r="BV24" i="6"/>
  <c r="BU24" i="6"/>
  <c r="BT24" i="6"/>
  <c r="AO24" i="6"/>
  <c r="AN24" i="6"/>
  <c r="AM24" i="6"/>
  <c r="AL24" i="6"/>
  <c r="AK24" i="6"/>
  <c r="AJ24" i="6"/>
  <c r="BV23" i="6"/>
  <c r="BU23" i="6"/>
  <c r="BU23" i="16" s="1"/>
  <c r="BT23" i="6"/>
  <c r="AO23" i="6"/>
  <c r="AO23" i="16" s="1"/>
  <c r="AN23" i="6"/>
  <c r="AM23" i="6"/>
  <c r="AL23" i="6"/>
  <c r="AK23" i="6"/>
  <c r="AJ23" i="6"/>
  <c r="BV22" i="6"/>
  <c r="BU22" i="6"/>
  <c r="BU22" i="16" s="1"/>
  <c r="BT22" i="6"/>
  <c r="AO22" i="6"/>
  <c r="AO22" i="16" s="1"/>
  <c r="AN22" i="6"/>
  <c r="AM22" i="6"/>
  <c r="AL22" i="6"/>
  <c r="AK22" i="6"/>
  <c r="AJ22" i="6"/>
  <c r="BV21" i="6"/>
  <c r="BU21" i="6"/>
  <c r="BT21" i="6"/>
  <c r="AO21" i="6"/>
  <c r="AO21" i="16" s="1"/>
  <c r="AN21" i="6"/>
  <c r="AM21" i="6"/>
  <c r="AL21" i="6"/>
  <c r="AK21" i="6"/>
  <c r="AJ21" i="6"/>
  <c r="BV20" i="6"/>
  <c r="BT20" i="6"/>
  <c r="AO20" i="6"/>
  <c r="AO20" i="16" s="1"/>
  <c r="AN20" i="6"/>
  <c r="AM20" i="6"/>
  <c r="AL20" i="6"/>
  <c r="AK20" i="6"/>
  <c r="AJ20" i="6"/>
  <c r="BV19" i="6"/>
  <c r="BU19" i="6"/>
  <c r="BU19" i="16" s="1"/>
  <c r="BT19" i="6"/>
  <c r="AO19" i="6"/>
  <c r="AO19" i="16" s="1"/>
  <c r="AN19" i="6"/>
  <c r="AM19" i="6"/>
  <c r="AL19" i="6"/>
  <c r="AK19" i="6"/>
  <c r="AJ19" i="6"/>
  <c r="BV18" i="6"/>
  <c r="BU18" i="6"/>
  <c r="BT18" i="6"/>
  <c r="AO18" i="6"/>
  <c r="AO18" i="16" s="1"/>
  <c r="AN18" i="6"/>
  <c r="AM18" i="6"/>
  <c r="AL18" i="6"/>
  <c r="AK18" i="6"/>
  <c r="AJ18" i="6"/>
  <c r="BV17" i="6"/>
  <c r="BU17" i="6"/>
  <c r="BU17" i="16" s="1"/>
  <c r="BT17" i="6"/>
  <c r="AO17" i="6"/>
  <c r="AO17" i="16" s="1"/>
  <c r="AN17" i="6"/>
  <c r="AM17" i="6"/>
  <c r="AL17" i="6"/>
  <c r="AK17" i="6"/>
  <c r="AJ17" i="6"/>
  <c r="BV16" i="6"/>
  <c r="BU16" i="6"/>
  <c r="BT16" i="6"/>
  <c r="AO16" i="6"/>
  <c r="AO16" i="16" s="1"/>
  <c r="AN16" i="6"/>
  <c r="AM16" i="6"/>
  <c r="AL16" i="6"/>
  <c r="AK16" i="6"/>
  <c r="AJ16" i="6"/>
  <c r="BV15" i="6"/>
  <c r="BU15" i="6"/>
  <c r="BT15" i="6"/>
  <c r="AO15" i="6"/>
  <c r="AO15" i="16" s="1"/>
  <c r="AN15" i="6"/>
  <c r="AM15" i="6"/>
  <c r="AL15" i="6"/>
  <c r="AK15" i="6"/>
  <c r="AJ15" i="6"/>
  <c r="BV14" i="6"/>
  <c r="BU14" i="6"/>
  <c r="BT14" i="6"/>
  <c r="AO14" i="6"/>
  <c r="AO14" i="16" s="1"/>
  <c r="AN14" i="6"/>
  <c r="AM14" i="6"/>
  <c r="AL14" i="6"/>
  <c r="AK14" i="6"/>
  <c r="AJ14" i="6"/>
  <c r="BV13" i="6"/>
  <c r="BU13" i="6"/>
  <c r="BT13" i="6"/>
  <c r="AO13" i="6"/>
  <c r="AO13" i="16" s="1"/>
  <c r="AN13" i="6"/>
  <c r="AM13" i="6"/>
  <c r="AL13" i="6"/>
  <c r="AK13" i="6"/>
  <c r="AJ13" i="6"/>
  <c r="BV12" i="6"/>
  <c r="BU12" i="6"/>
  <c r="AO12" i="6"/>
  <c r="AO12" i="16" s="1"/>
  <c r="AN12" i="6"/>
  <c r="AM12" i="6"/>
  <c r="AL12" i="6"/>
  <c r="AK12" i="6"/>
  <c r="AJ12" i="6"/>
  <c r="BV11" i="6"/>
  <c r="BU11" i="6"/>
  <c r="BT11" i="6"/>
  <c r="AO11" i="6"/>
  <c r="AO11" i="16" s="1"/>
  <c r="AN11" i="6"/>
  <c r="AM11" i="6"/>
  <c r="AL11" i="6"/>
  <c r="AK11" i="6"/>
  <c r="AJ11" i="6"/>
  <c r="BV10" i="6"/>
  <c r="BU10" i="6"/>
  <c r="BT10" i="6"/>
  <c r="AO10" i="6"/>
  <c r="AO10" i="16" s="1"/>
  <c r="AN10" i="6"/>
  <c r="AM10" i="6"/>
  <c r="AL10" i="6"/>
  <c r="AK10" i="6"/>
  <c r="AJ10" i="6"/>
  <c r="BV9" i="6"/>
  <c r="BU9" i="6"/>
  <c r="BU9" i="16" s="1"/>
  <c r="BT9" i="6"/>
  <c r="AO9" i="6"/>
  <c r="AO9" i="16" s="1"/>
  <c r="AN9" i="6"/>
  <c r="AM9" i="6"/>
  <c r="AL9" i="6"/>
  <c r="AK9" i="6"/>
  <c r="AJ9" i="6"/>
  <c r="AO24" i="5"/>
  <c r="AN24" i="5"/>
  <c r="AM24" i="5"/>
  <c r="AL24" i="5"/>
  <c r="AK24" i="5"/>
  <c r="AJ24" i="5"/>
  <c r="AO23" i="5"/>
  <c r="AN23" i="5"/>
  <c r="AM23" i="5"/>
  <c r="AL23" i="5"/>
  <c r="AK23" i="5"/>
  <c r="AJ23" i="5"/>
  <c r="AO22" i="5"/>
  <c r="AN22" i="5"/>
  <c r="AM22" i="5"/>
  <c r="AL22" i="5"/>
  <c r="AK22" i="5"/>
  <c r="AJ22" i="5"/>
  <c r="AO21" i="5"/>
  <c r="AN21" i="5"/>
  <c r="AM21" i="5"/>
  <c r="AL21" i="5"/>
  <c r="AK21" i="5"/>
  <c r="AJ21" i="5"/>
  <c r="AO20" i="5"/>
  <c r="AN20" i="5"/>
  <c r="AM20" i="5"/>
  <c r="AL20" i="5"/>
  <c r="AK20" i="5"/>
  <c r="AJ20" i="5"/>
  <c r="AO19" i="5"/>
  <c r="AN19" i="5"/>
  <c r="AM19" i="5"/>
  <c r="AL19" i="5"/>
  <c r="AK19" i="5"/>
  <c r="AJ19" i="5"/>
  <c r="AO18" i="5"/>
  <c r="AN18" i="5"/>
  <c r="AM18" i="5"/>
  <c r="AL18" i="5"/>
  <c r="AK18" i="5"/>
  <c r="AJ18" i="5"/>
  <c r="AO17" i="5"/>
  <c r="AN17" i="5"/>
  <c r="AM17" i="5"/>
  <c r="AL17" i="5"/>
  <c r="AK17" i="5"/>
  <c r="AJ17" i="5"/>
  <c r="AO16" i="5"/>
  <c r="AN16" i="5"/>
  <c r="AM16" i="5"/>
  <c r="AL16" i="5"/>
  <c r="AK16" i="5"/>
  <c r="AJ16" i="5"/>
  <c r="AO15" i="5"/>
  <c r="AN15" i="5"/>
  <c r="AM15" i="5"/>
  <c r="AL15" i="5"/>
  <c r="AK15" i="5"/>
  <c r="AJ15" i="5"/>
  <c r="AO14" i="5"/>
  <c r="AN14" i="5"/>
  <c r="AM14" i="5"/>
  <c r="AL14" i="5"/>
  <c r="AK14" i="5"/>
  <c r="AJ14" i="5"/>
  <c r="AO13" i="5"/>
  <c r="AN13" i="5"/>
  <c r="AM13" i="5"/>
  <c r="AL13" i="5"/>
  <c r="AK13" i="5"/>
  <c r="AJ13" i="5"/>
  <c r="AO12" i="5"/>
  <c r="AN12" i="5"/>
  <c r="AM12" i="5"/>
  <c r="AL12" i="5"/>
  <c r="AK12" i="5"/>
  <c r="AJ12" i="5"/>
  <c r="AO11" i="5"/>
  <c r="AN11" i="5"/>
  <c r="AM11" i="5"/>
  <c r="AL11" i="5"/>
  <c r="AK11" i="5"/>
  <c r="AJ11" i="5"/>
  <c r="AO10" i="5"/>
  <c r="AN10" i="5"/>
  <c r="AM10" i="5"/>
  <c r="AL10" i="5"/>
  <c r="AK10" i="5"/>
  <c r="AJ10" i="5"/>
  <c r="AO9" i="5"/>
  <c r="AN9" i="5"/>
  <c r="AM9" i="5"/>
  <c r="AL9" i="5"/>
  <c r="AK9" i="5"/>
  <c r="AJ9" i="5"/>
  <c r="BV56" i="15"/>
  <c r="AO24" i="4"/>
  <c r="AN24" i="4"/>
  <c r="AM24" i="4"/>
  <c r="AL24" i="4"/>
  <c r="AK24" i="4"/>
  <c r="AJ24" i="4"/>
  <c r="AO23" i="4"/>
  <c r="AN23" i="4"/>
  <c r="AM23" i="4"/>
  <c r="AL23" i="4"/>
  <c r="AK23" i="4"/>
  <c r="AJ23" i="4"/>
  <c r="AO22" i="4"/>
  <c r="AN22" i="4"/>
  <c r="AM22" i="4"/>
  <c r="AL22" i="4"/>
  <c r="AK22" i="4"/>
  <c r="AJ22" i="4"/>
  <c r="AO21" i="4"/>
  <c r="AN21" i="4"/>
  <c r="AM21" i="4"/>
  <c r="AL21" i="4"/>
  <c r="AK21" i="4"/>
  <c r="AJ21" i="4"/>
  <c r="AO20" i="4"/>
  <c r="AN20" i="4"/>
  <c r="AM20" i="4"/>
  <c r="AL20" i="4"/>
  <c r="AK20" i="4"/>
  <c r="AJ20" i="4"/>
  <c r="AO19" i="4"/>
  <c r="AN19" i="4"/>
  <c r="AM19" i="4"/>
  <c r="AL19" i="4"/>
  <c r="AK19" i="4"/>
  <c r="AJ19" i="4"/>
  <c r="AO18" i="4"/>
  <c r="AN18" i="4"/>
  <c r="AM18" i="4"/>
  <c r="AL18" i="4"/>
  <c r="AK18" i="4"/>
  <c r="AJ18" i="4"/>
  <c r="AO17" i="4"/>
  <c r="AN17" i="4"/>
  <c r="AM17" i="4"/>
  <c r="AL17" i="4"/>
  <c r="AK17" i="4"/>
  <c r="AJ17" i="4"/>
  <c r="AO16" i="4"/>
  <c r="AN16" i="4"/>
  <c r="AM16" i="4"/>
  <c r="AL16" i="4"/>
  <c r="AK16" i="4"/>
  <c r="AJ16" i="4"/>
  <c r="AO15" i="4"/>
  <c r="AN15" i="4"/>
  <c r="AM15" i="4"/>
  <c r="AL15" i="4"/>
  <c r="AK15" i="4"/>
  <c r="AJ15" i="4"/>
  <c r="AO14" i="4"/>
  <c r="AN14" i="4"/>
  <c r="AM14" i="4"/>
  <c r="AL14" i="4"/>
  <c r="AK14" i="4"/>
  <c r="AJ14" i="4"/>
  <c r="AO13" i="4"/>
  <c r="AN13" i="4"/>
  <c r="AM13" i="4"/>
  <c r="AL13" i="4"/>
  <c r="AK13" i="4"/>
  <c r="AJ13" i="4"/>
  <c r="AO12" i="4"/>
  <c r="AN12" i="4"/>
  <c r="AM12" i="4"/>
  <c r="AL12" i="4"/>
  <c r="AK12" i="4"/>
  <c r="AJ12" i="4"/>
  <c r="AO11" i="4"/>
  <c r="AN11" i="4"/>
  <c r="AM11" i="4"/>
  <c r="AL11" i="4"/>
  <c r="AK11" i="4"/>
  <c r="AJ11" i="4"/>
  <c r="AO10" i="4"/>
  <c r="AN10" i="4"/>
  <c r="AM10" i="4"/>
  <c r="AL10" i="4"/>
  <c r="AK10" i="4"/>
  <c r="AJ10" i="4"/>
  <c r="AO9" i="4"/>
  <c r="AN9" i="4"/>
  <c r="AM9" i="4"/>
  <c r="AL9" i="4"/>
  <c r="AK9" i="4"/>
  <c r="AJ9" i="4"/>
  <c r="BV53" i="15"/>
  <c r="AP26" i="15" l="1"/>
  <c r="BJ25" i="15"/>
  <c r="BW17" i="15"/>
  <c r="BW21" i="15"/>
  <c r="AL9" i="16"/>
  <c r="BF9" i="16"/>
  <c r="AK10" i="16"/>
  <c r="BE10" i="16"/>
  <c r="AJ11" i="16"/>
  <c r="BD11" i="16"/>
  <c r="AN11" i="16"/>
  <c r="BH11" i="16"/>
  <c r="BD9" i="16"/>
  <c r="AJ9" i="16"/>
  <c r="AN9" i="16"/>
  <c r="BH9" i="16"/>
  <c r="BU40" i="16"/>
  <c r="BV99" i="16"/>
  <c r="BV69" i="16"/>
  <c r="AM10" i="16"/>
  <c r="BG10" i="16"/>
  <c r="AL11" i="16"/>
  <c r="BF11" i="16"/>
  <c r="BE12" i="16"/>
  <c r="AK12" i="16"/>
  <c r="BE13" i="16"/>
  <c r="AK13" i="16"/>
  <c r="BD14" i="16"/>
  <c r="AJ14" i="16"/>
  <c r="BH14" i="16"/>
  <c r="AN14" i="16"/>
  <c r="BU45" i="16"/>
  <c r="BV104" i="16"/>
  <c r="BV74" i="16"/>
  <c r="BG15" i="16"/>
  <c r="AM15" i="16"/>
  <c r="BF16" i="16"/>
  <c r="AL16" i="16"/>
  <c r="BE17" i="16"/>
  <c r="AK17" i="16"/>
  <c r="BD18" i="16"/>
  <c r="AJ18" i="16"/>
  <c r="BU42" i="16"/>
  <c r="BV71" i="16"/>
  <c r="BV101" i="16"/>
  <c r="AM12" i="16"/>
  <c r="BG12" i="16"/>
  <c r="BV102" i="16"/>
  <c r="BV72" i="16"/>
  <c r="BG13" i="16"/>
  <c r="AM13" i="16"/>
  <c r="BF14" i="16"/>
  <c r="AL14" i="16"/>
  <c r="BE15" i="16"/>
  <c r="AK15" i="16"/>
  <c r="BD16" i="16"/>
  <c r="AJ16" i="16"/>
  <c r="BH16" i="16"/>
  <c r="AN16" i="16"/>
  <c r="BV106" i="16"/>
  <c r="BV76" i="16"/>
  <c r="BG17" i="16"/>
  <c r="AM17" i="16"/>
  <c r="BF18" i="16"/>
  <c r="AL18" i="16"/>
  <c r="AK19" i="16"/>
  <c r="BE19" i="16"/>
  <c r="AJ20" i="16"/>
  <c r="BD20" i="16"/>
  <c r="AN20" i="16"/>
  <c r="BH20" i="16"/>
  <c r="BD21" i="16"/>
  <c r="AJ21" i="16"/>
  <c r="BH21" i="16"/>
  <c r="AN21" i="16"/>
  <c r="BU52" i="16"/>
  <c r="BV111" i="16"/>
  <c r="BV81" i="16"/>
  <c r="AM22" i="16"/>
  <c r="BG22" i="16"/>
  <c r="AL23" i="16"/>
  <c r="BF23" i="16"/>
  <c r="AO24" i="16"/>
  <c r="AO26" i="16"/>
  <c r="BU56" i="16"/>
  <c r="BV115" i="16"/>
  <c r="BV85" i="16"/>
  <c r="BU57" i="16"/>
  <c r="BV116" i="16"/>
  <c r="BV86" i="16"/>
  <c r="BG27" i="16"/>
  <c r="AM27" i="16"/>
  <c r="BF28" i="16"/>
  <c r="AL28" i="16"/>
  <c r="AK29" i="16"/>
  <c r="BE29" i="16"/>
  <c r="BD30" i="16"/>
  <c r="AJ30" i="16"/>
  <c r="BH30" i="16"/>
  <c r="AN30" i="16"/>
  <c r="BU61" i="16"/>
  <c r="BV120" i="16"/>
  <c r="BV90" i="16"/>
  <c r="BG31" i="16"/>
  <c r="AM31" i="16"/>
  <c r="BF32" i="16"/>
  <c r="AL32" i="16"/>
  <c r="BD24" i="7"/>
  <c r="AJ26" i="7"/>
  <c r="BD26" i="7" s="1"/>
  <c r="BH24" i="7"/>
  <c r="AN26" i="7"/>
  <c r="BH26" i="7" s="1"/>
  <c r="BE24" i="8"/>
  <c r="AK26" i="8"/>
  <c r="BE26" i="8" s="1"/>
  <c r="BI24" i="8"/>
  <c r="AO26" i="8"/>
  <c r="BI26" i="8" s="1"/>
  <c r="BF24" i="9"/>
  <c r="AM26" i="9"/>
  <c r="BF26" i="9" s="1"/>
  <c r="BE24" i="10"/>
  <c r="AL26" i="10"/>
  <c r="BE26" i="10" s="1"/>
  <c r="BW19" i="15"/>
  <c r="BW23" i="15"/>
  <c r="BM24" i="15"/>
  <c r="BM26" i="15" s="1"/>
  <c r="AS26" i="15"/>
  <c r="BQ24" i="15"/>
  <c r="BQ26" i="15" s="1"/>
  <c r="AW26" i="15"/>
  <c r="BB24" i="8"/>
  <c r="BG9" i="16"/>
  <c r="AM9" i="16"/>
  <c r="BF10" i="16"/>
  <c r="AL10" i="16"/>
  <c r="BE11" i="16"/>
  <c r="AK11" i="16"/>
  <c r="BD12" i="16"/>
  <c r="AJ12" i="16"/>
  <c r="BH12" i="16"/>
  <c r="AN12" i="16"/>
  <c r="AJ13" i="16"/>
  <c r="BD13" i="16"/>
  <c r="AN13" i="16"/>
  <c r="BH13" i="16"/>
  <c r="BU44" i="16"/>
  <c r="BV103" i="16"/>
  <c r="BV73" i="16"/>
  <c r="BG14" i="16"/>
  <c r="AM14" i="16"/>
  <c r="AL15" i="16"/>
  <c r="BF15" i="16"/>
  <c r="BE16" i="16"/>
  <c r="AK16" i="16"/>
  <c r="BD17" i="16"/>
  <c r="AJ17" i="16"/>
  <c r="AN17" i="16"/>
  <c r="BH17" i="16"/>
  <c r="BU48" i="16"/>
  <c r="BV107" i="16"/>
  <c r="BV77" i="16"/>
  <c r="BG18" i="16"/>
  <c r="AM18" i="16"/>
  <c r="AL19" i="16"/>
  <c r="BF19" i="16"/>
  <c r="AK20" i="16"/>
  <c r="BE20" i="16"/>
  <c r="BE21" i="16"/>
  <c r="AK21" i="16"/>
  <c r="BD22" i="16"/>
  <c r="AJ22" i="16"/>
  <c r="AN22" i="16"/>
  <c r="BH22" i="16"/>
  <c r="BU53" i="16"/>
  <c r="BV112" i="16"/>
  <c r="BV82" i="16"/>
  <c r="AM23" i="16"/>
  <c r="BG23" i="16"/>
  <c r="AJ27" i="16"/>
  <c r="BD27" i="16"/>
  <c r="AN27" i="16"/>
  <c r="BH27" i="16"/>
  <c r="BU58" i="16"/>
  <c r="BV87" i="16"/>
  <c r="BV117" i="16"/>
  <c r="BG28" i="16"/>
  <c r="AM28" i="16"/>
  <c r="AL29" i="16"/>
  <c r="BF29" i="16"/>
  <c r="AK30" i="16"/>
  <c r="BE30" i="16"/>
  <c r="AJ31" i="16"/>
  <c r="BD31" i="16"/>
  <c r="AN31" i="16"/>
  <c r="BH31" i="16"/>
  <c r="BU62" i="16"/>
  <c r="BV91" i="16"/>
  <c r="BV121" i="16"/>
  <c r="BG32" i="16"/>
  <c r="AM32" i="16"/>
  <c r="BE24" i="7"/>
  <c r="AK26" i="7"/>
  <c r="BE26" i="7" s="1"/>
  <c r="BI24" i="7"/>
  <c r="AO26" i="7"/>
  <c r="BI26" i="7" s="1"/>
  <c r="BF24" i="8"/>
  <c r="AL26" i="8"/>
  <c r="BF26" i="8" s="1"/>
  <c r="BC24" i="9"/>
  <c r="AJ26" i="9"/>
  <c r="BC26" i="9" s="1"/>
  <c r="BG24" i="9"/>
  <c r="AN26" i="9"/>
  <c r="BG26" i="9" s="1"/>
  <c r="BF24" i="10"/>
  <c r="AM26" i="10"/>
  <c r="BF26" i="10" s="1"/>
  <c r="BW16" i="15"/>
  <c r="BW20" i="15"/>
  <c r="BJ24" i="15"/>
  <c r="BJ26" i="15" s="1"/>
  <c r="BN24" i="15"/>
  <c r="BN26" i="15" s="1"/>
  <c r="AT26" i="15"/>
  <c r="BR24" i="15"/>
  <c r="BR26" i="15" s="1"/>
  <c r="AX26" i="15"/>
  <c r="BA10" i="1"/>
  <c r="AF72" i="15"/>
  <c r="AF103" i="15"/>
  <c r="BB10" i="1"/>
  <c r="AF42" i="15"/>
  <c r="AF10" i="15"/>
  <c r="AZ10" i="15" s="1"/>
  <c r="BA14" i="16"/>
  <c r="BA45" i="16"/>
  <c r="BA74" i="16"/>
  <c r="BA104" i="16"/>
  <c r="BA47" i="15"/>
  <c r="BA108" i="15"/>
  <c r="BA15" i="15"/>
  <c r="BA77" i="15"/>
  <c r="BA77" i="16"/>
  <c r="BA48" i="16"/>
  <c r="BA17" i="16"/>
  <c r="BA107" i="16"/>
  <c r="AN18" i="16"/>
  <c r="BH18" i="16"/>
  <c r="BU49" i="16"/>
  <c r="BV108" i="16"/>
  <c r="BV78" i="16"/>
  <c r="AM19" i="16"/>
  <c r="BG19" i="16"/>
  <c r="BF20" i="16"/>
  <c r="AL20" i="16"/>
  <c r="AL21" i="16"/>
  <c r="BF21" i="16"/>
  <c r="BE22" i="16"/>
  <c r="AK22" i="16"/>
  <c r="AJ23" i="16"/>
  <c r="BD23" i="16"/>
  <c r="BH23" i="16"/>
  <c r="AN23" i="16"/>
  <c r="BU54" i="16"/>
  <c r="BV83" i="16"/>
  <c r="BV113" i="16"/>
  <c r="BE27" i="16"/>
  <c r="AK27" i="16"/>
  <c r="BD28" i="16"/>
  <c r="AJ28" i="16"/>
  <c r="AN28" i="16"/>
  <c r="BH28" i="16"/>
  <c r="BV118" i="16"/>
  <c r="BV88" i="16"/>
  <c r="BG29" i="16"/>
  <c r="AM29" i="16"/>
  <c r="AL30" i="16"/>
  <c r="BF30" i="16"/>
  <c r="BE31" i="16"/>
  <c r="AK31" i="16"/>
  <c r="AJ32" i="16"/>
  <c r="BD32" i="16"/>
  <c r="BH32" i="16"/>
  <c r="AN32" i="16"/>
  <c r="BF24" i="7"/>
  <c r="AL26" i="7"/>
  <c r="BF26" i="7" s="1"/>
  <c r="BG24" i="8"/>
  <c r="AM26" i="8"/>
  <c r="BG26" i="8" s="1"/>
  <c r="BD24" i="9"/>
  <c r="AK26" i="9"/>
  <c r="BD26" i="9" s="1"/>
  <c r="BH24" i="9"/>
  <c r="AO26" i="9"/>
  <c r="BH26" i="9" s="1"/>
  <c r="BC24" i="10"/>
  <c r="AJ26" i="10"/>
  <c r="BC26" i="10" s="1"/>
  <c r="BG24" i="10"/>
  <c r="AN26" i="10"/>
  <c r="BG26" i="10" s="1"/>
  <c r="AQ26" i="15"/>
  <c r="BK24" i="15"/>
  <c r="BK26" i="15" s="1"/>
  <c r="AU26" i="15"/>
  <c r="BO24" i="15"/>
  <c r="BO26" i="15" s="1"/>
  <c r="BS24" i="15"/>
  <c r="BS26" i="15" s="1"/>
  <c r="AY26" i="15"/>
  <c r="BA11" i="1"/>
  <c r="AZ73" i="15" s="1"/>
  <c r="AF104" i="15"/>
  <c r="AF73" i="15"/>
  <c r="BB11" i="1"/>
  <c r="AF43" i="15"/>
  <c r="AF11" i="15"/>
  <c r="AZ11" i="15" s="1"/>
  <c r="BE9" i="16"/>
  <c r="AK9" i="16"/>
  <c r="BD10" i="16"/>
  <c r="AJ10" i="16"/>
  <c r="BH10" i="16"/>
  <c r="AN10" i="16"/>
  <c r="BU41" i="16"/>
  <c r="BV100" i="16"/>
  <c r="BV70" i="16"/>
  <c r="BG11" i="16"/>
  <c r="AM11" i="16"/>
  <c r="BF12" i="16"/>
  <c r="AL12" i="16"/>
  <c r="BF13" i="16"/>
  <c r="AL13" i="16"/>
  <c r="AK14" i="16"/>
  <c r="BE14" i="16"/>
  <c r="AJ15" i="16"/>
  <c r="BD15" i="16"/>
  <c r="AN15" i="16"/>
  <c r="BH15" i="16"/>
  <c r="BU46" i="16"/>
  <c r="BV75" i="16"/>
  <c r="BV105" i="16"/>
  <c r="AM16" i="16"/>
  <c r="BG16" i="16"/>
  <c r="AL17" i="16"/>
  <c r="BF17" i="16"/>
  <c r="AK18" i="16"/>
  <c r="BE18" i="16"/>
  <c r="BD19" i="16"/>
  <c r="AJ19" i="16"/>
  <c r="BH19" i="16"/>
  <c r="AN19" i="16"/>
  <c r="BU50" i="16"/>
  <c r="BV79" i="16"/>
  <c r="BV109" i="16"/>
  <c r="BG20" i="16"/>
  <c r="AM20" i="16"/>
  <c r="BV110" i="16"/>
  <c r="BV80" i="16"/>
  <c r="AM21" i="16"/>
  <c r="BG21" i="16"/>
  <c r="BF22" i="16"/>
  <c r="AL22" i="16"/>
  <c r="AK23" i="16"/>
  <c r="BE23" i="16"/>
  <c r="BV114" i="16"/>
  <c r="BV84" i="16"/>
  <c r="BF27" i="16"/>
  <c r="AL27" i="16"/>
  <c r="AK28" i="16"/>
  <c r="BE28" i="16"/>
  <c r="AJ29" i="16"/>
  <c r="BD29" i="16"/>
  <c r="BH29" i="16"/>
  <c r="AN29" i="16"/>
  <c r="BU60" i="16"/>
  <c r="BV119" i="16"/>
  <c r="BV89" i="16"/>
  <c r="AM30" i="16"/>
  <c r="BG30" i="16"/>
  <c r="BF31" i="16"/>
  <c r="AL31" i="16"/>
  <c r="AK32" i="16"/>
  <c r="BE32" i="16"/>
  <c r="BG24" i="7"/>
  <c r="AM26" i="7"/>
  <c r="BG26" i="7" s="1"/>
  <c r="BD24" i="8"/>
  <c r="AJ26" i="8"/>
  <c r="BD26" i="8" s="1"/>
  <c r="BH24" i="8"/>
  <c r="AN26" i="8"/>
  <c r="BH26" i="8" s="1"/>
  <c r="BE24" i="9"/>
  <c r="AL26" i="9"/>
  <c r="BE26" i="9" s="1"/>
  <c r="BD24" i="10"/>
  <c r="AK26" i="10"/>
  <c r="BD26" i="10" s="1"/>
  <c r="BH24" i="10"/>
  <c r="AO26" i="10"/>
  <c r="BH26" i="10" s="1"/>
  <c r="BW18" i="15"/>
  <c r="BW22" i="15"/>
  <c r="BL24" i="15"/>
  <c r="BL26" i="15" s="1"/>
  <c r="AR26" i="15"/>
  <c r="BP24" i="15"/>
  <c r="BP26" i="15" s="1"/>
  <c r="AV26" i="15"/>
  <c r="BA14" i="1"/>
  <c r="AF107" i="15"/>
  <c r="AF76" i="15"/>
  <c r="BB14" i="1"/>
  <c r="AF46" i="15"/>
  <c r="BA109" i="16"/>
  <c r="BA79" i="16"/>
  <c r="BA50" i="16"/>
  <c r="BA19" i="16"/>
  <c r="BA15" i="16"/>
  <c r="BA75" i="16"/>
  <c r="BA105" i="16"/>
  <c r="BA46" i="16"/>
  <c r="BB83" i="16"/>
  <c r="BB113" i="16"/>
  <c r="BB23" i="16"/>
  <c r="BA16" i="16"/>
  <c r="BA47" i="16"/>
  <c r="BA106" i="16"/>
  <c r="BA76" i="16"/>
  <c r="BD26" i="16"/>
  <c r="AJ26" i="16"/>
  <c r="BE26" i="16"/>
  <c r="AK26" i="16"/>
  <c r="AL26" i="16"/>
  <c r="BF26" i="16"/>
  <c r="BH26" i="16"/>
  <c r="AN26" i="16"/>
  <c r="BG26" i="16"/>
  <c r="AM26" i="16"/>
  <c r="BE25" i="16"/>
  <c r="AK25" i="16"/>
  <c r="BF25" i="16"/>
  <c r="AL25" i="16"/>
  <c r="AM25" i="16"/>
  <c r="BG25" i="16"/>
  <c r="BD25" i="16"/>
  <c r="AJ25" i="16"/>
  <c r="BH25" i="16"/>
  <c r="AN25" i="16"/>
  <c r="BF24" i="16"/>
  <c r="AL24" i="16"/>
  <c r="AJ24" i="16"/>
  <c r="BD24" i="16"/>
  <c r="BH24" i="16"/>
  <c r="AN24" i="16"/>
  <c r="AM24" i="16"/>
  <c r="BG24" i="16"/>
  <c r="BE24" i="16"/>
  <c r="AK24" i="16"/>
  <c r="B108" i="16"/>
  <c r="B78" i="16"/>
  <c r="B49" i="16"/>
  <c r="B19" i="17"/>
  <c r="B19" i="16"/>
  <c r="B19" i="15"/>
  <c r="B19" i="9"/>
  <c r="B19" i="8"/>
  <c r="B19" i="7"/>
  <c r="B19" i="6"/>
  <c r="B19" i="5"/>
  <c r="B19" i="10"/>
  <c r="B19" i="4"/>
  <c r="B111" i="15"/>
  <c r="B80" i="15"/>
  <c r="B50" i="15"/>
  <c r="BU11" i="16"/>
  <c r="BU15" i="16"/>
  <c r="BU10" i="16"/>
  <c r="BU14" i="16"/>
  <c r="BU18" i="16"/>
  <c r="BU13" i="16"/>
  <c r="BU12" i="16"/>
  <c r="BU16" i="16"/>
  <c r="BU21" i="16"/>
  <c r="BU20" i="16"/>
  <c r="AJ109" i="15"/>
  <c r="AJ78" i="15"/>
  <c r="AK125" i="15"/>
  <c r="AK117" i="15"/>
  <c r="AK86" i="15"/>
  <c r="AL111" i="15"/>
  <c r="AL80" i="15"/>
  <c r="AM121" i="15"/>
  <c r="AM90" i="15"/>
  <c r="AJ124" i="15"/>
  <c r="AJ93" i="15"/>
  <c r="AJ116" i="15"/>
  <c r="AJ85" i="15"/>
  <c r="AJ111" i="15"/>
  <c r="AJ80" i="15"/>
  <c r="AJ107" i="15"/>
  <c r="AJ76" i="15"/>
  <c r="AJ103" i="15"/>
  <c r="AJ72" i="15"/>
  <c r="AK123" i="15"/>
  <c r="AK92" i="15"/>
  <c r="AK119" i="15"/>
  <c r="AK88" i="15"/>
  <c r="AK115" i="15"/>
  <c r="AK84" i="15"/>
  <c r="AK110" i="15"/>
  <c r="AK79" i="15"/>
  <c r="AK106" i="15"/>
  <c r="AK75" i="15"/>
  <c r="AL102" i="15"/>
  <c r="AL71" i="15"/>
  <c r="AL122" i="15"/>
  <c r="AL91" i="15"/>
  <c r="AL118" i="15"/>
  <c r="AL87" i="15"/>
  <c r="AL114" i="15"/>
  <c r="AL83" i="15"/>
  <c r="AL109" i="15"/>
  <c r="AL78" i="15"/>
  <c r="AL105" i="15"/>
  <c r="AL74" i="15"/>
  <c r="AN102" i="15"/>
  <c r="AN71" i="15"/>
  <c r="AM123" i="15"/>
  <c r="AM92" i="15"/>
  <c r="AM119" i="15"/>
  <c r="AM88" i="15"/>
  <c r="AM115" i="15"/>
  <c r="AM84" i="15"/>
  <c r="AM110" i="15"/>
  <c r="AM79" i="15"/>
  <c r="AM106" i="15"/>
  <c r="AM75" i="15"/>
  <c r="AN125" i="15"/>
  <c r="AN121" i="15"/>
  <c r="AN90" i="15"/>
  <c r="AN117" i="15"/>
  <c r="AN86" i="15"/>
  <c r="AN112" i="15"/>
  <c r="AN81" i="15"/>
  <c r="AN108" i="15"/>
  <c r="AN77" i="15"/>
  <c r="AN104" i="15"/>
  <c r="AN73" i="15"/>
  <c r="AO123" i="15"/>
  <c r="AO92" i="15"/>
  <c r="AO119" i="15"/>
  <c r="AO88" i="15"/>
  <c r="AO115" i="15"/>
  <c r="AO84" i="15"/>
  <c r="AO110" i="15"/>
  <c r="AO79" i="15"/>
  <c r="AO106" i="15"/>
  <c r="AO75" i="15"/>
  <c r="AP102" i="15"/>
  <c r="AP71" i="15"/>
  <c r="AP122" i="15"/>
  <c r="AP91" i="15"/>
  <c r="AP118" i="15"/>
  <c r="AP87" i="15"/>
  <c r="AP114" i="15"/>
  <c r="AP83" i="15"/>
  <c r="AP105" i="15"/>
  <c r="AP74" i="15"/>
  <c r="AQ125" i="15"/>
  <c r="AQ121" i="15"/>
  <c r="AQ90" i="15"/>
  <c r="AQ117" i="15"/>
  <c r="AQ86" i="15"/>
  <c r="AQ112" i="15"/>
  <c r="AQ81" i="15"/>
  <c r="AQ108" i="15"/>
  <c r="AQ77" i="15"/>
  <c r="AQ104" i="15"/>
  <c r="AQ73" i="15"/>
  <c r="AS125" i="15"/>
  <c r="AS123" i="15"/>
  <c r="AS92" i="15"/>
  <c r="AS121" i="15"/>
  <c r="AS90" i="15"/>
  <c r="AS119" i="15"/>
  <c r="AS88" i="15"/>
  <c r="AS117" i="15"/>
  <c r="AS86" i="15"/>
  <c r="AS115" i="15"/>
  <c r="AS84" i="15"/>
  <c r="AS112" i="15"/>
  <c r="AS81" i="15"/>
  <c r="AS110" i="15"/>
  <c r="AS79" i="15"/>
  <c r="AS108" i="15"/>
  <c r="AS77" i="15"/>
  <c r="AS106" i="15"/>
  <c r="AS75" i="15"/>
  <c r="AS104" i="15"/>
  <c r="AS73" i="15"/>
  <c r="AT102" i="15"/>
  <c r="AT71" i="15"/>
  <c r="AU124" i="15"/>
  <c r="AU93" i="15"/>
  <c r="AU122" i="15"/>
  <c r="AU91" i="15"/>
  <c r="AU120" i="15"/>
  <c r="AU89" i="15"/>
  <c r="AU118" i="15"/>
  <c r="AU87" i="15"/>
  <c r="AU116" i="15"/>
  <c r="AU85" i="15"/>
  <c r="AU114" i="15"/>
  <c r="AU83" i="15"/>
  <c r="AU111" i="15"/>
  <c r="AU80" i="15"/>
  <c r="AU109" i="15"/>
  <c r="AU78" i="15"/>
  <c r="AU107" i="15"/>
  <c r="AU76" i="15"/>
  <c r="AU105" i="15"/>
  <c r="AU74" i="15"/>
  <c r="AU103" i="15"/>
  <c r="AU72" i="15"/>
  <c r="AW125" i="15"/>
  <c r="AW94" i="15"/>
  <c r="AW123" i="15"/>
  <c r="AW92" i="15"/>
  <c r="AW121" i="15"/>
  <c r="AW90" i="15"/>
  <c r="AW119" i="15"/>
  <c r="AW88" i="15"/>
  <c r="AW117" i="15"/>
  <c r="AW86" i="15"/>
  <c r="AW115" i="15"/>
  <c r="AW84" i="15"/>
  <c r="AW112" i="15"/>
  <c r="AW81" i="15"/>
  <c r="AW110" i="15"/>
  <c r="AW79" i="15"/>
  <c r="AW108" i="15"/>
  <c r="AW77" i="15"/>
  <c r="AW106" i="15"/>
  <c r="AW75" i="15"/>
  <c r="AW104" i="15"/>
  <c r="AW73" i="15"/>
  <c r="AX102" i="15"/>
  <c r="AX71" i="15"/>
  <c r="AX122" i="15"/>
  <c r="AX91" i="15"/>
  <c r="AX118" i="15"/>
  <c r="AX87" i="15"/>
  <c r="AX114" i="15"/>
  <c r="AX83" i="15"/>
  <c r="AX109" i="15"/>
  <c r="AX78" i="15"/>
  <c r="AX105" i="15"/>
  <c r="AX74" i="15"/>
  <c r="AY125" i="15"/>
  <c r="AY94" i="15"/>
  <c r="AY121" i="15"/>
  <c r="AY90" i="15"/>
  <c r="AY117" i="15"/>
  <c r="AY86" i="15"/>
  <c r="AY112" i="15"/>
  <c r="AY81" i="15"/>
  <c r="AY108" i="15"/>
  <c r="AY77" i="15"/>
  <c r="AY104" i="15"/>
  <c r="AY73" i="15"/>
  <c r="BV41" i="15"/>
  <c r="BV102" i="15"/>
  <c r="BV71" i="15"/>
  <c r="BV111" i="15"/>
  <c r="BV80" i="15"/>
  <c r="BV48" i="15"/>
  <c r="BV109" i="15"/>
  <c r="BV78" i="15"/>
  <c r="BV107" i="15"/>
  <c r="BV76" i="15"/>
  <c r="BV44" i="15"/>
  <c r="BV105" i="15"/>
  <c r="BV74" i="15"/>
  <c r="BV103" i="15"/>
  <c r="BV72" i="15"/>
  <c r="AZ104" i="15"/>
  <c r="AZ108" i="15"/>
  <c r="AZ77" i="15"/>
  <c r="AZ81" i="15"/>
  <c r="AZ112" i="15"/>
  <c r="AK113" i="15"/>
  <c r="AK82" i="15"/>
  <c r="AO113" i="15"/>
  <c r="AO82" i="15"/>
  <c r="AS113" i="15"/>
  <c r="AS82" i="15"/>
  <c r="AW113" i="15"/>
  <c r="AW82" i="15"/>
  <c r="BV52" i="15"/>
  <c r="BV113" i="15"/>
  <c r="BV82" i="15"/>
  <c r="AZ116" i="15"/>
  <c r="AZ85" i="15"/>
  <c r="BV86" i="15"/>
  <c r="BV117" i="15"/>
  <c r="AZ89" i="15"/>
  <c r="AZ120" i="15"/>
  <c r="AZ93" i="15"/>
  <c r="AZ124" i="15"/>
  <c r="AJ99" i="16"/>
  <c r="AJ69" i="16"/>
  <c r="AN40" i="16"/>
  <c r="AN99" i="16"/>
  <c r="AN69" i="16"/>
  <c r="AV99" i="16"/>
  <c r="AV69" i="16"/>
  <c r="AK100" i="16"/>
  <c r="AK70" i="16"/>
  <c r="AO100" i="16"/>
  <c r="AO70" i="16"/>
  <c r="AS100" i="16"/>
  <c r="AS70" i="16"/>
  <c r="AW100" i="16"/>
  <c r="AW70" i="16"/>
  <c r="BT41" i="16"/>
  <c r="BU100" i="16"/>
  <c r="BU70" i="16"/>
  <c r="AL101" i="16"/>
  <c r="AL71" i="16"/>
  <c r="AP101" i="16"/>
  <c r="AP71" i="16"/>
  <c r="AT101" i="16"/>
  <c r="AT71" i="16"/>
  <c r="AX101" i="16"/>
  <c r="AX71" i="16"/>
  <c r="AM102" i="16"/>
  <c r="AM72" i="16"/>
  <c r="AQ102" i="16"/>
  <c r="AQ72" i="16"/>
  <c r="AU102" i="16"/>
  <c r="AU72" i="16"/>
  <c r="AY102" i="16"/>
  <c r="AY72" i="16"/>
  <c r="AK103" i="16"/>
  <c r="AK73" i="16"/>
  <c r="AO103" i="16"/>
  <c r="AO73" i="16"/>
  <c r="AS103" i="16"/>
  <c r="AS73" i="16"/>
  <c r="AW103" i="16"/>
  <c r="AW73" i="16"/>
  <c r="BU103" i="16"/>
  <c r="BU73" i="16"/>
  <c r="AL104" i="16"/>
  <c r="AL74" i="16"/>
  <c r="AP104" i="16"/>
  <c r="AP74" i="16"/>
  <c r="AT104" i="16"/>
  <c r="AT74" i="16"/>
  <c r="AX104" i="16"/>
  <c r="AX74" i="16"/>
  <c r="AM105" i="16"/>
  <c r="AM75" i="16"/>
  <c r="AQ105" i="16"/>
  <c r="AQ75" i="16"/>
  <c r="AU105" i="16"/>
  <c r="AU75" i="16"/>
  <c r="AY105" i="16"/>
  <c r="AY75" i="16"/>
  <c r="AK107" i="16"/>
  <c r="AK77" i="16"/>
  <c r="AO107" i="16"/>
  <c r="AO77" i="16"/>
  <c r="AS107" i="16"/>
  <c r="AS77" i="16"/>
  <c r="AW107" i="16"/>
  <c r="AW77" i="16"/>
  <c r="BT48" i="16"/>
  <c r="BU107" i="16"/>
  <c r="BU77" i="16"/>
  <c r="AL108" i="16"/>
  <c r="AL78" i="16"/>
  <c r="AP108" i="16"/>
  <c r="AP78" i="16"/>
  <c r="AT108" i="16"/>
  <c r="AT78" i="16"/>
  <c r="AX108" i="16"/>
  <c r="AX78" i="16"/>
  <c r="AM109" i="16"/>
  <c r="AM79" i="16"/>
  <c r="AQ109" i="16"/>
  <c r="AQ79" i="16"/>
  <c r="AU79" i="16"/>
  <c r="AU109" i="16"/>
  <c r="AY109" i="16"/>
  <c r="AY79" i="16"/>
  <c r="AJ110" i="16"/>
  <c r="AJ80" i="16"/>
  <c r="AN110" i="16"/>
  <c r="AN80" i="16"/>
  <c r="AV110" i="16"/>
  <c r="AV80" i="16"/>
  <c r="AK111" i="16"/>
  <c r="AK81" i="16"/>
  <c r="AO111" i="16"/>
  <c r="AO81" i="16"/>
  <c r="AS111" i="16"/>
  <c r="AS81" i="16"/>
  <c r="AW111" i="16"/>
  <c r="AW81" i="16"/>
  <c r="BT52" i="16"/>
  <c r="BU111" i="16"/>
  <c r="BU81" i="16"/>
  <c r="AL112" i="16"/>
  <c r="AL82" i="16"/>
  <c r="AP112" i="16"/>
  <c r="AP82" i="16"/>
  <c r="AT112" i="16"/>
  <c r="AT82" i="16"/>
  <c r="AX112" i="16"/>
  <c r="AX82" i="16"/>
  <c r="AM113" i="16"/>
  <c r="AM83" i="16"/>
  <c r="AQ113" i="16"/>
  <c r="AQ83" i="16"/>
  <c r="AU113" i="16"/>
  <c r="AU83" i="16"/>
  <c r="AY113" i="16"/>
  <c r="AY83" i="16"/>
  <c r="AJ114" i="16"/>
  <c r="AJ84" i="16"/>
  <c r="AN114" i="16"/>
  <c r="AN84" i="16"/>
  <c r="AV114" i="16"/>
  <c r="AV84" i="16"/>
  <c r="AK115" i="16"/>
  <c r="AK85" i="16"/>
  <c r="AO115" i="16"/>
  <c r="AO85" i="16"/>
  <c r="AS115" i="16"/>
  <c r="AS85" i="16"/>
  <c r="AW115" i="16"/>
  <c r="AW85" i="16"/>
  <c r="AL116" i="16"/>
  <c r="AL86" i="16"/>
  <c r="AP116" i="16"/>
  <c r="AP86" i="16"/>
  <c r="AT116" i="16"/>
  <c r="AT86" i="16"/>
  <c r="AX116" i="16"/>
  <c r="AX86" i="16"/>
  <c r="AM117" i="16"/>
  <c r="AM87" i="16"/>
  <c r="AQ117" i="16"/>
  <c r="AQ87" i="16"/>
  <c r="AU117" i="16"/>
  <c r="AU87" i="16"/>
  <c r="AY87" i="16"/>
  <c r="AY117" i="16"/>
  <c r="AJ118" i="16"/>
  <c r="AJ88" i="16"/>
  <c r="AN118" i="16"/>
  <c r="AN88" i="16"/>
  <c r="AR118" i="16"/>
  <c r="AR88" i="16"/>
  <c r="AV118" i="16"/>
  <c r="AV88" i="16"/>
  <c r="AK119" i="16"/>
  <c r="AK89" i="16"/>
  <c r="AO119" i="16"/>
  <c r="AO89" i="16"/>
  <c r="AS119" i="16"/>
  <c r="AS89" i="16"/>
  <c r="AW119" i="16"/>
  <c r="AW89" i="16"/>
  <c r="AL120" i="16"/>
  <c r="AL90" i="16"/>
  <c r="AP120" i="16"/>
  <c r="AP90" i="16"/>
  <c r="AT120" i="16"/>
  <c r="AT90" i="16"/>
  <c r="AX120" i="16"/>
  <c r="AX90" i="16"/>
  <c r="AM121" i="16"/>
  <c r="AM91" i="16"/>
  <c r="AQ91" i="16"/>
  <c r="AQ121" i="16"/>
  <c r="AU121" i="16"/>
  <c r="AU91" i="16"/>
  <c r="AY121" i="16"/>
  <c r="AY91" i="16"/>
  <c r="AJ122" i="16"/>
  <c r="AJ92" i="16"/>
  <c r="AN122" i="16"/>
  <c r="AN92" i="16"/>
  <c r="AR122" i="16"/>
  <c r="AR92" i="16"/>
  <c r="AV122" i="16"/>
  <c r="AV92" i="16"/>
  <c r="AZ71" i="16"/>
  <c r="AZ101" i="16"/>
  <c r="AZ105" i="16"/>
  <c r="AZ75" i="16"/>
  <c r="AZ79" i="16"/>
  <c r="AZ109" i="16"/>
  <c r="AZ113" i="16"/>
  <c r="AZ83" i="16"/>
  <c r="AZ87" i="16"/>
  <c r="AZ117" i="16"/>
  <c r="AZ121" i="16"/>
  <c r="AZ91" i="16"/>
  <c r="AJ118" i="15"/>
  <c r="AJ87" i="15"/>
  <c r="AK112" i="15"/>
  <c r="AK81" i="15"/>
  <c r="AL124" i="15"/>
  <c r="AL93" i="15"/>
  <c r="AL116" i="15"/>
  <c r="AL85" i="15"/>
  <c r="AM117" i="15"/>
  <c r="AM86" i="15"/>
  <c r="AJ120" i="15"/>
  <c r="AJ89" i="15"/>
  <c r="AJ123" i="15"/>
  <c r="AJ92" i="15"/>
  <c r="AJ119" i="15"/>
  <c r="AJ88" i="15"/>
  <c r="AJ115" i="15"/>
  <c r="AJ84" i="15"/>
  <c r="AJ110" i="15"/>
  <c r="AJ79" i="15"/>
  <c r="AJ106" i="15"/>
  <c r="AJ75" i="15"/>
  <c r="AK102" i="15"/>
  <c r="AK71" i="15"/>
  <c r="AK122" i="15"/>
  <c r="AK91" i="15"/>
  <c r="AK118" i="15"/>
  <c r="AK87" i="15"/>
  <c r="AK114" i="15"/>
  <c r="AK83" i="15"/>
  <c r="AK109" i="15"/>
  <c r="AK78" i="15"/>
  <c r="AK105" i="15"/>
  <c r="AK74" i="15"/>
  <c r="AL125" i="15"/>
  <c r="AL121" i="15"/>
  <c r="AL90" i="15"/>
  <c r="AL117" i="15"/>
  <c r="AL86" i="15"/>
  <c r="AL112" i="15"/>
  <c r="AL81" i="15"/>
  <c r="AL108" i="15"/>
  <c r="AL77" i="15"/>
  <c r="AL104" i="15"/>
  <c r="AL73" i="15"/>
  <c r="AO102" i="15"/>
  <c r="AO71" i="15"/>
  <c r="AM122" i="15"/>
  <c r="AM91" i="15"/>
  <c r="AM118" i="15"/>
  <c r="AM87" i="15"/>
  <c r="AM114" i="15"/>
  <c r="AM83" i="15"/>
  <c r="AM109" i="15"/>
  <c r="AM78" i="15"/>
  <c r="AM105" i="15"/>
  <c r="AM74" i="15"/>
  <c r="AN124" i="15"/>
  <c r="AN93" i="15"/>
  <c r="AN120" i="15"/>
  <c r="AN89" i="15"/>
  <c r="AN116" i="15"/>
  <c r="AN85" i="15"/>
  <c r="AN111" i="15"/>
  <c r="AN80" i="15"/>
  <c r="AN107" i="15"/>
  <c r="AN76" i="15"/>
  <c r="AN103" i="15"/>
  <c r="AN72" i="15"/>
  <c r="AO122" i="15"/>
  <c r="AO91" i="15"/>
  <c r="AO118" i="15"/>
  <c r="AO87" i="15"/>
  <c r="AO114" i="15"/>
  <c r="AO83" i="15"/>
  <c r="AO109" i="15"/>
  <c r="AO78" i="15"/>
  <c r="AO105" i="15"/>
  <c r="AO74" i="15"/>
  <c r="AP125" i="15"/>
  <c r="AP121" i="15"/>
  <c r="AP90" i="15"/>
  <c r="AP117" i="15"/>
  <c r="AP86" i="15"/>
  <c r="AP112" i="15"/>
  <c r="AP81" i="15"/>
  <c r="AP108" i="15"/>
  <c r="AP77" i="15"/>
  <c r="AP104" i="15"/>
  <c r="AP73" i="15"/>
  <c r="AQ124" i="15"/>
  <c r="AQ93" i="15"/>
  <c r="AQ120" i="15"/>
  <c r="AQ89" i="15"/>
  <c r="AQ116" i="15"/>
  <c r="AQ85" i="15"/>
  <c r="AQ111" i="15"/>
  <c r="AQ80" i="15"/>
  <c r="AQ107" i="15"/>
  <c r="AQ76" i="15"/>
  <c r="AQ103" i="15"/>
  <c r="AQ72" i="15"/>
  <c r="AR125" i="15"/>
  <c r="AR123" i="15"/>
  <c r="AR92" i="15"/>
  <c r="AR121" i="15"/>
  <c r="AR90" i="15"/>
  <c r="AU102" i="15"/>
  <c r="AU71" i="15"/>
  <c r="AT124" i="15"/>
  <c r="AT93" i="15"/>
  <c r="AT122" i="15"/>
  <c r="AT91" i="15"/>
  <c r="AT120" i="15"/>
  <c r="AT89" i="15"/>
  <c r="AT118" i="15"/>
  <c r="AT87" i="15"/>
  <c r="AT107" i="15"/>
  <c r="AT76" i="15"/>
  <c r="AT105" i="15"/>
  <c r="AT74" i="15"/>
  <c r="AT103" i="15"/>
  <c r="AT72" i="15"/>
  <c r="AV125" i="15"/>
  <c r="AV123" i="15"/>
  <c r="AV92" i="15"/>
  <c r="AV121" i="15"/>
  <c r="AV90" i="15"/>
  <c r="AV119" i="15"/>
  <c r="AV88" i="15"/>
  <c r="AV108" i="15"/>
  <c r="AV77" i="15"/>
  <c r="AV106" i="15"/>
  <c r="AV75" i="15"/>
  <c r="AV104" i="15"/>
  <c r="AV73" i="15"/>
  <c r="AX94" i="15"/>
  <c r="AX125" i="15"/>
  <c r="AX90" i="15"/>
  <c r="AX121" i="15"/>
  <c r="AX117" i="15"/>
  <c r="AX86" i="15"/>
  <c r="AX112" i="15"/>
  <c r="AX81" i="15"/>
  <c r="AX108" i="15"/>
  <c r="AX77" i="15"/>
  <c r="AX104" i="15"/>
  <c r="AX73" i="15"/>
  <c r="AY124" i="15"/>
  <c r="AY93" i="15"/>
  <c r="AY120" i="15"/>
  <c r="AY89" i="15"/>
  <c r="AY116" i="15"/>
  <c r="AY85" i="15"/>
  <c r="AY111" i="15"/>
  <c r="AY80" i="15"/>
  <c r="AY107" i="15"/>
  <c r="AY76" i="15"/>
  <c r="AY103" i="15"/>
  <c r="AY72" i="15"/>
  <c r="AZ103" i="15"/>
  <c r="AZ72" i="15"/>
  <c r="AZ76" i="15"/>
  <c r="AZ111" i="15"/>
  <c r="AZ80" i="15"/>
  <c r="BV81" i="15"/>
  <c r="BV112" i="15"/>
  <c r="AL113" i="15"/>
  <c r="AL82" i="15"/>
  <c r="AP113" i="15"/>
  <c r="AP82" i="15"/>
  <c r="AX82" i="15"/>
  <c r="AX113" i="15"/>
  <c r="AZ84" i="15"/>
  <c r="AZ115" i="15"/>
  <c r="BV116" i="15"/>
  <c r="BV85" i="15"/>
  <c r="AZ119" i="15"/>
  <c r="AZ88" i="15"/>
  <c r="AZ123" i="15"/>
  <c r="AZ92" i="15"/>
  <c r="AK99" i="16"/>
  <c r="AK69" i="16"/>
  <c r="AO99" i="16"/>
  <c r="AO69" i="16"/>
  <c r="AS99" i="16"/>
  <c r="AS69" i="16"/>
  <c r="AW99" i="16"/>
  <c r="AW69" i="16"/>
  <c r="BT40" i="16"/>
  <c r="BU99" i="16"/>
  <c r="BU69" i="16"/>
  <c r="AL100" i="16"/>
  <c r="AL70" i="16"/>
  <c r="AP100" i="16"/>
  <c r="AP70" i="16"/>
  <c r="AT100" i="16"/>
  <c r="AT70" i="16"/>
  <c r="AX100" i="16"/>
  <c r="AX70" i="16"/>
  <c r="AM101" i="16"/>
  <c r="AM71" i="16"/>
  <c r="AQ101" i="16"/>
  <c r="AQ71" i="16"/>
  <c r="AU101" i="16"/>
  <c r="AU71" i="16"/>
  <c r="AY101" i="16"/>
  <c r="AY71" i="16"/>
  <c r="AJ102" i="16"/>
  <c r="AJ72" i="16"/>
  <c r="AN102" i="16"/>
  <c r="AN72" i="16"/>
  <c r="AV102" i="16"/>
  <c r="AV72" i="16"/>
  <c r="BT43" i="16"/>
  <c r="BU102" i="16"/>
  <c r="BU72" i="16"/>
  <c r="AL103" i="16"/>
  <c r="AL73" i="16"/>
  <c r="AP103" i="16"/>
  <c r="AP73" i="16"/>
  <c r="AT103" i="16"/>
  <c r="AT73" i="16"/>
  <c r="AX103" i="16"/>
  <c r="AX73" i="16"/>
  <c r="AM104" i="16"/>
  <c r="AM74" i="16"/>
  <c r="AQ104" i="16"/>
  <c r="AQ74" i="16"/>
  <c r="AU104" i="16"/>
  <c r="AU74" i="16"/>
  <c r="AY104" i="16"/>
  <c r="AY74" i="16"/>
  <c r="AJ105" i="16"/>
  <c r="AJ75" i="16"/>
  <c r="AN105" i="16"/>
  <c r="AN75" i="16"/>
  <c r="AV105" i="16"/>
  <c r="AV75" i="16"/>
  <c r="BT47" i="16"/>
  <c r="BU106" i="16"/>
  <c r="BU76" i="16"/>
  <c r="AL107" i="16"/>
  <c r="AL77" i="16"/>
  <c r="AP107" i="16"/>
  <c r="AP77" i="16"/>
  <c r="AT107" i="16"/>
  <c r="AT77" i="16"/>
  <c r="AX107" i="16"/>
  <c r="AX77" i="16"/>
  <c r="AM108" i="16"/>
  <c r="AM78" i="16"/>
  <c r="AQ108" i="16"/>
  <c r="AQ78" i="16"/>
  <c r="AU108" i="16"/>
  <c r="AU78" i="16"/>
  <c r="AY108" i="16"/>
  <c r="AY78" i="16"/>
  <c r="AJ109" i="16"/>
  <c r="AJ79" i="16"/>
  <c r="AN109" i="16"/>
  <c r="AN79" i="16"/>
  <c r="AV109" i="16"/>
  <c r="AV79" i="16"/>
  <c r="AK110" i="16"/>
  <c r="AK80" i="16"/>
  <c r="AO110" i="16"/>
  <c r="AO80" i="16"/>
  <c r="AS110" i="16"/>
  <c r="AS80" i="16"/>
  <c r="AW110" i="16"/>
  <c r="AW80" i="16"/>
  <c r="BT51" i="16"/>
  <c r="BU110" i="16"/>
  <c r="BU80" i="16"/>
  <c r="AL111" i="16"/>
  <c r="AL81" i="16"/>
  <c r="AP111" i="16"/>
  <c r="AP81" i="16"/>
  <c r="AT111" i="16"/>
  <c r="AT81" i="16"/>
  <c r="AX111" i="16"/>
  <c r="AX81" i="16"/>
  <c r="AM112" i="16"/>
  <c r="AM82" i="16"/>
  <c r="AQ112" i="16"/>
  <c r="AQ82" i="16"/>
  <c r="AU112" i="16"/>
  <c r="AU82" i="16"/>
  <c r="AY112" i="16"/>
  <c r="AY82" i="16"/>
  <c r="AJ113" i="16"/>
  <c r="AJ83" i="16"/>
  <c r="AN113" i="16"/>
  <c r="AN83" i="16"/>
  <c r="AV113" i="16"/>
  <c r="AV83" i="16"/>
  <c r="AK114" i="16"/>
  <c r="AK84" i="16"/>
  <c r="AO114" i="16"/>
  <c r="AO84" i="16"/>
  <c r="AS114" i="16"/>
  <c r="AS84" i="16"/>
  <c r="AW114" i="16"/>
  <c r="AW84" i="16"/>
  <c r="AL115" i="16"/>
  <c r="AL85" i="16"/>
  <c r="AP115" i="16"/>
  <c r="AP85" i="16"/>
  <c r="AT115" i="16"/>
  <c r="AT85" i="16"/>
  <c r="AX115" i="16"/>
  <c r="AX85" i="16"/>
  <c r="AM116" i="16"/>
  <c r="AM86" i="16"/>
  <c r="AQ116" i="16"/>
  <c r="AQ86" i="16"/>
  <c r="AU116" i="16"/>
  <c r="AU86" i="16"/>
  <c r="AY116" i="16"/>
  <c r="AY86" i="16"/>
  <c r="AJ117" i="16"/>
  <c r="AJ87" i="16"/>
  <c r="AN87" i="16"/>
  <c r="AN117" i="16"/>
  <c r="AR117" i="16"/>
  <c r="AR87" i="16"/>
  <c r="AV117" i="16"/>
  <c r="AV87" i="16"/>
  <c r="AK118" i="16"/>
  <c r="AK88" i="16"/>
  <c r="AO118" i="16"/>
  <c r="AO88" i="16"/>
  <c r="AS118" i="16"/>
  <c r="AS88" i="16"/>
  <c r="AW118" i="16"/>
  <c r="AW88" i="16"/>
  <c r="AL119" i="16"/>
  <c r="AL89" i="16"/>
  <c r="AP119" i="16"/>
  <c r="AP89" i="16"/>
  <c r="AT119" i="16"/>
  <c r="AT89" i="16"/>
  <c r="AX119" i="16"/>
  <c r="AX89" i="16"/>
  <c r="AM120" i="16"/>
  <c r="AM90" i="16"/>
  <c r="AQ120" i="16"/>
  <c r="AQ90" i="16"/>
  <c r="AU120" i="16"/>
  <c r="AU90" i="16"/>
  <c r="AY120" i="16"/>
  <c r="AY90" i="16"/>
  <c r="AJ121" i="16"/>
  <c r="AJ91" i="16"/>
  <c r="AN121" i="16"/>
  <c r="AN91" i="16"/>
  <c r="AR121" i="16"/>
  <c r="AR91" i="16"/>
  <c r="AV121" i="16"/>
  <c r="AV91" i="16"/>
  <c r="AK122" i="16"/>
  <c r="AK92" i="16"/>
  <c r="AO122" i="16"/>
  <c r="AO92" i="16"/>
  <c r="AS122" i="16"/>
  <c r="AS92" i="16"/>
  <c r="AW122" i="16"/>
  <c r="AW92" i="16"/>
  <c r="AZ100" i="16"/>
  <c r="AZ70" i="16"/>
  <c r="AZ104" i="16"/>
  <c r="AZ74" i="16"/>
  <c r="AZ108" i="16"/>
  <c r="AZ78" i="16"/>
  <c r="AZ112" i="16"/>
  <c r="AZ82" i="16"/>
  <c r="AZ116" i="16"/>
  <c r="AZ86" i="16"/>
  <c r="AZ120" i="16"/>
  <c r="AZ90" i="16"/>
  <c r="AJ122" i="15"/>
  <c r="AJ91" i="15"/>
  <c r="AJ105" i="15"/>
  <c r="AJ74" i="15"/>
  <c r="AK104" i="15"/>
  <c r="AK73" i="15"/>
  <c r="AL103" i="15"/>
  <c r="AL72" i="15"/>
  <c r="AM112" i="15"/>
  <c r="AM81" i="15"/>
  <c r="AM104" i="15"/>
  <c r="AM73" i="15"/>
  <c r="AN119" i="15"/>
  <c r="AN88" i="15"/>
  <c r="AN110" i="15"/>
  <c r="AN79" i="15"/>
  <c r="AO125" i="15"/>
  <c r="AO121" i="15"/>
  <c r="AO90" i="15"/>
  <c r="AO117" i="15"/>
  <c r="AO86" i="15"/>
  <c r="AO108" i="15"/>
  <c r="AO77" i="15"/>
  <c r="AP124" i="15"/>
  <c r="AP93" i="15"/>
  <c r="AP116" i="15"/>
  <c r="AP85" i="15"/>
  <c r="AP107" i="15"/>
  <c r="AP76" i="15"/>
  <c r="AQ123" i="15"/>
  <c r="AQ92" i="15"/>
  <c r="AQ115" i="15"/>
  <c r="AQ84" i="15"/>
  <c r="AQ106" i="15"/>
  <c r="AQ75" i="15"/>
  <c r="AS124" i="15"/>
  <c r="AS93" i="15"/>
  <c r="AS120" i="15"/>
  <c r="AS89" i="15"/>
  <c r="AS114" i="15"/>
  <c r="AS83" i="15"/>
  <c r="AS107" i="15"/>
  <c r="AS76" i="15"/>
  <c r="AS103" i="15"/>
  <c r="AS72" i="15"/>
  <c r="AU121" i="15"/>
  <c r="AU90" i="15"/>
  <c r="AU112" i="15"/>
  <c r="AU81" i="15"/>
  <c r="AU108" i="15"/>
  <c r="AU77" i="15"/>
  <c r="AU104" i="15"/>
  <c r="AU73" i="15"/>
  <c r="AW124" i="15"/>
  <c r="AW93" i="15"/>
  <c r="AW118" i="15"/>
  <c r="AW87" i="15"/>
  <c r="AW111" i="15"/>
  <c r="AW80" i="15"/>
  <c r="AW107" i="15"/>
  <c r="AW76" i="15"/>
  <c r="AW103" i="15"/>
  <c r="AW72" i="15"/>
  <c r="AX120" i="15"/>
  <c r="AX89" i="15"/>
  <c r="AX116" i="15"/>
  <c r="AX85" i="15"/>
  <c r="AX107" i="15"/>
  <c r="AX76" i="15"/>
  <c r="AY123" i="15"/>
  <c r="AY92" i="15"/>
  <c r="AY110" i="15"/>
  <c r="AY79" i="15"/>
  <c r="BV108" i="15"/>
  <c r="BV77" i="15"/>
  <c r="BV43" i="15"/>
  <c r="BV104" i="15"/>
  <c r="BV73" i="15"/>
  <c r="AZ106" i="15"/>
  <c r="AZ75" i="15"/>
  <c r="AZ110" i="15"/>
  <c r="AZ79" i="15"/>
  <c r="AM113" i="15"/>
  <c r="AM82" i="15"/>
  <c r="AQ113" i="15"/>
  <c r="AQ82" i="15"/>
  <c r="AU113" i="15"/>
  <c r="AU82" i="15"/>
  <c r="AY113" i="15"/>
  <c r="AY82" i="15"/>
  <c r="AZ114" i="15"/>
  <c r="AZ83" i="15"/>
  <c r="AZ118" i="15"/>
  <c r="AZ87" i="15"/>
  <c r="AZ122" i="15"/>
  <c r="AZ91" i="15"/>
  <c r="AL99" i="16"/>
  <c r="AL69" i="16"/>
  <c r="AP99" i="16"/>
  <c r="AP69" i="16"/>
  <c r="AT99" i="16"/>
  <c r="AT69" i="16"/>
  <c r="AX99" i="16"/>
  <c r="AX69" i="16"/>
  <c r="AM100" i="16"/>
  <c r="AM70" i="16"/>
  <c r="AQ100" i="16"/>
  <c r="AQ70" i="16"/>
  <c r="AU100" i="16"/>
  <c r="AU70" i="16"/>
  <c r="AY100" i="16"/>
  <c r="AY70" i="16"/>
  <c r="AJ101" i="16"/>
  <c r="AJ71" i="16"/>
  <c r="AN101" i="16"/>
  <c r="AN71" i="16"/>
  <c r="AV101" i="16"/>
  <c r="AV71" i="16"/>
  <c r="AK102" i="16"/>
  <c r="AK72" i="16"/>
  <c r="AO102" i="16"/>
  <c r="AO72" i="16"/>
  <c r="AS102" i="16"/>
  <c r="AS72" i="16"/>
  <c r="AW102" i="16"/>
  <c r="AW72" i="16"/>
  <c r="AM103" i="16"/>
  <c r="AM73" i="16"/>
  <c r="AQ103" i="16"/>
  <c r="AQ73" i="16"/>
  <c r="AU103" i="16"/>
  <c r="AU73" i="16"/>
  <c r="AY103" i="16"/>
  <c r="AY73" i="16"/>
  <c r="AJ104" i="16"/>
  <c r="AJ74" i="16"/>
  <c r="AN104" i="16"/>
  <c r="AN74" i="16"/>
  <c r="AV104" i="16"/>
  <c r="AV74" i="16"/>
  <c r="AK105" i="16"/>
  <c r="AK75" i="16"/>
  <c r="AO105" i="16"/>
  <c r="AO75" i="16"/>
  <c r="AS105" i="16"/>
  <c r="AS75" i="16"/>
  <c r="AW105" i="16"/>
  <c r="AW75" i="16"/>
  <c r="BU105" i="16"/>
  <c r="BU75" i="16"/>
  <c r="AM107" i="16"/>
  <c r="AM77" i="16"/>
  <c r="AQ107" i="16"/>
  <c r="AQ77" i="16"/>
  <c r="AU107" i="16"/>
  <c r="AU77" i="16"/>
  <c r="AY107" i="16"/>
  <c r="AY77" i="16"/>
  <c r="AJ108" i="16"/>
  <c r="AJ78" i="16"/>
  <c r="AN108" i="16"/>
  <c r="AN78" i="16"/>
  <c r="AV108" i="16"/>
  <c r="AV78" i="16"/>
  <c r="AK109" i="16"/>
  <c r="AK79" i="16"/>
  <c r="AO109" i="16"/>
  <c r="AO79" i="16"/>
  <c r="AS109" i="16"/>
  <c r="AS79" i="16"/>
  <c r="AW109" i="16"/>
  <c r="AW79" i="16"/>
  <c r="BU109" i="16"/>
  <c r="BU79" i="16"/>
  <c r="AL110" i="16"/>
  <c r="AL80" i="16"/>
  <c r="AP110" i="16"/>
  <c r="AP80" i="16"/>
  <c r="AT110" i="16"/>
  <c r="AT80" i="16"/>
  <c r="AX110" i="16"/>
  <c r="AX80" i="16"/>
  <c r="AM111" i="16"/>
  <c r="AM81" i="16"/>
  <c r="AQ111" i="16"/>
  <c r="AQ81" i="16"/>
  <c r="AU111" i="16"/>
  <c r="AU81" i="16"/>
  <c r="AY111" i="16"/>
  <c r="AY81" i="16"/>
  <c r="AJ112" i="16"/>
  <c r="AJ82" i="16"/>
  <c r="AN112" i="16"/>
  <c r="AN82" i="16"/>
  <c r="AV112" i="16"/>
  <c r="AV82" i="16"/>
  <c r="AK113" i="16"/>
  <c r="AK83" i="16"/>
  <c r="AO83" i="16"/>
  <c r="AO113" i="16"/>
  <c r="AS113" i="16"/>
  <c r="AS83" i="16"/>
  <c r="AW113" i="16"/>
  <c r="AW83" i="16"/>
  <c r="BU113" i="16"/>
  <c r="BU83" i="16"/>
  <c r="AL114" i="16"/>
  <c r="AL84" i="16"/>
  <c r="AP114" i="16"/>
  <c r="AP84" i="16"/>
  <c r="AT114" i="16"/>
  <c r="AT84" i="16"/>
  <c r="AX114" i="16"/>
  <c r="AX84" i="16"/>
  <c r="AM115" i="16"/>
  <c r="AM85" i="16"/>
  <c r="AQ115" i="16"/>
  <c r="AQ85" i="16"/>
  <c r="AU115" i="16"/>
  <c r="AU85" i="16"/>
  <c r="AY115" i="16"/>
  <c r="AY85" i="16"/>
  <c r="AJ116" i="16"/>
  <c r="AJ86" i="16"/>
  <c r="AN116" i="16"/>
  <c r="AN86" i="16"/>
  <c r="AV116" i="16"/>
  <c r="AV86" i="16"/>
  <c r="AK117" i="16"/>
  <c r="AK87" i="16"/>
  <c r="AO117" i="16"/>
  <c r="AO87" i="16"/>
  <c r="AS117" i="16"/>
  <c r="AS87" i="16"/>
  <c r="AW117" i="16"/>
  <c r="AW87" i="16"/>
  <c r="AL118" i="16"/>
  <c r="AL88" i="16"/>
  <c r="AP118" i="16"/>
  <c r="AP88" i="16"/>
  <c r="AT118" i="16"/>
  <c r="AT88" i="16"/>
  <c r="AX88" i="16"/>
  <c r="AX118" i="16"/>
  <c r="AM119" i="16"/>
  <c r="AM89" i="16"/>
  <c r="AQ119" i="16"/>
  <c r="AQ89" i="16"/>
  <c r="AU119" i="16"/>
  <c r="AU89" i="16"/>
  <c r="AY119" i="16"/>
  <c r="AY89" i="16"/>
  <c r="AJ120" i="16"/>
  <c r="AJ90" i="16"/>
  <c r="AN120" i="16"/>
  <c r="AN90" i="16"/>
  <c r="AR120" i="16"/>
  <c r="AR90" i="16"/>
  <c r="AV120" i="16"/>
  <c r="AV90" i="16"/>
  <c r="AK121" i="16"/>
  <c r="AK91" i="16"/>
  <c r="AO121" i="16"/>
  <c r="AO91" i="16"/>
  <c r="AS121" i="16"/>
  <c r="AS91" i="16"/>
  <c r="AW121" i="16"/>
  <c r="AW91" i="16"/>
  <c r="AL122" i="16"/>
  <c r="AL92" i="16"/>
  <c r="AP122" i="16"/>
  <c r="AP92" i="16"/>
  <c r="AT122" i="16"/>
  <c r="AT92" i="16"/>
  <c r="AX122" i="16"/>
  <c r="AX92" i="16"/>
  <c r="AZ99" i="16"/>
  <c r="AZ69" i="16"/>
  <c r="AZ103" i="16"/>
  <c r="AZ73" i="16"/>
  <c r="AZ107" i="16"/>
  <c r="AZ77" i="16"/>
  <c r="AZ111" i="16"/>
  <c r="AZ81" i="16"/>
  <c r="AZ115" i="16"/>
  <c r="AZ85" i="16"/>
  <c r="AZ119" i="16"/>
  <c r="AZ89" i="16"/>
  <c r="AJ102" i="15"/>
  <c r="AJ71" i="15"/>
  <c r="AJ114" i="15"/>
  <c r="AJ83" i="15"/>
  <c r="AK121" i="15"/>
  <c r="AK90" i="15"/>
  <c r="AK108" i="15"/>
  <c r="AK77" i="15"/>
  <c r="AL120" i="15"/>
  <c r="AL89" i="15"/>
  <c r="AL107" i="15"/>
  <c r="AL76" i="15"/>
  <c r="AM125" i="15"/>
  <c r="AM108" i="15"/>
  <c r="AM77" i="15"/>
  <c r="AN123" i="15"/>
  <c r="AN92" i="15"/>
  <c r="AN115" i="15"/>
  <c r="AN84" i="15"/>
  <c r="AN106" i="15"/>
  <c r="AN75" i="15"/>
  <c r="AO112" i="15"/>
  <c r="AO81" i="15"/>
  <c r="AO104" i="15"/>
  <c r="AO73" i="15"/>
  <c r="AP120" i="15"/>
  <c r="AP89" i="15"/>
  <c r="AP111" i="15"/>
  <c r="AP80" i="15"/>
  <c r="AP103" i="15"/>
  <c r="AP72" i="15"/>
  <c r="AQ119" i="15"/>
  <c r="AQ88" i="15"/>
  <c r="AQ110" i="15"/>
  <c r="AQ79" i="15"/>
  <c r="AS122" i="15"/>
  <c r="AS91" i="15"/>
  <c r="AS118" i="15"/>
  <c r="AS87" i="15"/>
  <c r="AS116" i="15"/>
  <c r="AS85" i="15"/>
  <c r="AS111" i="15"/>
  <c r="AS80" i="15"/>
  <c r="AS105" i="15"/>
  <c r="AS74" i="15"/>
  <c r="AU125" i="15"/>
  <c r="AU123" i="15"/>
  <c r="AU92" i="15"/>
  <c r="AU119" i="15"/>
  <c r="AU88" i="15"/>
  <c r="AU117" i="15"/>
  <c r="AU86" i="15"/>
  <c r="AU115" i="15"/>
  <c r="AU84" i="15"/>
  <c r="AU110" i="15"/>
  <c r="AU79" i="15"/>
  <c r="AU106" i="15"/>
  <c r="AU75" i="15"/>
  <c r="AV102" i="15"/>
  <c r="AV71" i="15"/>
  <c r="AW122" i="15"/>
  <c r="AW91" i="15"/>
  <c r="AW120" i="15"/>
  <c r="AW89" i="15"/>
  <c r="AW116" i="15"/>
  <c r="AW85" i="15"/>
  <c r="AW114" i="15"/>
  <c r="AW83" i="15"/>
  <c r="AW109" i="15"/>
  <c r="AW78" i="15"/>
  <c r="AW105" i="15"/>
  <c r="AW74" i="15"/>
  <c r="AX124" i="15"/>
  <c r="AX93" i="15"/>
  <c r="AX111" i="15"/>
  <c r="AX80" i="15"/>
  <c r="AX103" i="15"/>
  <c r="AX72" i="15"/>
  <c r="AY119" i="15"/>
  <c r="AY88" i="15"/>
  <c r="AY115" i="15"/>
  <c r="AY84" i="15"/>
  <c r="AY106" i="15"/>
  <c r="AY75" i="15"/>
  <c r="BV49" i="15"/>
  <c r="BV110" i="15"/>
  <c r="BV79" i="15"/>
  <c r="BV45" i="15"/>
  <c r="BV106" i="15"/>
  <c r="BV75" i="15"/>
  <c r="AZ102" i="15"/>
  <c r="AZ71" i="15"/>
  <c r="AJ125" i="15"/>
  <c r="AJ121" i="15"/>
  <c r="AJ90" i="15"/>
  <c r="AJ117" i="15"/>
  <c r="AJ86" i="15"/>
  <c r="AJ112" i="15"/>
  <c r="AJ81" i="15"/>
  <c r="AJ108" i="15"/>
  <c r="AJ77" i="15"/>
  <c r="AJ104" i="15"/>
  <c r="AJ73" i="15"/>
  <c r="AK124" i="15"/>
  <c r="AK93" i="15"/>
  <c r="AK120" i="15"/>
  <c r="AK89" i="15"/>
  <c r="AK116" i="15"/>
  <c r="AK85" i="15"/>
  <c r="AK111" i="15"/>
  <c r="AK80" i="15"/>
  <c r="AK107" i="15"/>
  <c r="AK76" i="15"/>
  <c r="AK103" i="15"/>
  <c r="AK72" i="15"/>
  <c r="AL123" i="15"/>
  <c r="AL92" i="15"/>
  <c r="AL119" i="15"/>
  <c r="AL88" i="15"/>
  <c r="AL115" i="15"/>
  <c r="AL84" i="15"/>
  <c r="AL110" i="15"/>
  <c r="AL79" i="15"/>
  <c r="AL106" i="15"/>
  <c r="AL75" i="15"/>
  <c r="AM102" i="15"/>
  <c r="AM71" i="15"/>
  <c r="AM124" i="15"/>
  <c r="AM93" i="15"/>
  <c r="AM120" i="15"/>
  <c r="AM89" i="15"/>
  <c r="AM116" i="15"/>
  <c r="AM85" i="15"/>
  <c r="AM111" i="15"/>
  <c r="AM80" i="15"/>
  <c r="AM107" i="15"/>
  <c r="AM76" i="15"/>
  <c r="AM103" i="15"/>
  <c r="AM72" i="15"/>
  <c r="AN122" i="15"/>
  <c r="AN91" i="15"/>
  <c r="AN118" i="15"/>
  <c r="AN87" i="15"/>
  <c r="AN114" i="15"/>
  <c r="AN83" i="15"/>
  <c r="AN109" i="15"/>
  <c r="AN78" i="15"/>
  <c r="AN105" i="15"/>
  <c r="AN74" i="15"/>
  <c r="AO124" i="15"/>
  <c r="AO93" i="15"/>
  <c r="AO120" i="15"/>
  <c r="AO89" i="15"/>
  <c r="AO116" i="15"/>
  <c r="AO85" i="15"/>
  <c r="AO111" i="15"/>
  <c r="AO80" i="15"/>
  <c r="AO107" i="15"/>
  <c r="AO76" i="15"/>
  <c r="AO103" i="15"/>
  <c r="AO72" i="15"/>
  <c r="AP123" i="15"/>
  <c r="AP92" i="15"/>
  <c r="AP119" i="15"/>
  <c r="AP88" i="15"/>
  <c r="AP115" i="15"/>
  <c r="AP84" i="15"/>
  <c r="AP110" i="15"/>
  <c r="AP79" i="15"/>
  <c r="AP106" i="15"/>
  <c r="AP75" i="15"/>
  <c r="AQ102" i="15"/>
  <c r="AQ71" i="15"/>
  <c r="AQ122" i="15"/>
  <c r="AQ91" i="15"/>
  <c r="AQ118" i="15"/>
  <c r="AQ87" i="15"/>
  <c r="AQ114" i="15"/>
  <c r="AQ83" i="15"/>
  <c r="AQ105" i="15"/>
  <c r="AQ74" i="15"/>
  <c r="AS102" i="15"/>
  <c r="AS71" i="15"/>
  <c r="AR124" i="15"/>
  <c r="AR93" i="15"/>
  <c r="AR122" i="15"/>
  <c r="AR91" i="15"/>
  <c r="AR120" i="15"/>
  <c r="AR89" i="15"/>
  <c r="AT125" i="15"/>
  <c r="AT123" i="15"/>
  <c r="AT92" i="15"/>
  <c r="AT121" i="15"/>
  <c r="AT90" i="15"/>
  <c r="AT119" i="15"/>
  <c r="AT88" i="15"/>
  <c r="AT117" i="15"/>
  <c r="AT86" i="15"/>
  <c r="AT115" i="15"/>
  <c r="AT84" i="15"/>
  <c r="AT108" i="15"/>
  <c r="AT77" i="15"/>
  <c r="AT106" i="15"/>
  <c r="AT75" i="15"/>
  <c r="AT104" i="15"/>
  <c r="AT73" i="15"/>
  <c r="AW102" i="15"/>
  <c r="AW71" i="15"/>
  <c r="AV124" i="15"/>
  <c r="AV93" i="15"/>
  <c r="AV122" i="15"/>
  <c r="AV91" i="15"/>
  <c r="AV120" i="15"/>
  <c r="AV89" i="15"/>
  <c r="AV118" i="15"/>
  <c r="AV87" i="15"/>
  <c r="AV107" i="15"/>
  <c r="AV76" i="15"/>
  <c r="AV105" i="15"/>
  <c r="AV74" i="15"/>
  <c r="AV103" i="15"/>
  <c r="AV72" i="15"/>
  <c r="AX92" i="15"/>
  <c r="AX123" i="15"/>
  <c r="AX88" i="15"/>
  <c r="AX119" i="15"/>
  <c r="AX115" i="15"/>
  <c r="AX84" i="15"/>
  <c r="AX79" i="15"/>
  <c r="AX110" i="15"/>
  <c r="AX106" i="15"/>
  <c r="AX75" i="15"/>
  <c r="AY102" i="15"/>
  <c r="AY71" i="15"/>
  <c r="AY122" i="15"/>
  <c r="AY91" i="15"/>
  <c r="AY118" i="15"/>
  <c r="AY87" i="15"/>
  <c r="AY114" i="15"/>
  <c r="AY83" i="15"/>
  <c r="AY105" i="15"/>
  <c r="AY74" i="15"/>
  <c r="AZ74" i="15"/>
  <c r="AZ105" i="15"/>
  <c r="AZ109" i="15"/>
  <c r="AZ78" i="15"/>
  <c r="AJ113" i="15"/>
  <c r="AJ82" i="15"/>
  <c r="AN113" i="15"/>
  <c r="AN82" i="15"/>
  <c r="AZ82" i="15"/>
  <c r="AZ113" i="15"/>
  <c r="BV83" i="15"/>
  <c r="BV114" i="15"/>
  <c r="AZ117" i="15"/>
  <c r="AZ86" i="15"/>
  <c r="AZ90" i="15"/>
  <c r="AZ121" i="15"/>
  <c r="BU94" i="15"/>
  <c r="AZ125" i="15"/>
  <c r="AZ94" i="15"/>
  <c r="AM99" i="16"/>
  <c r="AM69" i="16"/>
  <c r="AQ99" i="16"/>
  <c r="AQ69" i="16"/>
  <c r="AU99" i="16"/>
  <c r="AU69" i="16"/>
  <c r="AY99" i="16"/>
  <c r="AY69" i="16"/>
  <c r="AJ100" i="16"/>
  <c r="AJ70" i="16"/>
  <c r="AN100" i="16"/>
  <c r="AN70" i="16"/>
  <c r="AV100" i="16"/>
  <c r="AV70" i="16"/>
  <c r="AK101" i="16"/>
  <c r="AK71" i="16"/>
  <c r="AO101" i="16"/>
  <c r="AO71" i="16"/>
  <c r="AS101" i="16"/>
  <c r="AS71" i="16"/>
  <c r="AW101" i="16"/>
  <c r="AW71" i="16"/>
  <c r="BU101" i="16"/>
  <c r="BU71" i="16"/>
  <c r="AL102" i="16"/>
  <c r="AL72" i="16"/>
  <c r="AP102" i="16"/>
  <c r="AP72" i="16"/>
  <c r="AT102" i="16"/>
  <c r="AT72" i="16"/>
  <c r="AX102" i="16"/>
  <c r="AX72" i="16"/>
  <c r="AJ103" i="16"/>
  <c r="AJ73" i="16"/>
  <c r="AN103" i="16"/>
  <c r="AN73" i="16"/>
  <c r="AV103" i="16"/>
  <c r="AV73" i="16"/>
  <c r="AK104" i="16"/>
  <c r="AK74" i="16"/>
  <c r="AO104" i="16"/>
  <c r="AO74" i="16"/>
  <c r="AS104" i="16"/>
  <c r="AS74" i="16"/>
  <c r="AW104" i="16"/>
  <c r="AW74" i="16"/>
  <c r="BT45" i="16"/>
  <c r="BU104" i="16"/>
  <c r="BU74" i="16"/>
  <c r="AL105" i="16"/>
  <c r="AL75" i="16"/>
  <c r="AP105" i="16"/>
  <c r="AP75" i="16"/>
  <c r="AT105" i="16"/>
  <c r="AT75" i="16"/>
  <c r="AX105" i="16"/>
  <c r="AX75" i="16"/>
  <c r="AJ107" i="16"/>
  <c r="AJ77" i="16"/>
  <c r="AN107" i="16"/>
  <c r="AN77" i="16"/>
  <c r="AV107" i="16"/>
  <c r="AV77" i="16"/>
  <c r="AK108" i="16"/>
  <c r="AK78" i="16"/>
  <c r="AO108" i="16"/>
  <c r="AO78" i="16"/>
  <c r="AS108" i="16"/>
  <c r="AS78" i="16"/>
  <c r="AW108" i="16"/>
  <c r="AW78" i="16"/>
  <c r="BT49" i="16"/>
  <c r="BU108" i="16"/>
  <c r="BU78" i="16"/>
  <c r="AL109" i="16"/>
  <c r="AL79" i="16"/>
  <c r="AP109" i="16"/>
  <c r="AP79" i="16"/>
  <c r="AT109" i="16"/>
  <c r="AT79" i="16"/>
  <c r="AX109" i="16"/>
  <c r="AX79" i="16"/>
  <c r="AM110" i="16"/>
  <c r="AM80" i="16"/>
  <c r="AQ110" i="16"/>
  <c r="AQ80" i="16"/>
  <c r="AU110" i="16"/>
  <c r="AU80" i="16"/>
  <c r="AY110" i="16"/>
  <c r="AY80" i="16"/>
  <c r="AJ111" i="16"/>
  <c r="AJ81" i="16"/>
  <c r="AN111" i="16"/>
  <c r="AN81" i="16"/>
  <c r="AV111" i="16"/>
  <c r="AV81" i="16"/>
  <c r="AK112" i="16"/>
  <c r="AK82" i="16"/>
  <c r="AO112" i="16"/>
  <c r="AO82" i="16"/>
  <c r="AS112" i="16"/>
  <c r="AS82" i="16"/>
  <c r="AW112" i="16"/>
  <c r="AW82" i="16"/>
  <c r="AL113" i="16"/>
  <c r="AL83" i="16"/>
  <c r="AP113" i="16"/>
  <c r="AP83" i="16"/>
  <c r="AT113" i="16"/>
  <c r="AT83" i="16"/>
  <c r="AX113" i="16"/>
  <c r="AX83" i="16"/>
  <c r="AM114" i="16"/>
  <c r="AM84" i="16"/>
  <c r="AQ114" i="16"/>
  <c r="AQ84" i="16"/>
  <c r="AU114" i="16"/>
  <c r="AU84" i="16"/>
  <c r="AY114" i="16"/>
  <c r="AY84" i="16"/>
  <c r="AJ115" i="16"/>
  <c r="AJ85" i="16"/>
  <c r="AN115" i="16"/>
  <c r="AN85" i="16"/>
  <c r="AV115" i="16"/>
  <c r="AV85" i="16"/>
  <c r="AK116" i="16"/>
  <c r="AK86" i="16"/>
  <c r="AO116" i="16"/>
  <c r="AO86" i="16"/>
  <c r="AS116" i="16"/>
  <c r="AS86" i="16"/>
  <c r="AW116" i="16"/>
  <c r="AW86" i="16"/>
  <c r="AL117" i="16"/>
  <c r="AL87" i="16"/>
  <c r="AP117" i="16"/>
  <c r="AP87" i="16"/>
  <c r="AT117" i="16"/>
  <c r="AT87" i="16"/>
  <c r="AX117" i="16"/>
  <c r="AX87" i="16"/>
  <c r="AM118" i="16"/>
  <c r="AM88" i="16"/>
  <c r="AQ118" i="16"/>
  <c r="AQ88" i="16"/>
  <c r="AU118" i="16"/>
  <c r="AU88" i="16"/>
  <c r="AY118" i="16"/>
  <c r="AY88" i="16"/>
  <c r="AJ119" i="16"/>
  <c r="AJ89" i="16"/>
  <c r="AN119" i="16"/>
  <c r="AN89" i="16"/>
  <c r="AR119" i="16"/>
  <c r="AR89" i="16"/>
  <c r="AV119" i="16"/>
  <c r="AV89" i="16"/>
  <c r="AK90" i="16"/>
  <c r="AK120" i="16"/>
  <c r="AO120" i="16"/>
  <c r="AO90" i="16"/>
  <c r="AS120" i="16"/>
  <c r="AS90" i="16"/>
  <c r="AW120" i="16"/>
  <c r="AW90" i="16"/>
  <c r="AL121" i="16"/>
  <c r="AL91" i="16"/>
  <c r="AP121" i="16"/>
  <c r="AP91" i="16"/>
  <c r="AT121" i="16"/>
  <c r="AT91" i="16"/>
  <c r="AX121" i="16"/>
  <c r="AX91" i="16"/>
  <c r="AM122" i="16"/>
  <c r="AM92" i="16"/>
  <c r="AQ122" i="16"/>
  <c r="AQ92" i="16"/>
  <c r="AU122" i="16"/>
  <c r="AU92" i="16"/>
  <c r="AY122" i="16"/>
  <c r="AY92" i="16"/>
  <c r="AZ72" i="16"/>
  <c r="AZ102" i="16"/>
  <c r="AZ106" i="16"/>
  <c r="AZ76" i="16"/>
  <c r="AZ80" i="16"/>
  <c r="AZ110" i="16"/>
  <c r="AZ114" i="16"/>
  <c r="AZ84" i="16"/>
  <c r="AZ118" i="16"/>
  <c r="AZ88" i="16"/>
  <c r="AZ122" i="16"/>
  <c r="AZ92" i="16"/>
  <c r="BT53" i="16"/>
  <c r="BU112" i="16"/>
  <c r="BU82" i="16"/>
  <c r="BV84" i="15"/>
  <c r="BV115" i="15"/>
  <c r="AJ106" i="16"/>
  <c r="AJ76" i="16"/>
  <c r="AN106" i="16"/>
  <c r="AN76" i="16"/>
  <c r="AV106" i="16"/>
  <c r="AV76" i="16"/>
  <c r="AK106" i="16"/>
  <c r="AK76" i="16"/>
  <c r="AO106" i="16"/>
  <c r="AO76" i="16"/>
  <c r="AS76" i="16"/>
  <c r="AS106" i="16"/>
  <c r="AW106" i="16"/>
  <c r="AW76" i="16"/>
  <c r="AL106" i="16"/>
  <c r="AL76" i="16"/>
  <c r="AP106" i="16"/>
  <c r="AP76" i="16"/>
  <c r="AT106" i="16"/>
  <c r="AT76" i="16"/>
  <c r="AX106" i="16"/>
  <c r="AX76" i="16"/>
  <c r="AM106" i="16"/>
  <c r="AM76" i="16"/>
  <c r="AQ106" i="16"/>
  <c r="AQ76" i="16"/>
  <c r="AU106" i="16"/>
  <c r="AU76" i="16"/>
  <c r="AY106" i="16"/>
  <c r="AY76" i="16"/>
  <c r="AS109" i="15"/>
  <c r="AS78" i="15"/>
  <c r="AP109" i="15"/>
  <c r="AP78" i="15"/>
  <c r="AQ109" i="15"/>
  <c r="AQ78" i="15"/>
  <c r="AY109" i="15"/>
  <c r="AY78" i="15"/>
  <c r="BV50" i="15"/>
  <c r="BV46" i="15"/>
  <c r="BV42" i="15"/>
  <c r="BV54" i="15"/>
  <c r="BV55" i="15"/>
  <c r="BV51" i="15"/>
  <c r="BV47" i="15"/>
  <c r="BT42" i="16"/>
  <c r="BT44" i="16"/>
  <c r="BU43" i="16"/>
  <c r="BT46" i="16"/>
  <c r="BU47" i="16"/>
  <c r="BT50" i="16"/>
  <c r="BU51" i="16"/>
  <c r="BT54" i="16"/>
  <c r="BU55" i="16"/>
  <c r="BU59" i="16"/>
  <c r="BU106" i="15"/>
  <c r="AZ45" i="15"/>
  <c r="AM52" i="15"/>
  <c r="AY52" i="15"/>
  <c r="AZ53" i="15"/>
  <c r="BU45" i="15"/>
  <c r="BU103" i="15"/>
  <c r="AZ42" i="15"/>
  <c r="BU80" i="15"/>
  <c r="AZ50" i="15"/>
  <c r="AL52" i="15"/>
  <c r="AP52" i="15"/>
  <c r="AX52" i="15"/>
  <c r="BU54" i="15"/>
  <c r="AZ54" i="15"/>
  <c r="BU58" i="15"/>
  <c r="AZ58" i="15"/>
  <c r="BU62" i="15"/>
  <c r="AZ62" i="15"/>
  <c r="BE9" i="6"/>
  <c r="AK40" i="16"/>
  <c r="BI9" i="6"/>
  <c r="AO40" i="16"/>
  <c r="BM9" i="6"/>
  <c r="BL9" i="16" s="1"/>
  <c r="AS40" i="16"/>
  <c r="AW40" i="16"/>
  <c r="BH9" i="6"/>
  <c r="BE10" i="6"/>
  <c r="AK41" i="16"/>
  <c r="BI10" i="6"/>
  <c r="AO41" i="16"/>
  <c r="BM10" i="6"/>
  <c r="BL10" i="16" s="1"/>
  <c r="AS41" i="16"/>
  <c r="BQ10" i="6"/>
  <c r="AW41" i="16"/>
  <c r="BF11" i="6"/>
  <c r="AL42" i="16"/>
  <c r="BJ11" i="6"/>
  <c r="BI11" i="16" s="1"/>
  <c r="AP42" i="16"/>
  <c r="BN11" i="6"/>
  <c r="BM11" i="16" s="1"/>
  <c r="AT42" i="16"/>
  <c r="BR11" i="6"/>
  <c r="BQ11" i="16" s="1"/>
  <c r="AX42" i="16"/>
  <c r="BG12" i="6"/>
  <c r="AM43" i="16"/>
  <c r="BK12" i="6"/>
  <c r="BJ12" i="16" s="1"/>
  <c r="AQ43" i="16"/>
  <c r="BO12" i="6"/>
  <c r="BN12" i="16" s="1"/>
  <c r="AU43" i="16"/>
  <c r="BS12" i="6"/>
  <c r="BR12" i="16" s="1"/>
  <c r="AY43" i="16"/>
  <c r="BE13" i="6"/>
  <c r="AK44" i="16"/>
  <c r="BI13" i="6"/>
  <c r="AO44" i="16"/>
  <c r="BM13" i="6"/>
  <c r="BL13" i="16" s="1"/>
  <c r="AS44" i="16"/>
  <c r="BQ13" i="6"/>
  <c r="AW44" i="16"/>
  <c r="BF14" i="6"/>
  <c r="AL45" i="16"/>
  <c r="BJ14" i="6"/>
  <c r="BI14" i="16" s="1"/>
  <c r="AP45" i="16"/>
  <c r="BN14" i="6"/>
  <c r="BM14" i="16" s="1"/>
  <c r="AT45" i="16"/>
  <c r="BR14" i="6"/>
  <c r="BQ14" i="16" s="1"/>
  <c r="AX45" i="16"/>
  <c r="BG15" i="6"/>
  <c r="AM46" i="16"/>
  <c r="BK15" i="6"/>
  <c r="BJ15" i="16" s="1"/>
  <c r="AQ46" i="16"/>
  <c r="BO15" i="6"/>
  <c r="BN15" i="16" s="1"/>
  <c r="AU46" i="16"/>
  <c r="BS15" i="6"/>
  <c r="BR15" i="16" s="1"/>
  <c r="AY46" i="16"/>
  <c r="BD16" i="6"/>
  <c r="AJ47" i="16"/>
  <c r="BH16" i="6"/>
  <c r="AN47" i="16"/>
  <c r="BL16" i="6"/>
  <c r="BP16" i="6"/>
  <c r="BO16" i="16" s="1"/>
  <c r="AV47" i="16"/>
  <c r="BE17" i="6"/>
  <c r="AK48" i="16"/>
  <c r="BI17" i="6"/>
  <c r="AO48" i="16"/>
  <c r="BM17" i="6"/>
  <c r="BL17" i="16" s="1"/>
  <c r="AS48" i="16"/>
  <c r="BQ17" i="6"/>
  <c r="AW48" i="16"/>
  <c r="BF18" i="6"/>
  <c r="AL49" i="16"/>
  <c r="BJ18" i="6"/>
  <c r="BI18" i="16" s="1"/>
  <c r="AP49" i="16"/>
  <c r="BN18" i="6"/>
  <c r="BM18" i="16" s="1"/>
  <c r="AT49" i="16"/>
  <c r="BR18" i="6"/>
  <c r="BQ18" i="16" s="1"/>
  <c r="AX49" i="16"/>
  <c r="BG19" i="6"/>
  <c r="AM50" i="16"/>
  <c r="BK19" i="6"/>
  <c r="BJ19" i="16" s="1"/>
  <c r="AQ50" i="16"/>
  <c r="BO19" i="6"/>
  <c r="BN19" i="16" s="1"/>
  <c r="AU50" i="16"/>
  <c r="BS19" i="6"/>
  <c r="BR19" i="16" s="1"/>
  <c r="AY50" i="16"/>
  <c r="BD20" i="6"/>
  <c r="AJ51" i="16"/>
  <c r="BH20" i="6"/>
  <c r="AN51" i="16"/>
  <c r="BL20" i="6"/>
  <c r="BP20" i="6"/>
  <c r="BO20" i="16" s="1"/>
  <c r="AV51" i="16"/>
  <c r="BE21" i="6"/>
  <c r="AK52" i="16"/>
  <c r="BI21" i="6"/>
  <c r="AO52" i="16"/>
  <c r="BM21" i="6"/>
  <c r="BL21" i="16" s="1"/>
  <c r="AS52" i="16"/>
  <c r="BQ21" i="6"/>
  <c r="AW52" i="16"/>
  <c r="BF22" i="6"/>
  <c r="AL53" i="16"/>
  <c r="BJ22" i="6"/>
  <c r="BI22" i="16" s="1"/>
  <c r="AP53" i="16"/>
  <c r="BN22" i="6"/>
  <c r="BM22" i="16" s="1"/>
  <c r="AT53" i="16"/>
  <c r="BR22" i="6"/>
  <c r="BQ22" i="16" s="1"/>
  <c r="AX53" i="16"/>
  <c r="BG23" i="6"/>
  <c r="AM54" i="16"/>
  <c r="BK23" i="6"/>
  <c r="BJ23" i="16" s="1"/>
  <c r="AQ54" i="16"/>
  <c r="BO23" i="6"/>
  <c r="BN23" i="16" s="1"/>
  <c r="AU54" i="16"/>
  <c r="BS23" i="6"/>
  <c r="BR23" i="16" s="1"/>
  <c r="AY54" i="16"/>
  <c r="BD24" i="6"/>
  <c r="AJ55" i="16"/>
  <c r="BH24" i="6"/>
  <c r="AN55" i="16"/>
  <c r="BP24" i="6"/>
  <c r="BO24" i="16" s="1"/>
  <c r="AV55" i="16"/>
  <c r="AK56" i="16"/>
  <c r="AO56" i="16"/>
  <c r="BL25" i="16"/>
  <c r="AS56" i="16"/>
  <c r="AW56" i="16"/>
  <c r="AL57" i="16"/>
  <c r="BI26" i="16"/>
  <c r="AP57" i="16"/>
  <c r="BM26" i="16"/>
  <c r="AT57" i="16"/>
  <c r="BQ26" i="16"/>
  <c r="AX57" i="16"/>
  <c r="AM58" i="16"/>
  <c r="AQ58" i="16"/>
  <c r="AU58" i="16"/>
  <c r="AY58" i="16"/>
  <c r="AJ59" i="16"/>
  <c r="AN59" i="16"/>
  <c r="AR59" i="16"/>
  <c r="AV59" i="16"/>
  <c r="AK60" i="16"/>
  <c r="AO60" i="16"/>
  <c r="AS60" i="16"/>
  <c r="AW60" i="16"/>
  <c r="AL61" i="16"/>
  <c r="AP61" i="16"/>
  <c r="AT61" i="16"/>
  <c r="AX61" i="16"/>
  <c r="AM62" i="16"/>
  <c r="AQ62" i="16"/>
  <c r="AU62" i="16"/>
  <c r="AY62" i="16"/>
  <c r="AJ63" i="16"/>
  <c r="AN63" i="16"/>
  <c r="AR63" i="16"/>
  <c r="AV63" i="16"/>
  <c r="BT11" i="7"/>
  <c r="BT101" i="16" s="1"/>
  <c r="AZ42" i="16"/>
  <c r="BT15" i="7"/>
  <c r="BS46" i="16" s="1"/>
  <c r="AZ46" i="16"/>
  <c r="BT19" i="7"/>
  <c r="BT109" i="16" s="1"/>
  <c r="AZ50" i="16"/>
  <c r="BT23" i="7"/>
  <c r="BT113" i="16" s="1"/>
  <c r="AZ54" i="16"/>
  <c r="BT117" i="16"/>
  <c r="AZ58" i="16"/>
  <c r="BT91" i="16"/>
  <c r="AZ62" i="16"/>
  <c r="AU52" i="15"/>
  <c r="BU118" i="15"/>
  <c r="AZ57" i="15"/>
  <c r="BU61" i="15"/>
  <c r="AZ61" i="15"/>
  <c r="BF9" i="6"/>
  <c r="AL40" i="16"/>
  <c r="BJ9" i="6"/>
  <c r="BI9" i="16" s="1"/>
  <c r="AP40" i="16"/>
  <c r="BN9" i="6"/>
  <c r="BM9" i="16" s="1"/>
  <c r="AT40" i="16"/>
  <c r="BR9" i="6"/>
  <c r="BQ9" i="16" s="1"/>
  <c r="AX40" i="16"/>
  <c r="BF10" i="6"/>
  <c r="AL41" i="16"/>
  <c r="BJ10" i="6"/>
  <c r="BI10" i="16" s="1"/>
  <c r="AP41" i="16"/>
  <c r="BN10" i="6"/>
  <c r="BM10" i="16" s="1"/>
  <c r="AT41" i="16"/>
  <c r="BR10" i="6"/>
  <c r="BQ10" i="16" s="1"/>
  <c r="AX41" i="16"/>
  <c r="BG11" i="6"/>
  <c r="AM42" i="16"/>
  <c r="BK11" i="6"/>
  <c r="BJ11" i="16" s="1"/>
  <c r="AQ42" i="16"/>
  <c r="BO11" i="6"/>
  <c r="BN11" i="16" s="1"/>
  <c r="AU42" i="16"/>
  <c r="BS11" i="6"/>
  <c r="BR11" i="16" s="1"/>
  <c r="AY42" i="16"/>
  <c r="BD12" i="6"/>
  <c r="AJ43" i="16"/>
  <c r="BH12" i="6"/>
  <c r="AN43" i="16"/>
  <c r="BP12" i="6"/>
  <c r="BO12" i="16" s="1"/>
  <c r="AV43" i="16"/>
  <c r="BF13" i="6"/>
  <c r="AL44" i="16"/>
  <c r="BJ13" i="6"/>
  <c r="BI13" i="16" s="1"/>
  <c r="AP44" i="16"/>
  <c r="BN13" i="6"/>
  <c r="BM13" i="16" s="1"/>
  <c r="AT44" i="16"/>
  <c r="BR13" i="6"/>
  <c r="BQ13" i="16" s="1"/>
  <c r="AX44" i="16"/>
  <c r="BG14" i="6"/>
  <c r="AM45" i="16"/>
  <c r="BK14" i="6"/>
  <c r="BJ14" i="16" s="1"/>
  <c r="AQ45" i="16"/>
  <c r="BO14" i="6"/>
  <c r="BN14" i="16" s="1"/>
  <c r="AU45" i="16"/>
  <c r="BS14" i="6"/>
  <c r="BR14" i="16" s="1"/>
  <c r="AY45" i="16"/>
  <c r="BD15" i="6"/>
  <c r="AJ46" i="16"/>
  <c r="BH15" i="6"/>
  <c r="AN46" i="16"/>
  <c r="BP15" i="6"/>
  <c r="BO15" i="16" s="1"/>
  <c r="AV46" i="16"/>
  <c r="BE16" i="6"/>
  <c r="AK47" i="16"/>
  <c r="BI16" i="6"/>
  <c r="AO47" i="16"/>
  <c r="BM16" i="6"/>
  <c r="BL16" i="16" s="1"/>
  <c r="AS47" i="16"/>
  <c r="BQ16" i="6"/>
  <c r="AW47" i="16"/>
  <c r="BF17" i="6"/>
  <c r="AL48" i="16"/>
  <c r="BJ17" i="6"/>
  <c r="BI17" i="16" s="1"/>
  <c r="AP48" i="16"/>
  <c r="BN17" i="6"/>
  <c r="BM17" i="16" s="1"/>
  <c r="AT48" i="16"/>
  <c r="BR17" i="6"/>
  <c r="BQ17" i="16" s="1"/>
  <c r="AX48" i="16"/>
  <c r="BG18" i="6"/>
  <c r="AM49" i="16"/>
  <c r="BK18" i="6"/>
  <c r="BJ18" i="16" s="1"/>
  <c r="AQ49" i="16"/>
  <c r="BO18" i="6"/>
  <c r="BN18" i="16" s="1"/>
  <c r="AU49" i="16"/>
  <c r="BS18" i="6"/>
  <c r="BR18" i="16" s="1"/>
  <c r="AY49" i="16"/>
  <c r="BD19" i="6"/>
  <c r="AJ50" i="16"/>
  <c r="BH19" i="6"/>
  <c r="AN50" i="16"/>
  <c r="BP19" i="6"/>
  <c r="BO19" i="16" s="1"/>
  <c r="AV50" i="16"/>
  <c r="BE20" i="6"/>
  <c r="AK51" i="16"/>
  <c r="BI20" i="6"/>
  <c r="AO51" i="16"/>
  <c r="BM20" i="6"/>
  <c r="BL20" i="16" s="1"/>
  <c r="AS51" i="16"/>
  <c r="BQ20" i="6"/>
  <c r="AW51" i="16"/>
  <c r="BF21" i="6"/>
  <c r="AL52" i="16"/>
  <c r="BJ21" i="6"/>
  <c r="BI21" i="16" s="1"/>
  <c r="AP52" i="16"/>
  <c r="BN21" i="6"/>
  <c r="BM21" i="16" s="1"/>
  <c r="AT52" i="16"/>
  <c r="BR21" i="6"/>
  <c r="BQ21" i="16" s="1"/>
  <c r="AX52" i="16"/>
  <c r="BG22" i="6"/>
  <c r="AM53" i="16"/>
  <c r="BK22" i="6"/>
  <c r="BJ22" i="16" s="1"/>
  <c r="AQ53" i="16"/>
  <c r="BO22" i="6"/>
  <c r="BN22" i="16" s="1"/>
  <c r="AU53" i="16"/>
  <c r="BS22" i="6"/>
  <c r="BR22" i="16" s="1"/>
  <c r="AY53" i="16"/>
  <c r="BD23" i="6"/>
  <c r="AJ54" i="16"/>
  <c r="BH23" i="6"/>
  <c r="AN54" i="16"/>
  <c r="BL23" i="6"/>
  <c r="BP23" i="6"/>
  <c r="BO23" i="16" s="1"/>
  <c r="AV54" i="16"/>
  <c r="BE24" i="6"/>
  <c r="AK55" i="16"/>
  <c r="BI24" i="6"/>
  <c r="AO55" i="16"/>
  <c r="BM24" i="6"/>
  <c r="BL24" i="16" s="1"/>
  <c r="AS55" i="16"/>
  <c r="BQ24" i="6"/>
  <c r="AW55" i="16"/>
  <c r="AL56" i="16"/>
  <c r="BI25" i="16"/>
  <c r="AP56" i="16"/>
  <c r="BM25" i="16"/>
  <c r="AT56" i="16"/>
  <c r="BQ25" i="16"/>
  <c r="AX56" i="16"/>
  <c r="AM57" i="16"/>
  <c r="BJ26" i="16"/>
  <c r="AQ57" i="16"/>
  <c r="BN26" i="16"/>
  <c r="AU57" i="16"/>
  <c r="BR26" i="16"/>
  <c r="AY57" i="16"/>
  <c r="AJ58" i="16"/>
  <c r="AN58" i="16"/>
  <c r="AR58" i="16"/>
  <c r="AV58" i="16"/>
  <c r="AK59" i="16"/>
  <c r="AO59" i="16"/>
  <c r="AS59" i="16"/>
  <c r="AW59" i="16"/>
  <c r="AL60" i="16"/>
  <c r="AP60" i="16"/>
  <c r="AT60" i="16"/>
  <c r="AX60" i="16"/>
  <c r="AM61" i="16"/>
  <c r="AQ61" i="16"/>
  <c r="AU61" i="16"/>
  <c r="AY61" i="16"/>
  <c r="AJ62" i="16"/>
  <c r="AN62" i="16"/>
  <c r="AR62" i="16"/>
  <c r="AV62" i="16"/>
  <c r="BS62" i="16"/>
  <c r="AK63" i="16"/>
  <c r="AO63" i="16"/>
  <c r="AS63" i="16"/>
  <c r="AW63" i="16"/>
  <c r="BT10" i="7"/>
  <c r="BT70" i="16" s="1"/>
  <c r="AZ41" i="16"/>
  <c r="BT14" i="7"/>
  <c r="BT104" i="16" s="1"/>
  <c r="AZ45" i="16"/>
  <c r="BT18" i="7"/>
  <c r="BT108" i="16" s="1"/>
  <c r="AZ49" i="16"/>
  <c r="BT22" i="7"/>
  <c r="BS53" i="16" s="1"/>
  <c r="AZ53" i="16"/>
  <c r="BT26" i="7"/>
  <c r="BT116" i="16" s="1"/>
  <c r="AZ57" i="16"/>
  <c r="BT120" i="16"/>
  <c r="AZ61" i="16"/>
  <c r="BU53" i="15"/>
  <c r="AQ52" i="15"/>
  <c r="BU74" i="15"/>
  <c r="AZ44" i="15"/>
  <c r="BU48" i="15"/>
  <c r="AZ48" i="15"/>
  <c r="AJ52" i="15"/>
  <c r="AN52" i="15"/>
  <c r="BU20" i="15"/>
  <c r="AZ52" i="15"/>
  <c r="BU56" i="15"/>
  <c r="AZ56" i="15"/>
  <c r="BU60" i="15"/>
  <c r="AZ60" i="15"/>
  <c r="BG9" i="6"/>
  <c r="AM40" i="16"/>
  <c r="BK9" i="6"/>
  <c r="BJ9" i="16" s="1"/>
  <c r="AQ40" i="16"/>
  <c r="BO9" i="6"/>
  <c r="BN9" i="16" s="1"/>
  <c r="AU40" i="16"/>
  <c r="BS9" i="6"/>
  <c r="BR9" i="16" s="1"/>
  <c r="AY40" i="16"/>
  <c r="BG10" i="6"/>
  <c r="AM41" i="16"/>
  <c r="BK10" i="6"/>
  <c r="BJ10" i="16" s="1"/>
  <c r="AQ41" i="16"/>
  <c r="BO10" i="6"/>
  <c r="BN10" i="16" s="1"/>
  <c r="AU41" i="16"/>
  <c r="BS10" i="6"/>
  <c r="BR10" i="16" s="1"/>
  <c r="AY41" i="16"/>
  <c r="BD11" i="6"/>
  <c r="AJ42" i="16"/>
  <c r="BH11" i="6"/>
  <c r="AN42" i="16"/>
  <c r="BP11" i="6"/>
  <c r="BO11" i="16" s="1"/>
  <c r="AV42" i="16"/>
  <c r="BE12" i="6"/>
  <c r="AK43" i="16"/>
  <c r="BI12" i="6"/>
  <c r="AO43" i="16"/>
  <c r="BM12" i="6"/>
  <c r="BL12" i="16" s="1"/>
  <c r="AS43" i="16"/>
  <c r="BQ12" i="6"/>
  <c r="AW43" i="16"/>
  <c r="BG13" i="6"/>
  <c r="AM44" i="16"/>
  <c r="BK13" i="6"/>
  <c r="BJ13" i="16" s="1"/>
  <c r="AQ44" i="16"/>
  <c r="BO13" i="6"/>
  <c r="BN13" i="16" s="1"/>
  <c r="AU44" i="16"/>
  <c r="BS13" i="6"/>
  <c r="BR13" i="16" s="1"/>
  <c r="AY44" i="16"/>
  <c r="BD14" i="6"/>
  <c r="AJ45" i="16"/>
  <c r="BH14" i="6"/>
  <c r="AN45" i="16"/>
  <c r="BP14" i="6"/>
  <c r="BO14" i="16" s="1"/>
  <c r="AV45" i="16"/>
  <c r="BS45" i="16"/>
  <c r="BE15" i="6"/>
  <c r="AK46" i="16"/>
  <c r="BI15" i="6"/>
  <c r="AO46" i="16"/>
  <c r="BM15" i="6"/>
  <c r="BL15" i="16" s="1"/>
  <c r="AS46" i="16"/>
  <c r="BQ15" i="6"/>
  <c r="AW46" i="16"/>
  <c r="BF16" i="6"/>
  <c r="AL47" i="16"/>
  <c r="BJ16" i="6"/>
  <c r="BI16" i="16" s="1"/>
  <c r="AP47" i="16"/>
  <c r="BN16" i="6"/>
  <c r="BM16" i="16" s="1"/>
  <c r="AT47" i="16"/>
  <c r="BR16" i="6"/>
  <c r="BQ16" i="16" s="1"/>
  <c r="AX47" i="16"/>
  <c r="BG17" i="6"/>
  <c r="AM48" i="16"/>
  <c r="BK17" i="6"/>
  <c r="BJ17" i="16" s="1"/>
  <c r="AQ48" i="16"/>
  <c r="BO17" i="6"/>
  <c r="BN17" i="16" s="1"/>
  <c r="AU48" i="16"/>
  <c r="BS17" i="6"/>
  <c r="BR17" i="16" s="1"/>
  <c r="AY48" i="16"/>
  <c r="BD18" i="6"/>
  <c r="AJ49" i="16"/>
  <c r="BH18" i="6"/>
  <c r="AN49" i="16"/>
  <c r="BP18" i="6"/>
  <c r="BO18" i="16" s="1"/>
  <c r="AV49" i="16"/>
  <c r="BS49" i="16"/>
  <c r="BE19" i="6"/>
  <c r="AK50" i="16"/>
  <c r="BI19" i="6"/>
  <c r="AO50" i="16"/>
  <c r="BM19" i="6"/>
  <c r="BL19" i="16" s="1"/>
  <c r="AS50" i="16"/>
  <c r="BQ19" i="6"/>
  <c r="AW50" i="16"/>
  <c r="BF20" i="6"/>
  <c r="AL51" i="16"/>
  <c r="BJ20" i="6"/>
  <c r="BI20" i="16" s="1"/>
  <c r="AP51" i="16"/>
  <c r="BN20" i="6"/>
  <c r="BM20" i="16" s="1"/>
  <c r="AT51" i="16"/>
  <c r="BR20" i="6"/>
  <c r="BQ20" i="16" s="1"/>
  <c r="AX51" i="16"/>
  <c r="BG21" i="6"/>
  <c r="AM52" i="16"/>
  <c r="BK21" i="6"/>
  <c r="BJ21" i="16" s="1"/>
  <c r="AQ52" i="16"/>
  <c r="BO21" i="6"/>
  <c r="BN21" i="16" s="1"/>
  <c r="AU52" i="16"/>
  <c r="BS21" i="6"/>
  <c r="BR21" i="16" s="1"/>
  <c r="AY52" i="16"/>
  <c r="BD22" i="6"/>
  <c r="AJ53" i="16"/>
  <c r="BH22" i="6"/>
  <c r="AN53" i="16"/>
  <c r="BL22" i="6"/>
  <c r="BP22" i="6"/>
  <c r="BO22" i="16" s="1"/>
  <c r="AV53" i="16"/>
  <c r="BE23" i="6"/>
  <c r="AK54" i="16"/>
  <c r="BI23" i="6"/>
  <c r="AO54" i="16"/>
  <c r="BM23" i="6"/>
  <c r="BL23" i="16" s="1"/>
  <c r="AS54" i="16"/>
  <c r="BQ23" i="6"/>
  <c r="AW54" i="16"/>
  <c r="BF24" i="6"/>
  <c r="AL55" i="16"/>
  <c r="BJ24" i="6"/>
  <c r="BI24" i="16" s="1"/>
  <c r="AP55" i="16"/>
  <c r="BN24" i="6"/>
  <c r="BM24" i="16" s="1"/>
  <c r="AT55" i="16"/>
  <c r="BR24" i="6"/>
  <c r="BQ24" i="16" s="1"/>
  <c r="AX55" i="16"/>
  <c r="AM56" i="16"/>
  <c r="BJ25" i="16"/>
  <c r="AQ56" i="16"/>
  <c r="BN25" i="16"/>
  <c r="AU56" i="16"/>
  <c r="BR25" i="16"/>
  <c r="AY56" i="16"/>
  <c r="AJ57" i="16"/>
  <c r="AN57" i="16"/>
  <c r="BO26" i="16"/>
  <c r="AV57" i="16"/>
  <c r="BS57" i="16"/>
  <c r="AK58" i="16"/>
  <c r="AO58" i="16"/>
  <c r="AS58" i="16"/>
  <c r="AW58" i="16"/>
  <c r="AL59" i="16"/>
  <c r="AP59" i="16"/>
  <c r="AT59" i="16"/>
  <c r="AX59" i="16"/>
  <c r="AM60" i="16"/>
  <c r="AQ60" i="16"/>
  <c r="AU60" i="16"/>
  <c r="AY60" i="16"/>
  <c r="AJ61" i="16"/>
  <c r="AN61" i="16"/>
  <c r="AR61" i="16"/>
  <c r="AV61" i="16"/>
  <c r="AK62" i="16"/>
  <c r="AO62" i="16"/>
  <c r="AS62" i="16"/>
  <c r="AW62" i="16"/>
  <c r="AL63" i="16"/>
  <c r="AP63" i="16"/>
  <c r="AT63" i="16"/>
  <c r="AX63" i="16"/>
  <c r="BT9" i="7"/>
  <c r="BS40" i="16" s="1"/>
  <c r="AZ40" i="16"/>
  <c r="BT13" i="7"/>
  <c r="BS44" i="16" s="1"/>
  <c r="AZ44" i="16"/>
  <c r="BT17" i="7"/>
  <c r="BT107" i="16" s="1"/>
  <c r="AZ48" i="16"/>
  <c r="BT21" i="7"/>
  <c r="BS52" i="16" s="1"/>
  <c r="AZ52" i="16"/>
  <c r="BT25" i="7"/>
  <c r="BT85" i="16" s="1"/>
  <c r="AZ56" i="16"/>
  <c r="BT119" i="16"/>
  <c r="AZ60" i="16"/>
  <c r="BU9" i="15"/>
  <c r="BT9" i="15" s="1"/>
  <c r="AZ41" i="15"/>
  <c r="BU49" i="15"/>
  <c r="AZ49" i="15"/>
  <c r="BU50" i="15"/>
  <c r="BU46" i="15"/>
  <c r="BU42" i="15"/>
  <c r="BU43" i="15"/>
  <c r="AZ43" i="15"/>
  <c r="BU47" i="15"/>
  <c r="AZ47" i="15"/>
  <c r="AZ51" i="15"/>
  <c r="AK52" i="15"/>
  <c r="AO52" i="15"/>
  <c r="AS52" i="15"/>
  <c r="AW52" i="15"/>
  <c r="BU55" i="15"/>
  <c r="AZ55" i="15"/>
  <c r="BU59" i="15"/>
  <c r="AZ59" i="15"/>
  <c r="BU63" i="15"/>
  <c r="AZ63" i="15"/>
  <c r="BD9" i="6"/>
  <c r="AJ40" i="16"/>
  <c r="BP9" i="6"/>
  <c r="BO9" i="16" s="1"/>
  <c r="AV40" i="16"/>
  <c r="BD10" i="6"/>
  <c r="AJ41" i="16"/>
  <c r="BH10" i="6"/>
  <c r="AN41" i="16"/>
  <c r="BP10" i="6"/>
  <c r="BO10" i="16" s="1"/>
  <c r="AV41" i="16"/>
  <c r="BS41" i="16"/>
  <c r="BE11" i="6"/>
  <c r="AK42" i="16"/>
  <c r="BI11" i="6"/>
  <c r="AO42" i="16"/>
  <c r="BM11" i="6"/>
  <c r="BL11" i="16" s="1"/>
  <c r="AS42" i="16"/>
  <c r="BQ11" i="6"/>
  <c r="AW42" i="16"/>
  <c r="BF12" i="6"/>
  <c r="AL43" i="16"/>
  <c r="BJ12" i="6"/>
  <c r="BI12" i="16" s="1"/>
  <c r="AP43" i="16"/>
  <c r="BN12" i="6"/>
  <c r="BM12" i="16" s="1"/>
  <c r="AT43" i="16"/>
  <c r="BR12" i="6"/>
  <c r="BQ12" i="16" s="1"/>
  <c r="AX43" i="16"/>
  <c r="BD13" i="6"/>
  <c r="AJ44" i="16"/>
  <c r="BH13" i="6"/>
  <c r="AN44" i="16"/>
  <c r="BP13" i="6"/>
  <c r="BO13" i="16" s="1"/>
  <c r="AV44" i="16"/>
  <c r="BE14" i="6"/>
  <c r="AK45" i="16"/>
  <c r="BI14" i="6"/>
  <c r="AO45" i="16"/>
  <c r="BM14" i="6"/>
  <c r="BL14" i="16" s="1"/>
  <c r="AS45" i="16"/>
  <c r="BQ14" i="6"/>
  <c r="AW45" i="16"/>
  <c r="BF15" i="6"/>
  <c r="AL46" i="16"/>
  <c r="BJ15" i="6"/>
  <c r="BI15" i="16" s="1"/>
  <c r="AP46" i="16"/>
  <c r="BN15" i="6"/>
  <c r="BM15" i="16" s="1"/>
  <c r="AT46" i="16"/>
  <c r="BR15" i="6"/>
  <c r="BQ15" i="16" s="1"/>
  <c r="AX46" i="16"/>
  <c r="BG16" i="6"/>
  <c r="AM47" i="16"/>
  <c r="BK16" i="6"/>
  <c r="BJ16" i="16" s="1"/>
  <c r="AQ47" i="16"/>
  <c r="BO16" i="6"/>
  <c r="BN16" i="16" s="1"/>
  <c r="AU47" i="16"/>
  <c r="BS16" i="6"/>
  <c r="BR16" i="16" s="1"/>
  <c r="AY47" i="16"/>
  <c r="BD17" i="6"/>
  <c r="AJ48" i="16"/>
  <c r="BH17" i="6"/>
  <c r="AN48" i="16"/>
  <c r="BP17" i="6"/>
  <c r="BO17" i="16" s="1"/>
  <c r="AV48" i="16"/>
  <c r="BE18" i="6"/>
  <c r="AK49" i="16"/>
  <c r="BI18" i="6"/>
  <c r="AO49" i="16"/>
  <c r="BM18" i="6"/>
  <c r="BL18" i="16" s="1"/>
  <c r="AS49" i="16"/>
  <c r="BQ18" i="6"/>
  <c r="AW49" i="16"/>
  <c r="BF19" i="6"/>
  <c r="AL50" i="16"/>
  <c r="BJ19" i="6"/>
  <c r="BI19" i="16" s="1"/>
  <c r="AP50" i="16"/>
  <c r="BN19" i="6"/>
  <c r="BM19" i="16" s="1"/>
  <c r="AT50" i="16"/>
  <c r="BR19" i="6"/>
  <c r="BQ19" i="16" s="1"/>
  <c r="AX50" i="16"/>
  <c r="BG20" i="6"/>
  <c r="AM51" i="16"/>
  <c r="BK20" i="6"/>
  <c r="BJ20" i="16" s="1"/>
  <c r="AQ51" i="16"/>
  <c r="BO20" i="6"/>
  <c r="BN20" i="16" s="1"/>
  <c r="AU51" i="16"/>
  <c r="BS20" i="6"/>
  <c r="BR20" i="16" s="1"/>
  <c r="AY51" i="16"/>
  <c r="BD21" i="6"/>
  <c r="AJ52" i="16"/>
  <c r="BH21" i="6"/>
  <c r="AN52" i="16"/>
  <c r="BL21" i="6"/>
  <c r="BP21" i="6"/>
  <c r="BO21" i="16" s="1"/>
  <c r="AV52" i="16"/>
  <c r="BE22" i="6"/>
  <c r="AK53" i="16"/>
  <c r="BI22" i="6"/>
  <c r="AO53" i="16"/>
  <c r="BM22" i="6"/>
  <c r="BL22" i="16" s="1"/>
  <c r="AS53" i="16"/>
  <c r="BQ22" i="6"/>
  <c r="AW53" i="16"/>
  <c r="BF23" i="6"/>
  <c r="AL54" i="16"/>
  <c r="BJ23" i="6"/>
  <c r="BI23" i="16" s="1"/>
  <c r="AP54" i="16"/>
  <c r="BN23" i="6"/>
  <c r="BM23" i="16" s="1"/>
  <c r="AT54" i="16"/>
  <c r="BR23" i="6"/>
  <c r="BQ23" i="16" s="1"/>
  <c r="AX54" i="16"/>
  <c r="BG24" i="6"/>
  <c r="AM55" i="16"/>
  <c r="BK24" i="6"/>
  <c r="BJ24" i="16" s="1"/>
  <c r="AQ55" i="16"/>
  <c r="BO24" i="6"/>
  <c r="BN24" i="16" s="1"/>
  <c r="AU55" i="16"/>
  <c r="BS24" i="6"/>
  <c r="BR24" i="16" s="1"/>
  <c r="AY55" i="16"/>
  <c r="AJ56" i="16"/>
  <c r="AN56" i="16"/>
  <c r="BO25" i="16"/>
  <c r="AV56" i="16"/>
  <c r="BS56" i="16"/>
  <c r="AK57" i="16"/>
  <c r="AO57" i="16"/>
  <c r="BL26" i="16"/>
  <c r="AS57" i="16"/>
  <c r="AW57" i="16"/>
  <c r="AL58" i="16"/>
  <c r="AP58" i="16"/>
  <c r="AT58" i="16"/>
  <c r="AX58" i="16"/>
  <c r="AM59" i="16"/>
  <c r="AQ59" i="16"/>
  <c r="AU59" i="16"/>
  <c r="AY59" i="16"/>
  <c r="AJ60" i="16"/>
  <c r="AN60" i="16"/>
  <c r="AR60" i="16"/>
  <c r="AV60" i="16"/>
  <c r="AK61" i="16"/>
  <c r="AO61" i="16"/>
  <c r="AS61" i="16"/>
  <c r="AW61" i="16"/>
  <c r="AL62" i="16"/>
  <c r="AP62" i="16"/>
  <c r="AT62" i="16"/>
  <c r="AX62" i="16"/>
  <c r="AM63" i="16"/>
  <c r="AQ63" i="16"/>
  <c r="AU63" i="16"/>
  <c r="AY63" i="16"/>
  <c r="BT12" i="7"/>
  <c r="BT12" i="16" s="1"/>
  <c r="BS12" i="16" s="1"/>
  <c r="AZ43" i="16"/>
  <c r="BT16" i="7"/>
  <c r="BS47" i="16" s="1"/>
  <c r="AZ47" i="16"/>
  <c r="BT20" i="7"/>
  <c r="BS51" i="16" s="1"/>
  <c r="AZ51" i="16"/>
  <c r="BT24" i="7"/>
  <c r="BS55" i="16" s="1"/>
  <c r="AZ55" i="16"/>
  <c r="BS59" i="16"/>
  <c r="AZ59" i="16"/>
  <c r="BS63" i="16"/>
  <c r="AZ63" i="16"/>
  <c r="AJ63" i="15"/>
  <c r="AJ46" i="15"/>
  <c r="AK54" i="15"/>
  <c r="AK49" i="15"/>
  <c r="AK45" i="15"/>
  <c r="AL41" i="15"/>
  <c r="AL61" i="15"/>
  <c r="AL57" i="15"/>
  <c r="AL53" i="15"/>
  <c r="AL48" i="15"/>
  <c r="AL44" i="15"/>
  <c r="AN41" i="15"/>
  <c r="AM62" i="15"/>
  <c r="AM58" i="15"/>
  <c r="AM54" i="15"/>
  <c r="AM49" i="15"/>
  <c r="AM45" i="15"/>
  <c r="AN60" i="15"/>
  <c r="AN56" i="15"/>
  <c r="AN51" i="15"/>
  <c r="AN47" i="15"/>
  <c r="AN43" i="15"/>
  <c r="AO62" i="15"/>
  <c r="AO58" i="15"/>
  <c r="AO54" i="15"/>
  <c r="AO49" i="15"/>
  <c r="AO45" i="15"/>
  <c r="AP41" i="15"/>
  <c r="AP61" i="15"/>
  <c r="AP57" i="15"/>
  <c r="AP53" i="15"/>
  <c r="AP48" i="15"/>
  <c r="AP44" i="15"/>
  <c r="AQ60" i="15"/>
  <c r="AQ56" i="15"/>
  <c r="AQ51" i="15"/>
  <c r="AQ47" i="15"/>
  <c r="AQ43" i="15"/>
  <c r="AS62" i="15"/>
  <c r="AS60" i="15"/>
  <c r="AS58" i="15"/>
  <c r="AS56" i="15"/>
  <c r="AS54" i="15"/>
  <c r="AS51" i="15"/>
  <c r="AS49" i="15"/>
  <c r="AS47" i="15"/>
  <c r="AS45" i="15"/>
  <c r="AS43" i="15"/>
  <c r="AT41" i="15"/>
  <c r="AU63" i="15"/>
  <c r="AU61" i="15"/>
  <c r="AU59" i="15"/>
  <c r="AU57" i="15"/>
  <c r="AU55" i="15"/>
  <c r="AU53" i="15"/>
  <c r="AU50" i="15"/>
  <c r="AU48" i="15"/>
  <c r="AU46" i="15"/>
  <c r="AU44" i="15"/>
  <c r="AU42" i="15"/>
  <c r="AW62" i="15"/>
  <c r="AW60" i="15"/>
  <c r="AW58" i="15"/>
  <c r="AW56" i="15"/>
  <c r="AW54" i="15"/>
  <c r="AW51" i="15"/>
  <c r="AW49" i="15"/>
  <c r="AW47" i="15"/>
  <c r="AW45" i="15"/>
  <c r="AW43" i="15"/>
  <c r="AX41" i="15"/>
  <c r="AX61" i="15"/>
  <c r="AX57" i="15"/>
  <c r="AX53" i="15"/>
  <c r="AX48" i="15"/>
  <c r="AX44" i="15"/>
  <c r="AY60" i="15"/>
  <c r="AY56" i="15"/>
  <c r="AY51" i="15"/>
  <c r="AY47" i="15"/>
  <c r="AY43" i="15"/>
  <c r="AJ50" i="15"/>
  <c r="AK58" i="15"/>
  <c r="AJ45" i="15"/>
  <c r="AK53" i="15"/>
  <c r="AL60" i="15"/>
  <c r="AL56" i="15"/>
  <c r="AL51" i="15"/>
  <c r="AL47" i="15"/>
  <c r="AL43" i="15"/>
  <c r="AO41" i="15"/>
  <c r="AM61" i="15"/>
  <c r="AM57" i="15"/>
  <c r="AM53" i="15"/>
  <c r="AM48" i="15"/>
  <c r="AM44" i="15"/>
  <c r="AN63" i="15"/>
  <c r="AN59" i="15"/>
  <c r="AN55" i="15"/>
  <c r="AN50" i="15"/>
  <c r="AN46" i="15"/>
  <c r="AN42" i="15"/>
  <c r="AO61" i="15"/>
  <c r="AO57" i="15"/>
  <c r="AO53" i="15"/>
  <c r="AO48" i="15"/>
  <c r="AO44" i="15"/>
  <c r="AP60" i="15"/>
  <c r="AP56" i="15"/>
  <c r="AP51" i="15"/>
  <c r="AP47" i="15"/>
  <c r="AP43" i="15"/>
  <c r="AQ63" i="15"/>
  <c r="AQ59" i="15"/>
  <c r="AQ55" i="15"/>
  <c r="AQ50" i="15"/>
  <c r="AQ46" i="15"/>
  <c r="AQ42" i="15"/>
  <c r="AR62" i="15"/>
  <c r="AR60" i="15"/>
  <c r="AU41" i="15"/>
  <c r="AT63" i="15"/>
  <c r="AT61" i="15"/>
  <c r="AT59" i="15"/>
  <c r="AT57" i="15"/>
  <c r="AT46" i="15"/>
  <c r="AT44" i="15"/>
  <c r="AT42" i="15"/>
  <c r="AV62" i="15"/>
  <c r="AV60" i="15"/>
  <c r="AV58" i="15"/>
  <c r="AV47" i="15"/>
  <c r="AV45" i="15"/>
  <c r="AV43" i="15"/>
  <c r="AX60" i="15"/>
  <c r="AX56" i="15"/>
  <c r="AX51" i="15"/>
  <c r="AX47" i="15"/>
  <c r="AX43" i="15"/>
  <c r="AY63" i="15"/>
  <c r="AY59" i="15"/>
  <c r="AY55" i="15"/>
  <c r="AY50" i="15"/>
  <c r="AY46" i="15"/>
  <c r="AY42" i="15"/>
  <c r="AJ55" i="15"/>
  <c r="AK62" i="15"/>
  <c r="AJ62" i="15"/>
  <c r="AJ54" i="15"/>
  <c r="AK41" i="15"/>
  <c r="AK57" i="15"/>
  <c r="AK44" i="15"/>
  <c r="AJ61" i="15"/>
  <c r="AJ53" i="15"/>
  <c r="AJ48" i="15"/>
  <c r="AJ44" i="15"/>
  <c r="AK60" i="15"/>
  <c r="AK56" i="15"/>
  <c r="AK51" i="15"/>
  <c r="AK47" i="15"/>
  <c r="AK43" i="15"/>
  <c r="AL63" i="15"/>
  <c r="AL59" i="15"/>
  <c r="AL55" i="15"/>
  <c r="AL50" i="15"/>
  <c r="AL46" i="15"/>
  <c r="AL42" i="15"/>
  <c r="AM60" i="15"/>
  <c r="AM56" i="15"/>
  <c r="AM51" i="15"/>
  <c r="AM47" i="15"/>
  <c r="AM43" i="15"/>
  <c r="AN62" i="15"/>
  <c r="AN58" i="15"/>
  <c r="AN54" i="15"/>
  <c r="AN49" i="15"/>
  <c r="AN45" i="15"/>
  <c r="AO60" i="15"/>
  <c r="AO56" i="15"/>
  <c r="AO51" i="15"/>
  <c r="AO47" i="15"/>
  <c r="AO43" i="15"/>
  <c r="AP63" i="15"/>
  <c r="AP59" i="15"/>
  <c r="AP55" i="15"/>
  <c r="AP50" i="15"/>
  <c r="AP46" i="15"/>
  <c r="AP42" i="15"/>
  <c r="AQ62" i="15"/>
  <c r="AQ58" i="15"/>
  <c r="AQ54" i="15"/>
  <c r="AQ49" i="15"/>
  <c r="AQ45" i="15"/>
  <c r="AS63" i="15"/>
  <c r="AS61" i="15"/>
  <c r="AS59" i="15"/>
  <c r="AS57" i="15"/>
  <c r="AS55" i="15"/>
  <c r="AS53" i="15"/>
  <c r="AS50" i="15"/>
  <c r="AS48" i="15"/>
  <c r="AS46" i="15"/>
  <c r="AS44" i="15"/>
  <c r="AS42" i="15"/>
  <c r="AU62" i="15"/>
  <c r="AU60" i="15"/>
  <c r="AU58" i="15"/>
  <c r="AU56" i="15"/>
  <c r="AU54" i="15"/>
  <c r="AU51" i="15"/>
  <c r="AU49" i="15"/>
  <c r="AU47" i="15"/>
  <c r="AU45" i="15"/>
  <c r="AU43" i="15"/>
  <c r="AV41" i="15"/>
  <c r="AW63" i="15"/>
  <c r="AW61" i="15"/>
  <c r="AW59" i="15"/>
  <c r="AW57" i="15"/>
  <c r="AW55" i="15"/>
  <c r="AW53" i="15"/>
  <c r="AW50" i="15"/>
  <c r="AW48" i="15"/>
  <c r="AW46" i="15"/>
  <c r="AW44" i="15"/>
  <c r="AW42" i="15"/>
  <c r="AX63" i="15"/>
  <c r="AX59" i="15"/>
  <c r="AX55" i="15"/>
  <c r="AX50" i="15"/>
  <c r="AX46" i="15"/>
  <c r="AX42" i="15"/>
  <c r="AY62" i="15"/>
  <c r="AY58" i="15"/>
  <c r="AY54" i="15"/>
  <c r="AY49" i="15"/>
  <c r="AY45" i="15"/>
  <c r="AJ59" i="15"/>
  <c r="AJ42" i="15"/>
  <c r="AJ58" i="15"/>
  <c r="AJ49" i="15"/>
  <c r="AK61" i="15"/>
  <c r="AK48" i="15"/>
  <c r="AJ41" i="15"/>
  <c r="AJ57" i="15"/>
  <c r="AJ60" i="15"/>
  <c r="AJ56" i="15"/>
  <c r="AJ51" i="15"/>
  <c r="AJ47" i="15"/>
  <c r="AJ43" i="15"/>
  <c r="AK63" i="15"/>
  <c r="AK59" i="15"/>
  <c r="AK55" i="15"/>
  <c r="AK50" i="15"/>
  <c r="AK46" i="15"/>
  <c r="AK42" i="15"/>
  <c r="AL62" i="15"/>
  <c r="AL58" i="15"/>
  <c r="AL54" i="15"/>
  <c r="AL49" i="15"/>
  <c r="AL45" i="15"/>
  <c r="AM41" i="15"/>
  <c r="AM63" i="15"/>
  <c r="AM59" i="15"/>
  <c r="AM55" i="15"/>
  <c r="AM50" i="15"/>
  <c r="AM46" i="15"/>
  <c r="AM42" i="15"/>
  <c r="AN61" i="15"/>
  <c r="AN57" i="15"/>
  <c r="AN53" i="15"/>
  <c r="AN48" i="15"/>
  <c r="AN44" i="15"/>
  <c r="AO63" i="15"/>
  <c r="AO59" i="15"/>
  <c r="AO55" i="15"/>
  <c r="AO50" i="15"/>
  <c r="AO46" i="15"/>
  <c r="AO42" i="15"/>
  <c r="AP62" i="15"/>
  <c r="AP58" i="15"/>
  <c r="AP54" i="15"/>
  <c r="AP49" i="15"/>
  <c r="AP45" i="15"/>
  <c r="AQ41" i="15"/>
  <c r="AQ61" i="15"/>
  <c r="AQ57" i="15"/>
  <c r="AQ53" i="15"/>
  <c r="AQ48" i="15"/>
  <c r="AQ44" i="15"/>
  <c r="AS41" i="15"/>
  <c r="AR63" i="15"/>
  <c r="AR61" i="15"/>
  <c r="AR59" i="15"/>
  <c r="AT62" i="15"/>
  <c r="AT60" i="15"/>
  <c r="AT58" i="15"/>
  <c r="AT56" i="15"/>
  <c r="AT54" i="15"/>
  <c r="AT47" i="15"/>
  <c r="AT45" i="15"/>
  <c r="AT43" i="15"/>
  <c r="AW41" i="15"/>
  <c r="AV63" i="15"/>
  <c r="AV61" i="15"/>
  <c r="AV59" i="15"/>
  <c r="AV57" i="15"/>
  <c r="AV46" i="15"/>
  <c r="AV44" i="15"/>
  <c r="AV42" i="15"/>
  <c r="AX62" i="15"/>
  <c r="AX58" i="15"/>
  <c r="AX54" i="15"/>
  <c r="AX49" i="15"/>
  <c r="AX45" i="15"/>
  <c r="AY41" i="15"/>
  <c r="AY61" i="15"/>
  <c r="AY57" i="15"/>
  <c r="AY53" i="15"/>
  <c r="AY48" i="15"/>
  <c r="AY44" i="15"/>
  <c r="AZ107" i="15" l="1"/>
  <c r="AZ46" i="15"/>
  <c r="BU107" i="15"/>
  <c r="BB24" i="16"/>
  <c r="BB114" i="16"/>
  <c r="BB84" i="16"/>
  <c r="BU24" i="8"/>
  <c r="BA73" i="15"/>
  <c r="BA43" i="15"/>
  <c r="BA11" i="15"/>
  <c r="BA104" i="15"/>
  <c r="BA42" i="15"/>
  <c r="BA72" i="15"/>
  <c r="BA103" i="15"/>
  <c r="BA10" i="15"/>
  <c r="BB25" i="8"/>
  <c r="BU25" i="8" s="1"/>
  <c r="BA46" i="15"/>
  <c r="BA107" i="15"/>
  <c r="BA14" i="15"/>
  <c r="BA76" i="15"/>
  <c r="BY13" i="15"/>
  <c r="BY10" i="15"/>
  <c r="BY14" i="15"/>
  <c r="BY11" i="15"/>
  <c r="BY15" i="15"/>
  <c r="BW24" i="15"/>
  <c r="BY12" i="15"/>
  <c r="BY9" i="15"/>
  <c r="B50" i="16"/>
  <c r="B109" i="16"/>
  <c r="B79" i="16"/>
  <c r="B20" i="17"/>
  <c r="B20" i="4"/>
  <c r="B20" i="16"/>
  <c r="B20" i="15"/>
  <c r="B20" i="9"/>
  <c r="B20" i="8"/>
  <c r="B20" i="7"/>
  <c r="B20" i="6"/>
  <c r="B20" i="5"/>
  <c r="B20" i="10"/>
  <c r="B81" i="15"/>
  <c r="B51" i="15"/>
  <c r="B112" i="15"/>
  <c r="BT13" i="16"/>
  <c r="BS13" i="16" s="1"/>
  <c r="BT22" i="16"/>
  <c r="BT24" i="16"/>
  <c r="BT25" i="16"/>
  <c r="BT10" i="16"/>
  <c r="BS10" i="16" s="1"/>
  <c r="BT18" i="16"/>
  <c r="BT20" i="16"/>
  <c r="BT21" i="16"/>
  <c r="BT14" i="16"/>
  <c r="BS14" i="16" s="1"/>
  <c r="BT19" i="16"/>
  <c r="BT16" i="16"/>
  <c r="BT17" i="16"/>
  <c r="BT26" i="16"/>
  <c r="BT11" i="16"/>
  <c r="BS11" i="16" s="1"/>
  <c r="BT15" i="16"/>
  <c r="BS15" i="16" s="1"/>
  <c r="BT9" i="16"/>
  <c r="BS9" i="16" s="1"/>
  <c r="BU18" i="15"/>
  <c r="BU24" i="15"/>
  <c r="BU16" i="15"/>
  <c r="BU17" i="15"/>
  <c r="BU25" i="15"/>
  <c r="BU26" i="15"/>
  <c r="BU10" i="15"/>
  <c r="BT10" i="15" s="1"/>
  <c r="BU11" i="15"/>
  <c r="BT11" i="15" s="1"/>
  <c r="BU14" i="15"/>
  <c r="BT14" i="15" s="1"/>
  <c r="BU15" i="15"/>
  <c r="BT15" i="15" s="1"/>
  <c r="BU12" i="15"/>
  <c r="BT12" i="15" s="1"/>
  <c r="BU13" i="15"/>
  <c r="BT13" i="15" s="1"/>
  <c r="BT23" i="16"/>
  <c r="BS23" i="16" s="1"/>
  <c r="BU23" i="15"/>
  <c r="BU51" i="15"/>
  <c r="BU19" i="15"/>
  <c r="BU22" i="15"/>
  <c r="BS48" i="15"/>
  <c r="BK48" i="15"/>
  <c r="BM48" i="15"/>
  <c r="BU83" i="15"/>
  <c r="BU21" i="15"/>
  <c r="BJ48" i="15"/>
  <c r="BS60" i="16"/>
  <c r="BU44" i="15"/>
  <c r="BS42" i="16"/>
  <c r="BS50" i="16"/>
  <c r="BS58" i="16"/>
  <c r="BS44" i="15"/>
  <c r="BS105" i="15"/>
  <c r="BS74" i="15"/>
  <c r="BP44" i="15"/>
  <c r="BP105" i="15"/>
  <c r="BP74" i="15"/>
  <c r="BQ41" i="15"/>
  <c r="BQ102" i="15"/>
  <c r="BQ71" i="15"/>
  <c r="BN54" i="15"/>
  <c r="BN115" i="15"/>
  <c r="BN84" i="15"/>
  <c r="BJ58" i="15"/>
  <c r="BJ88" i="15"/>
  <c r="BJ119" i="15"/>
  <c r="BI42" i="15"/>
  <c r="BI103" i="15"/>
  <c r="BI72" i="15"/>
  <c r="BI59" i="15"/>
  <c r="BI120" i="15"/>
  <c r="BI89" i="15"/>
  <c r="BG46" i="15"/>
  <c r="BG107" i="15"/>
  <c r="BG76" i="15"/>
  <c r="BG63" i="15"/>
  <c r="BG124" i="15"/>
  <c r="BG93" i="15"/>
  <c r="BE46" i="15"/>
  <c r="BE107" i="15"/>
  <c r="BE76" i="15"/>
  <c r="BE63" i="15"/>
  <c r="BE124" i="15"/>
  <c r="BE93" i="15"/>
  <c r="BD56" i="15"/>
  <c r="BD117" i="15"/>
  <c r="BD86" i="15"/>
  <c r="BE48" i="15"/>
  <c r="BE109" i="15"/>
  <c r="BE78" i="15"/>
  <c r="BI51" i="15"/>
  <c r="BI112" i="15"/>
  <c r="BI81" i="15"/>
  <c r="BE47" i="15"/>
  <c r="BE108" i="15"/>
  <c r="BE77" i="15"/>
  <c r="BS57" i="15"/>
  <c r="BS118" i="15"/>
  <c r="BS87" i="15"/>
  <c r="BR49" i="15"/>
  <c r="BR110" i="15"/>
  <c r="BR79" i="15"/>
  <c r="BP42" i="15"/>
  <c r="BP103" i="15"/>
  <c r="BP72" i="15"/>
  <c r="BP59" i="15"/>
  <c r="BP120" i="15"/>
  <c r="BP89" i="15"/>
  <c r="BN43" i="15"/>
  <c r="BN104" i="15"/>
  <c r="BN73" i="15"/>
  <c r="BN60" i="15"/>
  <c r="BN90" i="15"/>
  <c r="BN121" i="15"/>
  <c r="BL59" i="15"/>
  <c r="BL120" i="15"/>
  <c r="BL89" i="15"/>
  <c r="BL63" i="15"/>
  <c r="BL93" i="15"/>
  <c r="BL124" i="15"/>
  <c r="BK53" i="15"/>
  <c r="BK114" i="15"/>
  <c r="BK83" i="15"/>
  <c r="BK61" i="15"/>
  <c r="BK122" i="15"/>
  <c r="BK91" i="15"/>
  <c r="BJ54" i="15"/>
  <c r="BJ115" i="15"/>
  <c r="BJ84" i="15"/>
  <c r="BS58" i="15"/>
  <c r="BS119" i="15"/>
  <c r="BS88" i="15"/>
  <c r="BI46" i="15"/>
  <c r="BI107" i="15"/>
  <c r="BI76" i="15"/>
  <c r="BI55" i="15"/>
  <c r="BI116" i="15"/>
  <c r="BI85" i="15"/>
  <c r="BI63" i="15"/>
  <c r="BI124" i="15"/>
  <c r="BI93" i="15"/>
  <c r="BH48" i="15"/>
  <c r="BH109" i="15"/>
  <c r="BH78" i="15"/>
  <c r="BH57" i="15"/>
  <c r="BH118" i="15"/>
  <c r="BH87" i="15"/>
  <c r="BG42" i="15"/>
  <c r="BG103" i="15"/>
  <c r="BG72" i="15"/>
  <c r="BG50" i="15"/>
  <c r="BG111" i="15"/>
  <c r="BG80" i="15"/>
  <c r="BG59" i="15"/>
  <c r="BG120" i="15"/>
  <c r="BG89" i="15"/>
  <c r="BG41" i="15"/>
  <c r="BG102" i="15"/>
  <c r="BG71" i="15"/>
  <c r="BF49" i="15"/>
  <c r="BF79" i="15"/>
  <c r="BF110" i="15"/>
  <c r="BF58" i="15"/>
  <c r="BF119" i="15"/>
  <c r="BF88" i="15"/>
  <c r="BE42" i="15"/>
  <c r="BE103" i="15"/>
  <c r="BE72" i="15"/>
  <c r="BE50" i="15"/>
  <c r="BE111" i="15"/>
  <c r="BE80" i="15"/>
  <c r="BE59" i="15"/>
  <c r="BE120" i="15"/>
  <c r="BE89" i="15"/>
  <c r="BD43" i="15"/>
  <c r="BD104" i="15"/>
  <c r="BD73" i="15"/>
  <c r="BD51" i="15"/>
  <c r="BD112" i="15"/>
  <c r="BD81" i="15"/>
  <c r="BD60" i="15"/>
  <c r="BD121" i="15"/>
  <c r="BD90" i="15"/>
  <c r="BD41" i="15"/>
  <c r="BD102" i="15"/>
  <c r="BD71" i="15"/>
  <c r="BE61" i="15"/>
  <c r="BE122" i="15"/>
  <c r="BE91" i="15"/>
  <c r="BD58" i="15"/>
  <c r="BD119" i="15"/>
  <c r="BD88" i="15"/>
  <c r="BD59" i="15"/>
  <c r="BD120" i="15"/>
  <c r="BD89" i="15"/>
  <c r="BI47" i="15"/>
  <c r="BI108" i="15"/>
  <c r="BI77" i="15"/>
  <c r="BI56" i="15"/>
  <c r="BI117" i="15"/>
  <c r="BI86" i="15"/>
  <c r="BH45" i="15"/>
  <c r="BH106" i="15"/>
  <c r="BH75" i="15"/>
  <c r="BH54" i="15"/>
  <c r="BH115" i="15"/>
  <c r="BH84" i="15"/>
  <c r="BH62" i="15"/>
  <c r="BH123" i="15"/>
  <c r="BH92" i="15"/>
  <c r="BG47" i="15"/>
  <c r="BG108" i="15"/>
  <c r="BG77" i="15"/>
  <c r="BG56" i="15"/>
  <c r="BG117" i="15"/>
  <c r="BG86" i="15"/>
  <c r="BF42" i="15"/>
  <c r="BF103" i="15"/>
  <c r="BF72" i="15"/>
  <c r="BF50" i="15"/>
  <c r="BF111" i="15"/>
  <c r="BF80" i="15"/>
  <c r="BF59" i="15"/>
  <c r="BF120" i="15"/>
  <c r="BF89" i="15"/>
  <c r="BE43" i="15"/>
  <c r="BE104" i="15"/>
  <c r="BE73" i="15"/>
  <c r="BE51" i="15"/>
  <c r="BE112" i="15"/>
  <c r="BE81" i="15"/>
  <c r="BE60" i="15"/>
  <c r="BE121" i="15"/>
  <c r="BE90" i="15"/>
  <c r="BD48" i="15"/>
  <c r="BD109" i="15"/>
  <c r="BD78" i="15"/>
  <c r="BD61" i="15"/>
  <c r="BD122" i="15"/>
  <c r="BD91" i="15"/>
  <c r="BE57" i="15"/>
  <c r="BE118" i="15"/>
  <c r="BE87" i="15"/>
  <c r="BD54" i="15"/>
  <c r="BD115" i="15"/>
  <c r="BD84" i="15"/>
  <c r="BE62" i="15"/>
  <c r="BE123" i="15"/>
  <c r="BE92" i="15"/>
  <c r="BI44" i="15"/>
  <c r="BI105" i="15"/>
  <c r="BI74" i="15"/>
  <c r="BI53" i="15"/>
  <c r="BI114" i="15"/>
  <c r="BI83" i="15"/>
  <c r="BI61" i="15"/>
  <c r="BI122" i="15"/>
  <c r="BI91" i="15"/>
  <c r="BH46" i="15"/>
  <c r="BH107" i="15"/>
  <c r="BH76" i="15"/>
  <c r="BH55" i="15"/>
  <c r="BH116" i="15"/>
  <c r="BH85" i="15"/>
  <c r="BH63" i="15"/>
  <c r="BH93" i="15"/>
  <c r="BH124" i="15"/>
  <c r="BG48" i="15"/>
  <c r="BG109" i="15"/>
  <c r="BG78" i="15"/>
  <c r="BG57" i="15"/>
  <c r="BG118" i="15"/>
  <c r="BG87" i="15"/>
  <c r="BI41" i="15"/>
  <c r="BI102" i="15"/>
  <c r="BI71" i="15"/>
  <c r="BF47" i="15"/>
  <c r="BF77" i="15"/>
  <c r="BF108" i="15"/>
  <c r="BF56" i="15"/>
  <c r="BF117" i="15"/>
  <c r="BF86" i="15"/>
  <c r="BE53" i="15"/>
  <c r="BE114" i="15"/>
  <c r="BE83" i="15"/>
  <c r="BE58" i="15"/>
  <c r="BE119" i="15"/>
  <c r="BE88" i="15"/>
  <c r="BI45" i="15"/>
  <c r="BI106" i="15"/>
  <c r="BI75" i="15"/>
  <c r="BI54" i="15"/>
  <c r="BI115" i="15"/>
  <c r="BI84" i="15"/>
  <c r="BI62" i="15"/>
  <c r="BI123" i="15"/>
  <c r="BI92" i="15"/>
  <c r="BH47" i="15"/>
  <c r="BH108" i="15"/>
  <c r="BH77" i="15"/>
  <c r="BH56" i="15"/>
  <c r="BH117" i="15"/>
  <c r="BH86" i="15"/>
  <c r="BG45" i="15"/>
  <c r="BG106" i="15"/>
  <c r="BG75" i="15"/>
  <c r="BG54" i="15"/>
  <c r="BG115" i="15"/>
  <c r="BG84" i="15"/>
  <c r="BG62" i="15"/>
  <c r="BG123" i="15"/>
  <c r="BG92" i="15"/>
  <c r="BF44" i="15"/>
  <c r="BF105" i="15"/>
  <c r="BF74" i="15"/>
  <c r="BF53" i="15"/>
  <c r="BF114" i="15"/>
  <c r="BF83" i="15"/>
  <c r="BF61" i="15"/>
  <c r="BF122" i="15"/>
  <c r="BF91" i="15"/>
  <c r="BE45" i="15"/>
  <c r="BE106" i="15"/>
  <c r="BE75" i="15"/>
  <c r="BE54" i="15"/>
  <c r="BE84" i="15"/>
  <c r="BE115" i="15"/>
  <c r="BD63" i="15"/>
  <c r="BD93" i="15"/>
  <c r="BD124" i="15"/>
  <c r="BS43" i="16"/>
  <c r="BT72" i="16"/>
  <c r="BT102" i="16"/>
  <c r="BN63" i="16"/>
  <c r="BO122" i="16"/>
  <c r="BO92" i="16"/>
  <c r="BF63" i="16"/>
  <c r="BG122" i="16"/>
  <c r="BG92" i="16"/>
  <c r="BM62" i="16"/>
  <c r="BN121" i="16"/>
  <c r="BN91" i="16"/>
  <c r="BE62" i="16"/>
  <c r="BF121" i="16"/>
  <c r="BF91" i="16"/>
  <c r="BL61" i="16"/>
  <c r="BM120" i="16"/>
  <c r="BM90" i="16"/>
  <c r="BD61" i="16"/>
  <c r="BE120" i="16"/>
  <c r="BE90" i="16"/>
  <c r="BO56" i="16"/>
  <c r="BP115" i="16"/>
  <c r="BP85" i="16"/>
  <c r="BG56" i="16"/>
  <c r="BH115" i="16"/>
  <c r="BH85" i="16"/>
  <c r="BR55" i="16"/>
  <c r="BS114" i="16"/>
  <c r="BS84" i="16"/>
  <c r="BJ55" i="16"/>
  <c r="BK114" i="16"/>
  <c r="BK84" i="16"/>
  <c r="BQ54" i="16"/>
  <c r="BR113" i="16"/>
  <c r="BR83" i="16"/>
  <c r="BI54" i="16"/>
  <c r="BJ113" i="16"/>
  <c r="BJ83" i="16"/>
  <c r="BP53" i="16"/>
  <c r="BQ112" i="16"/>
  <c r="BQ82" i="16"/>
  <c r="BH53" i="16"/>
  <c r="BI112" i="16"/>
  <c r="BI82" i="16"/>
  <c r="BS48" i="16"/>
  <c r="BC48" i="16"/>
  <c r="BD107" i="16"/>
  <c r="BD77" i="16"/>
  <c r="BM46" i="16"/>
  <c r="BN105" i="16"/>
  <c r="BN75" i="16"/>
  <c r="BE46" i="16"/>
  <c r="BF105" i="16"/>
  <c r="BF75" i="16"/>
  <c r="BL45" i="16"/>
  <c r="BM104" i="16"/>
  <c r="BM74" i="16"/>
  <c r="BD45" i="16"/>
  <c r="BE104" i="16"/>
  <c r="BE74" i="16"/>
  <c r="BC44" i="16"/>
  <c r="BD103" i="16"/>
  <c r="BD73" i="16"/>
  <c r="BM43" i="16"/>
  <c r="BN102" i="16"/>
  <c r="BN72" i="16"/>
  <c r="BE43" i="16"/>
  <c r="BF102" i="16"/>
  <c r="BF72" i="16"/>
  <c r="BL42" i="16"/>
  <c r="BM101" i="16"/>
  <c r="BM71" i="16"/>
  <c r="BD42" i="16"/>
  <c r="BE101" i="16"/>
  <c r="BE71" i="16"/>
  <c r="BS61" i="16"/>
  <c r="BK61" i="16"/>
  <c r="BL120" i="16"/>
  <c r="BL90" i="16"/>
  <c r="BC61" i="16"/>
  <c r="BD120" i="16"/>
  <c r="BD90" i="16"/>
  <c r="BN60" i="16"/>
  <c r="BO119" i="16"/>
  <c r="BO89" i="16"/>
  <c r="BF60" i="16"/>
  <c r="BG119" i="16"/>
  <c r="BG89" i="16"/>
  <c r="BM59" i="16"/>
  <c r="BN88" i="16"/>
  <c r="BN118" i="16"/>
  <c r="BE59" i="16"/>
  <c r="BF118" i="16"/>
  <c r="BF88" i="16"/>
  <c r="BL58" i="16"/>
  <c r="BM117" i="16"/>
  <c r="BM87" i="16"/>
  <c r="BD58" i="16"/>
  <c r="BE117" i="16"/>
  <c r="BE87" i="16"/>
  <c r="BO49" i="16"/>
  <c r="BP108" i="16"/>
  <c r="BP78" i="16"/>
  <c r="BG49" i="16"/>
  <c r="BH108" i="16"/>
  <c r="BH78" i="16"/>
  <c r="BR48" i="16"/>
  <c r="BS107" i="16"/>
  <c r="BS77" i="16"/>
  <c r="BJ48" i="16"/>
  <c r="BK107" i="16"/>
  <c r="BK77" i="16"/>
  <c r="BP46" i="16"/>
  <c r="BQ105" i="16"/>
  <c r="BQ75" i="16"/>
  <c r="BH46" i="16"/>
  <c r="BI105" i="16"/>
  <c r="BI75" i="16"/>
  <c r="BC42" i="16"/>
  <c r="BD101" i="16"/>
  <c r="BD71" i="16"/>
  <c r="BN41" i="16"/>
  <c r="BO100" i="16"/>
  <c r="BO70" i="16"/>
  <c r="BF41" i="16"/>
  <c r="BG100" i="16"/>
  <c r="BG70" i="16"/>
  <c r="BN40" i="16"/>
  <c r="BO99" i="16"/>
  <c r="BO69" i="16"/>
  <c r="BF40" i="16"/>
  <c r="BG99" i="16"/>
  <c r="BG69" i="16"/>
  <c r="BH52" i="15"/>
  <c r="BH113" i="15"/>
  <c r="BH82" i="15"/>
  <c r="BK52" i="15"/>
  <c r="BK113" i="15"/>
  <c r="BK82" i="15"/>
  <c r="BO62" i="16"/>
  <c r="BP121" i="16"/>
  <c r="BP91" i="16"/>
  <c r="BG62" i="16"/>
  <c r="BH121" i="16"/>
  <c r="BH91" i="16"/>
  <c r="BR61" i="16"/>
  <c r="BS120" i="16"/>
  <c r="BS90" i="16"/>
  <c r="BJ61" i="16"/>
  <c r="BK120" i="16"/>
  <c r="BK90" i="16"/>
  <c r="BQ60" i="16"/>
  <c r="BR119" i="16"/>
  <c r="BR89" i="16"/>
  <c r="BI60" i="16"/>
  <c r="BJ119" i="16"/>
  <c r="BJ89" i="16"/>
  <c r="BP59" i="16"/>
  <c r="BQ118" i="16"/>
  <c r="BQ88" i="16"/>
  <c r="BH59" i="16"/>
  <c r="BI118" i="16"/>
  <c r="BI88" i="16"/>
  <c r="BS54" i="16"/>
  <c r="BC54" i="16"/>
  <c r="BD113" i="16"/>
  <c r="BD83" i="16"/>
  <c r="BN53" i="16"/>
  <c r="BO112" i="16"/>
  <c r="BO82" i="16"/>
  <c r="BF53" i="16"/>
  <c r="BG112" i="16"/>
  <c r="BG82" i="16"/>
  <c r="BM52" i="16"/>
  <c r="BN81" i="16"/>
  <c r="BN111" i="16"/>
  <c r="BE52" i="16"/>
  <c r="BF111" i="16"/>
  <c r="BF81" i="16"/>
  <c r="BL51" i="16"/>
  <c r="BM110" i="16"/>
  <c r="BM80" i="16"/>
  <c r="BD51" i="16"/>
  <c r="BE110" i="16"/>
  <c r="BE80" i="16"/>
  <c r="BU57" i="15"/>
  <c r="BK63" i="16"/>
  <c r="BL122" i="16"/>
  <c r="BL92" i="16"/>
  <c r="BC63" i="16"/>
  <c r="BD122" i="16"/>
  <c r="BD92" i="16"/>
  <c r="BN62" i="16"/>
  <c r="BO121" i="16"/>
  <c r="BO91" i="16"/>
  <c r="BF62" i="16"/>
  <c r="BG91" i="16"/>
  <c r="BG121" i="16"/>
  <c r="BM61" i="16"/>
  <c r="BN120" i="16"/>
  <c r="BN90" i="16"/>
  <c r="BE61" i="16"/>
  <c r="BF120" i="16"/>
  <c r="BF90" i="16"/>
  <c r="BL60" i="16"/>
  <c r="BM119" i="16"/>
  <c r="BM89" i="16"/>
  <c r="BD60" i="16"/>
  <c r="BE119" i="16"/>
  <c r="BE89" i="16"/>
  <c r="BK59" i="16"/>
  <c r="BL118" i="16"/>
  <c r="BL88" i="16"/>
  <c r="BC59" i="16"/>
  <c r="BD118" i="16"/>
  <c r="BD88" i="16"/>
  <c r="BN58" i="16"/>
  <c r="BO117" i="16"/>
  <c r="BO87" i="16"/>
  <c r="BF58" i="16"/>
  <c r="BG117" i="16"/>
  <c r="BG87" i="16"/>
  <c r="BM57" i="16"/>
  <c r="BN116" i="16"/>
  <c r="BN86" i="16"/>
  <c r="BE57" i="16"/>
  <c r="BF116" i="16"/>
  <c r="BF86" i="16"/>
  <c r="BL56" i="16"/>
  <c r="BM115" i="16"/>
  <c r="BM85" i="16"/>
  <c r="BD56" i="16"/>
  <c r="BE115" i="16"/>
  <c r="BE85" i="16"/>
  <c r="BC55" i="16"/>
  <c r="BD114" i="16"/>
  <c r="BD84" i="16"/>
  <c r="BN54" i="16"/>
  <c r="BO113" i="16"/>
  <c r="BO83" i="16"/>
  <c r="BF54" i="16"/>
  <c r="BG113" i="16"/>
  <c r="BG83" i="16"/>
  <c r="BM53" i="16"/>
  <c r="BN112" i="16"/>
  <c r="BN82" i="16"/>
  <c r="BE53" i="16"/>
  <c r="BF112" i="16"/>
  <c r="BF82" i="16"/>
  <c r="BL52" i="16"/>
  <c r="BM111" i="16"/>
  <c r="BM81" i="16"/>
  <c r="BD52" i="16"/>
  <c r="BE111" i="16"/>
  <c r="BE81" i="16"/>
  <c r="BC51" i="16"/>
  <c r="BD110" i="16"/>
  <c r="BD80" i="16"/>
  <c r="BN50" i="16"/>
  <c r="BO109" i="16"/>
  <c r="BO79" i="16"/>
  <c r="BF50" i="16"/>
  <c r="BG109" i="16"/>
  <c r="BG79" i="16"/>
  <c r="BM49" i="16"/>
  <c r="BN108" i="16"/>
  <c r="BN78" i="16"/>
  <c r="BE49" i="16"/>
  <c r="BF108" i="16"/>
  <c r="BF78" i="16"/>
  <c r="BL48" i="16"/>
  <c r="BM107" i="16"/>
  <c r="BM77" i="16"/>
  <c r="BD48" i="16"/>
  <c r="BE107" i="16"/>
  <c r="BE77" i="16"/>
  <c r="BN46" i="16"/>
  <c r="BO105" i="16"/>
  <c r="BO75" i="16"/>
  <c r="BF46" i="16"/>
  <c r="BG105" i="16"/>
  <c r="BG75" i="16"/>
  <c r="BM45" i="16"/>
  <c r="BN104" i="16"/>
  <c r="BN74" i="16"/>
  <c r="BE45" i="16"/>
  <c r="BF104" i="16"/>
  <c r="BF74" i="16"/>
  <c r="BL44" i="16"/>
  <c r="BM103" i="16"/>
  <c r="BM73" i="16"/>
  <c r="BD44" i="16"/>
  <c r="BE103" i="16"/>
  <c r="BE73" i="16"/>
  <c r="BN43" i="16"/>
  <c r="BO102" i="16"/>
  <c r="BO72" i="16"/>
  <c r="BF43" i="16"/>
  <c r="BG102" i="16"/>
  <c r="BG72" i="16"/>
  <c r="BM42" i="16"/>
  <c r="BN101" i="16"/>
  <c r="BN71" i="16"/>
  <c r="BE42" i="16"/>
  <c r="BF101" i="16"/>
  <c r="BF71" i="16"/>
  <c r="BL41" i="16"/>
  <c r="BM100" i="16"/>
  <c r="BM70" i="16"/>
  <c r="BD41" i="16"/>
  <c r="BE100" i="16"/>
  <c r="BE70" i="16"/>
  <c r="BG52" i="15"/>
  <c r="BG113" i="15"/>
  <c r="BG82" i="15"/>
  <c r="BT115" i="16"/>
  <c r="BT103" i="16"/>
  <c r="BT100" i="16"/>
  <c r="BU72" i="15"/>
  <c r="BU111" i="15"/>
  <c r="BU89" i="15"/>
  <c r="BU73" i="15"/>
  <c r="BU90" i="15"/>
  <c r="BT90" i="16"/>
  <c r="BT86" i="16"/>
  <c r="BT82" i="16"/>
  <c r="BT78" i="16"/>
  <c r="BT74" i="16"/>
  <c r="BU108" i="15"/>
  <c r="BU125" i="15"/>
  <c r="BT121" i="16"/>
  <c r="BT87" i="16"/>
  <c r="BT105" i="16"/>
  <c r="BU105" i="15"/>
  <c r="BU114" i="15"/>
  <c r="BU122" i="15"/>
  <c r="BT118" i="16"/>
  <c r="BT84" i="16"/>
  <c r="BU79" i="15"/>
  <c r="BU88" i="15"/>
  <c r="BS125" i="15"/>
  <c r="BS94" i="15"/>
  <c r="BS61" i="15"/>
  <c r="BS122" i="15"/>
  <c r="BS91" i="15"/>
  <c r="BN45" i="15"/>
  <c r="BN106" i="15"/>
  <c r="BN75" i="15"/>
  <c r="BN62" i="15"/>
  <c r="BN123" i="15"/>
  <c r="BN92" i="15"/>
  <c r="BK41" i="15"/>
  <c r="BK102" i="15"/>
  <c r="BK71" i="15"/>
  <c r="BS45" i="15"/>
  <c r="BS106" i="15"/>
  <c r="BS75" i="15"/>
  <c r="BS54" i="15"/>
  <c r="BS115" i="15"/>
  <c r="BS84" i="15"/>
  <c r="BS62" i="15"/>
  <c r="BS123" i="15"/>
  <c r="BS92" i="15"/>
  <c r="BR46" i="15"/>
  <c r="BR107" i="15"/>
  <c r="BR76" i="15"/>
  <c r="BR55" i="15"/>
  <c r="BR116" i="15"/>
  <c r="BR85" i="15"/>
  <c r="BR63" i="15"/>
  <c r="BR124" i="15"/>
  <c r="BR93" i="15"/>
  <c r="BQ44" i="15"/>
  <c r="BQ105" i="15"/>
  <c r="BQ74" i="15"/>
  <c r="BQ48" i="15"/>
  <c r="BQ109" i="15"/>
  <c r="BQ78" i="15"/>
  <c r="BQ53" i="15"/>
  <c r="BQ114" i="15"/>
  <c r="BQ83" i="15"/>
  <c r="BQ57" i="15"/>
  <c r="BQ118" i="15"/>
  <c r="BQ87" i="15"/>
  <c r="BQ61" i="15"/>
  <c r="BQ122" i="15"/>
  <c r="BQ91" i="15"/>
  <c r="BP41" i="15"/>
  <c r="BP102" i="15"/>
  <c r="BP71" i="15"/>
  <c r="BO45" i="15"/>
  <c r="BO106" i="15"/>
  <c r="BO75" i="15"/>
  <c r="BO49" i="15"/>
  <c r="BO110" i="15"/>
  <c r="BO79" i="15"/>
  <c r="BO54" i="15"/>
  <c r="BO115" i="15"/>
  <c r="BO84" i="15"/>
  <c r="BO58" i="15"/>
  <c r="BO119" i="15"/>
  <c r="BO88" i="15"/>
  <c r="BO62" i="15"/>
  <c r="BO123" i="15"/>
  <c r="BO92" i="15"/>
  <c r="BM44" i="15"/>
  <c r="BM74" i="15"/>
  <c r="BM105" i="15"/>
  <c r="BM53" i="15"/>
  <c r="BM114" i="15"/>
  <c r="BM83" i="15"/>
  <c r="BM57" i="15"/>
  <c r="BM118" i="15"/>
  <c r="BM87" i="15"/>
  <c r="BM61" i="15"/>
  <c r="BM122" i="15"/>
  <c r="BM91" i="15"/>
  <c r="BK49" i="15"/>
  <c r="BK110" i="15"/>
  <c r="BK79" i="15"/>
  <c r="BK58" i="15"/>
  <c r="BK119" i="15"/>
  <c r="BK88" i="15"/>
  <c r="BJ42" i="15"/>
  <c r="BJ103" i="15"/>
  <c r="BJ72" i="15"/>
  <c r="BJ50" i="15"/>
  <c r="BJ111" i="15"/>
  <c r="BJ80" i="15"/>
  <c r="BJ59" i="15"/>
  <c r="BJ120" i="15"/>
  <c r="BJ89" i="15"/>
  <c r="BS46" i="15"/>
  <c r="BS107" i="15"/>
  <c r="BS76" i="15"/>
  <c r="BS55" i="15"/>
  <c r="BS116" i="15"/>
  <c r="BS85" i="15"/>
  <c r="BS63" i="15"/>
  <c r="BS124" i="15"/>
  <c r="BS93" i="15"/>
  <c r="BR47" i="15"/>
  <c r="BR108" i="15"/>
  <c r="BR77" i="15"/>
  <c r="BR56" i="15"/>
  <c r="BR117" i="15"/>
  <c r="BR86" i="15"/>
  <c r="BP43" i="15"/>
  <c r="BP104" i="15"/>
  <c r="BP73" i="15"/>
  <c r="BP47" i="15"/>
  <c r="BP108" i="15"/>
  <c r="BP77" i="15"/>
  <c r="BP60" i="15"/>
  <c r="BP121" i="15"/>
  <c r="BP90" i="15"/>
  <c r="BN42" i="15"/>
  <c r="BN103" i="15"/>
  <c r="BN72" i="15"/>
  <c r="BN46" i="15"/>
  <c r="BN107" i="15"/>
  <c r="BN76" i="15"/>
  <c r="BN59" i="15"/>
  <c r="BN120" i="15"/>
  <c r="BN89" i="15"/>
  <c r="BN63" i="15"/>
  <c r="BN124" i="15"/>
  <c r="BN93" i="15"/>
  <c r="BL60" i="15"/>
  <c r="BL121" i="15"/>
  <c r="BL90" i="15"/>
  <c r="BK42" i="15"/>
  <c r="BK72" i="15"/>
  <c r="BK103" i="15"/>
  <c r="BK50" i="15"/>
  <c r="BK111" i="15"/>
  <c r="BK80" i="15"/>
  <c r="BK59" i="15"/>
  <c r="BK120" i="15"/>
  <c r="BK89" i="15"/>
  <c r="BJ43" i="15"/>
  <c r="BJ104" i="15"/>
  <c r="BJ73" i="15"/>
  <c r="BJ51" i="15"/>
  <c r="BJ112" i="15"/>
  <c r="BJ81" i="15"/>
  <c r="BJ60" i="15"/>
  <c r="BJ121" i="15"/>
  <c r="BJ90" i="15"/>
  <c r="BS47" i="15"/>
  <c r="BS108" i="15"/>
  <c r="BS77" i="15"/>
  <c r="BS56" i="15"/>
  <c r="BS117" i="15"/>
  <c r="BS86" i="15"/>
  <c r="BR44" i="15"/>
  <c r="BR105" i="15"/>
  <c r="BR74" i="15"/>
  <c r="BR53" i="15"/>
  <c r="BR114" i="15"/>
  <c r="BR83" i="15"/>
  <c r="BR61" i="15"/>
  <c r="BR122" i="15"/>
  <c r="BR91" i="15"/>
  <c r="BQ43" i="15"/>
  <c r="BQ104" i="15"/>
  <c r="BQ73" i="15"/>
  <c r="BQ47" i="15"/>
  <c r="BQ108" i="15"/>
  <c r="BQ77" i="15"/>
  <c r="BQ51" i="15"/>
  <c r="BQ112" i="15"/>
  <c r="BQ81" i="15"/>
  <c r="BQ56" i="15"/>
  <c r="BQ117" i="15"/>
  <c r="BQ86" i="15"/>
  <c r="BQ60" i="15"/>
  <c r="BQ121" i="15"/>
  <c r="BQ90" i="15"/>
  <c r="BO42" i="15"/>
  <c r="BO103" i="15"/>
  <c r="BO72" i="15"/>
  <c r="BO46" i="15"/>
  <c r="BO107" i="15"/>
  <c r="BO76" i="15"/>
  <c r="BO50" i="15"/>
  <c r="BO111" i="15"/>
  <c r="BO80" i="15"/>
  <c r="BO55" i="15"/>
  <c r="BO116" i="15"/>
  <c r="BO85" i="15"/>
  <c r="BO59" i="15"/>
  <c r="BO120" i="15"/>
  <c r="BO89" i="15"/>
  <c r="BO63" i="15"/>
  <c r="BO124" i="15"/>
  <c r="BO93" i="15"/>
  <c r="BM43" i="15"/>
  <c r="BM104" i="15"/>
  <c r="BM73" i="15"/>
  <c r="BM47" i="15"/>
  <c r="BM108" i="15"/>
  <c r="BM77" i="15"/>
  <c r="BM51" i="15"/>
  <c r="BM112" i="15"/>
  <c r="BM81" i="15"/>
  <c r="BM56" i="15"/>
  <c r="BM117" i="15"/>
  <c r="BM86" i="15"/>
  <c r="BM60" i="15"/>
  <c r="BM121" i="15"/>
  <c r="BM90" i="15"/>
  <c r="BK43" i="15"/>
  <c r="BK104" i="15"/>
  <c r="BK73" i="15"/>
  <c r="BK51" i="15"/>
  <c r="BK112" i="15"/>
  <c r="BK81" i="15"/>
  <c r="BK60" i="15"/>
  <c r="BK121" i="15"/>
  <c r="BK90" i="15"/>
  <c r="BJ57" i="15"/>
  <c r="BJ118" i="15"/>
  <c r="BJ87" i="15"/>
  <c r="BJ41" i="15"/>
  <c r="BJ102" i="15"/>
  <c r="BJ71" i="15"/>
  <c r="BK60" i="16"/>
  <c r="BL119" i="16"/>
  <c r="BL89" i="16"/>
  <c r="BC60" i="16"/>
  <c r="BD119" i="16"/>
  <c r="BD89" i="16"/>
  <c r="BN59" i="16"/>
  <c r="BO118" i="16"/>
  <c r="BO88" i="16"/>
  <c r="BF59" i="16"/>
  <c r="BG118" i="16"/>
  <c r="BG88" i="16"/>
  <c r="BM58" i="16"/>
  <c r="BN117" i="16"/>
  <c r="BN87" i="16"/>
  <c r="BE58" i="16"/>
  <c r="BF117" i="16"/>
  <c r="BF87" i="16"/>
  <c r="BL57" i="16"/>
  <c r="BM116" i="16"/>
  <c r="BM86" i="16"/>
  <c r="BD57" i="16"/>
  <c r="BE116" i="16"/>
  <c r="BE86" i="16"/>
  <c r="BO52" i="16"/>
  <c r="BP111" i="16"/>
  <c r="BP81" i="16"/>
  <c r="BG52" i="16"/>
  <c r="BH111" i="16"/>
  <c r="BH81" i="16"/>
  <c r="BR51" i="16"/>
  <c r="BS110" i="16"/>
  <c r="BS80" i="16"/>
  <c r="BJ51" i="16"/>
  <c r="BK110" i="16"/>
  <c r="BK80" i="16"/>
  <c r="BQ50" i="16"/>
  <c r="BR109" i="16"/>
  <c r="BR79" i="16"/>
  <c r="BI50" i="16"/>
  <c r="BJ109" i="16"/>
  <c r="BJ79" i="16"/>
  <c r="BP49" i="16"/>
  <c r="BQ108" i="16"/>
  <c r="BQ78" i="16"/>
  <c r="BH49" i="16"/>
  <c r="BI108" i="16"/>
  <c r="BI78" i="16"/>
  <c r="BC41" i="16"/>
  <c r="BD100" i="16"/>
  <c r="BD70" i="16"/>
  <c r="BM52" i="15"/>
  <c r="BM113" i="15"/>
  <c r="BM82" i="15"/>
  <c r="BE52" i="15"/>
  <c r="BE113" i="15"/>
  <c r="BE82" i="15"/>
  <c r="BQ63" i="16"/>
  <c r="BR122" i="16"/>
  <c r="BR92" i="16"/>
  <c r="BI63" i="16"/>
  <c r="BJ122" i="16"/>
  <c r="BJ92" i="16"/>
  <c r="BP62" i="16"/>
  <c r="BQ121" i="16"/>
  <c r="BQ91" i="16"/>
  <c r="BH62" i="16"/>
  <c r="BI121" i="16"/>
  <c r="BI91" i="16"/>
  <c r="BC57" i="16"/>
  <c r="BD116" i="16"/>
  <c r="BD86" i="16"/>
  <c r="BN56" i="16"/>
  <c r="BO115" i="16"/>
  <c r="BO85" i="16"/>
  <c r="BF56" i="16"/>
  <c r="BG115" i="16"/>
  <c r="BG85" i="16"/>
  <c r="BM55" i="16"/>
  <c r="BN114" i="16"/>
  <c r="BN84" i="16"/>
  <c r="BE55" i="16"/>
  <c r="BF114" i="16"/>
  <c r="BF84" i="16"/>
  <c r="BL54" i="16"/>
  <c r="BM113" i="16"/>
  <c r="BM83" i="16"/>
  <c r="BD54" i="16"/>
  <c r="BE113" i="16"/>
  <c r="BE83" i="16"/>
  <c r="BC53" i="16"/>
  <c r="BD112" i="16"/>
  <c r="BD82" i="16"/>
  <c r="BN52" i="16"/>
  <c r="BO111" i="16"/>
  <c r="BO81" i="16"/>
  <c r="BF52" i="16"/>
  <c r="BG111" i="16"/>
  <c r="BG81" i="16"/>
  <c r="BM51" i="16"/>
  <c r="BN110" i="16"/>
  <c r="BN80" i="16"/>
  <c r="BE51" i="16"/>
  <c r="BF110" i="16"/>
  <c r="BF80" i="16"/>
  <c r="BL50" i="16"/>
  <c r="BM109" i="16"/>
  <c r="BM79" i="16"/>
  <c r="BD50" i="16"/>
  <c r="BE109" i="16"/>
  <c r="BE79" i="16"/>
  <c r="BO45" i="16"/>
  <c r="BP104" i="16"/>
  <c r="BP74" i="16"/>
  <c r="BG45" i="16"/>
  <c r="BH104" i="16"/>
  <c r="BH74" i="16"/>
  <c r="BR44" i="16"/>
  <c r="BS103" i="16"/>
  <c r="BS73" i="16"/>
  <c r="BJ44" i="16"/>
  <c r="BK103" i="16"/>
  <c r="BK73" i="16"/>
  <c r="BP43" i="16"/>
  <c r="BQ102" i="16"/>
  <c r="BQ72" i="16"/>
  <c r="BH43" i="16"/>
  <c r="BI102" i="16"/>
  <c r="BI72" i="16"/>
  <c r="BL63" i="16"/>
  <c r="BM92" i="16"/>
  <c r="BM122" i="16"/>
  <c r="BD63" i="16"/>
  <c r="BE122" i="16"/>
  <c r="BE92" i="16"/>
  <c r="BO58" i="16"/>
  <c r="BP117" i="16"/>
  <c r="BP87" i="16"/>
  <c r="BG58" i="16"/>
  <c r="BH117" i="16"/>
  <c r="BH87" i="16"/>
  <c r="BR57" i="16"/>
  <c r="BS116" i="16"/>
  <c r="BS86" i="16"/>
  <c r="BJ57" i="16"/>
  <c r="BK116" i="16"/>
  <c r="BK86" i="16"/>
  <c r="BQ56" i="16"/>
  <c r="BR115" i="16"/>
  <c r="BR85" i="16"/>
  <c r="BI56" i="16"/>
  <c r="BJ115" i="16"/>
  <c r="BJ85" i="16"/>
  <c r="BP55" i="16"/>
  <c r="BQ114" i="16"/>
  <c r="BQ84" i="16"/>
  <c r="BH55" i="16"/>
  <c r="BI114" i="16"/>
  <c r="BI84" i="16"/>
  <c r="BC50" i="16"/>
  <c r="BD109" i="16"/>
  <c r="BD79" i="16"/>
  <c r="BN49" i="16"/>
  <c r="BO108" i="16"/>
  <c r="BO78" i="16"/>
  <c r="BF49" i="16"/>
  <c r="BG108" i="16"/>
  <c r="BG78" i="16"/>
  <c r="BM48" i="16"/>
  <c r="BN107" i="16"/>
  <c r="BN77" i="16"/>
  <c r="BE48" i="16"/>
  <c r="BF107" i="16"/>
  <c r="BF77" i="16"/>
  <c r="BC46" i="16"/>
  <c r="BD105" i="16"/>
  <c r="BD75" i="16"/>
  <c r="BN45" i="16"/>
  <c r="BO104" i="16"/>
  <c r="BO74" i="16"/>
  <c r="BF45" i="16"/>
  <c r="BG104" i="16"/>
  <c r="BG74" i="16"/>
  <c r="BM44" i="16"/>
  <c r="BN103" i="16"/>
  <c r="BN73" i="16"/>
  <c r="BE44" i="16"/>
  <c r="BF103" i="16"/>
  <c r="BF73" i="16"/>
  <c r="BC43" i="16"/>
  <c r="BD102" i="16"/>
  <c r="BD72" i="16"/>
  <c r="BN42" i="16"/>
  <c r="BO101" i="16"/>
  <c r="BO71" i="16"/>
  <c r="BF42" i="16"/>
  <c r="BG101" i="16"/>
  <c r="BG71" i="16"/>
  <c r="BM41" i="16"/>
  <c r="BN100" i="16"/>
  <c r="BN70" i="16"/>
  <c r="BE41" i="16"/>
  <c r="BF100" i="16"/>
  <c r="BF70" i="16"/>
  <c r="BM40" i="16"/>
  <c r="BN99" i="16"/>
  <c r="BN69" i="16"/>
  <c r="BE40" i="16"/>
  <c r="BF99" i="16"/>
  <c r="BF69" i="16"/>
  <c r="BG40" i="16"/>
  <c r="BH99" i="16"/>
  <c r="BH69" i="16"/>
  <c r="BL40" i="16"/>
  <c r="BM99" i="16"/>
  <c r="BM69" i="16"/>
  <c r="BD40" i="16"/>
  <c r="BE99" i="16"/>
  <c r="BE69" i="16"/>
  <c r="BR52" i="15"/>
  <c r="BR113" i="15"/>
  <c r="BR82" i="15"/>
  <c r="BJ52" i="15"/>
  <c r="BJ82" i="15"/>
  <c r="BJ113" i="15"/>
  <c r="BT81" i="16"/>
  <c r="BU120" i="15"/>
  <c r="BN94" i="15"/>
  <c r="BN125" i="15"/>
  <c r="BU104" i="15"/>
  <c r="BU121" i="15"/>
  <c r="BO125" i="15"/>
  <c r="BO94" i="15"/>
  <c r="BG125" i="15"/>
  <c r="BG94" i="15"/>
  <c r="BT112" i="16"/>
  <c r="BU86" i="15"/>
  <c r="BT83" i="16"/>
  <c r="BU78" i="15"/>
  <c r="BU87" i="15"/>
  <c r="BR94" i="15"/>
  <c r="BR125" i="15"/>
  <c r="BL125" i="15"/>
  <c r="BL94" i="15"/>
  <c r="BJ94" i="15"/>
  <c r="BJ125" i="15"/>
  <c r="BT114" i="16"/>
  <c r="BT80" i="16"/>
  <c r="BT69" i="16"/>
  <c r="BU110" i="15"/>
  <c r="BU119" i="15"/>
  <c r="BM125" i="15"/>
  <c r="BM94" i="15"/>
  <c r="BK125" i="15"/>
  <c r="BK94" i="15"/>
  <c r="BH125" i="15"/>
  <c r="BH94" i="15"/>
  <c r="BE125" i="15"/>
  <c r="BE94" i="15"/>
  <c r="BR45" i="15"/>
  <c r="BR106" i="15"/>
  <c r="BR75" i="15"/>
  <c r="BR62" i="15"/>
  <c r="BR123" i="15"/>
  <c r="BR92" i="15"/>
  <c r="BP61" i="15"/>
  <c r="BP122" i="15"/>
  <c r="BP91" i="15"/>
  <c r="BM41" i="15"/>
  <c r="BM102" i="15"/>
  <c r="BM71" i="15"/>
  <c r="BJ49" i="15"/>
  <c r="BJ79" i="15"/>
  <c r="BJ110" i="15"/>
  <c r="BH44" i="15"/>
  <c r="BH105" i="15"/>
  <c r="BH74" i="15"/>
  <c r="BH61" i="15"/>
  <c r="BH122" i="15"/>
  <c r="BH91" i="15"/>
  <c r="BG55" i="15"/>
  <c r="BG116" i="15"/>
  <c r="BG85" i="15"/>
  <c r="BF54" i="15"/>
  <c r="BF115" i="15"/>
  <c r="BF84" i="15"/>
  <c r="BE55" i="15"/>
  <c r="BE116" i="15"/>
  <c r="BE85" i="15"/>
  <c r="BD57" i="15"/>
  <c r="BD118" i="15"/>
  <c r="BD87" i="15"/>
  <c r="BD42" i="15"/>
  <c r="BD103" i="15"/>
  <c r="BD72" i="15"/>
  <c r="BI43" i="15"/>
  <c r="BI104" i="15"/>
  <c r="BI73" i="15"/>
  <c r="BH49" i="15"/>
  <c r="BH110" i="15"/>
  <c r="BH79" i="15"/>
  <c r="BH58" i="15"/>
  <c r="BH119" i="15"/>
  <c r="BH88" i="15"/>
  <c r="BG43" i="15"/>
  <c r="BG104" i="15"/>
  <c r="BG73" i="15"/>
  <c r="BG51" i="15"/>
  <c r="BG112" i="15"/>
  <c r="BG81" i="15"/>
  <c r="BG60" i="15"/>
  <c r="BG121" i="15"/>
  <c r="BG90" i="15"/>
  <c r="BF46" i="15"/>
  <c r="BF107" i="15"/>
  <c r="BF76" i="15"/>
  <c r="BF63" i="15"/>
  <c r="BF124" i="15"/>
  <c r="BF93" i="15"/>
  <c r="BE56" i="15"/>
  <c r="BE117" i="15"/>
  <c r="BE86" i="15"/>
  <c r="BD44" i="15"/>
  <c r="BD105" i="15"/>
  <c r="BD74" i="15"/>
  <c r="BD53" i="15"/>
  <c r="BD114" i="15"/>
  <c r="BD83" i="15"/>
  <c r="BE44" i="15"/>
  <c r="BE105" i="15"/>
  <c r="BE74" i="15"/>
  <c r="BE41" i="15"/>
  <c r="BE102" i="15"/>
  <c r="BE71" i="15"/>
  <c r="BD62" i="15"/>
  <c r="BD123" i="15"/>
  <c r="BD92" i="15"/>
  <c r="BD55" i="15"/>
  <c r="BD116" i="15"/>
  <c r="BD85" i="15"/>
  <c r="BI48" i="15"/>
  <c r="BI109" i="15"/>
  <c r="BI78" i="15"/>
  <c r="BI57" i="15"/>
  <c r="BI118" i="15"/>
  <c r="BI87" i="15"/>
  <c r="BH42" i="15"/>
  <c r="BH103" i="15"/>
  <c r="BH72" i="15"/>
  <c r="BH50" i="15"/>
  <c r="BH111" i="15"/>
  <c r="BH80" i="15"/>
  <c r="BH59" i="15"/>
  <c r="BH120" i="15"/>
  <c r="BH89" i="15"/>
  <c r="BG44" i="15"/>
  <c r="BG105" i="15"/>
  <c r="BG74" i="15"/>
  <c r="BG53" i="15"/>
  <c r="BG114" i="15"/>
  <c r="BG83" i="15"/>
  <c r="BG61" i="15"/>
  <c r="BG122" i="15"/>
  <c r="BG91" i="15"/>
  <c r="BF43" i="15"/>
  <c r="BF104" i="15"/>
  <c r="BF73" i="15"/>
  <c r="BF51" i="15"/>
  <c r="BF112" i="15"/>
  <c r="BF81" i="15"/>
  <c r="BF60" i="15"/>
  <c r="BF90" i="15"/>
  <c r="BF121" i="15"/>
  <c r="BD45" i="15"/>
  <c r="BD106" i="15"/>
  <c r="BD75" i="15"/>
  <c r="BD50" i="15"/>
  <c r="BD111" i="15"/>
  <c r="BD80" i="15"/>
  <c r="BI49" i="15"/>
  <c r="BI110" i="15"/>
  <c r="BI79" i="15"/>
  <c r="BI58" i="15"/>
  <c r="BI119" i="15"/>
  <c r="BI88" i="15"/>
  <c r="BH43" i="15"/>
  <c r="BH104" i="15"/>
  <c r="BH73" i="15"/>
  <c r="BH51" i="15"/>
  <c r="BH112" i="15"/>
  <c r="BH81" i="15"/>
  <c r="BH60" i="15"/>
  <c r="BH121" i="15"/>
  <c r="BH90" i="15"/>
  <c r="BG49" i="15"/>
  <c r="BG110" i="15"/>
  <c r="BG79" i="15"/>
  <c r="BG58" i="15"/>
  <c r="BG119" i="15"/>
  <c r="BG88" i="15"/>
  <c r="BH41" i="15"/>
  <c r="BH102" i="15"/>
  <c r="BH71" i="15"/>
  <c r="BF48" i="15"/>
  <c r="BF109" i="15"/>
  <c r="BF78" i="15"/>
  <c r="BF57" i="15"/>
  <c r="BF118" i="15"/>
  <c r="BF87" i="15"/>
  <c r="BF41" i="15"/>
  <c r="BF102" i="15"/>
  <c r="BF71" i="15"/>
  <c r="BE49" i="15"/>
  <c r="BE110" i="15"/>
  <c r="BE79" i="15"/>
  <c r="BD46" i="15"/>
  <c r="BD107" i="15"/>
  <c r="BD76" i="15"/>
  <c r="BR63" i="16"/>
  <c r="BS122" i="16"/>
  <c r="BS92" i="16"/>
  <c r="BJ63" i="16"/>
  <c r="BK122" i="16"/>
  <c r="BK92" i="16"/>
  <c r="BQ62" i="16"/>
  <c r="BR121" i="16"/>
  <c r="BR91" i="16"/>
  <c r="BI62" i="16"/>
  <c r="BJ121" i="16"/>
  <c r="BJ91" i="16"/>
  <c r="BP61" i="16"/>
  <c r="BQ120" i="16"/>
  <c r="BQ90" i="16"/>
  <c r="BH61" i="16"/>
  <c r="BI120" i="16"/>
  <c r="BI90" i="16"/>
  <c r="BC56" i="16"/>
  <c r="BD115" i="16"/>
  <c r="BD85" i="16"/>
  <c r="BN55" i="16"/>
  <c r="BO114" i="16"/>
  <c r="BO84" i="16"/>
  <c r="BF55" i="16"/>
  <c r="BG114" i="16"/>
  <c r="BG84" i="16"/>
  <c r="BM54" i="16"/>
  <c r="BN113" i="16"/>
  <c r="BN83" i="16"/>
  <c r="BE54" i="16"/>
  <c r="BF113" i="16"/>
  <c r="BF83" i="16"/>
  <c r="BL53" i="16"/>
  <c r="BM112" i="16"/>
  <c r="BM82" i="16"/>
  <c r="BD53" i="16"/>
  <c r="BE112" i="16"/>
  <c r="BE82" i="16"/>
  <c r="BO48" i="16"/>
  <c r="BP107" i="16"/>
  <c r="BP77" i="16"/>
  <c r="BG48" i="16"/>
  <c r="BH107" i="16"/>
  <c r="BH77" i="16"/>
  <c r="BQ46" i="16"/>
  <c r="BR105" i="16"/>
  <c r="BR75" i="16"/>
  <c r="BI46" i="16"/>
  <c r="BJ105" i="16"/>
  <c r="BJ75" i="16"/>
  <c r="BP45" i="16"/>
  <c r="BQ104" i="16"/>
  <c r="BQ74" i="16"/>
  <c r="BH45" i="16"/>
  <c r="BI104" i="16"/>
  <c r="BI74" i="16"/>
  <c r="BO44" i="16"/>
  <c r="BP103" i="16"/>
  <c r="BP73" i="16"/>
  <c r="BG44" i="16"/>
  <c r="BH103" i="16"/>
  <c r="BH73" i="16"/>
  <c r="BQ43" i="16"/>
  <c r="BR102" i="16"/>
  <c r="BR72" i="16"/>
  <c r="BI43" i="16"/>
  <c r="BJ102" i="16"/>
  <c r="BJ72" i="16"/>
  <c r="BP42" i="16"/>
  <c r="BQ101" i="16"/>
  <c r="BQ71" i="16"/>
  <c r="BH42" i="16"/>
  <c r="BI101" i="16"/>
  <c r="BI71" i="16"/>
  <c r="BU41" i="15"/>
  <c r="BU71" i="15"/>
  <c r="BU102" i="15"/>
  <c r="BO61" i="16"/>
  <c r="BP120" i="16"/>
  <c r="BP90" i="16"/>
  <c r="BG61" i="16"/>
  <c r="BH120" i="16"/>
  <c r="BH90" i="16"/>
  <c r="BR60" i="16"/>
  <c r="BS119" i="16"/>
  <c r="BS89" i="16"/>
  <c r="BJ60" i="16"/>
  <c r="BK119" i="16"/>
  <c r="BK89" i="16"/>
  <c r="BQ59" i="16"/>
  <c r="BR118" i="16"/>
  <c r="BR88" i="16"/>
  <c r="BI59" i="16"/>
  <c r="BJ118" i="16"/>
  <c r="BJ88" i="16"/>
  <c r="BP58" i="16"/>
  <c r="BQ117" i="16"/>
  <c r="BQ87" i="16"/>
  <c r="BH58" i="16"/>
  <c r="BI117" i="16"/>
  <c r="BI87" i="16"/>
  <c r="BC49" i="16"/>
  <c r="BD108" i="16"/>
  <c r="BD78" i="16"/>
  <c r="BN48" i="16"/>
  <c r="BO107" i="16"/>
  <c r="BO77" i="16"/>
  <c r="BF48" i="16"/>
  <c r="BG107" i="16"/>
  <c r="BG77" i="16"/>
  <c r="BL46" i="16"/>
  <c r="BM105" i="16"/>
  <c r="BM75" i="16"/>
  <c r="BD46" i="16"/>
  <c r="BE105" i="16"/>
  <c r="BE75" i="16"/>
  <c r="BO42" i="16"/>
  <c r="BP101" i="16"/>
  <c r="BP71" i="16"/>
  <c r="BG42" i="16"/>
  <c r="BH101" i="16"/>
  <c r="BH71" i="16"/>
  <c r="BR41" i="16"/>
  <c r="BS100" i="16"/>
  <c r="BS70" i="16"/>
  <c r="BJ41" i="16"/>
  <c r="BK100" i="16"/>
  <c r="BK70" i="16"/>
  <c r="BR40" i="16"/>
  <c r="BS99" i="16"/>
  <c r="BS69" i="16"/>
  <c r="BJ40" i="16"/>
  <c r="BK99" i="16"/>
  <c r="BK69" i="16"/>
  <c r="BU52" i="15"/>
  <c r="BU113" i="15"/>
  <c r="BU82" i="15"/>
  <c r="BD52" i="15"/>
  <c r="BD113" i="15"/>
  <c r="BD82" i="15"/>
  <c r="BK62" i="16"/>
  <c r="BL121" i="16"/>
  <c r="BL91" i="16"/>
  <c r="BC62" i="16"/>
  <c r="BD121" i="16"/>
  <c r="BD91" i="16"/>
  <c r="BN61" i="16"/>
  <c r="BO120" i="16"/>
  <c r="BO90" i="16"/>
  <c r="BF61" i="16"/>
  <c r="BG120" i="16"/>
  <c r="BG90" i="16"/>
  <c r="BM60" i="16"/>
  <c r="BN119" i="16"/>
  <c r="BN89" i="16"/>
  <c r="BE60" i="16"/>
  <c r="BF119" i="16"/>
  <c r="BF89" i="16"/>
  <c r="BL59" i="16"/>
  <c r="BM118" i="16"/>
  <c r="BM88" i="16"/>
  <c r="BD59" i="16"/>
  <c r="BE118" i="16"/>
  <c r="BE88" i="16"/>
  <c r="BO54" i="16"/>
  <c r="BP113" i="16"/>
  <c r="BP83" i="16"/>
  <c r="BG54" i="16"/>
  <c r="BH113" i="16"/>
  <c r="BH83" i="16"/>
  <c r="BR53" i="16"/>
  <c r="BS112" i="16"/>
  <c r="BS82" i="16"/>
  <c r="BJ53" i="16"/>
  <c r="BK112" i="16"/>
  <c r="BK82" i="16"/>
  <c r="BQ52" i="16"/>
  <c r="BR111" i="16"/>
  <c r="BR81" i="16"/>
  <c r="BI52" i="16"/>
  <c r="BJ111" i="16"/>
  <c r="BJ81" i="16"/>
  <c r="BP51" i="16"/>
  <c r="BQ110" i="16"/>
  <c r="BQ80" i="16"/>
  <c r="BH51" i="16"/>
  <c r="BI110" i="16"/>
  <c r="BI80" i="16"/>
  <c r="BO63" i="16"/>
  <c r="BP122" i="16"/>
  <c r="BP92" i="16"/>
  <c r="BG63" i="16"/>
  <c r="BH122" i="16"/>
  <c r="BH92" i="16"/>
  <c r="BR62" i="16"/>
  <c r="BS121" i="16"/>
  <c r="BS91" i="16"/>
  <c r="BJ62" i="16"/>
  <c r="BK121" i="16"/>
  <c r="BK91" i="16"/>
  <c r="BQ61" i="16"/>
  <c r="BR120" i="16"/>
  <c r="BR90" i="16"/>
  <c r="BI61" i="16"/>
  <c r="BJ120" i="16"/>
  <c r="BJ90" i="16"/>
  <c r="BP60" i="16"/>
  <c r="BQ119" i="16"/>
  <c r="BQ89" i="16"/>
  <c r="BH60" i="16"/>
  <c r="BI119" i="16"/>
  <c r="BI89" i="16"/>
  <c r="BO59" i="16"/>
  <c r="BP118" i="16"/>
  <c r="BP88" i="16"/>
  <c r="BG59" i="16"/>
  <c r="BH118" i="16"/>
  <c r="BH88" i="16"/>
  <c r="BR58" i="16"/>
  <c r="BS117" i="16"/>
  <c r="BS87" i="16"/>
  <c r="BJ58" i="16"/>
  <c r="BK117" i="16"/>
  <c r="BK87" i="16"/>
  <c r="BQ57" i="16"/>
  <c r="BR116" i="16"/>
  <c r="BR86" i="16"/>
  <c r="BI57" i="16"/>
  <c r="BJ86" i="16"/>
  <c r="BJ116" i="16"/>
  <c r="BP56" i="16"/>
  <c r="BQ115" i="16"/>
  <c r="BQ85" i="16"/>
  <c r="BH56" i="16"/>
  <c r="BI115" i="16"/>
  <c r="BI85" i="16"/>
  <c r="BO55" i="16"/>
  <c r="BP114" i="16"/>
  <c r="BP84" i="16"/>
  <c r="BG55" i="16"/>
  <c r="BH114" i="16"/>
  <c r="BH84" i="16"/>
  <c r="BR54" i="16"/>
  <c r="BS113" i="16"/>
  <c r="BS83" i="16"/>
  <c r="BJ54" i="16"/>
  <c r="BK113" i="16"/>
  <c r="BK83" i="16"/>
  <c r="BQ53" i="16"/>
  <c r="BR112" i="16"/>
  <c r="BR82" i="16"/>
  <c r="BI53" i="16"/>
  <c r="BJ82" i="16"/>
  <c r="BJ112" i="16"/>
  <c r="BP52" i="16"/>
  <c r="BQ111" i="16"/>
  <c r="BQ81" i="16"/>
  <c r="BH52" i="16"/>
  <c r="BI111" i="16"/>
  <c r="BI81" i="16"/>
  <c r="BO51" i="16"/>
  <c r="BP110" i="16"/>
  <c r="BP80" i="16"/>
  <c r="BG51" i="16"/>
  <c r="BH110" i="16"/>
  <c r="BH80" i="16"/>
  <c r="BR50" i="16"/>
  <c r="BS109" i="16"/>
  <c r="BS79" i="16"/>
  <c r="BJ50" i="16"/>
  <c r="BK109" i="16"/>
  <c r="BK79" i="16"/>
  <c r="BQ49" i="16"/>
  <c r="BR108" i="16"/>
  <c r="BR78" i="16"/>
  <c r="BI49" i="16"/>
  <c r="BJ108" i="16"/>
  <c r="BJ78" i="16"/>
  <c r="BP48" i="16"/>
  <c r="BQ107" i="16"/>
  <c r="BQ77" i="16"/>
  <c r="BH48" i="16"/>
  <c r="BI107" i="16"/>
  <c r="BI77" i="16"/>
  <c r="BR46" i="16"/>
  <c r="BS105" i="16"/>
  <c r="BS75" i="16"/>
  <c r="BJ46" i="16"/>
  <c r="BK105" i="16"/>
  <c r="BK75" i="16"/>
  <c r="BQ45" i="16"/>
  <c r="BR104" i="16"/>
  <c r="BR74" i="16"/>
  <c r="BI45" i="16"/>
  <c r="BJ104" i="16"/>
  <c r="BJ74" i="16"/>
  <c r="BP44" i="16"/>
  <c r="BQ103" i="16"/>
  <c r="BQ73" i="16"/>
  <c r="BH44" i="16"/>
  <c r="BI103" i="16"/>
  <c r="BI73" i="16"/>
  <c r="BR43" i="16"/>
  <c r="BS102" i="16"/>
  <c r="BS72" i="16"/>
  <c r="BJ43" i="16"/>
  <c r="BK102" i="16"/>
  <c r="BK72" i="16"/>
  <c r="BQ42" i="16"/>
  <c r="BR101" i="16"/>
  <c r="BR71" i="16"/>
  <c r="BI42" i="16"/>
  <c r="BJ101" i="16"/>
  <c r="BJ71" i="16"/>
  <c r="BP41" i="16"/>
  <c r="BQ100" i="16"/>
  <c r="BQ70" i="16"/>
  <c r="BH41" i="16"/>
  <c r="BI100" i="16"/>
  <c r="BI70" i="16"/>
  <c r="BS52" i="15"/>
  <c r="BS113" i="15"/>
  <c r="BS82" i="15"/>
  <c r="BT89" i="16"/>
  <c r="BT111" i="16"/>
  <c r="BT77" i="16"/>
  <c r="BU76" i="15"/>
  <c r="BU85" i="15"/>
  <c r="BU124" i="15"/>
  <c r="BU81" i="15"/>
  <c r="BT71" i="16"/>
  <c r="BU117" i="15"/>
  <c r="BI125" i="15"/>
  <c r="BI94" i="15"/>
  <c r="BT79" i="16"/>
  <c r="BU109" i="15"/>
  <c r="BT92" i="16"/>
  <c r="BT110" i="16"/>
  <c r="BT76" i="16"/>
  <c r="BT99" i="16"/>
  <c r="BU75" i="15"/>
  <c r="BU84" i="15"/>
  <c r="BU92" i="15"/>
  <c r="BS53" i="15"/>
  <c r="BS114" i="15"/>
  <c r="BS83" i="15"/>
  <c r="BR54" i="15"/>
  <c r="BR115" i="15"/>
  <c r="BR84" i="15"/>
  <c r="BP57" i="15"/>
  <c r="BP118" i="15"/>
  <c r="BP87" i="15"/>
  <c r="BN58" i="15"/>
  <c r="BN88" i="15"/>
  <c r="BN119" i="15"/>
  <c r="BL61" i="15"/>
  <c r="BL122" i="15"/>
  <c r="BL91" i="15"/>
  <c r="BK57" i="15"/>
  <c r="BK118" i="15"/>
  <c r="BK87" i="15"/>
  <c r="BI50" i="15"/>
  <c r="BI111" i="15"/>
  <c r="BI80" i="15"/>
  <c r="BH53" i="15"/>
  <c r="BH114" i="15"/>
  <c r="BH83" i="15"/>
  <c r="BF45" i="15"/>
  <c r="BF106" i="15"/>
  <c r="BF75" i="15"/>
  <c r="BF62" i="15"/>
  <c r="BF92" i="15"/>
  <c r="BF123" i="15"/>
  <c r="BD47" i="15"/>
  <c r="BD108" i="15"/>
  <c r="BD77" i="15"/>
  <c r="BD49" i="15"/>
  <c r="BD110" i="15"/>
  <c r="BD79" i="15"/>
  <c r="BI60" i="15"/>
  <c r="BI121" i="15"/>
  <c r="BI90" i="15"/>
  <c r="BF55" i="15"/>
  <c r="BF116" i="15"/>
  <c r="BF85" i="15"/>
  <c r="BS41" i="15"/>
  <c r="BS102" i="15"/>
  <c r="BS71" i="15"/>
  <c r="BR58" i="15"/>
  <c r="BR88" i="15"/>
  <c r="BR119" i="15"/>
  <c r="BP46" i="15"/>
  <c r="BP107" i="15"/>
  <c r="BP76" i="15"/>
  <c r="BP63" i="15"/>
  <c r="BP93" i="15"/>
  <c r="BP124" i="15"/>
  <c r="BN47" i="15"/>
  <c r="BN108" i="15"/>
  <c r="BN77" i="15"/>
  <c r="BN56" i="15"/>
  <c r="BN117" i="15"/>
  <c r="BN86" i="15"/>
  <c r="BK44" i="15"/>
  <c r="BK105" i="15"/>
  <c r="BK74" i="15"/>
  <c r="BJ45" i="15"/>
  <c r="BJ106" i="15"/>
  <c r="BJ75" i="15"/>
  <c r="BJ62" i="15"/>
  <c r="BJ123" i="15"/>
  <c r="BJ92" i="15"/>
  <c r="BS49" i="15"/>
  <c r="BS110" i="15"/>
  <c r="BS79" i="15"/>
  <c r="BR42" i="15"/>
  <c r="BR103" i="15"/>
  <c r="BR72" i="15"/>
  <c r="BR50" i="15"/>
  <c r="BR111" i="15"/>
  <c r="BR80" i="15"/>
  <c r="BR59" i="15"/>
  <c r="BR120" i="15"/>
  <c r="BR89" i="15"/>
  <c r="BQ42" i="15"/>
  <c r="BQ103" i="15"/>
  <c r="BQ72" i="15"/>
  <c r="BQ46" i="15"/>
  <c r="BQ107" i="15"/>
  <c r="BQ76" i="15"/>
  <c r="BQ50" i="15"/>
  <c r="BQ111" i="15"/>
  <c r="BQ80" i="15"/>
  <c r="BQ55" i="15"/>
  <c r="BQ116" i="15"/>
  <c r="BQ85" i="15"/>
  <c r="BQ59" i="15"/>
  <c r="BQ120" i="15"/>
  <c r="BQ89" i="15"/>
  <c r="BQ63" i="15"/>
  <c r="BQ124" i="15"/>
  <c r="BQ93" i="15"/>
  <c r="BO43" i="15"/>
  <c r="BO104" i="15"/>
  <c r="BO73" i="15"/>
  <c r="BO47" i="15"/>
  <c r="BO108" i="15"/>
  <c r="BO77" i="15"/>
  <c r="BO51" i="15"/>
  <c r="BO112" i="15"/>
  <c r="BO81" i="15"/>
  <c r="BO56" i="15"/>
  <c r="BO117" i="15"/>
  <c r="BO86" i="15"/>
  <c r="BO60" i="15"/>
  <c r="BO121" i="15"/>
  <c r="BO90" i="15"/>
  <c r="BM42" i="15"/>
  <c r="BM103" i="15"/>
  <c r="BM72" i="15"/>
  <c r="BM46" i="15"/>
  <c r="BM107" i="15"/>
  <c r="BM76" i="15"/>
  <c r="BM50" i="15"/>
  <c r="BM111" i="15"/>
  <c r="BM80" i="15"/>
  <c r="BM55" i="15"/>
  <c r="BM116" i="15"/>
  <c r="BM85" i="15"/>
  <c r="BM59" i="15"/>
  <c r="BM120" i="15"/>
  <c r="BM89" i="15"/>
  <c r="BM63" i="15"/>
  <c r="BM124" i="15"/>
  <c r="BM93" i="15"/>
  <c r="BK45" i="15"/>
  <c r="BK106" i="15"/>
  <c r="BK75" i="15"/>
  <c r="BK54" i="15"/>
  <c r="BK115" i="15"/>
  <c r="BK84" i="15"/>
  <c r="BK62" i="15"/>
  <c r="BK123" i="15"/>
  <c r="BK92" i="15"/>
  <c r="BJ46" i="15"/>
  <c r="BJ107" i="15"/>
  <c r="BJ76" i="15"/>
  <c r="BJ55" i="15"/>
  <c r="BJ116" i="15"/>
  <c r="BJ85" i="15"/>
  <c r="BJ63" i="15"/>
  <c r="BJ124" i="15"/>
  <c r="BJ93" i="15"/>
  <c r="BS42" i="15"/>
  <c r="BS103" i="15"/>
  <c r="BS72" i="15"/>
  <c r="BS50" i="15"/>
  <c r="BS111" i="15"/>
  <c r="BS80" i="15"/>
  <c r="BS59" i="15"/>
  <c r="BS120" i="15"/>
  <c r="BS89" i="15"/>
  <c r="BR43" i="15"/>
  <c r="BR104" i="15"/>
  <c r="BR73" i="15"/>
  <c r="BR51" i="15"/>
  <c r="BR112" i="15"/>
  <c r="BR81" i="15"/>
  <c r="BR60" i="15"/>
  <c r="BR121" i="15"/>
  <c r="BR90" i="15"/>
  <c r="BP45" i="15"/>
  <c r="BP106" i="15"/>
  <c r="BP75" i="15"/>
  <c r="BP58" i="15"/>
  <c r="BP119" i="15"/>
  <c r="BP88" i="15"/>
  <c r="BP62" i="15"/>
  <c r="BP123" i="15"/>
  <c r="BP92" i="15"/>
  <c r="BN44" i="15"/>
  <c r="BN105" i="15"/>
  <c r="BN74" i="15"/>
  <c r="BN57" i="15"/>
  <c r="BN118" i="15"/>
  <c r="BN87" i="15"/>
  <c r="BN61" i="15"/>
  <c r="BN122" i="15"/>
  <c r="BN91" i="15"/>
  <c r="BO41" i="15"/>
  <c r="BO102" i="15"/>
  <c r="BO71" i="15"/>
  <c r="BL62" i="15"/>
  <c r="BL123" i="15"/>
  <c r="BL92" i="15"/>
  <c r="BK46" i="15"/>
  <c r="BK107" i="15"/>
  <c r="BK76" i="15"/>
  <c r="BK55" i="15"/>
  <c r="BK116" i="15"/>
  <c r="BK85" i="15"/>
  <c r="BK63" i="15"/>
  <c r="BK124" i="15"/>
  <c r="BK93" i="15"/>
  <c r="BJ47" i="15"/>
  <c r="BJ108" i="15"/>
  <c r="BJ77" i="15"/>
  <c r="BJ56" i="15"/>
  <c r="BJ117" i="15"/>
  <c r="BJ86" i="15"/>
  <c r="BS43" i="15"/>
  <c r="BS104" i="15"/>
  <c r="BS73" i="15"/>
  <c r="BS51" i="15"/>
  <c r="BS112" i="15"/>
  <c r="BS81" i="15"/>
  <c r="BS60" i="15"/>
  <c r="BS121" i="15"/>
  <c r="BS90" i="15"/>
  <c r="BR48" i="15"/>
  <c r="BR109" i="15"/>
  <c r="BR78" i="15"/>
  <c r="BR57" i="15"/>
  <c r="BR118" i="15"/>
  <c r="BR87" i="15"/>
  <c r="BR41" i="15"/>
  <c r="BR102" i="15"/>
  <c r="BR71" i="15"/>
  <c r="BQ45" i="15"/>
  <c r="BQ106" i="15"/>
  <c r="BQ75" i="15"/>
  <c r="BQ49" i="15"/>
  <c r="BQ110" i="15"/>
  <c r="BQ79" i="15"/>
  <c r="BQ54" i="15"/>
  <c r="BQ84" i="15"/>
  <c r="BQ115" i="15"/>
  <c r="BQ58" i="15"/>
  <c r="BQ119" i="15"/>
  <c r="BQ88" i="15"/>
  <c r="BQ62" i="15"/>
  <c r="BQ123" i="15"/>
  <c r="BQ92" i="15"/>
  <c r="BO44" i="15"/>
  <c r="BO105" i="15"/>
  <c r="BO74" i="15"/>
  <c r="BO48" i="15"/>
  <c r="BO109" i="15"/>
  <c r="BO78" i="15"/>
  <c r="BO53" i="15"/>
  <c r="BO114" i="15"/>
  <c r="BO83" i="15"/>
  <c r="BO57" i="15"/>
  <c r="BO118" i="15"/>
  <c r="BO87" i="15"/>
  <c r="BO61" i="15"/>
  <c r="BO122" i="15"/>
  <c r="BO91" i="15"/>
  <c r="BN41" i="15"/>
  <c r="BN102" i="15"/>
  <c r="BN71" i="15"/>
  <c r="BM45" i="15"/>
  <c r="BM106" i="15"/>
  <c r="BM75" i="15"/>
  <c r="BM49" i="15"/>
  <c r="BM110" i="15"/>
  <c r="BM79" i="15"/>
  <c r="BM54" i="15"/>
  <c r="BM84" i="15"/>
  <c r="BM115" i="15"/>
  <c r="BM58" i="15"/>
  <c r="BM119" i="15"/>
  <c r="BM88" i="15"/>
  <c r="BM62" i="15"/>
  <c r="BM123" i="15"/>
  <c r="BM92" i="15"/>
  <c r="BK47" i="15"/>
  <c r="BK108" i="15"/>
  <c r="BK77" i="15"/>
  <c r="BK56" i="15"/>
  <c r="BK117" i="15"/>
  <c r="BK86" i="15"/>
  <c r="BJ44" i="15"/>
  <c r="BJ105" i="15"/>
  <c r="BJ74" i="15"/>
  <c r="BJ53" i="15"/>
  <c r="BJ114" i="15"/>
  <c r="BJ83" i="15"/>
  <c r="BJ61" i="15"/>
  <c r="BJ122" i="15"/>
  <c r="BJ91" i="15"/>
  <c r="BO60" i="16"/>
  <c r="BP119" i="16"/>
  <c r="BP89" i="16"/>
  <c r="BG60" i="16"/>
  <c r="BH119" i="16"/>
  <c r="BH89" i="16"/>
  <c r="BR59" i="16"/>
  <c r="BS118" i="16"/>
  <c r="BS88" i="16"/>
  <c r="BJ59" i="16"/>
  <c r="BK118" i="16"/>
  <c r="BK88" i="16"/>
  <c r="BQ58" i="16"/>
  <c r="BR117" i="16"/>
  <c r="BR87" i="16"/>
  <c r="BI58" i="16"/>
  <c r="BJ117" i="16"/>
  <c r="BJ87" i="16"/>
  <c r="BP57" i="16"/>
  <c r="BQ116" i="16"/>
  <c r="BQ86" i="16"/>
  <c r="BH57" i="16"/>
  <c r="BI116" i="16"/>
  <c r="BI86" i="16"/>
  <c r="BC52" i="16"/>
  <c r="BD111" i="16"/>
  <c r="BD81" i="16"/>
  <c r="BN51" i="16"/>
  <c r="BO110" i="16"/>
  <c r="BO80" i="16"/>
  <c r="BF51" i="16"/>
  <c r="BG110" i="16"/>
  <c r="BG80" i="16"/>
  <c r="BM50" i="16"/>
  <c r="BN109" i="16"/>
  <c r="BN79" i="16"/>
  <c r="BE50" i="16"/>
  <c r="BF109" i="16"/>
  <c r="BF79" i="16"/>
  <c r="BL49" i="16"/>
  <c r="BM108" i="16"/>
  <c r="BM78" i="16"/>
  <c r="BD49" i="16"/>
  <c r="BE108" i="16"/>
  <c r="BE78" i="16"/>
  <c r="BO41" i="16"/>
  <c r="BP100" i="16"/>
  <c r="BP70" i="16"/>
  <c r="BG41" i="16"/>
  <c r="BH100" i="16"/>
  <c r="BH70" i="16"/>
  <c r="BO40" i="16"/>
  <c r="BP99" i="16"/>
  <c r="BP69" i="16"/>
  <c r="BC40" i="16"/>
  <c r="BD99" i="16"/>
  <c r="BD69" i="16"/>
  <c r="BQ52" i="15"/>
  <c r="BQ113" i="15"/>
  <c r="BQ82" i="15"/>
  <c r="BI52" i="15"/>
  <c r="BI113" i="15"/>
  <c r="BI82" i="15"/>
  <c r="BM63" i="16"/>
  <c r="BN122" i="16"/>
  <c r="BN92" i="16"/>
  <c r="BE63" i="16"/>
  <c r="BF122" i="16"/>
  <c r="BF92" i="16"/>
  <c r="BL62" i="16"/>
  <c r="BM121" i="16"/>
  <c r="BM91" i="16"/>
  <c r="BD62" i="16"/>
  <c r="BE121" i="16"/>
  <c r="BE91" i="16"/>
  <c r="BO57" i="16"/>
  <c r="BP116" i="16"/>
  <c r="BP86" i="16"/>
  <c r="BG57" i="16"/>
  <c r="BH116" i="16"/>
  <c r="BH86" i="16"/>
  <c r="BR56" i="16"/>
  <c r="BS115" i="16"/>
  <c r="BS85" i="16"/>
  <c r="BJ56" i="16"/>
  <c r="BK115" i="16"/>
  <c r="BK85" i="16"/>
  <c r="BQ55" i="16"/>
  <c r="BR114" i="16"/>
  <c r="BR84" i="16"/>
  <c r="BI55" i="16"/>
  <c r="BJ114" i="16"/>
  <c r="BJ84" i="16"/>
  <c r="BP54" i="16"/>
  <c r="BQ113" i="16"/>
  <c r="BQ83" i="16"/>
  <c r="BH54" i="16"/>
  <c r="BI113" i="16"/>
  <c r="BI83" i="16"/>
  <c r="BO53" i="16"/>
  <c r="BP112" i="16"/>
  <c r="BP82" i="16"/>
  <c r="BG53" i="16"/>
  <c r="BH112" i="16"/>
  <c r="BH82" i="16"/>
  <c r="BR52" i="16"/>
  <c r="BS111" i="16"/>
  <c r="BS81" i="16"/>
  <c r="BJ52" i="16"/>
  <c r="BK111" i="16"/>
  <c r="BK81" i="16"/>
  <c r="BQ51" i="16"/>
  <c r="BR110" i="16"/>
  <c r="BR80" i="16"/>
  <c r="BI51" i="16"/>
  <c r="BJ110" i="16"/>
  <c r="BJ80" i="16"/>
  <c r="BP50" i="16"/>
  <c r="BQ109" i="16"/>
  <c r="BQ79" i="16"/>
  <c r="BH50" i="16"/>
  <c r="BI109" i="16"/>
  <c r="BI79" i="16"/>
  <c r="BC45" i="16"/>
  <c r="BD104" i="16"/>
  <c r="BD74" i="16"/>
  <c r="BN44" i="16"/>
  <c r="BO103" i="16"/>
  <c r="BO73" i="16"/>
  <c r="BF44" i="16"/>
  <c r="BG103" i="16"/>
  <c r="BG73" i="16"/>
  <c r="BL43" i="16"/>
  <c r="BM102" i="16"/>
  <c r="BM72" i="16"/>
  <c r="BD43" i="16"/>
  <c r="BE102" i="16"/>
  <c r="BE72" i="16"/>
  <c r="BP63" i="16"/>
  <c r="BQ122" i="16"/>
  <c r="BQ92" i="16"/>
  <c r="BH63" i="16"/>
  <c r="BI122" i="16"/>
  <c r="BI92" i="16"/>
  <c r="BK58" i="16"/>
  <c r="BL117" i="16"/>
  <c r="BL87" i="16"/>
  <c r="BC58" i="16"/>
  <c r="BD87" i="16"/>
  <c r="BD117" i="16"/>
  <c r="BN57" i="16"/>
  <c r="BO116" i="16"/>
  <c r="BO86" i="16"/>
  <c r="BF57" i="16"/>
  <c r="BG116" i="16"/>
  <c r="BG86" i="16"/>
  <c r="BM56" i="16"/>
  <c r="BN115" i="16"/>
  <c r="BN85" i="16"/>
  <c r="BE56" i="16"/>
  <c r="BF115" i="16"/>
  <c r="BF85" i="16"/>
  <c r="BL55" i="16"/>
  <c r="BM114" i="16"/>
  <c r="BM84" i="16"/>
  <c r="BD55" i="16"/>
  <c r="BE114" i="16"/>
  <c r="BE84" i="16"/>
  <c r="BO50" i="16"/>
  <c r="BP109" i="16"/>
  <c r="BP79" i="16"/>
  <c r="BG50" i="16"/>
  <c r="BH109" i="16"/>
  <c r="BH79" i="16"/>
  <c r="BR49" i="16"/>
  <c r="BS108" i="16"/>
  <c r="BS78" i="16"/>
  <c r="BJ49" i="16"/>
  <c r="BK108" i="16"/>
  <c r="BK78" i="16"/>
  <c r="BQ48" i="16"/>
  <c r="BR107" i="16"/>
  <c r="BR77" i="16"/>
  <c r="BI48" i="16"/>
  <c r="BJ107" i="16"/>
  <c r="BJ77" i="16"/>
  <c r="BO46" i="16"/>
  <c r="BP105" i="16"/>
  <c r="BP75" i="16"/>
  <c r="BG46" i="16"/>
  <c r="BH105" i="16"/>
  <c r="BH75" i="16"/>
  <c r="BR45" i="16"/>
  <c r="BS104" i="16"/>
  <c r="BS74" i="16"/>
  <c r="BJ45" i="16"/>
  <c r="BK104" i="16"/>
  <c r="BK74" i="16"/>
  <c r="BQ44" i="16"/>
  <c r="BR103" i="16"/>
  <c r="BR73" i="16"/>
  <c r="BI44" i="16"/>
  <c r="BJ103" i="16"/>
  <c r="BJ73" i="16"/>
  <c r="BO43" i="16"/>
  <c r="BP102" i="16"/>
  <c r="BP72" i="16"/>
  <c r="BG43" i="16"/>
  <c r="BH102" i="16"/>
  <c r="BH72" i="16"/>
  <c r="BR42" i="16"/>
  <c r="BS101" i="16"/>
  <c r="BS71" i="16"/>
  <c r="BJ42" i="16"/>
  <c r="BK101" i="16"/>
  <c r="BK71" i="16"/>
  <c r="BQ41" i="16"/>
  <c r="BR100" i="16"/>
  <c r="BR70" i="16"/>
  <c r="BI41" i="16"/>
  <c r="BJ100" i="16"/>
  <c r="BJ70" i="16"/>
  <c r="BQ40" i="16"/>
  <c r="BR99" i="16"/>
  <c r="BR69" i="16"/>
  <c r="BI40" i="16"/>
  <c r="BJ99" i="16"/>
  <c r="BJ69" i="16"/>
  <c r="BO52" i="15"/>
  <c r="BO113" i="15"/>
  <c r="BO82" i="15"/>
  <c r="BP40" i="16"/>
  <c r="BQ99" i="16"/>
  <c r="BQ69" i="16"/>
  <c r="BH40" i="16"/>
  <c r="BI99" i="16"/>
  <c r="BI69" i="16"/>
  <c r="BF52" i="15"/>
  <c r="BF113" i="15"/>
  <c r="BF82" i="15"/>
  <c r="BT73" i="16"/>
  <c r="BU116" i="15"/>
  <c r="BU93" i="15"/>
  <c r="BD125" i="15"/>
  <c r="BD94" i="15"/>
  <c r="BU112" i="15"/>
  <c r="BU77" i="15"/>
  <c r="BT75" i="16"/>
  <c r="BU91" i="15"/>
  <c r="BP125" i="15"/>
  <c r="BP94" i="15"/>
  <c r="BF94" i="15"/>
  <c r="BF125" i="15"/>
  <c r="BT122" i="16"/>
  <c r="BT88" i="16"/>
  <c r="BT106" i="16"/>
  <c r="BU115" i="15"/>
  <c r="BU123" i="15"/>
  <c r="BQ125" i="15"/>
  <c r="BQ94" i="15"/>
  <c r="BR47" i="16"/>
  <c r="BS106" i="16"/>
  <c r="BS76" i="16"/>
  <c r="BJ47" i="16"/>
  <c r="BK106" i="16"/>
  <c r="BK76" i="16"/>
  <c r="BM47" i="16"/>
  <c r="BN106" i="16"/>
  <c r="BN76" i="16"/>
  <c r="BE47" i="16"/>
  <c r="BF106" i="16"/>
  <c r="BF76" i="16"/>
  <c r="BO47" i="16"/>
  <c r="BP106" i="16"/>
  <c r="BP76" i="16"/>
  <c r="BG47" i="16"/>
  <c r="BH106" i="16"/>
  <c r="BH76" i="16"/>
  <c r="BP47" i="16"/>
  <c r="BQ76" i="16"/>
  <c r="BQ106" i="16"/>
  <c r="BH47" i="16"/>
  <c r="BI76" i="16"/>
  <c r="BI106" i="16"/>
  <c r="BN47" i="16"/>
  <c r="BO106" i="16"/>
  <c r="BO76" i="16"/>
  <c r="BF47" i="16"/>
  <c r="BG106" i="16"/>
  <c r="BG76" i="16"/>
  <c r="BQ47" i="16"/>
  <c r="BR106" i="16"/>
  <c r="BR76" i="16"/>
  <c r="BI47" i="16"/>
  <c r="BJ106" i="16"/>
  <c r="BJ76" i="16"/>
  <c r="BC47" i="16"/>
  <c r="BD106" i="16"/>
  <c r="BD76" i="16"/>
  <c r="BL47" i="16"/>
  <c r="BM106" i="16"/>
  <c r="BM76" i="16"/>
  <c r="BD47" i="16"/>
  <c r="BE106" i="16"/>
  <c r="BE76" i="16"/>
  <c r="BJ109" i="15"/>
  <c r="BJ78" i="15"/>
  <c r="BK109" i="15"/>
  <c r="BK78" i="15"/>
  <c r="BS109" i="15"/>
  <c r="BS78" i="15"/>
  <c r="BM78" i="15"/>
  <c r="BM109" i="15"/>
  <c r="B21" i="2"/>
  <c r="B20" i="2"/>
  <c r="C19" i="2"/>
  <c r="B19" i="2"/>
  <c r="BL11" i="8" l="1"/>
  <c r="BL13" i="8"/>
  <c r="BL15" i="8"/>
  <c r="BL21" i="8"/>
  <c r="BL25" i="8"/>
  <c r="BL10" i="7"/>
  <c r="BL12" i="7"/>
  <c r="BL14" i="7"/>
  <c r="BL18" i="7"/>
  <c r="BL12" i="8"/>
  <c r="BL14" i="8"/>
  <c r="BL16" i="8"/>
  <c r="BL18" i="8"/>
  <c r="BL15" i="7"/>
  <c r="BK21" i="10"/>
  <c r="BK17" i="10"/>
  <c r="AR11" i="10"/>
  <c r="BK11" i="10" s="1"/>
  <c r="BK22" i="9"/>
  <c r="AR14" i="9"/>
  <c r="BK14" i="9" s="1"/>
  <c r="AR10" i="9"/>
  <c r="BK10" i="9" s="1"/>
  <c r="BK22" i="10"/>
  <c r="BK20" i="10"/>
  <c r="BK18" i="10"/>
  <c r="BK16" i="10"/>
  <c r="AR14" i="10"/>
  <c r="BK14" i="10" s="1"/>
  <c r="AR12" i="10"/>
  <c r="BK12" i="10" s="1"/>
  <c r="AR10" i="10"/>
  <c r="BK10" i="10" s="1"/>
  <c r="AR25" i="9"/>
  <c r="BK21" i="9"/>
  <c r="BK19" i="9"/>
  <c r="BK17" i="9"/>
  <c r="AR15" i="9"/>
  <c r="BK15" i="9" s="1"/>
  <c r="AR13" i="9"/>
  <c r="BK13" i="9" s="1"/>
  <c r="AR11" i="9"/>
  <c r="BK11" i="9" s="1"/>
  <c r="AR9" i="9"/>
  <c r="BK9" i="9" s="1"/>
  <c r="BL9" i="7"/>
  <c r="BL10" i="8"/>
  <c r="BL11" i="7"/>
  <c r="BL13" i="7"/>
  <c r="BL19" i="7"/>
  <c r="BL25" i="7"/>
  <c r="AR25" i="10"/>
  <c r="BK25" i="10" s="1"/>
  <c r="BK19" i="10"/>
  <c r="AR15" i="10"/>
  <c r="BK15" i="10" s="1"/>
  <c r="AR13" i="10"/>
  <c r="BK13" i="10" s="1"/>
  <c r="AR9" i="10"/>
  <c r="BK9" i="10" s="1"/>
  <c r="BK18" i="9"/>
  <c r="BK16" i="9"/>
  <c r="AR12" i="9"/>
  <c r="BK12" i="9" s="1"/>
  <c r="BL9" i="8"/>
  <c r="BB26" i="7"/>
  <c r="BU26" i="7" s="1"/>
  <c r="BB26" i="8"/>
  <c r="BU26" i="8" s="1"/>
  <c r="BB25" i="16"/>
  <c r="BB85" i="16"/>
  <c r="BB115" i="16"/>
  <c r="BB25" i="15"/>
  <c r="BV25" i="15" s="1"/>
  <c r="BW25" i="15" s="1"/>
  <c r="BB87" i="15"/>
  <c r="BB118" i="15"/>
  <c r="BB57" i="15"/>
  <c r="BU24" i="16"/>
  <c r="BT55" i="16"/>
  <c r="BU114" i="16"/>
  <c r="BU84" i="16"/>
  <c r="BT21" i="15"/>
  <c r="BX21" i="15" s="1"/>
  <c r="BY21" i="15" s="1"/>
  <c r="BW63" i="15"/>
  <c r="BW93" i="15"/>
  <c r="BW124" i="15"/>
  <c r="BW46" i="15"/>
  <c r="BW107" i="15"/>
  <c r="BW76" i="15"/>
  <c r="BW92" i="15"/>
  <c r="BW62" i="15"/>
  <c r="BW123" i="15"/>
  <c r="BW45" i="15"/>
  <c r="BW106" i="15"/>
  <c r="BW75" i="15"/>
  <c r="BW57" i="15"/>
  <c r="BW118" i="15"/>
  <c r="BW87" i="15"/>
  <c r="BW60" i="15"/>
  <c r="BW121" i="15"/>
  <c r="BW90" i="15"/>
  <c r="BW73" i="15"/>
  <c r="BW104" i="15"/>
  <c r="BW43" i="15"/>
  <c r="BW89" i="15"/>
  <c r="BW120" i="15"/>
  <c r="BW59" i="15"/>
  <c r="BW103" i="15"/>
  <c r="BW72" i="15"/>
  <c r="BW42" i="15"/>
  <c r="BW125" i="15"/>
  <c r="BW94" i="15"/>
  <c r="BW91" i="15"/>
  <c r="BW61" i="15"/>
  <c r="BW122" i="15"/>
  <c r="BW44" i="15"/>
  <c r="BW105" i="15"/>
  <c r="BW74" i="15"/>
  <c r="BW47" i="15"/>
  <c r="BW77" i="15"/>
  <c r="BW108" i="15"/>
  <c r="BW41" i="15"/>
  <c r="BW102" i="15"/>
  <c r="BW71" i="15"/>
  <c r="BT19" i="15"/>
  <c r="BX19" i="15" s="1"/>
  <c r="BY19" i="15" s="1"/>
  <c r="BT22" i="15"/>
  <c r="BX22" i="15" s="1"/>
  <c r="BY22" i="15" s="1"/>
  <c r="B52" i="15"/>
  <c r="B82" i="15"/>
  <c r="B113" i="15"/>
  <c r="B80" i="16"/>
  <c r="B110" i="16"/>
  <c r="B51" i="16"/>
  <c r="B21" i="17"/>
  <c r="B21" i="4"/>
  <c r="B21" i="16"/>
  <c r="B21" i="15"/>
  <c r="B21" i="9"/>
  <c r="B21" i="8"/>
  <c r="B21" i="7"/>
  <c r="B21" i="6"/>
  <c r="B21" i="5"/>
  <c r="B21" i="10"/>
  <c r="BS16" i="16"/>
  <c r="BS20" i="16"/>
  <c r="BS22" i="16"/>
  <c r="BS21" i="16"/>
  <c r="BS19" i="16"/>
  <c r="BS24" i="16"/>
  <c r="BS26" i="16"/>
  <c r="BS25" i="16"/>
  <c r="BT23" i="15"/>
  <c r="BX23" i="15" s="1"/>
  <c r="BY23" i="15" s="1"/>
  <c r="BT16" i="15"/>
  <c r="BX16" i="15" s="1"/>
  <c r="BT20" i="15"/>
  <c r="BX20" i="15" s="1"/>
  <c r="BY20" i="15" s="1"/>
  <c r="BT18" i="15"/>
  <c r="BX18" i="15" s="1"/>
  <c r="BY18" i="15" s="1"/>
  <c r="BT25" i="15"/>
  <c r="BT26" i="15"/>
  <c r="BT17" i="15"/>
  <c r="BT24" i="15"/>
  <c r="BX24" i="15" s="1"/>
  <c r="BY24" i="15" s="1"/>
  <c r="BX25" i="15" l="1"/>
  <c r="BY25" i="15" s="1"/>
  <c r="BV57" i="15"/>
  <c r="BV87" i="15"/>
  <c r="BV118" i="15"/>
  <c r="AV82" i="15"/>
  <c r="AV52" i="15"/>
  <c r="AV113" i="15"/>
  <c r="AT113" i="15"/>
  <c r="AT82" i="15"/>
  <c r="AT52" i="15"/>
  <c r="AV115" i="15"/>
  <c r="AV84" i="15"/>
  <c r="AV54" i="15"/>
  <c r="AV81" i="15"/>
  <c r="AV51" i="15"/>
  <c r="AV112" i="15"/>
  <c r="AR75" i="16"/>
  <c r="BL15" i="6"/>
  <c r="AR46" i="16"/>
  <c r="AR105" i="16"/>
  <c r="AR9" i="16"/>
  <c r="AR99" i="16"/>
  <c r="AR40" i="16"/>
  <c r="AR69" i="16"/>
  <c r="BL9" i="6"/>
  <c r="AR50" i="15"/>
  <c r="AR111" i="15"/>
  <c r="AR80" i="15"/>
  <c r="BL22" i="8"/>
  <c r="AR82" i="16"/>
  <c r="AR53" i="16"/>
  <c r="AR112" i="16"/>
  <c r="AR13" i="16"/>
  <c r="BL13" i="6"/>
  <c r="AR44" i="16"/>
  <c r="AR103" i="16"/>
  <c r="AR73" i="16"/>
  <c r="AR10" i="16"/>
  <c r="AR100" i="16"/>
  <c r="AR41" i="16"/>
  <c r="AR70" i="16"/>
  <c r="BL10" i="6"/>
  <c r="AR109" i="15"/>
  <c r="AR78" i="15"/>
  <c r="AR48" i="15"/>
  <c r="AR102" i="15"/>
  <c r="AR71" i="15"/>
  <c r="AR41" i="15"/>
  <c r="AR118" i="15"/>
  <c r="AR57" i="15"/>
  <c r="AR87" i="15"/>
  <c r="AR84" i="16"/>
  <c r="AR55" i="16"/>
  <c r="AR114" i="16"/>
  <c r="BL24" i="6"/>
  <c r="BL16" i="7"/>
  <c r="AR76" i="16"/>
  <c r="AR47" i="16"/>
  <c r="AR106" i="16"/>
  <c r="BU25" i="16"/>
  <c r="BU115" i="16"/>
  <c r="BU85" i="16"/>
  <c r="BT56" i="16"/>
  <c r="BB26" i="16"/>
  <c r="BB86" i="16"/>
  <c r="BB116" i="16"/>
  <c r="AT55" i="15"/>
  <c r="AT116" i="15"/>
  <c r="AT85" i="15"/>
  <c r="AT50" i="15"/>
  <c r="AT111" i="15"/>
  <c r="AT80" i="15"/>
  <c r="AV80" i="15"/>
  <c r="AV50" i="15"/>
  <c r="AV111" i="15"/>
  <c r="AV110" i="15"/>
  <c r="AV79" i="15"/>
  <c r="AV49" i="15"/>
  <c r="AR110" i="15"/>
  <c r="AR79" i="15"/>
  <c r="AR49" i="15"/>
  <c r="BL20" i="8"/>
  <c r="AR110" i="16"/>
  <c r="AR51" i="16"/>
  <c r="AR80" i="16"/>
  <c r="AR106" i="15"/>
  <c r="AR75" i="15"/>
  <c r="AR45" i="15"/>
  <c r="AR26" i="9"/>
  <c r="BK26" i="9" s="1"/>
  <c r="BK25" i="9"/>
  <c r="AR26" i="10"/>
  <c r="BK26" i="10" s="1"/>
  <c r="BK24" i="10"/>
  <c r="AR42" i="15"/>
  <c r="AR103" i="15"/>
  <c r="AR72" i="15"/>
  <c r="BL21" i="7"/>
  <c r="AR111" i="16"/>
  <c r="AR81" i="16"/>
  <c r="AR52" i="16"/>
  <c r="AR117" i="15"/>
  <c r="AR56" i="15"/>
  <c r="AR86" i="15"/>
  <c r="AR12" i="16"/>
  <c r="AR102" i="16"/>
  <c r="AR72" i="16"/>
  <c r="BL12" i="6"/>
  <c r="AR43" i="16"/>
  <c r="BL23" i="8"/>
  <c r="AR113" i="16"/>
  <c r="AR83" i="16"/>
  <c r="AR54" i="16"/>
  <c r="BB26" i="15"/>
  <c r="BV26" i="15" s="1"/>
  <c r="BW26" i="15" s="1"/>
  <c r="BX26" i="15" s="1"/>
  <c r="BY26" i="15" s="1"/>
  <c r="BB119" i="15"/>
  <c r="BB88" i="15"/>
  <c r="BB58" i="15"/>
  <c r="BB27" i="8"/>
  <c r="BU27" i="8" s="1"/>
  <c r="AT110" i="15"/>
  <c r="AT79" i="15"/>
  <c r="AT49" i="15"/>
  <c r="AT109" i="15"/>
  <c r="AT78" i="15"/>
  <c r="AT48" i="15"/>
  <c r="AV85" i="15"/>
  <c r="AV55" i="15"/>
  <c r="AV116" i="15"/>
  <c r="AR47" i="15"/>
  <c r="AR108" i="15"/>
  <c r="AR77" i="15"/>
  <c r="AR43" i="15"/>
  <c r="AR104" i="15"/>
  <c r="AR73" i="15"/>
  <c r="AR115" i="15"/>
  <c r="AR84" i="15"/>
  <c r="AR54" i="15"/>
  <c r="BL18" i="6"/>
  <c r="AR108" i="16"/>
  <c r="AR49" i="16"/>
  <c r="AR78" i="16"/>
  <c r="AR115" i="16"/>
  <c r="AR85" i="16"/>
  <c r="AR56" i="16"/>
  <c r="AR55" i="15"/>
  <c r="AR116" i="15"/>
  <c r="AR85" i="15"/>
  <c r="AR113" i="15"/>
  <c r="AR82" i="15"/>
  <c r="AR52" i="15"/>
  <c r="AR26" i="7"/>
  <c r="BL26" i="7" s="1"/>
  <c r="BL24" i="7"/>
  <c r="AR119" i="15"/>
  <c r="AR88" i="15"/>
  <c r="AR58" i="15"/>
  <c r="AT81" i="15"/>
  <c r="AT51" i="15"/>
  <c r="AT112" i="15"/>
  <c r="AV109" i="15"/>
  <c r="AV78" i="15"/>
  <c r="AV48" i="15"/>
  <c r="AT114" i="15"/>
  <c r="AT83" i="15"/>
  <c r="AT53" i="15"/>
  <c r="AV53" i="15"/>
  <c r="AV114" i="15"/>
  <c r="AV83" i="15"/>
  <c r="AR11" i="16"/>
  <c r="AR71" i="16"/>
  <c r="AR42" i="16"/>
  <c r="AR101" i="16"/>
  <c r="BL11" i="6"/>
  <c r="BL19" i="6"/>
  <c r="AR109" i="16"/>
  <c r="AR50" i="16"/>
  <c r="AR79" i="16"/>
  <c r="AR46" i="15"/>
  <c r="AR107" i="15"/>
  <c r="AR76" i="15"/>
  <c r="AR14" i="16"/>
  <c r="AR74" i="16"/>
  <c r="AR45" i="16"/>
  <c r="AR104" i="16"/>
  <c r="BL14" i="6"/>
  <c r="BL17" i="6"/>
  <c r="AR107" i="16"/>
  <c r="AR48" i="16"/>
  <c r="AR77" i="16"/>
  <c r="AR114" i="15"/>
  <c r="AR83" i="15"/>
  <c r="AR53" i="15"/>
  <c r="AR26" i="8"/>
  <c r="BL26" i="8" s="1"/>
  <c r="BL24" i="8"/>
  <c r="AR51" i="15"/>
  <c r="AR112" i="15"/>
  <c r="AR81" i="15"/>
  <c r="AR105" i="15"/>
  <c r="AR74" i="15"/>
  <c r="AR44" i="15"/>
  <c r="AV86" i="15"/>
  <c r="AV56" i="15"/>
  <c r="AV117" i="15"/>
  <c r="BX17" i="15"/>
  <c r="BY17" i="15" s="1"/>
  <c r="BY16" i="15"/>
  <c r="BX125" i="15"/>
  <c r="BX94" i="15"/>
  <c r="BX92" i="15"/>
  <c r="BX123" i="15"/>
  <c r="BX62" i="15"/>
  <c r="BX91" i="15"/>
  <c r="BX122" i="15"/>
  <c r="BX61" i="15"/>
  <c r="BX87" i="15"/>
  <c r="BX118" i="15"/>
  <c r="BX57" i="15"/>
  <c r="BX121" i="15"/>
  <c r="BX90" i="15"/>
  <c r="BX60" i="15"/>
  <c r="BX120" i="15"/>
  <c r="BX89" i="15"/>
  <c r="BX59" i="15"/>
  <c r="BX124" i="15"/>
  <c r="BX93" i="15"/>
  <c r="BX63" i="15"/>
  <c r="B111" i="16"/>
  <c r="B81" i="16"/>
  <c r="B52" i="16"/>
  <c r="B22" i="17"/>
  <c r="B22" i="10"/>
  <c r="B22" i="4"/>
  <c r="B22" i="16"/>
  <c r="B22" i="15"/>
  <c r="B22" i="9"/>
  <c r="B22" i="8"/>
  <c r="B22" i="7"/>
  <c r="B22" i="6"/>
  <c r="B22" i="5"/>
  <c r="B53" i="15"/>
  <c r="B83" i="15"/>
  <c r="B114" i="15"/>
  <c r="AP35" i="5" l="1"/>
  <c r="BP56" i="15"/>
  <c r="BP86" i="15"/>
  <c r="BP117" i="15"/>
  <c r="BL44" i="15"/>
  <c r="BL105" i="15"/>
  <c r="BL74" i="15"/>
  <c r="BK14" i="16"/>
  <c r="BV14" i="16" s="1"/>
  <c r="BL104" i="16"/>
  <c r="BL74" i="16"/>
  <c r="BK45" i="16"/>
  <c r="BL46" i="15"/>
  <c r="BL107" i="15"/>
  <c r="BL76" i="15"/>
  <c r="BK19" i="16"/>
  <c r="BV19" i="16" s="1"/>
  <c r="BW19" i="16" s="1"/>
  <c r="BL109" i="16"/>
  <c r="BL79" i="16"/>
  <c r="BK50" i="16"/>
  <c r="BN81" i="15"/>
  <c r="BN51" i="15"/>
  <c r="BN112" i="15"/>
  <c r="BL52" i="15"/>
  <c r="BL113" i="15"/>
  <c r="BL82" i="15"/>
  <c r="BK18" i="16"/>
  <c r="BV18" i="16" s="1"/>
  <c r="BW18" i="16" s="1"/>
  <c r="BL78" i="16"/>
  <c r="BK49" i="16"/>
  <c r="BL108" i="16"/>
  <c r="BN109" i="15"/>
  <c r="BN78" i="15"/>
  <c r="BN48" i="15"/>
  <c r="BK24" i="16"/>
  <c r="BV24" i="16" s="1"/>
  <c r="BW24" i="16" s="1"/>
  <c r="BK55" i="16"/>
  <c r="BL114" i="16"/>
  <c r="BL84" i="16"/>
  <c r="BL48" i="15"/>
  <c r="BL109" i="15"/>
  <c r="BL78" i="15"/>
  <c r="BK13" i="16"/>
  <c r="BV13" i="16" s="1"/>
  <c r="BL73" i="16"/>
  <c r="BK44" i="16"/>
  <c r="BL103" i="16"/>
  <c r="BL80" i="15"/>
  <c r="BL50" i="15"/>
  <c r="BL111" i="15"/>
  <c r="BP115" i="15"/>
  <c r="BP84" i="15"/>
  <c r="BP54" i="15"/>
  <c r="BN52" i="15"/>
  <c r="BN82" i="15"/>
  <c r="BN113" i="15"/>
  <c r="BP52" i="15"/>
  <c r="BP113" i="15"/>
  <c r="BP82" i="15"/>
  <c r="BL53" i="15"/>
  <c r="BL114" i="15"/>
  <c r="BL83" i="15"/>
  <c r="BN83" i="15"/>
  <c r="BN53" i="15"/>
  <c r="BN114" i="15"/>
  <c r="BL54" i="15"/>
  <c r="BL115" i="15"/>
  <c r="BL84" i="15"/>
  <c r="BL43" i="15"/>
  <c r="BL104" i="15"/>
  <c r="BL73" i="15"/>
  <c r="BL47" i="15"/>
  <c r="BL108" i="15"/>
  <c r="BL77" i="15"/>
  <c r="BN79" i="15"/>
  <c r="BN110" i="15"/>
  <c r="BN49" i="15"/>
  <c r="BB27" i="16"/>
  <c r="BB87" i="16"/>
  <c r="BB117" i="16"/>
  <c r="BL86" i="15"/>
  <c r="BL56" i="15"/>
  <c r="BL117" i="15"/>
  <c r="BK21" i="16"/>
  <c r="BV21" i="16" s="1"/>
  <c r="BW21" i="16" s="1"/>
  <c r="BK52" i="16"/>
  <c r="BL111" i="16"/>
  <c r="BL81" i="16"/>
  <c r="BP49" i="15"/>
  <c r="BP110" i="15"/>
  <c r="BP79" i="15"/>
  <c r="AR26" i="16"/>
  <c r="AR116" i="16"/>
  <c r="AR86" i="16"/>
  <c r="AR57" i="16"/>
  <c r="BL87" i="15"/>
  <c r="BL57" i="15"/>
  <c r="BL118" i="15"/>
  <c r="BL102" i="15"/>
  <c r="BL71" i="15"/>
  <c r="BL41" i="15"/>
  <c r="BK22" i="16"/>
  <c r="BV22" i="16" s="1"/>
  <c r="BW22" i="16" s="1"/>
  <c r="BL112" i="16"/>
  <c r="BL82" i="16"/>
  <c r="BK53" i="16"/>
  <c r="BL112" i="15"/>
  <c r="BL81" i="15"/>
  <c r="BL51" i="15"/>
  <c r="BK17" i="16"/>
  <c r="BV17" i="16" s="1"/>
  <c r="BW17" i="16" s="1"/>
  <c r="BK48" i="16"/>
  <c r="BL107" i="16"/>
  <c r="BL77" i="16"/>
  <c r="BK11" i="16"/>
  <c r="BV11" i="16" s="1"/>
  <c r="BL101" i="16"/>
  <c r="BL71" i="16"/>
  <c r="BK42" i="16"/>
  <c r="BP83" i="15"/>
  <c r="BP53" i="15"/>
  <c r="BP114" i="15"/>
  <c r="BP48" i="15"/>
  <c r="BP109" i="15"/>
  <c r="BP78" i="15"/>
  <c r="BK25" i="16"/>
  <c r="BV25" i="16" s="1"/>
  <c r="BL115" i="16"/>
  <c r="BL85" i="16"/>
  <c r="BK56" i="16"/>
  <c r="BB28" i="8"/>
  <c r="BU28" i="8" s="1"/>
  <c r="BK12" i="16"/>
  <c r="BV12" i="16" s="1"/>
  <c r="BL102" i="16"/>
  <c r="BL72" i="16"/>
  <c r="BK43" i="16"/>
  <c r="BL103" i="15"/>
  <c r="BL72" i="15"/>
  <c r="BL42" i="15"/>
  <c r="BL75" i="15"/>
  <c r="BL45" i="15"/>
  <c r="BL106" i="15"/>
  <c r="BK20" i="16"/>
  <c r="BV20" i="16" s="1"/>
  <c r="BW20" i="16" s="1"/>
  <c r="BK51" i="16"/>
  <c r="BL110" i="16"/>
  <c r="BL80" i="16"/>
  <c r="BL49" i="15"/>
  <c r="BL110" i="15"/>
  <c r="BL79" i="15"/>
  <c r="BU26" i="16"/>
  <c r="BT57" i="16"/>
  <c r="BU116" i="16"/>
  <c r="BU86" i="16"/>
  <c r="BL76" i="16"/>
  <c r="BK16" i="16"/>
  <c r="BV16" i="16" s="1"/>
  <c r="BW16" i="16" s="1"/>
  <c r="BL106" i="16"/>
  <c r="BK47" i="16"/>
  <c r="BK10" i="16"/>
  <c r="BV10" i="16" s="1"/>
  <c r="BK41" i="16"/>
  <c r="BL100" i="16"/>
  <c r="BL70" i="16"/>
  <c r="BK15" i="16"/>
  <c r="BV15" i="16" s="1"/>
  <c r="BK46" i="16"/>
  <c r="BL105" i="16"/>
  <c r="BL75" i="16"/>
  <c r="BP81" i="15"/>
  <c r="BP51" i="15"/>
  <c r="BP112" i="15"/>
  <c r="BL119" i="15"/>
  <c r="BL88" i="15"/>
  <c r="BL58" i="15"/>
  <c r="BL116" i="15"/>
  <c r="BL85" i="15"/>
  <c r="BL55" i="15"/>
  <c r="BP116" i="15"/>
  <c r="BP85" i="15"/>
  <c r="BP55" i="15"/>
  <c r="BB89" i="15"/>
  <c r="BB120" i="15"/>
  <c r="BB59" i="15"/>
  <c r="BV119" i="15"/>
  <c r="BV88" i="15"/>
  <c r="BV58" i="15"/>
  <c r="BL113" i="16"/>
  <c r="BK23" i="16"/>
  <c r="BV23" i="16" s="1"/>
  <c r="BW23" i="16" s="1"/>
  <c r="BL83" i="16"/>
  <c r="BK54" i="16"/>
  <c r="BP50" i="15"/>
  <c r="BP80" i="15"/>
  <c r="BP111" i="15"/>
  <c r="BN50" i="15"/>
  <c r="BN111" i="15"/>
  <c r="BN80" i="15"/>
  <c r="BN55" i="15"/>
  <c r="BN116" i="15"/>
  <c r="BN85" i="15"/>
  <c r="BK9" i="16"/>
  <c r="BV9" i="16" s="1"/>
  <c r="BL69" i="16"/>
  <c r="BK40" i="16"/>
  <c r="BL99" i="16"/>
  <c r="B24" i="17"/>
  <c r="B24" i="10"/>
  <c r="B24" i="9"/>
  <c r="B24" i="5"/>
  <c r="B24" i="4"/>
  <c r="B24" i="16"/>
  <c r="B24" i="8"/>
  <c r="B24" i="15"/>
  <c r="B24" i="7"/>
  <c r="B24" i="6"/>
  <c r="B115" i="15"/>
  <c r="B84" i="15"/>
  <c r="B54" i="15"/>
  <c r="B23" i="17"/>
  <c r="B23" i="16"/>
  <c r="B23" i="15"/>
  <c r="B23" i="9"/>
  <c r="B23" i="8"/>
  <c r="B23" i="7"/>
  <c r="B23" i="6"/>
  <c r="B23" i="5"/>
  <c r="B23" i="10"/>
  <c r="B23" i="4"/>
  <c r="B112" i="16"/>
  <c r="B53" i="16"/>
  <c r="B82" i="16"/>
  <c r="BW55" i="15" l="1"/>
  <c r="BW85" i="15"/>
  <c r="BW116" i="15"/>
  <c r="BW49" i="15"/>
  <c r="BW110" i="15"/>
  <c r="BW79" i="15"/>
  <c r="BW113" i="15"/>
  <c r="BW82" i="15"/>
  <c r="BW52" i="15"/>
  <c r="BW111" i="15"/>
  <c r="BW80" i="15"/>
  <c r="BW50" i="15"/>
  <c r="BW119" i="15"/>
  <c r="BW88" i="15"/>
  <c r="BW58" i="15"/>
  <c r="BB28" i="16"/>
  <c r="BB88" i="16"/>
  <c r="BB118" i="16"/>
  <c r="BV89" i="15"/>
  <c r="BV59" i="15"/>
  <c r="BV120" i="15"/>
  <c r="BB90" i="15"/>
  <c r="BB121" i="15"/>
  <c r="BB60" i="15"/>
  <c r="BK26" i="16"/>
  <c r="BL116" i="16"/>
  <c r="BL86" i="16"/>
  <c r="BK57" i="16"/>
  <c r="BW115" i="15"/>
  <c r="BW84" i="15"/>
  <c r="BW54" i="15"/>
  <c r="BW78" i="15"/>
  <c r="BW48" i="15"/>
  <c r="BW109" i="15"/>
  <c r="BB29" i="8"/>
  <c r="BU29" i="8" s="1"/>
  <c r="BW112" i="15"/>
  <c r="BW51" i="15"/>
  <c r="BW81" i="15"/>
  <c r="BU117" i="16"/>
  <c r="BU87" i="16"/>
  <c r="BT58" i="16"/>
  <c r="BW83" i="15"/>
  <c r="BW53" i="15"/>
  <c r="BW114" i="15"/>
  <c r="BW56" i="15"/>
  <c r="BW117" i="15"/>
  <c r="BW86" i="15"/>
  <c r="B55" i="16"/>
  <c r="B114" i="16"/>
  <c r="B84" i="16"/>
  <c r="B86" i="15"/>
  <c r="B117" i="15"/>
  <c r="B56" i="15"/>
  <c r="B25" i="17"/>
  <c r="B25" i="10"/>
  <c r="B25" i="9"/>
  <c r="B25" i="16"/>
  <c r="B25" i="8"/>
  <c r="B25" i="15"/>
  <c r="B25" i="7"/>
  <c r="B116" i="15"/>
  <c r="B85" i="15"/>
  <c r="B55" i="15"/>
  <c r="B83" i="16"/>
  <c r="B54" i="16"/>
  <c r="B113" i="16"/>
  <c r="BV26" i="16" l="1"/>
  <c r="BV60" i="15"/>
  <c r="BV121" i="15"/>
  <c r="BV90" i="15"/>
  <c r="BT59" i="16"/>
  <c r="BU118" i="16"/>
  <c r="BU88" i="16"/>
  <c r="BX117" i="15"/>
  <c r="BX86" i="15"/>
  <c r="BX56" i="15"/>
  <c r="BB30" i="8"/>
  <c r="BU30" i="8" s="1"/>
  <c r="BX79" i="15"/>
  <c r="BX49" i="15"/>
  <c r="BX110" i="15"/>
  <c r="BX114" i="15"/>
  <c r="BX53" i="15"/>
  <c r="BX83" i="15"/>
  <c r="BX81" i="15"/>
  <c r="BX51" i="15"/>
  <c r="BX112" i="15"/>
  <c r="BB29" i="16"/>
  <c r="BB89" i="16"/>
  <c r="BB119" i="16"/>
  <c r="BX84" i="15"/>
  <c r="BX115" i="15"/>
  <c r="BX54" i="15"/>
  <c r="BB122" i="15"/>
  <c r="BB91" i="15"/>
  <c r="BB61" i="15"/>
  <c r="BX58" i="15"/>
  <c r="BX88" i="15"/>
  <c r="BX119" i="15"/>
  <c r="BX80" i="15"/>
  <c r="BX111" i="15"/>
  <c r="BX50" i="15"/>
  <c r="BX52" i="15"/>
  <c r="BX82" i="15"/>
  <c r="BX113" i="15"/>
  <c r="BX85" i="15"/>
  <c r="BX55" i="15"/>
  <c r="BX116" i="15"/>
  <c r="B57" i="15"/>
  <c r="B118" i="15"/>
  <c r="B87" i="15"/>
  <c r="B56" i="16"/>
  <c r="B115" i="16"/>
  <c r="B85" i="16"/>
  <c r="BB31" i="8" l="1"/>
  <c r="BU31" i="8" s="1"/>
  <c r="BB92" i="15"/>
  <c r="BB123" i="15"/>
  <c r="BB62" i="15"/>
  <c r="BV61" i="15"/>
  <c r="BV91" i="15"/>
  <c r="BV122" i="15"/>
  <c r="BU89" i="16"/>
  <c r="BT60" i="16"/>
  <c r="BU119" i="16"/>
  <c r="BB30" i="16"/>
  <c r="BB120" i="16"/>
  <c r="BB90" i="16"/>
  <c r="BB124" i="15" l="1"/>
  <c r="BB93" i="15"/>
  <c r="BB63" i="15"/>
  <c r="BB31" i="16"/>
  <c r="BB121" i="16"/>
  <c r="BB91" i="16"/>
  <c r="BU120" i="16"/>
  <c r="BU90" i="16"/>
  <c r="BT61" i="16"/>
  <c r="BV123" i="15"/>
  <c r="BV92" i="15"/>
  <c r="BV62" i="15"/>
  <c r="BB32" i="8"/>
  <c r="BB32" i="16" l="1"/>
  <c r="BB92" i="16"/>
  <c r="BB122" i="16"/>
  <c r="BU91" i="16"/>
  <c r="BT62" i="16"/>
  <c r="BU121" i="16"/>
  <c r="BB125" i="15"/>
  <c r="BB94" i="15"/>
  <c r="BV93" i="15"/>
  <c r="BV63" i="15"/>
  <c r="BV124" i="15"/>
  <c r="BV94" i="15" l="1"/>
  <c r="BV125" i="15"/>
</calcChain>
</file>

<file path=xl/sharedStrings.xml><?xml version="1.0" encoding="utf-8"?>
<sst xmlns="http://schemas.openxmlformats.org/spreadsheetml/2006/main" count="4840" uniqueCount="214">
  <si>
    <t>Date</t>
  </si>
  <si>
    <t>Time</t>
  </si>
  <si>
    <t>GC-01_VFA</t>
  </si>
  <si>
    <t>Dilution</t>
  </si>
  <si>
    <t xml:space="preserve">Amount </t>
  </si>
  <si>
    <t>factor</t>
  </si>
  <si>
    <t/>
  </si>
  <si>
    <t>mg/l</t>
  </si>
  <si>
    <t>Methanol</t>
  </si>
  <si>
    <t>Ethanol</t>
  </si>
  <si>
    <t>Propanol</t>
  </si>
  <si>
    <t>Butanol</t>
  </si>
  <si>
    <t>Pentanol</t>
  </si>
  <si>
    <t>Hexanol</t>
  </si>
  <si>
    <t>C2</t>
  </si>
  <si>
    <t>C3</t>
  </si>
  <si>
    <t>i-C4</t>
  </si>
  <si>
    <t>n-C4</t>
  </si>
  <si>
    <t>i-C5</t>
  </si>
  <si>
    <t>n-C5</t>
  </si>
  <si>
    <t>i-C6</t>
  </si>
  <si>
    <t>n-C6</t>
  </si>
  <si>
    <t>n-C7</t>
  </si>
  <si>
    <t>n-C8</t>
  </si>
  <si>
    <t>2, methyl-propanol</t>
  </si>
  <si>
    <t>3, methyl butanol</t>
  </si>
  <si>
    <t>4, methyl pentanol</t>
  </si>
  <si>
    <t>n.a.</t>
  </si>
  <si>
    <t>sample</t>
  </si>
  <si>
    <t>B1</t>
  </si>
  <si>
    <t>description</t>
  </si>
  <si>
    <t>60 gL pla</t>
  </si>
  <si>
    <t>amount</t>
  </si>
  <si>
    <t>concentration</t>
  </si>
  <si>
    <t>nd</t>
  </si>
  <si>
    <t>Concentration</t>
  </si>
  <si>
    <t>mM</t>
  </si>
  <si>
    <t>calculation</t>
  </si>
  <si>
    <t>g/mol</t>
  </si>
  <si>
    <t>Molar mass</t>
  </si>
  <si>
    <t>Compound</t>
  </si>
  <si>
    <t>amount C</t>
  </si>
  <si>
    <t>methanol</t>
  </si>
  <si>
    <t>butyrate</t>
  </si>
  <si>
    <t>acetate</t>
  </si>
  <si>
    <t>ethanol</t>
  </si>
  <si>
    <t>propanol</t>
  </si>
  <si>
    <t>butanol</t>
  </si>
  <si>
    <t>pentanol</t>
  </si>
  <si>
    <t>hexanol</t>
  </si>
  <si>
    <t>propionate</t>
  </si>
  <si>
    <t>valerate</t>
  </si>
  <si>
    <t>caproate</t>
  </si>
  <si>
    <t>heptanoate</t>
  </si>
  <si>
    <t>caprylate</t>
  </si>
  <si>
    <t>methane</t>
  </si>
  <si>
    <t>isobutyrate</t>
  </si>
  <si>
    <t>isovalerate</t>
  </si>
  <si>
    <t>isocaproate</t>
  </si>
  <si>
    <t>Isoheptanoate</t>
  </si>
  <si>
    <t>GC-03</t>
  </si>
  <si>
    <t xml:space="preserve">Ret.Time </t>
  </si>
  <si>
    <t>Ret.Time</t>
  </si>
  <si>
    <t>min</t>
  </si>
  <si>
    <t>%</t>
  </si>
  <si>
    <t>oxygen</t>
  </si>
  <si>
    <t>nitrogen</t>
  </si>
  <si>
    <t>carbondioxide</t>
  </si>
  <si>
    <t>pH</t>
  </si>
  <si>
    <t>HPLC</t>
  </si>
  <si>
    <t xml:space="preserve">dilution </t>
  </si>
  <si>
    <t>retention</t>
  </si>
  <si>
    <t>time</t>
  </si>
  <si>
    <t>lactate</t>
  </si>
  <si>
    <t>PLA weight</t>
  </si>
  <si>
    <t>gL PLA</t>
  </si>
  <si>
    <t>g</t>
  </si>
  <si>
    <t>g/L</t>
  </si>
  <si>
    <t>Lactate</t>
  </si>
  <si>
    <t>Comparing</t>
  </si>
  <si>
    <t>20-03-18</t>
  </si>
  <si>
    <t>22-03-18</t>
  </si>
  <si>
    <t>23-03-18</t>
  </si>
  <si>
    <t>26-03-18</t>
  </si>
  <si>
    <t>29-03-18</t>
  </si>
  <si>
    <t>13-04</t>
  </si>
  <si>
    <t>16-04</t>
  </si>
  <si>
    <t>19-04</t>
  </si>
  <si>
    <t>26-04</t>
  </si>
  <si>
    <t>CarbonM</t>
  </si>
  <si>
    <t>Amount 2</t>
  </si>
  <si>
    <t>Amount 3</t>
  </si>
  <si>
    <t>Amount 4</t>
  </si>
  <si>
    <t>Amount 5</t>
  </si>
  <si>
    <t>Amount 6</t>
  </si>
  <si>
    <t>Amount 7</t>
  </si>
  <si>
    <t>Amount 8</t>
  </si>
  <si>
    <t>Amount 9</t>
  </si>
  <si>
    <t>Amount 10</t>
  </si>
  <si>
    <t>Amount 11</t>
  </si>
  <si>
    <t>Amount 12</t>
  </si>
  <si>
    <t>Amount 13</t>
  </si>
  <si>
    <t>Amount 14</t>
  </si>
  <si>
    <t>Amount 15</t>
  </si>
  <si>
    <t>Amount 16</t>
  </si>
  <si>
    <t>Amount 17</t>
  </si>
  <si>
    <t>Amount 18</t>
  </si>
  <si>
    <t>Amount 19</t>
  </si>
  <si>
    <t>Amount 20</t>
  </si>
  <si>
    <t>Amount 21</t>
  </si>
  <si>
    <t>Ret.Time22</t>
  </si>
  <si>
    <t>Amount 23</t>
  </si>
  <si>
    <t>Ret.Time24</t>
  </si>
  <si>
    <t>Amount 25</t>
  </si>
  <si>
    <t>Concentration2</t>
  </si>
  <si>
    <t>Concentration3</t>
  </si>
  <si>
    <t>Concentration4</t>
  </si>
  <si>
    <t>Concentration5</t>
  </si>
  <si>
    <t>Concentration6</t>
  </si>
  <si>
    <t>Concentration7</t>
  </si>
  <si>
    <t>Concentration8</t>
  </si>
  <si>
    <t>Concentration9</t>
  </si>
  <si>
    <t>Concentration10</t>
  </si>
  <si>
    <t>Concentration11</t>
  </si>
  <si>
    <t>Concentration12</t>
  </si>
  <si>
    <t>Concentration13</t>
  </si>
  <si>
    <t>Concentration14</t>
  </si>
  <si>
    <t>Concentration15</t>
  </si>
  <si>
    <t>Concentration16</t>
  </si>
  <si>
    <t>Concentration17</t>
  </si>
  <si>
    <t>concentration18</t>
  </si>
  <si>
    <t>CO2</t>
  </si>
  <si>
    <t>concentration19</t>
  </si>
  <si>
    <t>CH4</t>
  </si>
  <si>
    <t>Concentration18</t>
  </si>
  <si>
    <t>Concentration19</t>
  </si>
  <si>
    <t>pressure</t>
  </si>
  <si>
    <t>kPA</t>
  </si>
  <si>
    <t>AVARAGE</t>
  </si>
  <si>
    <t>CarbonmM</t>
  </si>
  <si>
    <t>TOTAL</t>
  </si>
  <si>
    <t>carbon</t>
  </si>
  <si>
    <t>carbonmM</t>
  </si>
  <si>
    <t>VFAs</t>
  </si>
  <si>
    <t>kpa</t>
  </si>
  <si>
    <t>air</t>
  </si>
  <si>
    <t>STAD. DEV</t>
  </si>
  <si>
    <t>STAD DEV</t>
  </si>
  <si>
    <t>Concentration172</t>
  </si>
  <si>
    <t>g/l</t>
  </si>
  <si>
    <t>correction factor</t>
  </si>
  <si>
    <t>correction</t>
  </si>
  <si>
    <t>gL</t>
  </si>
  <si>
    <t>gl</t>
  </si>
  <si>
    <t>MIN</t>
  </si>
  <si>
    <t>MAX</t>
  </si>
  <si>
    <t>Concentration162</t>
  </si>
  <si>
    <t>consumed</t>
  </si>
  <si>
    <t>unknown</t>
  </si>
  <si>
    <t>total</t>
  </si>
  <si>
    <t>% unknown</t>
  </si>
  <si>
    <t>16-05-2018</t>
  </si>
  <si>
    <t>B2</t>
  </si>
  <si>
    <t>B3</t>
  </si>
  <si>
    <t>B4</t>
  </si>
  <si>
    <t>B6</t>
  </si>
  <si>
    <t>Amount 22</t>
  </si>
  <si>
    <t>chain elongation</t>
  </si>
  <si>
    <t>Column1</t>
  </si>
  <si>
    <t>David changed to g/L</t>
  </si>
  <si>
    <t>fermentation period</t>
  </si>
  <si>
    <t>60 g/L experiments</t>
  </si>
  <si>
    <t>30 g/L experiments</t>
  </si>
  <si>
    <t>B1-B3</t>
  </si>
  <si>
    <t>B4-B6</t>
  </si>
  <si>
    <t>blank experiments</t>
  </si>
  <si>
    <t>BL7-BL8</t>
  </si>
  <si>
    <t>Figure S1. Blanks</t>
  </si>
  <si>
    <t>Figure 2. Hydrolysis</t>
  </si>
  <si>
    <t>Figure 3. Fermentation</t>
  </si>
  <si>
    <t>30 gL pla</t>
  </si>
  <si>
    <t>0 gL pla</t>
  </si>
  <si>
    <t>BL8</t>
  </si>
  <si>
    <t>BL7</t>
  </si>
  <si>
    <t>0. gL pla</t>
  </si>
  <si>
    <t>lactic acid concentration</t>
  </si>
  <si>
    <t>volume</t>
  </si>
  <si>
    <t>ml</t>
  </si>
  <si>
    <t>sample volume</t>
  </si>
  <si>
    <t>lactic acid removed with sample</t>
  </si>
  <si>
    <t>gram added</t>
  </si>
  <si>
    <t>present in last step</t>
  </si>
  <si>
    <t>gram</t>
  </si>
  <si>
    <t>average</t>
  </si>
  <si>
    <t>Hydrolysis calculations</t>
  </si>
  <si>
    <t>total mmol  C lactate at start</t>
  </si>
  <si>
    <t xml:space="preserve">lactic acid </t>
  </si>
  <si>
    <t>removed with sample</t>
  </si>
  <si>
    <t>c2</t>
  </si>
  <si>
    <t>c3</t>
  </si>
  <si>
    <t>c4</t>
  </si>
  <si>
    <t>ic4</t>
  </si>
  <si>
    <t>c5</t>
  </si>
  <si>
    <t>c6</t>
  </si>
  <si>
    <t>removed with sample in mmol C</t>
  </si>
  <si>
    <t>produced at end in mmol C</t>
  </si>
  <si>
    <t>produced in sample during experiment</t>
  </si>
  <si>
    <t>total produced</t>
  </si>
  <si>
    <t>total C found in carboxyalates</t>
  </si>
  <si>
    <t>% of lactic acid found in carboxylates</t>
  </si>
  <si>
    <t>GC01 LOQ (The limit of quantification (LOQ) is lowest concentration of a substance that can be measured with certainty using standard tests).</t>
  </si>
  <si>
    <t>AVERAGGE</t>
  </si>
  <si>
    <t>AVERAGE</t>
  </si>
  <si>
    <t>BLANK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</si>
</sst>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"/>
    <numFmt numFmtId="166" formatCode="0.000"/>
    <numFmt numFmtId="167" formatCode="0.0000&quot;  &quot;"/>
    <numFmt numFmtId="168" formatCode="0.0000000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rgb="FF212121"/>
      <name val="Calibri"/>
      <family val="2"/>
      <scheme val="minor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  <font>
      <i/>
      <sz val="10"/>
      <name val="Arial"/>
      <family val="2"/>
    </font>
    <font>
      <sz val="10"/>
      <name val="Arial"/>
      <family val="2"/>
    </font>
    <font>
      <b/>
      <u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0070C0"/>
        <bgColor indexed="64"/>
      </patternFill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5" fillId="0" borderId="0"/>
    <xf numFmtId="0" fontId="8" fillId="0" borderId="0"/>
    <xf numFmtId="0" fontId="10" fillId="9" borderId="0" applyNumberFormat="0" applyBorder="0" applyAlignment="0" applyProtection="0"/>
    <xf numFmtId="0" fontId="13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</cellStyleXfs>
  <cellXfs count="190"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4" xfId="0" applyFill="1" applyBorder="1" applyAlignment="1">
      <alignment horizontal="left" vertical="top"/>
    </xf>
    <xf numFmtId="0" fontId="2" fillId="0" borderId="6" xfId="0" applyNumberFormat="1" applyFont="1" applyFill="1" applyBorder="1" applyAlignment="1" applyProtection="1">
      <alignment horizontal="center" vertical="center"/>
    </xf>
    <xf numFmtId="0" fontId="2" fillId="0" borderId="7" xfId="0" applyNumberFormat="1" applyFont="1" applyFill="1" applyBorder="1" applyAlignment="1" applyProtection="1">
      <alignment horizontal="center" vertical="center"/>
    </xf>
    <xf numFmtId="0" fontId="2" fillId="0" borderId="8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 applyProtection="1">
      <alignment horizontal="center" vertical="center"/>
    </xf>
    <xf numFmtId="0" fontId="2" fillId="0" borderId="12" xfId="0" applyNumberFormat="1" applyFont="1" applyFill="1" applyBorder="1" applyAlignment="1" applyProtection="1">
      <alignment horizontal="center" vertical="center"/>
    </xf>
    <xf numFmtId="0" fontId="2" fillId="0" borderId="13" xfId="0" applyNumberFormat="1" applyFont="1" applyFill="1" applyBorder="1" applyAlignment="1" applyProtection="1">
      <alignment horizontal="center" vertical="center"/>
    </xf>
    <xf numFmtId="0" fontId="2" fillId="0" borderId="14" xfId="0" applyNumberFormat="1" applyFont="1" applyFill="1" applyBorder="1" applyAlignment="1" applyProtection="1">
      <alignment horizontal="center" vertical="center"/>
    </xf>
    <xf numFmtId="0" fontId="2" fillId="0" borderId="15" xfId="0" applyNumberFormat="1" applyFont="1" applyFill="1" applyBorder="1" applyAlignment="1" applyProtection="1">
      <alignment horizontal="center" vertical="center"/>
    </xf>
    <xf numFmtId="0" fontId="2" fillId="0" borderId="16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center" vertical="center"/>
    </xf>
    <xf numFmtId="164" fontId="0" fillId="2" borderId="18" xfId="0" applyNumberFormat="1" applyFont="1" applyFill="1" applyBorder="1" applyAlignment="1" applyProtection="1">
      <alignment horizontal="center"/>
    </xf>
    <xf numFmtId="2" fontId="0" fillId="2" borderId="19" xfId="0" applyNumberFormat="1" applyFont="1" applyFill="1" applyBorder="1" applyAlignment="1" applyProtection="1">
      <alignment horizontal="left" vertical="center"/>
    </xf>
    <xf numFmtId="165" fontId="0" fillId="2" borderId="19" xfId="0" applyNumberFormat="1" applyFont="1" applyFill="1" applyBorder="1" applyAlignment="1" applyProtection="1">
      <alignment horizontal="left" vertical="center"/>
    </xf>
    <xf numFmtId="165" fontId="0" fillId="2" borderId="20" xfId="0" applyNumberFormat="1" applyFont="1" applyFill="1" applyBorder="1" applyAlignment="1" applyProtection="1">
      <alignment horizontal="left" vertical="center"/>
    </xf>
    <xf numFmtId="165" fontId="0" fillId="2" borderId="21" xfId="0" applyNumberFormat="1" applyFont="1" applyFill="1" applyBorder="1" applyAlignment="1" applyProtection="1">
      <alignment horizontal="left" vertical="center"/>
    </xf>
    <xf numFmtId="0" fontId="1" fillId="0" borderId="24" xfId="0" applyFont="1" applyFill="1" applyBorder="1" applyAlignment="1">
      <alignment horizontal="center" vertical="center" wrapText="1"/>
    </xf>
    <xf numFmtId="0" fontId="0" fillId="0" borderId="25" xfId="0" applyBorder="1"/>
    <xf numFmtId="0" fontId="3" fillId="0" borderId="0" xfId="0" applyFont="1"/>
    <xf numFmtId="0" fontId="3" fillId="0" borderId="0" xfId="0" applyFont="1" applyFill="1" applyBorder="1" applyAlignment="1">
      <alignment horizontal="center" vertical="center"/>
    </xf>
    <xf numFmtId="0" fontId="0" fillId="0" borderId="26" xfId="0" applyBorder="1"/>
    <xf numFmtId="0" fontId="4" fillId="0" borderId="0" xfId="0" applyFont="1"/>
    <xf numFmtId="11" fontId="0" fillId="0" borderId="0" xfId="0" applyNumberFormat="1"/>
    <xf numFmtId="2" fontId="0" fillId="0" borderId="0" xfId="0" applyNumberFormat="1"/>
    <xf numFmtId="166" fontId="0" fillId="0" borderId="0" xfId="0" applyNumberFormat="1"/>
    <xf numFmtId="164" fontId="0" fillId="0" borderId="0" xfId="0" applyNumberFormat="1"/>
    <xf numFmtId="165" fontId="0" fillId="0" borderId="0" xfId="0" applyNumberFormat="1" applyFont="1" applyFill="1" applyBorder="1" applyAlignment="1" applyProtection="1">
      <alignment horizontal="left" vertical="center"/>
    </xf>
    <xf numFmtId="164" fontId="5" fillId="0" borderId="28" xfId="1" applyNumberFormat="1" applyFont="1" applyFill="1" applyBorder="1" applyAlignment="1" applyProtection="1">
      <alignment horizontal="center" vertical="center"/>
    </xf>
    <xf numFmtId="0" fontId="5" fillId="0" borderId="4" xfId="1" applyNumberFormat="1" applyFont="1" applyFill="1" applyBorder="1" applyAlignment="1" applyProtection="1">
      <alignment horizontal="center" vertical="center"/>
    </xf>
    <xf numFmtId="164" fontId="5" fillId="0" borderId="0" xfId="1" applyNumberFormat="1" applyFont="1" applyFill="1" applyBorder="1" applyAlignment="1" applyProtection="1">
      <alignment horizontal="center" vertical="center"/>
    </xf>
    <xf numFmtId="0" fontId="5" fillId="0" borderId="0" xfId="1" applyNumberFormat="1" applyFont="1" applyFill="1" applyBorder="1" applyAlignment="1" applyProtection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5" fillId="0" borderId="24" xfId="1" applyNumberFormat="1" applyFont="1" applyFill="1" applyBorder="1" applyAlignment="1" applyProtection="1">
      <alignment horizontal="center" vertical="center"/>
    </xf>
    <xf numFmtId="164" fontId="7" fillId="0" borderId="0" xfId="1" applyNumberFormat="1" applyFont="1" applyFill="1" applyBorder="1" applyAlignment="1" applyProtection="1">
      <alignment horizontal="center" vertical="center"/>
    </xf>
    <xf numFmtId="164" fontId="7" fillId="0" borderId="30" xfId="1" applyNumberFormat="1" applyFont="1" applyFill="1" applyBorder="1" applyAlignment="1" applyProtection="1">
      <alignment horizontal="center" vertical="center"/>
    </xf>
    <xf numFmtId="164" fontId="0" fillId="2" borderId="2" xfId="0" applyNumberFormat="1" applyFont="1" applyFill="1" applyBorder="1" applyAlignment="1" applyProtection="1">
      <alignment horizontal="center"/>
    </xf>
    <xf numFmtId="165" fontId="0" fillId="0" borderId="24" xfId="0" applyNumberFormat="1" applyFont="1" applyFill="1" applyBorder="1" applyAlignment="1" applyProtection="1">
      <alignment horizontal="left" vertical="center"/>
    </xf>
    <xf numFmtId="0" fontId="0" fillId="0" borderId="24" xfId="0" applyBorder="1"/>
    <xf numFmtId="0" fontId="0" fillId="0" borderId="33" xfId="0" applyBorder="1"/>
    <xf numFmtId="2" fontId="0" fillId="2" borderId="36" xfId="0" applyNumberFormat="1" applyFont="1" applyFill="1" applyBorder="1" applyAlignment="1" applyProtection="1">
      <alignment horizontal="left" vertical="center"/>
    </xf>
    <xf numFmtId="2" fontId="0" fillId="2" borderId="18" xfId="0" applyNumberFormat="1" applyFont="1" applyFill="1" applyBorder="1" applyAlignment="1" applyProtection="1">
      <alignment horizontal="left" vertical="center"/>
    </xf>
    <xf numFmtId="0" fontId="0" fillId="0" borderId="18" xfId="0" applyBorder="1"/>
    <xf numFmtId="14" fontId="1" fillId="0" borderId="24" xfId="0" applyNumberFormat="1" applyFont="1" applyFill="1" applyBorder="1" applyAlignment="1">
      <alignment horizontal="center"/>
    </xf>
    <xf numFmtId="2" fontId="0" fillId="0" borderId="5" xfId="0" applyNumberFormat="1" applyFont="1" applyFill="1" applyBorder="1" applyAlignment="1" applyProtection="1">
      <alignment horizontal="left" vertical="center"/>
    </xf>
    <xf numFmtId="165" fontId="0" fillId="0" borderId="5" xfId="0" applyNumberFormat="1" applyFont="1" applyFill="1" applyBorder="1" applyAlignment="1" applyProtection="1">
      <alignment horizontal="left" vertical="center"/>
    </xf>
    <xf numFmtId="165" fontId="0" fillId="0" borderId="4" xfId="0" applyNumberFormat="1" applyFont="1" applyFill="1" applyBorder="1" applyAlignment="1" applyProtection="1">
      <alignment horizontal="left" vertical="center"/>
    </xf>
    <xf numFmtId="165" fontId="0" fillId="2" borderId="18" xfId="0" applyNumberFormat="1" applyFont="1" applyFill="1" applyBorder="1" applyAlignment="1" applyProtection="1">
      <alignment horizontal="left" vertical="center"/>
    </xf>
    <xf numFmtId="164" fontId="0" fillId="2" borderId="3" xfId="0" applyNumberFormat="1" applyFont="1" applyFill="1" applyBorder="1" applyAlignment="1" applyProtection="1">
      <alignment horizontal="center"/>
    </xf>
    <xf numFmtId="0" fontId="0" fillId="0" borderId="2" xfId="0" applyBorder="1"/>
    <xf numFmtId="0" fontId="0" fillId="0" borderId="3" xfId="0" applyBorder="1"/>
    <xf numFmtId="0" fontId="3" fillId="0" borderId="0" xfId="0" applyFont="1" applyFill="1" applyAlignment="1">
      <alignment horizontal="center" vertical="center"/>
    </xf>
    <xf numFmtId="0" fontId="0" fillId="0" borderId="0" xfId="0" applyFill="1" applyBorder="1" applyAlignment="1">
      <alignment horizontal="left" vertical="top"/>
    </xf>
    <xf numFmtId="0" fontId="2" fillId="0" borderId="38" xfId="0" applyNumberFormat="1" applyFont="1" applyFill="1" applyBorder="1" applyAlignment="1" applyProtection="1">
      <alignment horizontal="center" vertical="center"/>
    </xf>
    <xf numFmtId="0" fontId="2" fillId="0" borderId="39" xfId="0" applyNumberFormat="1" applyFont="1" applyFill="1" applyBorder="1" applyAlignment="1" applyProtection="1">
      <alignment horizontal="center" vertical="center"/>
    </xf>
    <xf numFmtId="14" fontId="0" fillId="0" borderId="0" xfId="0" applyNumberFormat="1"/>
    <xf numFmtId="0" fontId="0" fillId="0" borderId="18" xfId="0" applyNumberFormat="1" applyBorder="1"/>
    <xf numFmtId="14" fontId="0" fillId="0" borderId="2" xfId="0" applyNumberFormat="1" applyBorder="1"/>
    <xf numFmtId="14" fontId="1" fillId="4" borderId="3" xfId="0" applyNumberFormat="1" applyFont="1" applyFill="1" applyBorder="1" applyAlignment="1">
      <alignment horizontal="center"/>
    </xf>
    <xf numFmtId="164" fontId="0" fillId="0" borderId="35" xfId="0" applyNumberFormat="1" applyFill="1" applyBorder="1" applyAlignment="1">
      <alignment horizontal="center"/>
    </xf>
    <xf numFmtId="0" fontId="0" fillId="0" borderId="24" xfId="0" applyFill="1" applyBorder="1"/>
    <xf numFmtId="0" fontId="0" fillId="0" borderId="0" xfId="0" applyFill="1"/>
    <xf numFmtId="14" fontId="0" fillId="0" borderId="0" xfId="0" applyNumberFormat="1" applyFill="1"/>
    <xf numFmtId="0" fontId="0" fillId="0" borderId="0" xfId="0" applyNumberFormat="1" applyFill="1"/>
    <xf numFmtId="0" fontId="2" fillId="0" borderId="40" xfId="0" applyNumberFormat="1" applyFont="1" applyFill="1" applyBorder="1" applyAlignment="1" applyProtection="1">
      <alignment horizontal="center" vertical="center"/>
    </xf>
    <xf numFmtId="0" fontId="2" fillId="0" borderId="22" xfId="0" applyNumberFormat="1" applyFont="1" applyFill="1" applyBorder="1" applyAlignment="1" applyProtection="1">
      <alignment horizontal="center" vertical="center"/>
    </xf>
    <xf numFmtId="0" fontId="2" fillId="0" borderId="23" xfId="0" applyNumberFormat="1" applyFont="1" applyFill="1" applyBorder="1" applyAlignment="1" applyProtection="1">
      <alignment horizontal="center" vertical="center"/>
    </xf>
    <xf numFmtId="0" fontId="2" fillId="0" borderId="41" xfId="0" applyNumberFormat="1" applyFont="1" applyFill="1" applyBorder="1" applyAlignment="1" applyProtection="1">
      <alignment horizontal="center" vertical="center"/>
    </xf>
    <xf numFmtId="0" fontId="1" fillId="0" borderId="29" xfId="0" applyFont="1" applyFill="1" applyBorder="1" applyAlignment="1">
      <alignment horizontal="center" vertical="center" wrapText="1"/>
    </xf>
    <xf numFmtId="0" fontId="1" fillId="4" borderId="2" xfId="0" applyNumberFormat="1" applyFont="1" applyFill="1" applyBorder="1" applyAlignment="1">
      <alignment horizontal="center"/>
    </xf>
    <xf numFmtId="0" fontId="1" fillId="0" borderId="29" xfId="0" applyNumberFormat="1" applyFont="1" applyFill="1" applyBorder="1" applyAlignment="1">
      <alignment horizontal="center"/>
    </xf>
    <xf numFmtId="2" fontId="0" fillId="2" borderId="21" xfId="0" applyNumberFormat="1" applyFont="1" applyFill="1" applyBorder="1" applyAlignment="1" applyProtection="1">
      <alignment horizontal="left" vertical="center"/>
    </xf>
    <xf numFmtId="164" fontId="0" fillId="0" borderId="29" xfId="0" applyNumberFormat="1" applyFont="1" applyFill="1" applyBorder="1" applyAlignment="1" applyProtection="1">
      <alignment horizontal="center"/>
    </xf>
    <xf numFmtId="165" fontId="0" fillId="0" borderId="37" xfId="0" applyNumberFormat="1" applyFont="1" applyFill="1" applyBorder="1" applyAlignment="1" applyProtection="1">
      <alignment horizontal="left" vertical="center"/>
    </xf>
    <xf numFmtId="0" fontId="0" fillId="0" borderId="29" xfId="0" applyFill="1" applyBorder="1"/>
    <xf numFmtId="0" fontId="0" fillId="0" borderId="0" xfId="0" applyFill="1" applyBorder="1"/>
    <xf numFmtId="0" fontId="0" fillId="0" borderId="30" xfId="0" applyFill="1" applyBorder="1"/>
    <xf numFmtId="0" fontId="0" fillId="0" borderId="34" xfId="0" applyBorder="1"/>
    <xf numFmtId="0" fontId="0" fillId="0" borderId="31" xfId="0" applyBorder="1"/>
    <xf numFmtId="0" fontId="0" fillId="0" borderId="32" xfId="0" applyBorder="1"/>
    <xf numFmtId="0" fontId="2" fillId="0" borderId="26" xfId="0" applyNumberFormat="1" applyFont="1" applyFill="1" applyBorder="1" applyAlignment="1" applyProtection="1">
      <alignment horizontal="center" vertical="center"/>
    </xf>
    <xf numFmtId="0" fontId="2" fillId="0" borderId="42" xfId="0" applyNumberFormat="1" applyFont="1" applyFill="1" applyBorder="1" applyAlignment="1" applyProtection="1">
      <alignment horizontal="center" vertical="center"/>
    </xf>
    <xf numFmtId="0" fontId="2" fillId="0" borderId="43" xfId="0" applyNumberFormat="1" applyFont="1" applyFill="1" applyBorder="1" applyAlignment="1" applyProtection="1">
      <alignment horizontal="center" vertical="center"/>
    </xf>
    <xf numFmtId="0" fontId="2" fillId="0" borderId="44" xfId="0" applyNumberFormat="1" applyFont="1" applyFill="1" applyBorder="1" applyAlignment="1" applyProtection="1">
      <alignment horizontal="center" vertical="center"/>
    </xf>
    <xf numFmtId="164" fontId="7" fillId="0" borderId="1" xfId="1" applyNumberFormat="1" applyFont="1" applyFill="1" applyBorder="1" applyAlignment="1" applyProtection="1">
      <alignment horizontal="center" vertical="center"/>
    </xf>
    <xf numFmtId="164" fontId="7" fillId="0" borderId="24" xfId="1" applyNumberFormat="1" applyFont="1" applyFill="1" applyBorder="1" applyAlignment="1" applyProtection="1">
      <alignment horizontal="center" vertical="center"/>
    </xf>
    <xf numFmtId="0" fontId="0" fillId="3" borderId="27" xfId="0" applyFill="1" applyBorder="1"/>
    <xf numFmtId="0" fontId="0" fillId="0" borderId="0" xfId="0" applyBorder="1"/>
    <xf numFmtId="164" fontId="0" fillId="2" borderId="45" xfId="0" applyNumberFormat="1" applyFont="1" applyFill="1" applyBorder="1" applyAlignment="1" applyProtection="1">
      <alignment horizontal="center"/>
    </xf>
    <xf numFmtId="164" fontId="0" fillId="0" borderId="45" xfId="0" applyNumberFormat="1" applyFont="1" applyFill="1" applyBorder="1" applyAlignment="1" applyProtection="1">
      <alignment horizontal="center"/>
    </xf>
    <xf numFmtId="2" fontId="0" fillId="2" borderId="46" xfId="0" applyNumberFormat="1" applyFont="1" applyFill="1" applyBorder="1" applyAlignment="1" applyProtection="1">
      <alignment horizontal="left" vertical="center"/>
    </xf>
    <xf numFmtId="2" fontId="0" fillId="0" borderId="0" xfId="0" applyNumberFormat="1" applyFont="1" applyFill="1" applyAlignment="1" applyProtection="1">
      <alignment horizontal="center"/>
    </xf>
    <xf numFmtId="164" fontId="0" fillId="0" borderId="28" xfId="0" applyNumberFormat="1" applyFont="1" applyFill="1" applyBorder="1" applyAlignment="1" applyProtection="1">
      <alignment horizontal="center"/>
    </xf>
    <xf numFmtId="164" fontId="0" fillId="0" borderId="0" xfId="0" applyNumberFormat="1" applyFont="1" applyFill="1" applyAlignment="1" applyProtection="1">
      <alignment horizontal="center"/>
    </xf>
    <xf numFmtId="2" fontId="0" fillId="0" borderId="4" xfId="0" applyNumberFormat="1" applyFont="1" applyFill="1" applyBorder="1" applyAlignment="1" applyProtection="1">
      <alignment horizontal="center"/>
    </xf>
    <xf numFmtId="164" fontId="0" fillId="0" borderId="30" xfId="0" applyNumberFormat="1" applyFont="1" applyFill="1" applyBorder="1" applyAlignment="1" applyProtection="1">
      <alignment horizontal="center"/>
    </xf>
    <xf numFmtId="2" fontId="0" fillId="0" borderId="11" xfId="0" applyNumberFormat="1" applyFont="1" applyFill="1" applyBorder="1" applyAlignment="1" applyProtection="1">
      <alignment horizontal="left" vertical="center"/>
    </xf>
    <xf numFmtId="165" fontId="0" fillId="0" borderId="11" xfId="0" applyNumberFormat="1" applyFont="1" applyFill="1" applyBorder="1" applyAlignment="1" applyProtection="1">
      <alignment horizontal="left" vertical="center"/>
    </xf>
    <xf numFmtId="165" fontId="0" fillId="0" borderId="12" xfId="0" applyNumberFormat="1" applyFont="1" applyFill="1" applyBorder="1" applyAlignment="1" applyProtection="1">
      <alignment horizontal="left" vertical="center"/>
    </xf>
    <xf numFmtId="2" fontId="0" fillId="0" borderId="46" xfId="0" applyNumberFormat="1" applyFont="1" applyFill="1" applyBorder="1" applyAlignment="1" applyProtection="1">
      <alignment horizontal="left" vertical="center"/>
    </xf>
    <xf numFmtId="165" fontId="0" fillId="0" borderId="46" xfId="0" applyNumberFormat="1" applyFont="1" applyFill="1" applyBorder="1" applyAlignment="1" applyProtection="1">
      <alignment horizontal="left" vertical="center"/>
    </xf>
    <xf numFmtId="2" fontId="0" fillId="0" borderId="47" xfId="0" applyNumberFormat="1" applyFont="1" applyFill="1" applyBorder="1" applyAlignment="1" applyProtection="1">
      <alignment horizontal="left" vertical="center"/>
    </xf>
    <xf numFmtId="165" fontId="0" fillId="0" borderId="47" xfId="0" applyNumberFormat="1" applyFont="1" applyFill="1" applyBorder="1" applyAlignment="1" applyProtection="1">
      <alignment horizontal="left" vertical="center"/>
    </xf>
    <xf numFmtId="165" fontId="0" fillId="0" borderId="48" xfId="0" applyNumberFormat="1" applyFont="1" applyFill="1" applyBorder="1" applyAlignment="1" applyProtection="1">
      <alignment horizontal="left" vertical="center"/>
    </xf>
    <xf numFmtId="167" fontId="8" fillId="0" borderId="0" xfId="2" applyNumberFormat="1" applyFont="1" applyFill="1" applyAlignment="1" applyProtection="1"/>
    <xf numFmtId="0" fontId="0" fillId="3" borderId="0" xfId="0" applyFill="1"/>
    <xf numFmtId="0" fontId="0" fillId="3" borderId="0" xfId="0" applyFill="1" applyBorder="1"/>
    <xf numFmtId="168" fontId="0" fillId="0" borderId="35" xfId="0" applyNumberFormat="1" applyFill="1" applyBorder="1" applyAlignment="1">
      <alignment horizontal="center"/>
    </xf>
    <xf numFmtId="0" fontId="3" fillId="0" borderId="0" xfId="0" applyFont="1" applyFill="1" applyBorder="1" applyAlignment="1">
      <alignment horizontal="left" vertical="top"/>
    </xf>
    <xf numFmtId="2" fontId="0" fillId="0" borderId="29" xfId="0" applyNumberFormat="1" applyFill="1" applyBorder="1"/>
    <xf numFmtId="2" fontId="0" fillId="0" borderId="2" xfId="0" applyNumberFormat="1" applyBorder="1"/>
    <xf numFmtId="0" fontId="0" fillId="5" borderId="18" xfId="0" applyFill="1" applyBorder="1"/>
    <xf numFmtId="165" fontId="0" fillId="5" borderId="18" xfId="0" applyNumberFormat="1" applyFont="1" applyFill="1" applyBorder="1" applyAlignment="1" applyProtection="1">
      <alignment horizontal="left" vertical="center"/>
    </xf>
    <xf numFmtId="165" fontId="0" fillId="6" borderId="0" xfId="0" applyNumberFormat="1" applyFont="1" applyFill="1" applyBorder="1" applyAlignment="1" applyProtection="1">
      <alignment horizontal="left" vertical="center"/>
    </xf>
    <xf numFmtId="164" fontId="0" fillId="5" borderId="18" xfId="0" applyNumberFormat="1" applyFont="1" applyFill="1" applyBorder="1" applyAlignment="1" applyProtection="1">
      <alignment horizontal="center"/>
    </xf>
    <xf numFmtId="0" fontId="0" fillId="6" borderId="18" xfId="0" applyFill="1" applyBorder="1"/>
    <xf numFmtId="14" fontId="1" fillId="5" borderId="3" xfId="0" applyNumberFormat="1" applyFont="1" applyFill="1" applyBorder="1" applyAlignment="1">
      <alignment horizontal="center"/>
    </xf>
    <xf numFmtId="164" fontId="0" fillId="5" borderId="2" xfId="0" applyNumberFormat="1" applyFont="1" applyFill="1" applyBorder="1" applyAlignment="1" applyProtection="1">
      <alignment horizontal="center"/>
    </xf>
    <xf numFmtId="2" fontId="0" fillId="5" borderId="19" xfId="0" applyNumberFormat="1" applyFont="1" applyFill="1" applyBorder="1" applyAlignment="1" applyProtection="1">
      <alignment horizontal="left" vertical="center"/>
    </xf>
    <xf numFmtId="164" fontId="0" fillId="5" borderId="35" xfId="0" applyNumberFormat="1" applyFill="1" applyBorder="1" applyAlignment="1">
      <alignment horizontal="center"/>
    </xf>
    <xf numFmtId="168" fontId="0" fillId="5" borderId="35" xfId="0" applyNumberFormat="1" applyFill="1" applyBorder="1" applyAlignment="1">
      <alignment horizontal="center"/>
    </xf>
    <xf numFmtId="0" fontId="0" fillId="5" borderId="0" xfId="0" applyFill="1"/>
    <xf numFmtId="164" fontId="7" fillId="0" borderId="0" xfId="1" applyNumberFormat="1" applyFont="1" applyFill="1" applyAlignment="1" applyProtection="1">
      <alignment horizontal="center" vertical="center"/>
    </xf>
    <xf numFmtId="0" fontId="1" fillId="0" borderId="29" xfId="0" applyNumberFormat="1" applyFont="1" applyFill="1" applyBorder="1" applyAlignment="1">
      <alignment horizontal="center" vertical="center" wrapText="1"/>
    </xf>
    <xf numFmtId="0" fontId="1" fillId="4" borderId="3" xfId="0" applyNumberFormat="1" applyFont="1" applyFill="1" applyBorder="1" applyAlignment="1">
      <alignment horizontal="center"/>
    </xf>
    <xf numFmtId="0" fontId="9" fillId="0" borderId="0" xfId="0" applyFont="1"/>
    <xf numFmtId="2" fontId="0" fillId="7" borderId="19" xfId="0" applyNumberFormat="1" applyFont="1" applyFill="1" applyBorder="1" applyAlignment="1" applyProtection="1">
      <alignment horizontal="left" vertical="center"/>
    </xf>
    <xf numFmtId="2" fontId="0" fillId="8" borderId="19" xfId="0" applyNumberFormat="1" applyFont="1" applyFill="1" applyBorder="1" applyAlignment="1" applyProtection="1">
      <alignment horizontal="left" vertical="center"/>
    </xf>
    <xf numFmtId="164" fontId="3" fillId="0" borderId="35" xfId="0" applyNumberFormat="1" applyFont="1" applyFill="1" applyBorder="1" applyAlignment="1">
      <alignment horizontal="center"/>
    </xf>
    <xf numFmtId="164" fontId="3" fillId="0" borderId="49" xfId="0" applyNumberFormat="1" applyFont="1" applyFill="1" applyBorder="1" applyAlignment="1">
      <alignment horizontal="center"/>
    </xf>
    <xf numFmtId="164" fontId="0" fillId="0" borderId="50" xfId="0" applyNumberFormat="1" applyFont="1" applyFill="1" applyBorder="1" applyAlignment="1" applyProtection="1">
      <alignment horizontal="center" vertical="center"/>
    </xf>
    <xf numFmtId="9" fontId="0" fillId="0" borderId="0" xfId="0" applyNumberFormat="1"/>
    <xf numFmtId="2" fontId="1" fillId="4" borderId="3" xfId="0" applyNumberFormat="1" applyFont="1" applyFill="1" applyBorder="1" applyAlignment="1">
      <alignment horizontal="center"/>
    </xf>
    <xf numFmtId="2" fontId="8" fillId="0" borderId="0" xfId="2" applyNumberFormat="1" applyFont="1" applyFill="1" applyAlignment="1" applyProtection="1"/>
    <xf numFmtId="0" fontId="0" fillId="0" borderId="11" xfId="0" applyNumberFormat="1" applyFont="1" applyFill="1" applyBorder="1" applyAlignment="1" applyProtection="1">
      <alignment horizontal="left" vertical="center"/>
    </xf>
    <xf numFmtId="0" fontId="0" fillId="0" borderId="12" xfId="0" applyNumberFormat="1" applyFont="1" applyFill="1" applyBorder="1" applyAlignment="1" applyProtection="1">
      <alignment horizontal="left" vertical="center"/>
    </xf>
    <xf numFmtId="0" fontId="8" fillId="0" borderId="0" xfId="2" applyNumberFormat="1" applyFont="1" applyFill="1" applyAlignment="1" applyProtection="1"/>
    <xf numFmtId="0" fontId="0" fillId="0" borderId="0" xfId="0" applyNumberFormat="1" applyFill="1" applyBorder="1"/>
    <xf numFmtId="0" fontId="0" fillId="0" borderId="30" xfId="0" applyNumberFormat="1" applyFill="1" applyBorder="1"/>
    <xf numFmtId="2" fontId="0" fillId="0" borderId="0" xfId="0" applyNumberFormat="1" applyFill="1" applyBorder="1"/>
    <xf numFmtId="2" fontId="0" fillId="0" borderId="30" xfId="0" applyNumberFormat="1" applyFill="1" applyBorder="1"/>
    <xf numFmtId="0" fontId="10" fillId="9" borderId="0" xfId="3"/>
    <xf numFmtId="2" fontId="0" fillId="0" borderId="45" xfId="0" applyNumberFormat="1" applyBorder="1"/>
    <xf numFmtId="2" fontId="0" fillId="0" borderId="45" xfId="0" applyNumberFormat="1" applyFill="1" applyBorder="1"/>
    <xf numFmtId="164" fontId="0" fillId="0" borderId="4" xfId="0" applyNumberFormat="1" applyFont="1" applyFill="1" applyBorder="1" applyAlignment="1" applyProtection="1">
      <alignment horizontal="center" vertical="center"/>
    </xf>
    <xf numFmtId="0" fontId="2" fillId="0" borderId="45" xfId="0" applyNumberFormat="1" applyFont="1" applyFill="1" applyBorder="1" applyAlignment="1" applyProtection="1">
      <alignment horizontal="center" vertical="center"/>
    </xf>
    <xf numFmtId="0" fontId="2" fillId="0" borderId="51" xfId="0" applyNumberFormat="1" applyFont="1" applyFill="1" applyBorder="1" applyAlignment="1" applyProtection="1">
      <alignment horizontal="center" vertical="center"/>
    </xf>
    <xf numFmtId="0" fontId="2" fillId="0" borderId="35" xfId="0" applyNumberFormat="1" applyFont="1" applyFill="1" applyBorder="1" applyAlignment="1" applyProtection="1">
      <alignment horizontal="center" vertical="center"/>
    </xf>
    <xf numFmtId="0" fontId="11" fillId="0" borderId="26" xfId="0" applyNumberFormat="1" applyFont="1" applyFill="1" applyBorder="1" applyAlignment="1" applyProtection="1">
      <alignment horizontal="center" vertical="center"/>
    </xf>
    <xf numFmtId="164" fontId="0" fillId="10" borderId="35" xfId="0" applyNumberFormat="1" applyFill="1" applyBorder="1" applyAlignment="1">
      <alignment horizontal="center"/>
    </xf>
    <xf numFmtId="168" fontId="0" fillId="10" borderId="35" xfId="0" applyNumberFormat="1" applyFill="1" applyBorder="1" applyAlignment="1">
      <alignment horizontal="center"/>
    </xf>
    <xf numFmtId="14" fontId="1" fillId="10" borderId="3" xfId="0" applyNumberFormat="1" applyFont="1" applyFill="1" applyBorder="1" applyAlignment="1">
      <alignment horizontal="center"/>
    </xf>
    <xf numFmtId="0" fontId="1" fillId="10" borderId="2" xfId="0" applyNumberFormat="1" applyFont="1" applyFill="1" applyBorder="1" applyAlignment="1">
      <alignment horizontal="center"/>
    </xf>
    <xf numFmtId="0" fontId="0" fillId="10" borderId="29" xfId="0" applyFill="1" applyBorder="1"/>
    <xf numFmtId="2" fontId="0" fillId="10" borderId="19" xfId="0" applyNumberFormat="1" applyFont="1" applyFill="1" applyBorder="1" applyAlignment="1" applyProtection="1">
      <alignment horizontal="left" vertical="center"/>
    </xf>
    <xf numFmtId="0" fontId="0" fillId="10" borderId="0" xfId="0" applyFill="1"/>
    <xf numFmtId="2" fontId="0" fillId="5" borderId="35" xfId="0" applyNumberFormat="1" applyFill="1" applyBorder="1" applyAlignment="1">
      <alignment horizontal="center"/>
    </xf>
    <xf numFmtId="164" fontId="10" fillId="9" borderId="35" xfId="3" applyNumberFormat="1" applyBorder="1" applyAlignment="1">
      <alignment horizontal="center"/>
    </xf>
    <xf numFmtId="0" fontId="10" fillId="9" borderId="11" xfId="3" applyNumberFormat="1" applyBorder="1" applyAlignment="1" applyProtection="1">
      <alignment horizontal="center" vertical="center"/>
    </xf>
    <xf numFmtId="0" fontId="10" fillId="9" borderId="15" xfId="3" applyNumberFormat="1" applyBorder="1" applyAlignment="1" applyProtection="1">
      <alignment horizontal="center" vertical="center"/>
    </xf>
    <xf numFmtId="0" fontId="10" fillId="9" borderId="17" xfId="3" applyNumberFormat="1" applyBorder="1" applyAlignment="1" applyProtection="1">
      <alignment horizontal="center" vertical="center"/>
    </xf>
    <xf numFmtId="0" fontId="5" fillId="0" borderId="0" xfId="1" applyAlignment="1">
      <alignment horizontal="center"/>
    </xf>
    <xf numFmtId="0" fontId="12" fillId="12" borderId="2" xfId="5" applyNumberFormat="1" applyBorder="1" applyAlignment="1">
      <alignment horizontal="center"/>
    </xf>
    <xf numFmtId="0" fontId="13" fillId="11" borderId="0" xfId="4"/>
    <xf numFmtId="0" fontId="13" fillId="11" borderId="2" xfId="4" applyNumberFormat="1" applyBorder="1" applyAlignment="1">
      <alignment horizontal="center"/>
    </xf>
    <xf numFmtId="0" fontId="13" fillId="11" borderId="29" xfId="4" applyNumberFormat="1" applyBorder="1" applyAlignment="1">
      <alignment horizontal="center"/>
    </xf>
    <xf numFmtId="0" fontId="13" fillId="11" borderId="0" xfId="4" applyNumberFormat="1" applyAlignment="1">
      <alignment horizontal="center"/>
    </xf>
    <xf numFmtId="0" fontId="13" fillId="11" borderId="18" xfId="4" applyNumberFormat="1" applyBorder="1" applyAlignment="1">
      <alignment horizontal="center"/>
    </xf>
    <xf numFmtId="2" fontId="10" fillId="9" borderId="35" xfId="3" applyNumberFormat="1" applyBorder="1" applyAlignment="1">
      <alignment horizontal="center"/>
    </xf>
    <xf numFmtId="2" fontId="10" fillId="9" borderId="19" xfId="3" applyNumberFormat="1" applyBorder="1" applyAlignment="1" applyProtection="1">
      <alignment horizontal="left" vertical="center"/>
    </xf>
    <xf numFmtId="2" fontId="0" fillId="10" borderId="35" xfId="0" applyNumberFormat="1" applyFill="1" applyBorder="1" applyAlignment="1">
      <alignment horizontal="center"/>
    </xf>
    <xf numFmtId="0" fontId="12" fillId="12" borderId="3" xfId="5" applyNumberFormat="1" applyBorder="1" applyAlignment="1">
      <alignment horizontal="center"/>
    </xf>
    <xf numFmtId="0" fontId="5" fillId="0" borderId="0" xfId="1"/>
    <xf numFmtId="164" fontId="0" fillId="0" borderId="18" xfId="0" applyNumberFormat="1" applyBorder="1"/>
    <xf numFmtId="0" fontId="12" fillId="13" borderId="0" xfId="6"/>
    <xf numFmtId="0" fontId="12" fillId="13" borderId="18" xfId="6" applyBorder="1"/>
    <xf numFmtId="2" fontId="12" fillId="13" borderId="0" xfId="6" applyNumberFormat="1"/>
    <xf numFmtId="0" fontId="12" fillId="14" borderId="18" xfId="7" applyBorder="1"/>
    <xf numFmtId="0" fontId="12" fillId="13" borderId="18" xfId="6" applyBorder="1" applyAlignment="1">
      <alignment horizontal="center"/>
    </xf>
    <xf numFmtId="2" fontId="0" fillId="0" borderId="18" xfId="0" applyNumberFormat="1" applyBorder="1"/>
    <xf numFmtId="0" fontId="10" fillId="9" borderId="18" xfId="3" applyBorder="1"/>
    <xf numFmtId="1" fontId="5" fillId="0" borderId="0" xfId="1" applyNumberFormat="1" applyAlignment="1">
      <alignment horizontal="center"/>
    </xf>
    <xf numFmtId="2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164" fontId="5" fillId="0" borderId="0" xfId="1" applyNumberFormat="1" applyAlignment="1">
      <alignment horizontal="center"/>
    </xf>
  </cellXfs>
  <cellStyles count="8">
    <cellStyle name="40% - Accent3" xfId="6" builtinId="39"/>
    <cellStyle name="60% - Accent1" xfId="5" builtinId="32"/>
    <cellStyle name="60% - Accent3" xfId="7" builtinId="40"/>
    <cellStyle name="Accent1" xfId="4" builtinId="29"/>
    <cellStyle name="Good" xfId="3" builtinId="26"/>
    <cellStyle name="Normal" xfId="0" builtinId="0"/>
    <cellStyle name="Normal 3" xfId="1" xr:uid="{00000000-0005-0000-0000-000003000000}"/>
    <cellStyle name="Standaard 2" xfId="2" xr:uid="{00000000-0005-0000-0000-000004000000}"/>
  </cellStyles>
  <dxfs count="727">
    <dxf>
      <border outline="0">
        <top style="medium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outline="0">
        <top style="medium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solid">
          <fgColor indexed="64"/>
          <bgColor theme="8" tint="0.79998168889431442"/>
        </patternFill>
      </fill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  <protection locked="1" hidden="0"/>
    </dxf>
    <dxf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outline="0">
        <top style="medium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numFmt numFmtId="16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border outline="0">
        <bottom style="medium">
          <color indexed="64"/>
        </bottom>
      </border>
    </dxf>
    <dxf>
      <font>
        <b/>
        <i val="0"/>
      </font>
    </dxf>
    <dxf>
      <font>
        <b/>
        <i val="0"/>
      </font>
    </dxf>
    <dxf>
      <border outline="0">
        <top style="medium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outline="0">
        <top style="medium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solid">
          <fgColor indexed="64"/>
          <bgColor theme="8" tint="0.79998168889431442"/>
        </patternFill>
      </fill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  <protection locked="1" hidden="0"/>
    </dxf>
    <dxf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outline="0">
        <top style="medium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numFmt numFmtId="0" formatCode="General"/>
    </dxf>
    <dxf>
      <numFmt numFmtId="169" formatCode="m/d/yyyy"/>
      <border>
        <right style="medium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border outline="0">
        <top style="medium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outline="0">
        <top style="medium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solid">
          <fgColor indexed="64"/>
          <bgColor theme="8" tint="0.79998168889431442"/>
        </patternFill>
      </fill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  <protection locked="1" hidden="0"/>
    </dxf>
    <dxf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outline="0">
        <top style="medium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numFmt numFmtId="0" formatCode="General"/>
    </dxf>
    <dxf>
      <numFmt numFmtId="169" formatCode="m/d/yyyy"/>
      <border>
        <right style="medium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border outline="0">
        <top style="medium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outline="0">
        <top style="medium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solid">
          <fgColor indexed="64"/>
          <bgColor theme="8" tint="0.79998168889431442"/>
        </patternFill>
      </fill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  <protection locked="1" hidden="0"/>
    </dxf>
    <dxf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outline="0">
        <top style="medium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numFmt numFmtId="0" formatCode="General"/>
    </dxf>
    <dxf>
      <numFmt numFmtId="169" formatCode="m/d/yyyy"/>
      <border outline="0">
        <right style="medium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outline="0">
        <top style="medium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outline="0">
        <top style="medium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solid">
          <fgColor indexed="64"/>
          <bgColor theme="8" tint="0.79998168889431442"/>
        </patternFill>
      </fill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  <protection locked="1" hidden="0"/>
    </dxf>
    <dxf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outline="0">
        <top style="medium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numFmt numFmtId="16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border outline="0">
        <bottom style="medium">
          <color indexed="64"/>
        </bottom>
      </border>
    </dxf>
    <dxf>
      <font>
        <b/>
        <i val="0"/>
      </font>
    </dxf>
    <dxf>
      <font>
        <b/>
        <i val="0"/>
      </font>
    </dxf>
    <dxf>
      <numFmt numFmtId="0" formatCode="General"/>
    </dxf>
    <dxf>
      <numFmt numFmtId="0" formatCode="General"/>
    </dxf>
    <dxf>
      <numFmt numFmtId="168" formatCode="0.00000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outline="0">
        <top style="medium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outline="0">
        <top style="medium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solid">
          <fgColor indexed="64"/>
          <bgColor theme="8" tint="0.79998168889431442"/>
        </patternFill>
      </fill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  <protection locked="1" hidden="0"/>
    </dxf>
    <dxf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outline="0">
        <top style="medium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numFmt numFmtId="16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border outline="0">
        <bottom style="medium">
          <color indexed="64"/>
        </bottom>
      </border>
    </dxf>
    <dxf>
      <font>
        <b/>
        <i val="0"/>
      </font>
    </dxf>
    <dxf>
      <font>
        <b/>
        <i val="0"/>
      </font>
    </dxf>
    <dxf>
      <border outline="0">
        <top style="medium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outline="0">
        <top style="medium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outline="0">
        <top style="medium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numFmt numFmtId="16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border outline="0">
        <bottom style="medium">
          <color indexed="64"/>
        </bottom>
      </border>
    </dxf>
    <dxf>
      <font>
        <b/>
        <i val="0"/>
      </font>
    </dxf>
    <dxf>
      <font>
        <b/>
        <i val="0"/>
      </font>
    </dxf>
    <dxf>
      <border outline="0">
        <top style="medium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outline="0">
        <top style="medium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outline="0">
        <top style="medium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numFmt numFmtId="16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border outline="0">
        <bottom style="medium">
          <color indexed="64"/>
        </bottom>
      </border>
    </dxf>
    <dxf>
      <font>
        <b/>
        <i val="0"/>
      </font>
    </dxf>
    <dxf>
      <font>
        <b/>
        <i val="0"/>
      </font>
    </dxf>
    <dxf>
      <border outline="0">
        <top style="medium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outline="0">
        <top style="medium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outline="0">
        <top style="medium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numFmt numFmtId="16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border outline="0">
        <bottom style="medium">
          <color indexed="64"/>
        </bottom>
      </border>
    </dxf>
    <dxf>
      <font>
        <b/>
        <i val="0"/>
      </font>
    </dxf>
    <dxf>
      <font>
        <b/>
        <i val="0"/>
      </font>
    </dxf>
    <dxf>
      <border outline="0">
        <top style="medium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outline="0">
        <top style="medium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outline="0">
        <top style="medium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numFmt numFmtId="16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border outline="0">
        <bottom style="medium">
          <color indexed="64"/>
        </bottom>
      </border>
    </dxf>
    <dxf>
      <font>
        <b/>
        <i val="0"/>
      </font>
    </dxf>
    <dxf>
      <font>
        <b/>
        <i val="0"/>
      </font>
    </dxf>
    <dxf>
      <border outline="0">
        <top style="medium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outline="0">
        <top style="medium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outline="0">
        <top style="medium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numFmt numFmtId="16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border outline="0">
        <bottom style="medium">
          <color indexed="64"/>
        </bottom>
      </border>
    </dxf>
    <dxf>
      <font>
        <b/>
        <i val="0"/>
      </font>
    </dxf>
    <dxf>
      <font>
        <b/>
        <i val="0"/>
      </font>
    </dxf>
    <dxf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outline="0">
        <top style="medium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outline="0">
        <top style="medium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numFmt numFmtId="16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border outline="0">
        <bottom style="medium">
          <color indexed="64"/>
        </bottom>
      </border>
    </dxf>
    <dxf>
      <font>
        <b/>
        <i val="0"/>
      </font>
    </dxf>
    <dxf>
      <font>
        <b/>
        <i val="0"/>
      </font>
    </dxf>
    <dxf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outline="0">
        <top style="medium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outline="0">
        <top style="medium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numFmt numFmtId="16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border outline="0">
        <bottom style="medium">
          <color indexed="64"/>
        </bottom>
      </border>
    </dxf>
    <dxf>
      <font>
        <b/>
        <i val="0"/>
      </font>
    </dxf>
    <dxf>
      <font>
        <b/>
        <i val="0"/>
      </font>
    </dxf>
    <dxf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/>
      </border>
    </dxf>
    <dxf>
      <numFmt numFmtId="164" formatCode="0.0"/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outline="0">
        <top style="medium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outline="0">
        <top style="medium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numFmt numFmtId="16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border outline="0">
        <bottom style="medium">
          <color indexed="64"/>
        </bottom>
      </border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807756463137027"/>
          <c:y val="8.3901785578749388E-2"/>
          <c:w val="0.71930563850113771"/>
          <c:h val="0.70986831445789966"/>
        </c:manualLayout>
      </c:layout>
      <c:scatterChart>
        <c:scatterStyle val="lineMarker"/>
        <c:varyColors val="0"/>
        <c:ser>
          <c:idx val="2"/>
          <c:order val="0"/>
          <c:tx>
            <c:v>blank</c:v>
          </c:tx>
          <c:spPr>
            <a:ln w="25400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75000"/>
                  </a:schemeClr>
                </a:solidFill>
              </a:ln>
              <a:effectLst/>
            </c:spPr>
          </c:marker>
          <c:xVal>
            <c:numRef>
              <c:f>'Blank average'!$B$9:$B$15</c:f>
              <c:numCache>
                <c:formatCode>General</c:formatCode>
                <c:ptCount val="7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6</c:v>
                </c:pt>
                <c:pt idx="4">
                  <c:v>9</c:v>
                </c:pt>
                <c:pt idx="5">
                  <c:v>15</c:v>
                </c:pt>
                <c:pt idx="6">
                  <c:v>21</c:v>
                </c:pt>
              </c:numCache>
            </c:numRef>
          </c:xVal>
          <c:yVal>
            <c:numRef>
              <c:f>'Blank average'!$BS$9:$BS$15</c:f>
              <c:numCache>
                <c:formatCode>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739-4138-9A0F-16048E381F2F}"/>
            </c:ext>
          </c:extLst>
        </c:ser>
        <c:ser>
          <c:idx val="1"/>
          <c:order val="1"/>
          <c:tx>
            <c:v>30 g/L</c:v>
          </c:tx>
          <c:spPr>
            <a:ln w="25400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.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'B4B6 Aver'!$BA$40:$BA$46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8.5798212879601016E-3</c:v>
                  </c:pt>
                  <c:pt idx="2">
                    <c:v>9.6104789856350757E-3</c:v>
                  </c:pt>
                  <c:pt idx="3">
                    <c:v>0.27782071862983815</c:v>
                  </c:pt>
                  <c:pt idx="4">
                    <c:v>0.49806266295852142</c:v>
                  </c:pt>
                  <c:pt idx="5">
                    <c:v>1.433831927075127</c:v>
                  </c:pt>
                  <c:pt idx="6">
                    <c:v>0.59728502249763449</c:v>
                  </c:pt>
                </c:numCache>
              </c:numRef>
            </c:plus>
            <c:minus>
              <c:numRef>
                <c:f>'B4B6 Aver'!$BA$40:$BA$46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8.5798212879601016E-3</c:v>
                  </c:pt>
                  <c:pt idx="2">
                    <c:v>9.6104789856350757E-3</c:v>
                  </c:pt>
                  <c:pt idx="3">
                    <c:v>0.27782071862983815</c:v>
                  </c:pt>
                  <c:pt idx="4">
                    <c:v>0.49806266295852142</c:v>
                  </c:pt>
                  <c:pt idx="5">
                    <c:v>1.433831927075127</c:v>
                  </c:pt>
                  <c:pt idx="6">
                    <c:v>0.59728502249763449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'B4B6 Aver'!$B$9:$B$15</c:f>
              <c:numCache>
                <c:formatCode>General</c:formatCode>
                <c:ptCount val="7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6</c:v>
                </c:pt>
                <c:pt idx="4">
                  <c:v>9</c:v>
                </c:pt>
                <c:pt idx="5">
                  <c:v>15</c:v>
                </c:pt>
                <c:pt idx="6">
                  <c:v>21</c:v>
                </c:pt>
              </c:numCache>
            </c:numRef>
          </c:xVal>
          <c:yVal>
            <c:numRef>
              <c:f>'B4B6 Aver'!$BA$9:$BA$15</c:f>
              <c:numCache>
                <c:formatCode>0.0</c:formatCode>
                <c:ptCount val="7"/>
                <c:pt idx="0">
                  <c:v>0</c:v>
                </c:pt>
                <c:pt idx="1">
                  <c:v>0.10526666666666668</c:v>
                </c:pt>
                <c:pt idx="2">
                  <c:v>0.28721766666666665</c:v>
                </c:pt>
                <c:pt idx="3">
                  <c:v>1.2453800000000002</c:v>
                </c:pt>
                <c:pt idx="4">
                  <c:v>3.1608666666666667</c:v>
                </c:pt>
                <c:pt idx="5">
                  <c:v>9.98001</c:v>
                </c:pt>
                <c:pt idx="6">
                  <c:v>13.770110000000001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739-4138-9A0F-16048E381F2F}"/>
            </c:ext>
          </c:extLst>
        </c:ser>
        <c:ser>
          <c:idx val="0"/>
          <c:order val="2"/>
          <c:tx>
            <c:v>60 g/L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.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'B1B3 Aver'!$BA$41:$BA$47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7.2896177083118241E-2</c:v>
                  </c:pt>
                  <c:pt idx="2">
                    <c:v>6.0258443391777099E-2</c:v>
                  </c:pt>
                  <c:pt idx="3">
                    <c:v>5.4606227972030276E-2</c:v>
                  </c:pt>
                  <c:pt idx="4">
                    <c:v>0.59058498092992517</c:v>
                  </c:pt>
                  <c:pt idx="5">
                    <c:v>1.2185983621084238</c:v>
                  </c:pt>
                  <c:pt idx="6">
                    <c:v>2.4171028801714924</c:v>
                  </c:pt>
                </c:numCache>
              </c:numRef>
            </c:plus>
            <c:minus>
              <c:numRef>
                <c:f>'B1B3 Aver'!$BA$41:$BA$47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7.2896177083118241E-2</c:v>
                  </c:pt>
                  <c:pt idx="2">
                    <c:v>6.0258443391777099E-2</c:v>
                  </c:pt>
                  <c:pt idx="3">
                    <c:v>5.4606227972030276E-2</c:v>
                  </c:pt>
                  <c:pt idx="4">
                    <c:v>0.59058498092992517</c:v>
                  </c:pt>
                  <c:pt idx="5">
                    <c:v>1.2185983621084238</c:v>
                  </c:pt>
                  <c:pt idx="6">
                    <c:v>2.4171028801714924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'B1B3 Aver'!$B$9:$B$15</c:f>
              <c:numCache>
                <c:formatCode>General</c:formatCode>
                <c:ptCount val="7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6</c:v>
                </c:pt>
                <c:pt idx="4">
                  <c:v>9</c:v>
                </c:pt>
                <c:pt idx="5">
                  <c:v>15</c:v>
                </c:pt>
                <c:pt idx="6">
                  <c:v>21</c:v>
                </c:pt>
              </c:numCache>
            </c:numRef>
          </c:xVal>
          <c:yVal>
            <c:numRef>
              <c:f>'B1B3 Aver'!$BA$9:$BA$15</c:f>
              <c:numCache>
                <c:formatCode>0.0</c:formatCode>
                <c:ptCount val="7"/>
                <c:pt idx="0">
                  <c:v>0</c:v>
                </c:pt>
                <c:pt idx="1">
                  <c:v>9.8023333333333337E-2</c:v>
                </c:pt>
                <c:pt idx="2">
                  <c:v>0.12039999999999999</c:v>
                </c:pt>
                <c:pt idx="3">
                  <c:v>1.3430666666666664</c:v>
                </c:pt>
                <c:pt idx="4">
                  <c:v>5.3204799999999999</c:v>
                </c:pt>
                <c:pt idx="5">
                  <c:v>23.549673333333331</c:v>
                </c:pt>
                <c:pt idx="6">
                  <c:v>26.574333333333332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39-4138-9A0F-16048E381F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7764288"/>
        <c:axId val="497763504"/>
      </c:scatterChart>
      <c:valAx>
        <c:axId val="497764288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763504"/>
        <c:crosses val="autoZero"/>
        <c:crossBetween val="midCat"/>
      </c:valAx>
      <c:valAx>
        <c:axId val="497763504"/>
        <c:scaling>
          <c:orientation val="minMax"/>
          <c:max val="4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Lactic acid (g/L)</a:t>
                </a:r>
              </a:p>
            </c:rich>
          </c:tx>
          <c:layout>
            <c:manualLayout>
              <c:xMode val="edge"/>
              <c:yMode val="edge"/>
              <c:x val="2.6814833832867289E-2"/>
              <c:y val="0.276940072952075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764288"/>
        <c:crosses val="autoZero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21512680906640178"/>
          <c:y val="9.577236085598026E-2"/>
          <c:w val="0.58970742429881451"/>
          <c:h val="9.250082948229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267049941772524"/>
          <c:y val="7.9418665307808042E-2"/>
          <c:w val="0.72176138460146078"/>
          <c:h val="0.70456839735988586"/>
        </c:manualLayout>
      </c:layout>
      <c:scatterChart>
        <c:scatterStyle val="lineMarker"/>
        <c:varyColors val="0"/>
        <c:ser>
          <c:idx val="2"/>
          <c:order val="0"/>
          <c:tx>
            <c:v>blank</c:v>
          </c:tx>
          <c:spPr>
            <a:ln w="25400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'Blank average'!$B$9:$B$15</c:f>
              <c:numCache>
                <c:formatCode>General</c:formatCode>
                <c:ptCount val="7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6</c:v>
                </c:pt>
                <c:pt idx="4">
                  <c:v>9</c:v>
                </c:pt>
                <c:pt idx="5">
                  <c:v>15</c:v>
                </c:pt>
                <c:pt idx="6">
                  <c:v>21</c:v>
                </c:pt>
              </c:numCache>
            </c:numRef>
          </c:xVal>
          <c:yVal>
            <c:numRef>
              <c:f>'Blank average'!$AE$9:$AE$15</c:f>
              <c:numCache>
                <c:formatCode>0.00</c:formatCode>
                <c:ptCount val="7"/>
                <c:pt idx="0">
                  <c:v>7</c:v>
                </c:pt>
                <c:pt idx="1">
                  <c:v>7.05</c:v>
                </c:pt>
                <c:pt idx="2">
                  <c:v>7.0250000000000004</c:v>
                </c:pt>
                <c:pt idx="3">
                  <c:v>7.02</c:v>
                </c:pt>
                <c:pt idx="4">
                  <c:v>7.0299999999999994</c:v>
                </c:pt>
                <c:pt idx="5">
                  <c:v>7.02</c:v>
                </c:pt>
                <c:pt idx="6">
                  <c:v>7.0549999999999997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D0E-453E-93D8-F21BC038ACED}"/>
            </c:ext>
          </c:extLst>
        </c:ser>
        <c:ser>
          <c:idx val="1"/>
          <c:order val="1"/>
          <c:tx>
            <c:v>pH 30 g/L</c:v>
          </c:tx>
          <c:spPr>
            <a:ln w="25400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1"/>
            <c:val val="0.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'B4B6 Aver'!$AE$40:$AE$62</c:f>
                <c:numCache>
                  <c:formatCode>General</c:formatCode>
                  <c:ptCount val="23"/>
                  <c:pt idx="0">
                    <c:v>0</c:v>
                  </c:pt>
                  <c:pt idx="1">
                    <c:v>1.1547005383792781E-2</c:v>
                  </c:pt>
                  <c:pt idx="2">
                    <c:v>5.7735026918961348E-3</c:v>
                  </c:pt>
                  <c:pt idx="3">
                    <c:v>0.10066445913694322</c:v>
                  </c:pt>
                  <c:pt idx="4">
                    <c:v>2.0000000000000018E-2</c:v>
                  </c:pt>
                  <c:pt idx="5">
                    <c:v>2.3094010767585053E-2</c:v>
                  </c:pt>
                  <c:pt idx="6">
                    <c:v>1.1547005383792526E-2</c:v>
                  </c:pt>
                  <c:pt idx="7">
                    <c:v>0.71346571980252971</c:v>
                  </c:pt>
                  <c:pt idx="8">
                    <c:v>0.60715182066212492</c:v>
                  </c:pt>
                  <c:pt idx="9">
                    <c:v>0.37581023580170503</c:v>
                  </c:pt>
                  <c:pt idx="10">
                    <c:v>0.32129944496269125</c:v>
                  </c:pt>
                  <c:pt idx="11">
                    <c:v>0</c:v>
                  </c:pt>
                  <c:pt idx="12">
                    <c:v>0.46822359331128671</c:v>
                  </c:pt>
                  <c:pt idx="13">
                    <c:v>0.36510272527057347</c:v>
                  </c:pt>
                  <c:pt idx="14">
                    <c:v>0</c:v>
                  </c:pt>
                  <c:pt idx="15">
                    <c:v>0.14177446878757807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</c:numCache>
              </c:numRef>
            </c:plus>
            <c:minus>
              <c:numRef>
                <c:f>'B4B6 Aver'!$AE$40:$AE$62</c:f>
                <c:numCache>
                  <c:formatCode>General</c:formatCode>
                  <c:ptCount val="23"/>
                  <c:pt idx="0">
                    <c:v>0</c:v>
                  </c:pt>
                  <c:pt idx="1">
                    <c:v>1.1547005383792781E-2</c:v>
                  </c:pt>
                  <c:pt idx="2">
                    <c:v>5.7735026918961348E-3</c:v>
                  </c:pt>
                  <c:pt idx="3">
                    <c:v>0.10066445913694322</c:v>
                  </c:pt>
                  <c:pt idx="4">
                    <c:v>2.0000000000000018E-2</c:v>
                  </c:pt>
                  <c:pt idx="5">
                    <c:v>2.3094010767585053E-2</c:v>
                  </c:pt>
                  <c:pt idx="6">
                    <c:v>1.1547005383792526E-2</c:v>
                  </c:pt>
                  <c:pt idx="7">
                    <c:v>0.71346571980252971</c:v>
                  </c:pt>
                  <c:pt idx="8">
                    <c:v>0.60715182066212492</c:v>
                  </c:pt>
                  <c:pt idx="9">
                    <c:v>0.37581023580170503</c:v>
                  </c:pt>
                  <c:pt idx="10">
                    <c:v>0.32129944496269125</c:v>
                  </c:pt>
                  <c:pt idx="11">
                    <c:v>0</c:v>
                  </c:pt>
                  <c:pt idx="12">
                    <c:v>0.46822359331128671</c:v>
                  </c:pt>
                  <c:pt idx="13">
                    <c:v>0.36510272527057347</c:v>
                  </c:pt>
                  <c:pt idx="14">
                    <c:v>0</c:v>
                  </c:pt>
                  <c:pt idx="15">
                    <c:v>0.14177446878757807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'B4B6 Aver'!$B$9:$B$15</c:f>
              <c:numCache>
                <c:formatCode>General</c:formatCode>
                <c:ptCount val="7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6</c:v>
                </c:pt>
                <c:pt idx="4">
                  <c:v>9</c:v>
                </c:pt>
                <c:pt idx="5">
                  <c:v>15</c:v>
                </c:pt>
                <c:pt idx="6">
                  <c:v>21</c:v>
                </c:pt>
              </c:numCache>
            </c:numRef>
          </c:xVal>
          <c:yVal>
            <c:numRef>
              <c:f>'B4B6 Aver'!$AE$9:$AE$15</c:f>
              <c:numCache>
                <c:formatCode>0.00</c:formatCode>
                <c:ptCount val="7"/>
                <c:pt idx="0">
                  <c:v>7</c:v>
                </c:pt>
                <c:pt idx="1">
                  <c:v>6.7733333333333334</c:v>
                </c:pt>
                <c:pt idx="2">
                  <c:v>6.3066666666666658</c:v>
                </c:pt>
                <c:pt idx="3">
                  <c:v>3.5833333333333335</c:v>
                </c:pt>
                <c:pt idx="4">
                  <c:v>2.97</c:v>
                </c:pt>
                <c:pt idx="5">
                  <c:v>2.6533333333333338</c:v>
                </c:pt>
                <c:pt idx="6">
                  <c:v>2.6166666666666667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0E-453E-93D8-F21BC038ACED}"/>
            </c:ext>
          </c:extLst>
        </c:ser>
        <c:ser>
          <c:idx val="0"/>
          <c:order val="2"/>
          <c:tx>
            <c:v>pH 60 g/L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.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'B1B3 Aver'!$AE$41:$AE$47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2.6457513110646182E-2</c:v>
                  </c:pt>
                  <c:pt idx="2">
                    <c:v>0.14106735979665855</c:v>
                  </c:pt>
                  <c:pt idx="3">
                    <c:v>0.10115993936995682</c:v>
                  </c:pt>
                  <c:pt idx="4">
                    <c:v>7.0945988845975957E-2</c:v>
                  </c:pt>
                  <c:pt idx="5">
                    <c:v>6.5574385243019964E-2</c:v>
                  </c:pt>
                  <c:pt idx="6">
                    <c:v>3.5118845842842389E-2</c:v>
                  </c:pt>
                </c:numCache>
              </c:numRef>
            </c:plus>
            <c:minus>
              <c:numRef>
                <c:f>'B1B3 Aver'!$AE$42:$AE$47</c:f>
                <c:numCache>
                  <c:formatCode>General</c:formatCode>
                  <c:ptCount val="6"/>
                  <c:pt idx="0">
                    <c:v>2.6457513110646182E-2</c:v>
                  </c:pt>
                  <c:pt idx="1">
                    <c:v>0.14106735979665855</c:v>
                  </c:pt>
                  <c:pt idx="2">
                    <c:v>0.10115993936995682</c:v>
                  </c:pt>
                  <c:pt idx="3">
                    <c:v>7.0945988845975957E-2</c:v>
                  </c:pt>
                  <c:pt idx="4">
                    <c:v>6.5574385243019964E-2</c:v>
                  </c:pt>
                  <c:pt idx="5">
                    <c:v>3.5118845842842389E-2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'B1B3 Aver'!$B$9:$B$15</c:f>
              <c:numCache>
                <c:formatCode>General</c:formatCode>
                <c:ptCount val="7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6</c:v>
                </c:pt>
                <c:pt idx="4">
                  <c:v>9</c:v>
                </c:pt>
                <c:pt idx="5">
                  <c:v>15</c:v>
                </c:pt>
                <c:pt idx="6">
                  <c:v>21</c:v>
                </c:pt>
              </c:numCache>
            </c:numRef>
          </c:xVal>
          <c:yVal>
            <c:numRef>
              <c:f>'B1B3 Aver'!$AE$9:$AE$15</c:f>
              <c:numCache>
                <c:formatCode>0.00</c:formatCode>
                <c:ptCount val="7"/>
                <c:pt idx="0">
                  <c:v>7</c:v>
                </c:pt>
                <c:pt idx="1">
                  <c:v>6.59</c:v>
                </c:pt>
                <c:pt idx="2">
                  <c:v>6.2399999999999993</c:v>
                </c:pt>
                <c:pt idx="3">
                  <c:v>3.1933333333333334</c:v>
                </c:pt>
                <c:pt idx="4">
                  <c:v>2.6633333333333336</c:v>
                </c:pt>
                <c:pt idx="5">
                  <c:v>2.41</c:v>
                </c:pt>
                <c:pt idx="6">
                  <c:v>2.4033333333333333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0E-453E-93D8-F21BC038AC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302928"/>
        <c:axId val="425297048"/>
      </c:scatterChart>
      <c:valAx>
        <c:axId val="425302928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(days)</a:t>
                </a:r>
              </a:p>
            </c:rich>
          </c:tx>
          <c:layout>
            <c:manualLayout>
              <c:xMode val="edge"/>
              <c:yMode val="edge"/>
              <c:x val="0.42944531875957315"/>
              <c:y val="0.890441117870520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297048"/>
        <c:crosses val="autoZero"/>
        <c:crossBetween val="midCat"/>
      </c:valAx>
      <c:valAx>
        <c:axId val="425297048"/>
        <c:scaling>
          <c:orientation val="minMax"/>
          <c:max val="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302928"/>
        <c:crosses val="autoZero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18442109277659599"/>
          <c:y val="6.7590551181102354E-2"/>
          <c:w val="0.64429800993978381"/>
          <c:h val="0.148012246632840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807756463137027"/>
          <c:y val="8.3901785578749388E-2"/>
          <c:w val="0.77789594305777288"/>
          <c:h val="0.76543278165863671"/>
        </c:manualLayout>
      </c:layout>
      <c:scatterChart>
        <c:scatterStyle val="lineMarker"/>
        <c:varyColors val="0"/>
        <c:ser>
          <c:idx val="0"/>
          <c:order val="0"/>
          <c:tx>
            <c:v>lactate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.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'B1B3 Aver'!$BA$48:$BA$56</c:f>
                <c:numCache>
                  <c:formatCode>General</c:formatCode>
                  <c:ptCount val="9"/>
                  <c:pt idx="0">
                    <c:v>1.5693602796999806</c:v>
                  </c:pt>
                  <c:pt idx="1">
                    <c:v>2.2294075842324688</c:v>
                  </c:pt>
                  <c:pt idx="2">
                    <c:v>1.2011983479425863</c:v>
                  </c:pt>
                  <c:pt idx="3">
                    <c:v>7.107652327769217</c:v>
                  </c:pt>
                  <c:pt idx="4">
                    <c:v>6.3394737232108689</c:v>
                  </c:pt>
                  <c:pt idx="5">
                    <c:v>5.0629508351689978</c:v>
                  </c:pt>
                  <c:pt idx="6">
                    <c:v>2.4093372531826516</c:v>
                  </c:pt>
                  <c:pt idx="7">
                    <c:v>0</c:v>
                  </c:pt>
                  <c:pt idx="8">
                    <c:v>0</c:v>
                  </c:pt>
                </c:numCache>
              </c:numRef>
            </c:plus>
            <c:minus>
              <c:numRef>
                <c:f>'B1B3 Aver'!$BA$48:$BA$56</c:f>
                <c:numCache>
                  <c:formatCode>General</c:formatCode>
                  <c:ptCount val="9"/>
                  <c:pt idx="0">
                    <c:v>1.5693602796999806</c:v>
                  </c:pt>
                  <c:pt idx="1">
                    <c:v>2.2294075842324688</c:v>
                  </c:pt>
                  <c:pt idx="2">
                    <c:v>1.2011983479425863</c:v>
                  </c:pt>
                  <c:pt idx="3">
                    <c:v>7.107652327769217</c:v>
                  </c:pt>
                  <c:pt idx="4">
                    <c:v>6.3394737232108689</c:v>
                  </c:pt>
                  <c:pt idx="5">
                    <c:v>5.0629508351689978</c:v>
                  </c:pt>
                  <c:pt idx="6">
                    <c:v>2.4093372531826516</c:v>
                  </c:pt>
                  <c:pt idx="7">
                    <c:v>0</c:v>
                  </c:pt>
                  <c:pt idx="8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1"/>
                </a:solidFill>
                <a:prstDash val="sysDot"/>
                <a:round/>
              </a:ln>
              <a:effectLst/>
            </c:spPr>
          </c:errBars>
          <c:xVal>
            <c:numRef>
              <c:f>'B1B3 Aver'!$B$16:$B$24</c:f>
              <c:numCache>
                <c:formatCode>General</c:formatCode>
                <c:ptCount val="9"/>
                <c:pt idx="0">
                  <c:v>21</c:v>
                </c:pt>
                <c:pt idx="1">
                  <c:v>26</c:v>
                </c:pt>
                <c:pt idx="2">
                  <c:v>29</c:v>
                </c:pt>
                <c:pt idx="3">
                  <c:v>32</c:v>
                </c:pt>
                <c:pt idx="4">
                  <c:v>38</c:v>
                </c:pt>
                <c:pt idx="5">
                  <c:v>43</c:v>
                </c:pt>
                <c:pt idx="6">
                  <c:v>46</c:v>
                </c:pt>
                <c:pt idx="7">
                  <c:v>50</c:v>
                </c:pt>
                <c:pt idx="8">
                  <c:v>58</c:v>
                </c:pt>
              </c:numCache>
            </c:numRef>
          </c:xVal>
          <c:yVal>
            <c:numRef>
              <c:f>'B1B3 Aver'!$BA$16:$BA$24</c:f>
              <c:numCache>
                <c:formatCode>0.0</c:formatCode>
                <c:ptCount val="9"/>
                <c:pt idx="0">
                  <c:v>15.4535</c:v>
                </c:pt>
                <c:pt idx="1">
                  <c:v>13.404213333333336</c:v>
                </c:pt>
                <c:pt idx="2">
                  <c:v>11.217799999999999</c:v>
                </c:pt>
                <c:pt idx="3">
                  <c:v>7.7206284118946655</c:v>
                </c:pt>
                <c:pt idx="4">
                  <c:v>7.264350561903048</c:v>
                </c:pt>
                <c:pt idx="5">
                  <c:v>2.9230960275786617</c:v>
                </c:pt>
                <c:pt idx="6">
                  <c:v>1.4209236738673241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52C-46C5-B4C7-AB58D1A38FF2}"/>
            </c:ext>
          </c:extLst>
        </c:ser>
        <c:ser>
          <c:idx val="3"/>
          <c:order val="1"/>
          <c:tx>
            <c:v>acetate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'B1B3 Aver'!$AQ$48:$AQ$56</c:f>
                <c:numCache>
                  <c:formatCode>General</c:formatCode>
                  <c:ptCount val="9"/>
                  <c:pt idx="0">
                    <c:v>0.11645669443909232</c:v>
                  </c:pt>
                  <c:pt idx="1">
                    <c:v>9.7852511639535344E-2</c:v>
                  </c:pt>
                  <c:pt idx="2">
                    <c:v>0</c:v>
                  </c:pt>
                  <c:pt idx="3">
                    <c:v>0.40643037494486267</c:v>
                  </c:pt>
                  <c:pt idx="4">
                    <c:v>0.66403682680931664</c:v>
                  </c:pt>
                  <c:pt idx="5">
                    <c:v>0.3819585084504617</c:v>
                  </c:pt>
                  <c:pt idx="6">
                    <c:v>0.32290169702541943</c:v>
                  </c:pt>
                  <c:pt idx="7">
                    <c:v>0.60920203596418421</c:v>
                  </c:pt>
                  <c:pt idx="8">
                    <c:v>1.0548772978070515</c:v>
                  </c:pt>
                </c:numCache>
              </c:numRef>
            </c:plus>
            <c:minus>
              <c:numRef>
                <c:f>'B1B3 Aver'!$AQ$48:$AQ$56</c:f>
                <c:numCache>
                  <c:formatCode>General</c:formatCode>
                  <c:ptCount val="9"/>
                  <c:pt idx="0">
                    <c:v>0.11645669443909232</c:v>
                  </c:pt>
                  <c:pt idx="1">
                    <c:v>9.7852511639535344E-2</c:v>
                  </c:pt>
                  <c:pt idx="2">
                    <c:v>0</c:v>
                  </c:pt>
                  <c:pt idx="3">
                    <c:v>0.40643037494486267</c:v>
                  </c:pt>
                  <c:pt idx="4">
                    <c:v>0.66403682680931664</c:v>
                  </c:pt>
                  <c:pt idx="5">
                    <c:v>0.3819585084504617</c:v>
                  </c:pt>
                  <c:pt idx="6">
                    <c:v>0.32290169702541943</c:v>
                  </c:pt>
                  <c:pt idx="7">
                    <c:v>0.60920203596418421</c:v>
                  </c:pt>
                  <c:pt idx="8">
                    <c:v>1.0548772978070515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'B1B3 Aver'!$B$16:$B$24</c:f>
              <c:numCache>
                <c:formatCode>General</c:formatCode>
                <c:ptCount val="9"/>
                <c:pt idx="0">
                  <c:v>21</c:v>
                </c:pt>
                <c:pt idx="1">
                  <c:v>26</c:v>
                </c:pt>
                <c:pt idx="2">
                  <c:v>29</c:v>
                </c:pt>
                <c:pt idx="3">
                  <c:v>32</c:v>
                </c:pt>
                <c:pt idx="4">
                  <c:v>38</c:v>
                </c:pt>
                <c:pt idx="5">
                  <c:v>43</c:v>
                </c:pt>
                <c:pt idx="6">
                  <c:v>46</c:v>
                </c:pt>
                <c:pt idx="7">
                  <c:v>50</c:v>
                </c:pt>
                <c:pt idx="8">
                  <c:v>58</c:v>
                </c:pt>
              </c:numCache>
            </c:numRef>
          </c:xVal>
          <c:yVal>
            <c:numRef>
              <c:f>'B1B3 Aver'!$AP$16:$AP$24</c:f>
              <c:numCache>
                <c:formatCode>0.0</c:formatCode>
                <c:ptCount val="9"/>
                <c:pt idx="0">
                  <c:v>6.9622815475036973E-2</c:v>
                </c:pt>
                <c:pt idx="1">
                  <c:v>0.13750600860586484</c:v>
                </c:pt>
                <c:pt idx="2">
                  <c:v>1.2211313920359467E-2</c:v>
                </c:pt>
                <c:pt idx="3">
                  <c:v>0.1001920649826476</c:v>
                </c:pt>
                <c:pt idx="4">
                  <c:v>0.64625483904303316</c:v>
                </c:pt>
                <c:pt idx="5">
                  <c:v>0.8212069301261864</c:v>
                </c:pt>
                <c:pt idx="6">
                  <c:v>1.0109337116595891</c:v>
                </c:pt>
                <c:pt idx="7">
                  <c:v>1.0817051180478083</c:v>
                </c:pt>
                <c:pt idx="8" formatCode="0.00">
                  <c:v>1.2141147043600549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52C-46C5-B4C7-AB58D1A38FF2}"/>
            </c:ext>
          </c:extLst>
        </c:ser>
        <c:ser>
          <c:idx val="4"/>
          <c:order val="2"/>
          <c:tx>
            <c:v>propionate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'B1B3 Aver'!$AP$48:$AP$56</c:f>
                <c:numCache>
                  <c:formatCode>General</c:formatCode>
                  <c:ptCount val="9"/>
                  <c:pt idx="0">
                    <c:v>5.6063522099685348E-2</c:v>
                  </c:pt>
                  <c:pt idx="1">
                    <c:v>2.5623200331572133E-2</c:v>
                  </c:pt>
                  <c:pt idx="2">
                    <c:v>0</c:v>
                  </c:pt>
                  <c:pt idx="3">
                    <c:v>0.11806683209910913</c:v>
                  </c:pt>
                  <c:pt idx="4">
                    <c:v>0.62443587651013033</c:v>
                  </c:pt>
                  <c:pt idx="5">
                    <c:v>0.51872185166394191</c:v>
                  </c:pt>
                  <c:pt idx="6">
                    <c:v>0.59821907589105949</c:v>
                  </c:pt>
                  <c:pt idx="7">
                    <c:v>0.38697581044168194</c:v>
                  </c:pt>
                  <c:pt idx="8">
                    <c:v>0.54466671845742343</c:v>
                  </c:pt>
                </c:numCache>
              </c:numRef>
            </c:plus>
            <c:minus>
              <c:numRef>
                <c:f>'B1B3 Aver'!$AP$48:$AP$56</c:f>
                <c:numCache>
                  <c:formatCode>General</c:formatCode>
                  <c:ptCount val="9"/>
                  <c:pt idx="0">
                    <c:v>5.6063522099685348E-2</c:v>
                  </c:pt>
                  <c:pt idx="1">
                    <c:v>2.5623200331572133E-2</c:v>
                  </c:pt>
                  <c:pt idx="2">
                    <c:v>0</c:v>
                  </c:pt>
                  <c:pt idx="3">
                    <c:v>0.11806683209910913</c:v>
                  </c:pt>
                  <c:pt idx="4">
                    <c:v>0.62443587651013033</c:v>
                  </c:pt>
                  <c:pt idx="5">
                    <c:v>0.51872185166394191</c:v>
                  </c:pt>
                  <c:pt idx="6">
                    <c:v>0.59821907589105949</c:v>
                  </c:pt>
                  <c:pt idx="7">
                    <c:v>0.38697581044168194</c:v>
                  </c:pt>
                  <c:pt idx="8">
                    <c:v>0.54466671845742343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'B1B3 Aver'!$B$16:$B$24</c:f>
              <c:numCache>
                <c:formatCode>General</c:formatCode>
                <c:ptCount val="9"/>
                <c:pt idx="0">
                  <c:v>21</c:v>
                </c:pt>
                <c:pt idx="1">
                  <c:v>26</c:v>
                </c:pt>
                <c:pt idx="2">
                  <c:v>29</c:v>
                </c:pt>
                <c:pt idx="3">
                  <c:v>32</c:v>
                </c:pt>
                <c:pt idx="4">
                  <c:v>38</c:v>
                </c:pt>
                <c:pt idx="5">
                  <c:v>43</c:v>
                </c:pt>
                <c:pt idx="6">
                  <c:v>46</c:v>
                </c:pt>
                <c:pt idx="7">
                  <c:v>50</c:v>
                </c:pt>
                <c:pt idx="8">
                  <c:v>58</c:v>
                </c:pt>
              </c:numCache>
            </c:numRef>
          </c:xVal>
          <c:yVal>
            <c:numRef>
              <c:f>'B1B3 Aver'!$AQ$16:$AQ$24</c:f>
              <c:numCache>
                <c:formatCode>0.0</c:formatCode>
                <c:ptCount val="9"/>
                <c:pt idx="0">
                  <c:v>0.19582593483656549</c:v>
                </c:pt>
                <c:pt idx="1">
                  <c:v>0.12410605337404552</c:v>
                </c:pt>
                <c:pt idx="2">
                  <c:v>8.3237539785879625E-4</c:v>
                </c:pt>
                <c:pt idx="3">
                  <c:v>0.35350948194712345</c:v>
                </c:pt>
                <c:pt idx="4">
                  <c:v>0.83536693935260042</c:v>
                </c:pt>
                <c:pt idx="5">
                  <c:v>0.72525253457238525</c:v>
                </c:pt>
                <c:pt idx="6">
                  <c:v>1.3729128671382695</c:v>
                </c:pt>
                <c:pt idx="7">
                  <c:v>1.624459183156203</c:v>
                </c:pt>
                <c:pt idx="8" formatCode="0.00">
                  <c:v>2.1155766294562004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52C-46C5-B4C7-AB58D1A38FF2}"/>
            </c:ext>
          </c:extLst>
        </c:ser>
        <c:ser>
          <c:idx val="1"/>
          <c:order val="3"/>
          <c:tx>
            <c:v>n-butyrate</c:v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.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'B1B3 Aver'!$AS$48:$AS$56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4.2836480885645151E-2</c:v>
                  </c:pt>
                  <c:pt idx="2">
                    <c:v>0</c:v>
                  </c:pt>
                  <c:pt idx="3">
                    <c:v>0.83534667198679557</c:v>
                  </c:pt>
                  <c:pt idx="4">
                    <c:v>2.7809400374326461</c:v>
                  </c:pt>
                  <c:pt idx="5">
                    <c:v>2.6695288255182428</c:v>
                  </c:pt>
                  <c:pt idx="6">
                    <c:v>1.5591574761036617</c:v>
                  </c:pt>
                  <c:pt idx="7">
                    <c:v>1.5181271441489779</c:v>
                  </c:pt>
                  <c:pt idx="8">
                    <c:v>1.3606784367600666</c:v>
                  </c:pt>
                </c:numCache>
              </c:numRef>
            </c:plus>
            <c:minus>
              <c:numRef>
                <c:f>'B1B3 Aver'!$AS$48:$AS$56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4.2836480885645151E-2</c:v>
                  </c:pt>
                  <c:pt idx="2">
                    <c:v>0</c:v>
                  </c:pt>
                  <c:pt idx="3">
                    <c:v>0.83534667198679557</c:v>
                  </c:pt>
                  <c:pt idx="4">
                    <c:v>2.7809400374326461</c:v>
                  </c:pt>
                  <c:pt idx="5">
                    <c:v>2.6695288255182428</c:v>
                  </c:pt>
                  <c:pt idx="6">
                    <c:v>1.5591574761036617</c:v>
                  </c:pt>
                  <c:pt idx="7">
                    <c:v>1.5181271441489779</c:v>
                  </c:pt>
                  <c:pt idx="8">
                    <c:v>1.3606784367600666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7030A0"/>
                </a:solidFill>
                <a:prstDash val="sysDot"/>
                <a:round/>
              </a:ln>
              <a:effectLst/>
            </c:spPr>
          </c:errBars>
          <c:xVal>
            <c:numRef>
              <c:f>'B1B3 Aver'!$B$16:$B$24</c:f>
              <c:numCache>
                <c:formatCode>General</c:formatCode>
                <c:ptCount val="9"/>
                <c:pt idx="0">
                  <c:v>21</c:v>
                </c:pt>
                <c:pt idx="1">
                  <c:v>26</c:v>
                </c:pt>
                <c:pt idx="2">
                  <c:v>29</c:v>
                </c:pt>
                <c:pt idx="3">
                  <c:v>32</c:v>
                </c:pt>
                <c:pt idx="4">
                  <c:v>38</c:v>
                </c:pt>
                <c:pt idx="5">
                  <c:v>43</c:v>
                </c:pt>
                <c:pt idx="6">
                  <c:v>46</c:v>
                </c:pt>
                <c:pt idx="7">
                  <c:v>50</c:v>
                </c:pt>
                <c:pt idx="8">
                  <c:v>58</c:v>
                </c:pt>
              </c:numCache>
            </c:numRef>
          </c:xVal>
          <c:yVal>
            <c:numRef>
              <c:f>'B1B3 Aver'!$AS$16:$AS$24</c:f>
              <c:numCache>
                <c:formatCode>0.0</c:formatCode>
                <c:ptCount val="9"/>
                <c:pt idx="0">
                  <c:v>8.7942821950477076E-3</c:v>
                </c:pt>
                <c:pt idx="1">
                  <c:v>2.7480930327012432E-2</c:v>
                </c:pt>
                <c:pt idx="2">
                  <c:v>3.4385005995920272E-3</c:v>
                </c:pt>
                <c:pt idx="3">
                  <c:v>9.8855677592702418E-2</c:v>
                </c:pt>
                <c:pt idx="4">
                  <c:v>3.1170355442874169</c:v>
                </c:pt>
                <c:pt idx="5">
                  <c:v>3.7597900088017906</c:v>
                </c:pt>
                <c:pt idx="6">
                  <c:v>5.471682397253713</c:v>
                </c:pt>
                <c:pt idx="7">
                  <c:v>5.2408468842213471</c:v>
                </c:pt>
                <c:pt idx="8" formatCode="0.00">
                  <c:v>6.491752178717725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52C-46C5-B4C7-AB58D1A38FF2}"/>
            </c:ext>
          </c:extLst>
        </c:ser>
        <c:ser>
          <c:idx val="5"/>
          <c:order val="4"/>
          <c:tx>
            <c:v>iso-butyrate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'B1B3 Aver'!$AR$48:$AR$56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3.1164077028981836E-2</c:v>
                  </c:pt>
                  <c:pt idx="4">
                    <c:v>0.52494612584537581</c:v>
                  </c:pt>
                  <c:pt idx="5">
                    <c:v>0.4724877982150309</c:v>
                  </c:pt>
                  <c:pt idx="6">
                    <c:v>0.56396697815812413</c:v>
                  </c:pt>
                  <c:pt idx="7">
                    <c:v>0.5470805147867529</c:v>
                  </c:pt>
                  <c:pt idx="8">
                    <c:v>0.66851484285970952</c:v>
                  </c:pt>
                </c:numCache>
              </c:numRef>
            </c:plus>
            <c:minus>
              <c:numRef>
                <c:f>'B1B3 Aver'!$AR$48:$AR$56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3.1164077028981836E-2</c:v>
                  </c:pt>
                  <c:pt idx="4">
                    <c:v>0.52494612584537581</c:v>
                  </c:pt>
                  <c:pt idx="5">
                    <c:v>0.4724877982150309</c:v>
                  </c:pt>
                  <c:pt idx="6">
                    <c:v>0.56396697815812413</c:v>
                  </c:pt>
                  <c:pt idx="7">
                    <c:v>0.5470805147867529</c:v>
                  </c:pt>
                  <c:pt idx="8">
                    <c:v>0.66851484285970952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'B1B3 Aver'!$B$16:$B$24</c:f>
              <c:numCache>
                <c:formatCode>General</c:formatCode>
                <c:ptCount val="9"/>
                <c:pt idx="0">
                  <c:v>21</c:v>
                </c:pt>
                <c:pt idx="1">
                  <c:v>26</c:v>
                </c:pt>
                <c:pt idx="2">
                  <c:v>29</c:v>
                </c:pt>
                <c:pt idx="3">
                  <c:v>32</c:v>
                </c:pt>
                <c:pt idx="4">
                  <c:v>38</c:v>
                </c:pt>
                <c:pt idx="5">
                  <c:v>43</c:v>
                </c:pt>
                <c:pt idx="6">
                  <c:v>46</c:v>
                </c:pt>
                <c:pt idx="7">
                  <c:v>50</c:v>
                </c:pt>
                <c:pt idx="8">
                  <c:v>58</c:v>
                </c:pt>
              </c:numCache>
            </c:numRef>
          </c:xVal>
          <c:yVal>
            <c:numRef>
              <c:f>'B1B3 Aver'!$AR$16:$AR$24</c:f>
              <c:numCache>
                <c:formatCode>0.0</c:formatCode>
                <c:ptCount val="9"/>
                <c:pt idx="0">
                  <c:v>9.987813601757651E-4</c:v>
                </c:pt>
                <c:pt idx="1">
                  <c:v>0</c:v>
                </c:pt>
                <c:pt idx="2">
                  <c:v>0</c:v>
                </c:pt>
                <c:pt idx="3">
                  <c:v>1.7992588261728896E-2</c:v>
                </c:pt>
                <c:pt idx="4">
                  <c:v>0.4048104893027667</c:v>
                </c:pt>
                <c:pt idx="5">
                  <c:v>0.49704464208094207</c:v>
                </c:pt>
                <c:pt idx="6">
                  <c:v>0.65732424623892893</c:v>
                </c:pt>
                <c:pt idx="7">
                  <c:v>0.62633790620565477</c:v>
                </c:pt>
                <c:pt idx="8" formatCode="0.00">
                  <c:v>0.7816588812343912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52C-46C5-B4C7-AB58D1A38FF2}"/>
            </c:ext>
          </c:extLst>
        </c:ser>
        <c:ser>
          <c:idx val="2"/>
          <c:order val="5"/>
          <c:tx>
            <c:v>n-valerate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'B1B3 Aver'!$AU$48:$AU$56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2.7806904032096444E-2</c:v>
                  </c:pt>
                  <c:pt idx="4">
                    <c:v>0.19295525751522047</c:v>
                  </c:pt>
                  <c:pt idx="5">
                    <c:v>0.14974634425606043</c:v>
                  </c:pt>
                  <c:pt idx="6">
                    <c:v>0.13557758499988848</c:v>
                  </c:pt>
                  <c:pt idx="7">
                    <c:v>0.18088421736214552</c:v>
                  </c:pt>
                  <c:pt idx="8">
                    <c:v>0.1620801497568041</c:v>
                  </c:pt>
                </c:numCache>
              </c:numRef>
            </c:plus>
            <c:minus>
              <c:numRef>
                <c:f>'B1B3 Aver'!$AU$48:$AU$56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2.7806904032096444E-2</c:v>
                  </c:pt>
                  <c:pt idx="4">
                    <c:v>0.19295525751522047</c:v>
                  </c:pt>
                  <c:pt idx="5">
                    <c:v>0.14974634425606043</c:v>
                  </c:pt>
                  <c:pt idx="6">
                    <c:v>0.13557758499988848</c:v>
                  </c:pt>
                  <c:pt idx="7">
                    <c:v>0.18088421736214552</c:v>
                  </c:pt>
                  <c:pt idx="8">
                    <c:v>0.1620801497568041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'B1B3 Aver'!$B$16:$B$24</c:f>
              <c:numCache>
                <c:formatCode>General</c:formatCode>
                <c:ptCount val="9"/>
                <c:pt idx="0">
                  <c:v>21</c:v>
                </c:pt>
                <c:pt idx="1">
                  <c:v>26</c:v>
                </c:pt>
                <c:pt idx="2">
                  <c:v>29</c:v>
                </c:pt>
                <c:pt idx="3">
                  <c:v>32</c:v>
                </c:pt>
                <c:pt idx="4">
                  <c:v>38</c:v>
                </c:pt>
                <c:pt idx="5">
                  <c:v>43</c:v>
                </c:pt>
                <c:pt idx="6">
                  <c:v>46</c:v>
                </c:pt>
                <c:pt idx="7">
                  <c:v>50</c:v>
                </c:pt>
                <c:pt idx="8">
                  <c:v>58</c:v>
                </c:pt>
              </c:numCache>
            </c:numRef>
          </c:xVal>
          <c:yVal>
            <c:numRef>
              <c:f>'B1B3 Aver'!$AU$16:$AU$24</c:f>
              <c:numCache>
                <c:formatCode>0.0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1.6054323528260969E-2</c:v>
                </c:pt>
                <c:pt idx="4">
                  <c:v>0.17557794150349137</c:v>
                </c:pt>
                <c:pt idx="5">
                  <c:v>0.17845092319213687</c:v>
                </c:pt>
                <c:pt idx="6">
                  <c:v>0.25955328904672048</c:v>
                </c:pt>
                <c:pt idx="7">
                  <c:v>0.24460632940911578</c:v>
                </c:pt>
                <c:pt idx="8" formatCode="0.00">
                  <c:v>0.31181120359976167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B52C-46C5-B4C7-AB58D1A38FF2}"/>
            </c:ext>
          </c:extLst>
        </c:ser>
        <c:ser>
          <c:idx val="6"/>
          <c:order val="6"/>
          <c:tx>
            <c:v>n-caproate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'B1B3 Aver'!$AW$48:$AW$56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2.810943355152273E-2</c:v>
                  </c:pt>
                  <c:pt idx="5">
                    <c:v>0.11846087014914299</c:v>
                  </c:pt>
                  <c:pt idx="6">
                    <c:v>0.23122739246287119</c:v>
                  </c:pt>
                  <c:pt idx="7">
                    <c:v>0.19257511902773827</c:v>
                  </c:pt>
                  <c:pt idx="8">
                    <c:v>0.2165401470509771</c:v>
                  </c:pt>
                </c:numCache>
              </c:numRef>
            </c:plus>
            <c:minus>
              <c:numRef>
                <c:f>'B1B3 Aver'!$AW$48:$AW$56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2.810943355152273E-2</c:v>
                  </c:pt>
                  <c:pt idx="5">
                    <c:v>0.11846087014914299</c:v>
                  </c:pt>
                  <c:pt idx="6">
                    <c:v>0.23122739246287119</c:v>
                  </c:pt>
                  <c:pt idx="7">
                    <c:v>0.19257511902773827</c:v>
                  </c:pt>
                  <c:pt idx="8">
                    <c:v>0.2165401470509771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'B1B3 Aver'!$B$16:$B$24</c:f>
              <c:numCache>
                <c:formatCode>General</c:formatCode>
                <c:ptCount val="9"/>
                <c:pt idx="0">
                  <c:v>21</c:v>
                </c:pt>
                <c:pt idx="1">
                  <c:v>26</c:v>
                </c:pt>
                <c:pt idx="2">
                  <c:v>29</c:v>
                </c:pt>
                <c:pt idx="3">
                  <c:v>32</c:v>
                </c:pt>
                <c:pt idx="4">
                  <c:v>38</c:v>
                </c:pt>
                <c:pt idx="5">
                  <c:v>43</c:v>
                </c:pt>
                <c:pt idx="6">
                  <c:v>46</c:v>
                </c:pt>
                <c:pt idx="7">
                  <c:v>50</c:v>
                </c:pt>
                <c:pt idx="8">
                  <c:v>58</c:v>
                </c:pt>
              </c:numCache>
            </c:numRef>
          </c:xVal>
          <c:yVal>
            <c:numRef>
              <c:f>'B1B3 Aver'!$AW$16:$AW$24</c:f>
              <c:numCache>
                <c:formatCode>0.0</c:formatCode>
                <c:ptCount val="9"/>
                <c:pt idx="0">
                  <c:v>7.9436864984160187E-3</c:v>
                </c:pt>
                <c:pt idx="1">
                  <c:v>1.2313527289504068E-2</c:v>
                </c:pt>
                <c:pt idx="2">
                  <c:v>2.7089482060185187E-5</c:v>
                </c:pt>
                <c:pt idx="3">
                  <c:v>7.0879366006139722E-3</c:v>
                </c:pt>
                <c:pt idx="4">
                  <c:v>5.7689966022912625E-2</c:v>
                </c:pt>
                <c:pt idx="5">
                  <c:v>0.11534691565303291</c:v>
                </c:pt>
                <c:pt idx="6">
                  <c:v>0.18662326255029044</c:v>
                </c:pt>
                <c:pt idx="7">
                  <c:v>0.15589251280838295</c:v>
                </c:pt>
                <c:pt idx="8" formatCode="0.00">
                  <c:v>0.20656449651612815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B52C-46C5-B4C7-AB58D1A38F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7764288"/>
        <c:axId val="497763504"/>
      </c:scatterChart>
      <c:valAx>
        <c:axId val="497764288"/>
        <c:scaling>
          <c:orientation val="minMax"/>
          <c:max val="60"/>
          <c:min val="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763504"/>
        <c:crosses val="autoZero"/>
        <c:crossBetween val="midCat"/>
      </c:valAx>
      <c:valAx>
        <c:axId val="497763504"/>
        <c:scaling>
          <c:orientation val="minMax"/>
          <c:max val="1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Carboxylate (g/L)</a:t>
                </a:r>
              </a:p>
            </c:rich>
          </c:tx>
          <c:layout>
            <c:manualLayout>
              <c:xMode val="edge"/>
              <c:yMode val="edge"/>
              <c:x val="1.7919356126598677E-2"/>
              <c:y val="0.261048825045671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764288"/>
        <c:crosses val="autoZero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3145222645513455"/>
          <c:y val="0.10035458902748426"/>
          <c:w val="0.28642362501585183"/>
          <c:h val="0.401166195350234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267039173309514"/>
          <c:y val="0.1149296744215154"/>
          <c:w val="0.77249496717590593"/>
          <c:h val="0.74408967880219656"/>
        </c:manualLayout>
      </c:layout>
      <c:scatterChart>
        <c:scatterStyle val="lineMarker"/>
        <c:varyColors val="0"/>
        <c:ser>
          <c:idx val="1"/>
          <c:order val="0"/>
          <c:tx>
            <c:v>pH 30 g/L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'B4B6 Aver'!$AE$47:$AE$55</c:f>
                <c:numCache>
                  <c:formatCode>General</c:formatCode>
                  <c:ptCount val="9"/>
                  <c:pt idx="0">
                    <c:v>0.71346571980252971</c:v>
                  </c:pt>
                  <c:pt idx="1">
                    <c:v>0.60715182066212492</c:v>
                  </c:pt>
                  <c:pt idx="2">
                    <c:v>0.37581023580170503</c:v>
                  </c:pt>
                  <c:pt idx="3">
                    <c:v>0.32129944496269125</c:v>
                  </c:pt>
                  <c:pt idx="4">
                    <c:v>0</c:v>
                  </c:pt>
                  <c:pt idx="5">
                    <c:v>0.46822359331128671</c:v>
                  </c:pt>
                  <c:pt idx="6">
                    <c:v>0.36510272527057347</c:v>
                  </c:pt>
                  <c:pt idx="7">
                    <c:v>0</c:v>
                  </c:pt>
                  <c:pt idx="8">
                    <c:v>0.14177446878757807</c:v>
                  </c:pt>
                </c:numCache>
              </c:numRef>
            </c:plus>
            <c:minus>
              <c:numRef>
                <c:f>'B4B6 Aver'!$AE$47:$AE$55</c:f>
                <c:numCache>
                  <c:formatCode>General</c:formatCode>
                  <c:ptCount val="9"/>
                  <c:pt idx="0">
                    <c:v>0.71346571980252971</c:v>
                  </c:pt>
                  <c:pt idx="1">
                    <c:v>0.60715182066212492</c:v>
                  </c:pt>
                  <c:pt idx="2">
                    <c:v>0.37581023580170503</c:v>
                  </c:pt>
                  <c:pt idx="3">
                    <c:v>0.32129944496269125</c:v>
                  </c:pt>
                  <c:pt idx="4">
                    <c:v>0</c:v>
                  </c:pt>
                  <c:pt idx="5">
                    <c:v>0.46822359331128671</c:v>
                  </c:pt>
                  <c:pt idx="6">
                    <c:v>0.36510272527057347</c:v>
                  </c:pt>
                  <c:pt idx="7">
                    <c:v>0</c:v>
                  </c:pt>
                  <c:pt idx="8">
                    <c:v>0.14177446878757807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prstDash val="sysDot"/>
                <a:round/>
              </a:ln>
              <a:effectLst/>
            </c:spPr>
          </c:errBars>
          <c:xVal>
            <c:numRef>
              <c:f>'B4B6 Aver'!$B$16:$B$24</c:f>
              <c:numCache>
                <c:formatCode>General</c:formatCode>
                <c:ptCount val="9"/>
                <c:pt idx="0">
                  <c:v>21</c:v>
                </c:pt>
                <c:pt idx="1">
                  <c:v>26</c:v>
                </c:pt>
                <c:pt idx="2">
                  <c:v>29</c:v>
                </c:pt>
                <c:pt idx="3">
                  <c:v>32</c:v>
                </c:pt>
                <c:pt idx="4">
                  <c:v>38</c:v>
                </c:pt>
                <c:pt idx="5">
                  <c:v>43</c:v>
                </c:pt>
                <c:pt idx="6">
                  <c:v>46</c:v>
                </c:pt>
                <c:pt idx="7">
                  <c:v>50</c:v>
                </c:pt>
                <c:pt idx="8">
                  <c:v>58</c:v>
                </c:pt>
              </c:numCache>
            </c:numRef>
          </c:xVal>
          <c:yVal>
            <c:numRef>
              <c:f>'B4B6 Aver'!$AE$16:$AE$24</c:f>
              <c:numCache>
                <c:formatCode>0.00</c:formatCode>
                <c:ptCount val="9"/>
                <c:pt idx="0">
                  <c:v>5.7466666666666661</c:v>
                </c:pt>
                <c:pt idx="1">
                  <c:v>5.8266666666666671</c:v>
                </c:pt>
                <c:pt idx="2">
                  <c:v>5.9333333333333327</c:v>
                </c:pt>
                <c:pt idx="3">
                  <c:v>6.1133333333333333</c:v>
                </c:pt>
                <c:pt idx="4">
                  <c:v>#N/A</c:v>
                </c:pt>
                <c:pt idx="5">
                  <c:v>7.0366666666666662</c:v>
                </c:pt>
                <c:pt idx="6">
                  <c:v>6.94</c:v>
                </c:pt>
                <c:pt idx="7">
                  <c:v>#N/A</c:v>
                </c:pt>
                <c:pt idx="8">
                  <c:v>7.6499999999999995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50-4A03-AD66-2C897C828689}"/>
            </c:ext>
          </c:extLst>
        </c:ser>
        <c:ser>
          <c:idx val="0"/>
          <c:order val="1"/>
          <c:tx>
            <c:v>pH 60 g/L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.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'B1B3 Aver'!$AE$48:$AE$56</c:f>
                <c:numCache>
                  <c:formatCode>General</c:formatCode>
                  <c:ptCount val="9"/>
                  <c:pt idx="0">
                    <c:v>0.68022055246809465</c:v>
                  </c:pt>
                  <c:pt idx="1">
                    <c:v>0.58045958802774</c:v>
                  </c:pt>
                  <c:pt idx="2">
                    <c:v>0.75425459892532731</c:v>
                  </c:pt>
                  <c:pt idx="3">
                    <c:v>0.91620594482535311</c:v>
                  </c:pt>
                  <c:pt idx="4">
                    <c:v>0</c:v>
                  </c:pt>
                  <c:pt idx="5">
                    <c:v>0.12220201853215545</c:v>
                  </c:pt>
                  <c:pt idx="6">
                    <c:v>4.0414518843273968E-2</c:v>
                  </c:pt>
                  <c:pt idx="7">
                    <c:v>0</c:v>
                  </c:pt>
                  <c:pt idx="8">
                    <c:v>1.7320508075688405E-2</c:v>
                  </c:pt>
                </c:numCache>
              </c:numRef>
            </c:plus>
            <c:minus>
              <c:numRef>
                <c:f>'B1B3 Aver'!$AE$48:$AE$56</c:f>
                <c:numCache>
                  <c:formatCode>General</c:formatCode>
                  <c:ptCount val="9"/>
                  <c:pt idx="0">
                    <c:v>0.68022055246809465</c:v>
                  </c:pt>
                  <c:pt idx="1">
                    <c:v>0.58045958802774</c:v>
                  </c:pt>
                  <c:pt idx="2">
                    <c:v>0.75425459892532731</c:v>
                  </c:pt>
                  <c:pt idx="3">
                    <c:v>0.91620594482535311</c:v>
                  </c:pt>
                  <c:pt idx="4">
                    <c:v>0</c:v>
                  </c:pt>
                  <c:pt idx="5">
                    <c:v>0.12220201853215545</c:v>
                  </c:pt>
                  <c:pt idx="6">
                    <c:v>4.0414518843273968E-2</c:v>
                  </c:pt>
                  <c:pt idx="7">
                    <c:v>0</c:v>
                  </c:pt>
                  <c:pt idx="8">
                    <c:v>1.7320508075688405E-2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1"/>
                </a:solidFill>
                <a:prstDash val="sysDot"/>
                <a:round/>
              </a:ln>
              <a:effectLst/>
            </c:spPr>
          </c:errBars>
          <c:xVal>
            <c:numRef>
              <c:f>'B1B3 Aver'!$B$16:$B$24</c:f>
              <c:numCache>
                <c:formatCode>General</c:formatCode>
                <c:ptCount val="9"/>
                <c:pt idx="0">
                  <c:v>21</c:v>
                </c:pt>
                <c:pt idx="1">
                  <c:v>26</c:v>
                </c:pt>
                <c:pt idx="2">
                  <c:v>29</c:v>
                </c:pt>
                <c:pt idx="3">
                  <c:v>32</c:v>
                </c:pt>
                <c:pt idx="4">
                  <c:v>38</c:v>
                </c:pt>
                <c:pt idx="5">
                  <c:v>43</c:v>
                </c:pt>
                <c:pt idx="6">
                  <c:v>46</c:v>
                </c:pt>
                <c:pt idx="7">
                  <c:v>50</c:v>
                </c:pt>
                <c:pt idx="8">
                  <c:v>58</c:v>
                </c:pt>
              </c:numCache>
            </c:numRef>
          </c:xVal>
          <c:yVal>
            <c:numRef>
              <c:f>'B1B3 Aver'!$AE$16:$AE$24</c:f>
              <c:numCache>
                <c:formatCode>0.00</c:formatCode>
                <c:ptCount val="9"/>
                <c:pt idx="0">
                  <c:v>5.72</c:v>
                </c:pt>
                <c:pt idx="1">
                  <c:v>5.7833333333333341</c:v>
                </c:pt>
                <c:pt idx="2">
                  <c:v>5.77</c:v>
                </c:pt>
                <c:pt idx="3">
                  <c:v>5.9433333333333342</c:v>
                </c:pt>
                <c:pt idx="4">
                  <c:v>#N/A</c:v>
                </c:pt>
                <c:pt idx="5">
                  <c:v>7.4533333333333331</c:v>
                </c:pt>
                <c:pt idx="6">
                  <c:v>7.2566666666666668</c:v>
                </c:pt>
                <c:pt idx="7">
                  <c:v>#N/A</c:v>
                </c:pt>
                <c:pt idx="8">
                  <c:v>7.62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F61-49BF-9E7C-BA4FD9808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302928"/>
        <c:axId val="425297048"/>
      </c:scatterChart>
      <c:valAx>
        <c:axId val="425302928"/>
        <c:scaling>
          <c:orientation val="minMax"/>
          <c:max val="60"/>
          <c:min val="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(days)</a:t>
                </a:r>
              </a:p>
            </c:rich>
          </c:tx>
          <c:layout>
            <c:manualLayout>
              <c:xMode val="edge"/>
              <c:yMode val="edge"/>
              <c:x val="0.42348116192767959"/>
              <c:y val="0.926206173631428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297048"/>
        <c:crosses val="autoZero"/>
        <c:crossBetween val="midCat"/>
      </c:valAx>
      <c:valAx>
        <c:axId val="425297048"/>
        <c:scaling>
          <c:orientation val="minMax"/>
          <c:max val="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302928"/>
        <c:crosses val="autoZero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l"/>
      <c:layout>
        <c:manualLayout>
          <c:xMode val="edge"/>
          <c:yMode val="edge"/>
          <c:x val="0.32803314426226121"/>
          <c:y val="0.12015216290381467"/>
          <c:w val="0.44344187309038691"/>
          <c:h val="0.110238763357179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807756463137027"/>
          <c:y val="8.3901785578749388E-2"/>
          <c:w val="0.77789594305777288"/>
          <c:h val="0.76543278165863671"/>
        </c:manualLayout>
      </c:layout>
      <c:scatterChart>
        <c:scatterStyle val="lineMarker"/>
        <c:varyColors val="0"/>
        <c:ser>
          <c:idx val="0"/>
          <c:order val="0"/>
          <c:tx>
            <c:v>lactate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'B1B3 Aver'!$B$16:$B$24</c:f>
              <c:numCache>
                <c:formatCode>General</c:formatCode>
                <c:ptCount val="9"/>
                <c:pt idx="0">
                  <c:v>21</c:v>
                </c:pt>
                <c:pt idx="1">
                  <c:v>26</c:v>
                </c:pt>
                <c:pt idx="2">
                  <c:v>29</c:v>
                </c:pt>
                <c:pt idx="3">
                  <c:v>32</c:v>
                </c:pt>
                <c:pt idx="4">
                  <c:v>38</c:v>
                </c:pt>
                <c:pt idx="5">
                  <c:v>43</c:v>
                </c:pt>
                <c:pt idx="6">
                  <c:v>46</c:v>
                </c:pt>
                <c:pt idx="7">
                  <c:v>50</c:v>
                </c:pt>
                <c:pt idx="8">
                  <c:v>58</c:v>
                </c:pt>
              </c:numCache>
            </c:numRef>
          </c:xVal>
          <c:yVal>
            <c:numRef>
              <c:f>'BL7'!$AZ$16:$AZ$24</c:f>
              <c:numCache>
                <c:formatCode>0.0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C8F-4912-BF11-8FDD1C2C227E}"/>
            </c:ext>
          </c:extLst>
        </c:ser>
        <c:ser>
          <c:idx val="3"/>
          <c:order val="1"/>
          <c:tx>
            <c:v>acetate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'BL7'!$B$16:$B$24</c:f>
              <c:numCache>
                <c:formatCode>General</c:formatCode>
                <c:ptCount val="9"/>
                <c:pt idx="0">
                  <c:v>21</c:v>
                </c:pt>
                <c:pt idx="1">
                  <c:v>26</c:v>
                </c:pt>
                <c:pt idx="2">
                  <c:v>29</c:v>
                </c:pt>
                <c:pt idx="3">
                  <c:v>32</c:v>
                </c:pt>
                <c:pt idx="4">
                  <c:v>38</c:v>
                </c:pt>
                <c:pt idx="5">
                  <c:v>43</c:v>
                </c:pt>
                <c:pt idx="6">
                  <c:v>46</c:v>
                </c:pt>
                <c:pt idx="7">
                  <c:v>50</c:v>
                </c:pt>
                <c:pt idx="8">
                  <c:v>58</c:v>
                </c:pt>
              </c:numCache>
            </c:numRef>
          </c:xVal>
          <c:yVal>
            <c:numRef>
              <c:f>'BL7'!$AP$16:$AP$24</c:f>
              <c:numCache>
                <c:formatCode>0.0</c:formatCode>
                <c:ptCount val="9"/>
                <c:pt idx="0">
                  <c:v>0</c:v>
                </c:pt>
                <c:pt idx="1">
                  <c:v>0.11082489833786754</c:v>
                </c:pt>
                <c:pt idx="2">
                  <c:v>0</c:v>
                </c:pt>
                <c:pt idx="3">
                  <c:v>0</c:v>
                </c:pt>
                <c:pt idx="4">
                  <c:v>0.1089546383636715</c:v>
                </c:pt>
                <c:pt idx="5">
                  <c:v>0.19366798366820295</c:v>
                </c:pt>
                <c:pt idx="6">
                  <c:v>0.22066611086416077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C8F-4912-BF11-8FDD1C2C227E}"/>
            </c:ext>
          </c:extLst>
        </c:ser>
        <c:ser>
          <c:idx val="4"/>
          <c:order val="2"/>
          <c:tx>
            <c:v>propionate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'BL7'!$B$16:$B$24</c:f>
              <c:numCache>
                <c:formatCode>General</c:formatCode>
                <c:ptCount val="9"/>
                <c:pt idx="0">
                  <c:v>21</c:v>
                </c:pt>
                <c:pt idx="1">
                  <c:v>26</c:v>
                </c:pt>
                <c:pt idx="2">
                  <c:v>29</c:v>
                </c:pt>
                <c:pt idx="3">
                  <c:v>32</c:v>
                </c:pt>
                <c:pt idx="4">
                  <c:v>38</c:v>
                </c:pt>
                <c:pt idx="5">
                  <c:v>43</c:v>
                </c:pt>
                <c:pt idx="6">
                  <c:v>46</c:v>
                </c:pt>
                <c:pt idx="7">
                  <c:v>50</c:v>
                </c:pt>
                <c:pt idx="8">
                  <c:v>58</c:v>
                </c:pt>
              </c:numCache>
            </c:numRef>
          </c:xVal>
          <c:yVal>
            <c:numRef>
              <c:f>'BL7'!$AQ$16:$AQ$24</c:f>
              <c:numCache>
                <c:formatCode>0.0</c:formatCode>
                <c:ptCount val="9"/>
                <c:pt idx="0">
                  <c:v>0.29763970746980539</c:v>
                </c:pt>
                <c:pt idx="1">
                  <c:v>0.17144652615726047</c:v>
                </c:pt>
                <c:pt idx="2">
                  <c:v>0</c:v>
                </c:pt>
                <c:pt idx="3">
                  <c:v>0.17998486845367245</c:v>
                </c:pt>
                <c:pt idx="4">
                  <c:v>8.0165452058572895E-2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C8F-4912-BF11-8FDD1C2C227E}"/>
            </c:ext>
          </c:extLst>
        </c:ser>
        <c:ser>
          <c:idx val="1"/>
          <c:order val="3"/>
          <c:tx>
            <c:v>n-butyrate</c:v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'BL7'!$B$16:$B$24</c:f>
              <c:numCache>
                <c:formatCode>General</c:formatCode>
                <c:ptCount val="9"/>
                <c:pt idx="0">
                  <c:v>21</c:v>
                </c:pt>
                <c:pt idx="1">
                  <c:v>26</c:v>
                </c:pt>
                <c:pt idx="2">
                  <c:v>29</c:v>
                </c:pt>
                <c:pt idx="3">
                  <c:v>32</c:v>
                </c:pt>
                <c:pt idx="4">
                  <c:v>38</c:v>
                </c:pt>
                <c:pt idx="5">
                  <c:v>43</c:v>
                </c:pt>
                <c:pt idx="6">
                  <c:v>46</c:v>
                </c:pt>
                <c:pt idx="7">
                  <c:v>50</c:v>
                </c:pt>
                <c:pt idx="8">
                  <c:v>58</c:v>
                </c:pt>
              </c:numCache>
            </c:numRef>
          </c:xVal>
          <c:yVal>
            <c:numRef>
              <c:f>'BL7'!$AS$16:$AS$24</c:f>
              <c:numCache>
                <c:formatCode>0.0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4.4077699507755169E-2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0.12356911466010277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C8F-4912-BF11-8FDD1C2C227E}"/>
            </c:ext>
          </c:extLst>
        </c:ser>
        <c:ser>
          <c:idx val="5"/>
          <c:order val="4"/>
          <c:tx>
            <c:v>iso-butyrate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'BL7'!$B$16:$B$24</c:f>
              <c:numCache>
                <c:formatCode>General</c:formatCode>
                <c:ptCount val="9"/>
                <c:pt idx="0">
                  <c:v>21</c:v>
                </c:pt>
                <c:pt idx="1">
                  <c:v>26</c:v>
                </c:pt>
                <c:pt idx="2">
                  <c:v>29</c:v>
                </c:pt>
                <c:pt idx="3">
                  <c:v>32</c:v>
                </c:pt>
                <c:pt idx="4">
                  <c:v>38</c:v>
                </c:pt>
                <c:pt idx="5">
                  <c:v>43</c:v>
                </c:pt>
                <c:pt idx="6">
                  <c:v>46</c:v>
                </c:pt>
                <c:pt idx="7">
                  <c:v>50</c:v>
                </c:pt>
                <c:pt idx="8">
                  <c:v>58</c:v>
                </c:pt>
              </c:numCache>
            </c:numRef>
          </c:xVal>
          <c:yVal>
            <c:numRef>
              <c:f>'BL7'!$AR$16:$AR$24</c:f>
              <c:numCache>
                <c:formatCode>0.0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C8F-4912-BF11-8FDD1C2C227E}"/>
            </c:ext>
          </c:extLst>
        </c:ser>
        <c:ser>
          <c:idx val="2"/>
          <c:order val="5"/>
          <c:tx>
            <c:v>n-valerate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'BL7'!$B$16:$B$24</c:f>
              <c:numCache>
                <c:formatCode>General</c:formatCode>
                <c:ptCount val="9"/>
                <c:pt idx="0">
                  <c:v>21</c:v>
                </c:pt>
                <c:pt idx="1">
                  <c:v>26</c:v>
                </c:pt>
                <c:pt idx="2">
                  <c:v>29</c:v>
                </c:pt>
                <c:pt idx="3">
                  <c:v>32</c:v>
                </c:pt>
                <c:pt idx="4">
                  <c:v>38</c:v>
                </c:pt>
                <c:pt idx="5">
                  <c:v>43</c:v>
                </c:pt>
                <c:pt idx="6">
                  <c:v>46</c:v>
                </c:pt>
                <c:pt idx="7">
                  <c:v>50</c:v>
                </c:pt>
                <c:pt idx="8">
                  <c:v>58</c:v>
                </c:pt>
              </c:numCache>
            </c:numRef>
          </c:xVal>
          <c:yVal>
            <c:numRef>
              <c:f>'BL7'!$AU$16:$AU$24</c:f>
              <c:numCache>
                <c:formatCode>0.0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C8F-4912-BF11-8FDD1C2C227E}"/>
            </c:ext>
          </c:extLst>
        </c:ser>
        <c:ser>
          <c:idx val="6"/>
          <c:order val="6"/>
          <c:tx>
            <c:v>n-caproate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'BL7'!$B$16:$B$24</c:f>
              <c:numCache>
                <c:formatCode>General</c:formatCode>
                <c:ptCount val="9"/>
                <c:pt idx="0">
                  <c:v>21</c:v>
                </c:pt>
                <c:pt idx="1">
                  <c:v>26</c:v>
                </c:pt>
                <c:pt idx="2">
                  <c:v>29</c:v>
                </c:pt>
                <c:pt idx="3">
                  <c:v>32</c:v>
                </c:pt>
                <c:pt idx="4">
                  <c:v>38</c:v>
                </c:pt>
                <c:pt idx="5">
                  <c:v>43</c:v>
                </c:pt>
                <c:pt idx="6">
                  <c:v>46</c:v>
                </c:pt>
                <c:pt idx="7">
                  <c:v>50</c:v>
                </c:pt>
                <c:pt idx="8">
                  <c:v>58</c:v>
                </c:pt>
              </c:numCache>
            </c:numRef>
          </c:xVal>
          <c:yVal>
            <c:numRef>
              <c:f>'BL7'!$AW$16:$AW$24</c:f>
              <c:numCache>
                <c:formatCode>0.0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C8F-4912-BF11-8FDD1C2C22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7764288"/>
        <c:axId val="497763504"/>
      </c:scatterChart>
      <c:valAx>
        <c:axId val="497764288"/>
        <c:scaling>
          <c:orientation val="minMax"/>
          <c:max val="60"/>
          <c:min val="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763504"/>
        <c:crosses val="autoZero"/>
        <c:crossBetween val="midCat"/>
      </c:valAx>
      <c:valAx>
        <c:axId val="497763504"/>
        <c:scaling>
          <c:orientation val="minMax"/>
          <c:max val="1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Carboxylate (g/L)</a:t>
                </a:r>
              </a:p>
            </c:rich>
          </c:tx>
          <c:layout>
            <c:manualLayout>
              <c:xMode val="edge"/>
              <c:yMode val="edge"/>
              <c:x val="1.7919356126598677E-2"/>
              <c:y val="0.261048825045671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764288"/>
        <c:crosses val="autoZero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55737811040470209"/>
          <c:y val="9.6264194183673227E-2"/>
          <c:w val="0.28642362501585183"/>
          <c:h val="0.401166195350234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267049941772524"/>
          <c:y val="0.10698187653821851"/>
          <c:w val="0.77249496717590593"/>
          <c:h val="0.74408967880219656"/>
        </c:manualLayout>
      </c:layout>
      <c:scatterChart>
        <c:scatterStyle val="lineMarker"/>
        <c:varyColors val="0"/>
        <c:ser>
          <c:idx val="1"/>
          <c:order val="0"/>
          <c:tx>
            <c:v>blank 1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'BL7'!$B$16:$B$24</c:f>
              <c:numCache>
                <c:formatCode>General</c:formatCode>
                <c:ptCount val="9"/>
                <c:pt idx="0">
                  <c:v>21</c:v>
                </c:pt>
                <c:pt idx="1">
                  <c:v>26</c:v>
                </c:pt>
                <c:pt idx="2">
                  <c:v>29</c:v>
                </c:pt>
                <c:pt idx="3">
                  <c:v>32</c:v>
                </c:pt>
                <c:pt idx="4">
                  <c:v>38</c:v>
                </c:pt>
                <c:pt idx="5">
                  <c:v>43</c:v>
                </c:pt>
                <c:pt idx="6">
                  <c:v>46</c:v>
                </c:pt>
                <c:pt idx="7">
                  <c:v>50</c:v>
                </c:pt>
                <c:pt idx="8">
                  <c:v>58</c:v>
                </c:pt>
              </c:numCache>
            </c:numRef>
          </c:xVal>
          <c:yVal>
            <c:numRef>
              <c:f>'BL7'!$AE$16:$AE$24</c:f>
              <c:numCache>
                <c:formatCode>General</c:formatCode>
                <c:ptCount val="9"/>
                <c:pt idx="0">
                  <c:v>7.09</c:v>
                </c:pt>
                <c:pt idx="1">
                  <c:v>7.04</c:v>
                </c:pt>
                <c:pt idx="2">
                  <c:v>7.03</c:v>
                </c:pt>
                <c:pt idx="3">
                  <c:v>7</c:v>
                </c:pt>
                <c:pt idx="4">
                  <c:v>#N/A</c:v>
                </c:pt>
                <c:pt idx="5">
                  <c:v>7.13</c:v>
                </c:pt>
                <c:pt idx="6">
                  <c:v>7.03</c:v>
                </c:pt>
                <c:pt idx="7">
                  <c:v>6.45</c:v>
                </c:pt>
                <c:pt idx="8">
                  <c:v>6.5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201-4FDC-8B09-A579A522CB73}"/>
            </c:ext>
          </c:extLst>
        </c:ser>
        <c:ser>
          <c:idx val="0"/>
          <c:order val="1"/>
          <c:tx>
            <c:v>blank 2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'BL8'!$B$16:$B$24</c:f>
              <c:numCache>
                <c:formatCode>General</c:formatCode>
                <c:ptCount val="9"/>
                <c:pt idx="0">
                  <c:v>21</c:v>
                </c:pt>
                <c:pt idx="1">
                  <c:v>26</c:v>
                </c:pt>
                <c:pt idx="2">
                  <c:v>29</c:v>
                </c:pt>
                <c:pt idx="3">
                  <c:v>32</c:v>
                </c:pt>
                <c:pt idx="4">
                  <c:v>38</c:v>
                </c:pt>
                <c:pt idx="5">
                  <c:v>43</c:v>
                </c:pt>
                <c:pt idx="6">
                  <c:v>46</c:v>
                </c:pt>
                <c:pt idx="7">
                  <c:v>50</c:v>
                </c:pt>
                <c:pt idx="8">
                  <c:v>58</c:v>
                </c:pt>
              </c:numCache>
            </c:numRef>
          </c:xVal>
          <c:yVal>
            <c:numRef>
              <c:f>'BL8'!$AE$16:$AE$24</c:f>
              <c:numCache>
                <c:formatCode>General</c:formatCode>
                <c:ptCount val="9"/>
                <c:pt idx="0">
                  <c:v>7.04</c:v>
                </c:pt>
                <c:pt idx="1">
                  <c:v>7.03</c:v>
                </c:pt>
                <c:pt idx="2">
                  <c:v>7</c:v>
                </c:pt>
                <c:pt idx="3">
                  <c:v>#N/A</c:v>
                </c:pt>
                <c:pt idx="4">
                  <c:v>#N/A</c:v>
                </c:pt>
                <c:pt idx="5">
                  <c:v>7.13</c:v>
                </c:pt>
                <c:pt idx="6">
                  <c:v>7.03</c:v>
                </c:pt>
                <c:pt idx="7">
                  <c:v>#N/A</c:v>
                </c:pt>
                <c:pt idx="8">
                  <c:v>7.16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201-4FDC-8B09-A579A522CB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302928"/>
        <c:axId val="425297048"/>
      </c:scatterChart>
      <c:valAx>
        <c:axId val="425302928"/>
        <c:scaling>
          <c:orientation val="minMax"/>
          <c:max val="60"/>
          <c:min val="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(days)</a:t>
                </a:r>
              </a:p>
            </c:rich>
          </c:tx>
          <c:layout>
            <c:manualLayout>
              <c:xMode val="edge"/>
              <c:yMode val="edge"/>
              <c:x val="0.42348116192767959"/>
              <c:y val="0.926206173631428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297048"/>
        <c:crosses val="autoZero"/>
        <c:crossBetween val="midCat"/>
      </c:valAx>
      <c:valAx>
        <c:axId val="425297048"/>
        <c:scaling>
          <c:orientation val="minMax"/>
          <c:max val="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302928"/>
        <c:crosses val="autoZero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41496572304368551"/>
          <c:y val="0.12178294233170406"/>
          <c:w val="0.19373707807636592"/>
          <c:h val="0.163383047742145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807756463137027"/>
          <c:y val="8.3901785578749388E-2"/>
          <c:w val="0.77789594305777288"/>
          <c:h val="0.76543278165863671"/>
        </c:manualLayout>
      </c:layout>
      <c:scatterChart>
        <c:scatterStyle val="lineMarker"/>
        <c:varyColors val="0"/>
        <c:ser>
          <c:idx val="0"/>
          <c:order val="0"/>
          <c:tx>
            <c:v>lactate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'BL8'!$B$16:$B$24</c:f>
              <c:numCache>
                <c:formatCode>General</c:formatCode>
                <c:ptCount val="9"/>
                <c:pt idx="0">
                  <c:v>21</c:v>
                </c:pt>
                <c:pt idx="1">
                  <c:v>26</c:v>
                </c:pt>
                <c:pt idx="2">
                  <c:v>29</c:v>
                </c:pt>
                <c:pt idx="3">
                  <c:v>32</c:v>
                </c:pt>
                <c:pt idx="4">
                  <c:v>38</c:v>
                </c:pt>
                <c:pt idx="5">
                  <c:v>43</c:v>
                </c:pt>
                <c:pt idx="6">
                  <c:v>46</c:v>
                </c:pt>
                <c:pt idx="7">
                  <c:v>50</c:v>
                </c:pt>
                <c:pt idx="8">
                  <c:v>58</c:v>
                </c:pt>
              </c:numCache>
            </c:numRef>
          </c:xVal>
          <c:yVal>
            <c:numRef>
              <c:f>'BL8'!$AZ$16:$AZ$24</c:f>
              <c:numCache>
                <c:formatCode>0.0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3A-4097-A39F-A7C5D0D26821}"/>
            </c:ext>
          </c:extLst>
        </c:ser>
        <c:ser>
          <c:idx val="3"/>
          <c:order val="1"/>
          <c:tx>
            <c:v>acetate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'BL8'!$B$16:$B$24</c:f>
              <c:numCache>
                <c:formatCode>General</c:formatCode>
                <c:ptCount val="9"/>
                <c:pt idx="0">
                  <c:v>21</c:v>
                </c:pt>
                <c:pt idx="1">
                  <c:v>26</c:v>
                </c:pt>
                <c:pt idx="2">
                  <c:v>29</c:v>
                </c:pt>
                <c:pt idx="3">
                  <c:v>32</c:v>
                </c:pt>
                <c:pt idx="4">
                  <c:v>38</c:v>
                </c:pt>
                <c:pt idx="5">
                  <c:v>43</c:v>
                </c:pt>
                <c:pt idx="6">
                  <c:v>46</c:v>
                </c:pt>
                <c:pt idx="7">
                  <c:v>50</c:v>
                </c:pt>
                <c:pt idx="8">
                  <c:v>58</c:v>
                </c:pt>
              </c:numCache>
            </c:numRef>
          </c:xVal>
          <c:yVal>
            <c:numRef>
              <c:f>'BL8'!$AP$16:$AP$24</c:f>
              <c:numCache>
                <c:formatCode>0.0</c:formatCode>
                <c:ptCount val="9"/>
                <c:pt idx="0">
                  <c:v>0</c:v>
                </c:pt>
                <c:pt idx="1">
                  <c:v>0.10080255122316401</c:v>
                </c:pt>
                <c:pt idx="2">
                  <c:v>0</c:v>
                </c:pt>
                <c:pt idx="3">
                  <c:v>5.3001217676967576E-2</c:v>
                </c:pt>
                <c:pt idx="4">
                  <c:v>0.12336612833558333</c:v>
                </c:pt>
                <c:pt idx="5">
                  <c:v>0.16597326476342664</c:v>
                </c:pt>
                <c:pt idx="6">
                  <c:v>0.1826091190968738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53A-4097-A39F-A7C5D0D26821}"/>
            </c:ext>
          </c:extLst>
        </c:ser>
        <c:ser>
          <c:idx val="4"/>
          <c:order val="2"/>
          <c:tx>
            <c:v>propionate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'BL8'!$B$16:$B$24</c:f>
              <c:numCache>
                <c:formatCode>General</c:formatCode>
                <c:ptCount val="9"/>
                <c:pt idx="0">
                  <c:v>21</c:v>
                </c:pt>
                <c:pt idx="1">
                  <c:v>26</c:v>
                </c:pt>
                <c:pt idx="2">
                  <c:v>29</c:v>
                </c:pt>
                <c:pt idx="3">
                  <c:v>32</c:v>
                </c:pt>
                <c:pt idx="4">
                  <c:v>38</c:v>
                </c:pt>
                <c:pt idx="5">
                  <c:v>43</c:v>
                </c:pt>
                <c:pt idx="6">
                  <c:v>46</c:v>
                </c:pt>
                <c:pt idx="7">
                  <c:v>50</c:v>
                </c:pt>
                <c:pt idx="8">
                  <c:v>58</c:v>
                </c:pt>
              </c:numCache>
            </c:numRef>
          </c:xVal>
          <c:yVal>
            <c:numRef>
              <c:f>'BL8'!$AQ$16:$AQ$24</c:f>
              <c:numCache>
                <c:formatCode>0.0</c:formatCode>
                <c:ptCount val="9"/>
                <c:pt idx="0">
                  <c:v>0</c:v>
                </c:pt>
                <c:pt idx="1">
                  <c:v>6.8784138892998462E-2</c:v>
                </c:pt>
                <c:pt idx="2">
                  <c:v>0</c:v>
                </c:pt>
                <c:pt idx="3">
                  <c:v>7.3344082330228488E-2</c:v>
                </c:pt>
                <c:pt idx="4">
                  <c:v>5.027694550170507E-2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53A-4097-A39F-A7C5D0D26821}"/>
            </c:ext>
          </c:extLst>
        </c:ser>
        <c:ser>
          <c:idx val="1"/>
          <c:order val="3"/>
          <c:tx>
            <c:v>n-butyrate</c:v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'BL8'!$B$16:$B$24</c:f>
              <c:numCache>
                <c:formatCode>General</c:formatCode>
                <c:ptCount val="9"/>
                <c:pt idx="0">
                  <c:v>21</c:v>
                </c:pt>
                <c:pt idx="1">
                  <c:v>26</c:v>
                </c:pt>
                <c:pt idx="2">
                  <c:v>29</c:v>
                </c:pt>
                <c:pt idx="3">
                  <c:v>32</c:v>
                </c:pt>
                <c:pt idx="4">
                  <c:v>38</c:v>
                </c:pt>
                <c:pt idx="5">
                  <c:v>43</c:v>
                </c:pt>
                <c:pt idx="6">
                  <c:v>46</c:v>
                </c:pt>
                <c:pt idx="7">
                  <c:v>50</c:v>
                </c:pt>
                <c:pt idx="8">
                  <c:v>58</c:v>
                </c:pt>
              </c:numCache>
            </c:numRef>
          </c:xVal>
          <c:yVal>
            <c:numRef>
              <c:f>'BL8'!$AS$16:$AS$24</c:f>
              <c:numCache>
                <c:formatCode>0.0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53A-4097-A39F-A7C5D0D26821}"/>
            </c:ext>
          </c:extLst>
        </c:ser>
        <c:ser>
          <c:idx val="5"/>
          <c:order val="4"/>
          <c:tx>
            <c:v>iso-butyrate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'BL8'!$B$16:$B$24</c:f>
              <c:numCache>
                <c:formatCode>General</c:formatCode>
                <c:ptCount val="9"/>
                <c:pt idx="0">
                  <c:v>21</c:v>
                </c:pt>
                <c:pt idx="1">
                  <c:v>26</c:v>
                </c:pt>
                <c:pt idx="2">
                  <c:v>29</c:v>
                </c:pt>
                <c:pt idx="3">
                  <c:v>32</c:v>
                </c:pt>
                <c:pt idx="4">
                  <c:v>38</c:v>
                </c:pt>
                <c:pt idx="5">
                  <c:v>43</c:v>
                </c:pt>
                <c:pt idx="6">
                  <c:v>46</c:v>
                </c:pt>
                <c:pt idx="7">
                  <c:v>50</c:v>
                </c:pt>
                <c:pt idx="8">
                  <c:v>58</c:v>
                </c:pt>
              </c:numCache>
            </c:numRef>
          </c:xVal>
          <c:yVal>
            <c:numRef>
              <c:f>'BL8'!$AR$16:$AR$24</c:f>
              <c:numCache>
                <c:formatCode>0.0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53A-4097-A39F-A7C5D0D26821}"/>
            </c:ext>
          </c:extLst>
        </c:ser>
        <c:ser>
          <c:idx val="2"/>
          <c:order val="5"/>
          <c:tx>
            <c:v>n-valerate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'BL8'!$B$16:$B$24</c:f>
              <c:numCache>
                <c:formatCode>General</c:formatCode>
                <c:ptCount val="9"/>
                <c:pt idx="0">
                  <c:v>21</c:v>
                </c:pt>
                <c:pt idx="1">
                  <c:v>26</c:v>
                </c:pt>
                <c:pt idx="2">
                  <c:v>29</c:v>
                </c:pt>
                <c:pt idx="3">
                  <c:v>32</c:v>
                </c:pt>
                <c:pt idx="4">
                  <c:v>38</c:v>
                </c:pt>
                <c:pt idx="5">
                  <c:v>43</c:v>
                </c:pt>
                <c:pt idx="6">
                  <c:v>46</c:v>
                </c:pt>
                <c:pt idx="7">
                  <c:v>50</c:v>
                </c:pt>
                <c:pt idx="8">
                  <c:v>58</c:v>
                </c:pt>
              </c:numCache>
            </c:numRef>
          </c:xVal>
          <c:yVal>
            <c:numRef>
              <c:f>'BL8'!$AU$16:$AU$24</c:f>
              <c:numCache>
                <c:formatCode>0.0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53A-4097-A39F-A7C5D0D26821}"/>
            </c:ext>
          </c:extLst>
        </c:ser>
        <c:ser>
          <c:idx val="6"/>
          <c:order val="6"/>
          <c:tx>
            <c:v>n-caproate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'BL8'!$B$16:$B$24</c:f>
              <c:numCache>
                <c:formatCode>General</c:formatCode>
                <c:ptCount val="9"/>
                <c:pt idx="0">
                  <c:v>21</c:v>
                </c:pt>
                <c:pt idx="1">
                  <c:v>26</c:v>
                </c:pt>
                <c:pt idx="2">
                  <c:v>29</c:v>
                </c:pt>
                <c:pt idx="3">
                  <c:v>32</c:v>
                </c:pt>
                <c:pt idx="4">
                  <c:v>38</c:v>
                </c:pt>
                <c:pt idx="5">
                  <c:v>43</c:v>
                </c:pt>
                <c:pt idx="6">
                  <c:v>46</c:v>
                </c:pt>
                <c:pt idx="7">
                  <c:v>50</c:v>
                </c:pt>
                <c:pt idx="8">
                  <c:v>58</c:v>
                </c:pt>
              </c:numCache>
            </c:numRef>
          </c:xVal>
          <c:yVal>
            <c:numRef>
              <c:f>'BL8'!$AW$16:$AW$24</c:f>
              <c:numCache>
                <c:formatCode>0.0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53A-4097-A39F-A7C5D0D268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7764288"/>
        <c:axId val="497763504"/>
      </c:scatterChart>
      <c:valAx>
        <c:axId val="497764288"/>
        <c:scaling>
          <c:orientation val="minMax"/>
          <c:max val="60"/>
          <c:min val="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763504"/>
        <c:crosses val="autoZero"/>
        <c:crossBetween val="midCat"/>
      </c:valAx>
      <c:valAx>
        <c:axId val="497763504"/>
        <c:scaling>
          <c:orientation val="minMax"/>
          <c:max val="1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Carboxylate (g/L)</a:t>
                </a:r>
              </a:p>
            </c:rich>
          </c:tx>
          <c:layout>
            <c:manualLayout>
              <c:xMode val="edge"/>
              <c:yMode val="edge"/>
              <c:x val="1.7919356126598677E-2"/>
              <c:y val="0.261048825045671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764288"/>
        <c:crosses val="autoZero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55737811040470209"/>
          <c:y val="9.6264194183673227E-2"/>
          <c:w val="0.28642362501585183"/>
          <c:h val="0.401166195350234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807756463137027"/>
          <c:y val="8.3901785578749388E-2"/>
          <c:w val="0.77789594305777288"/>
          <c:h val="0.76543278165863671"/>
        </c:manualLayout>
      </c:layout>
      <c:scatterChart>
        <c:scatterStyle val="lineMarker"/>
        <c:varyColors val="0"/>
        <c:ser>
          <c:idx val="0"/>
          <c:order val="0"/>
          <c:tx>
            <c:v>lactate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.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'B4B6 Aver'!$BA$47:$BA$55</c:f>
                <c:numCache>
                  <c:formatCode>General</c:formatCode>
                  <c:ptCount val="9"/>
                  <c:pt idx="0">
                    <c:v>1.4588582282045044</c:v>
                  </c:pt>
                  <c:pt idx="1">
                    <c:v>1.3876404077425808</c:v>
                  </c:pt>
                  <c:pt idx="2">
                    <c:v>3.5771197180413199</c:v>
                  </c:pt>
                  <c:pt idx="3">
                    <c:v>4.9144820005096497</c:v>
                  </c:pt>
                  <c:pt idx="4">
                    <c:v>3.2668980700352441</c:v>
                  </c:pt>
                  <c:pt idx="5">
                    <c:v>4.9628803464654823</c:v>
                  </c:pt>
                  <c:pt idx="6">
                    <c:v>4.478169417667595</c:v>
                  </c:pt>
                  <c:pt idx="7">
                    <c:v>2.997378020870908</c:v>
                  </c:pt>
                  <c:pt idx="8">
                    <c:v>0</c:v>
                  </c:pt>
                </c:numCache>
              </c:numRef>
            </c:plus>
            <c:minus>
              <c:numRef>
                <c:f>'B4B6 Aver'!$BA$47:$BA$55</c:f>
                <c:numCache>
                  <c:formatCode>General</c:formatCode>
                  <c:ptCount val="9"/>
                  <c:pt idx="0">
                    <c:v>1.4588582282045044</c:v>
                  </c:pt>
                  <c:pt idx="1">
                    <c:v>1.3876404077425808</c:v>
                  </c:pt>
                  <c:pt idx="2">
                    <c:v>3.5771197180413199</c:v>
                  </c:pt>
                  <c:pt idx="3">
                    <c:v>4.9144820005096497</c:v>
                  </c:pt>
                  <c:pt idx="4">
                    <c:v>3.2668980700352441</c:v>
                  </c:pt>
                  <c:pt idx="5">
                    <c:v>4.9628803464654823</c:v>
                  </c:pt>
                  <c:pt idx="6">
                    <c:v>4.478169417667595</c:v>
                  </c:pt>
                  <c:pt idx="7">
                    <c:v>2.997378020870908</c:v>
                  </c:pt>
                  <c:pt idx="8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1"/>
                </a:solidFill>
                <a:prstDash val="sysDot"/>
                <a:round/>
              </a:ln>
              <a:effectLst/>
            </c:spPr>
          </c:errBars>
          <c:xVal>
            <c:numRef>
              <c:f>'B4B6 Aver'!$B$16:$B$24</c:f>
              <c:numCache>
                <c:formatCode>General</c:formatCode>
                <c:ptCount val="9"/>
                <c:pt idx="0">
                  <c:v>21</c:v>
                </c:pt>
                <c:pt idx="1">
                  <c:v>26</c:v>
                </c:pt>
                <c:pt idx="2">
                  <c:v>29</c:v>
                </c:pt>
                <c:pt idx="3">
                  <c:v>32</c:v>
                </c:pt>
                <c:pt idx="4">
                  <c:v>38</c:v>
                </c:pt>
                <c:pt idx="5">
                  <c:v>43</c:v>
                </c:pt>
                <c:pt idx="6">
                  <c:v>46</c:v>
                </c:pt>
                <c:pt idx="7">
                  <c:v>50</c:v>
                </c:pt>
                <c:pt idx="8">
                  <c:v>58</c:v>
                </c:pt>
              </c:numCache>
            </c:numRef>
          </c:xVal>
          <c:yVal>
            <c:numRef>
              <c:f>'B4B6 Aver'!$BA$16:$BA$24</c:f>
              <c:numCache>
                <c:formatCode>0.0</c:formatCode>
                <c:ptCount val="9"/>
                <c:pt idx="0">
                  <c:v>8.7158999999999995</c:v>
                </c:pt>
                <c:pt idx="1">
                  <c:v>9.4664799999999989</c:v>
                </c:pt>
                <c:pt idx="2">
                  <c:v>10.37102</c:v>
                </c:pt>
                <c:pt idx="3">
                  <c:v>5.6733333333333329</c:v>
                </c:pt>
                <c:pt idx="4">
                  <c:v>6.75</c:v>
                </c:pt>
                <c:pt idx="5">
                  <c:v>5.7106666666666657</c:v>
                </c:pt>
                <c:pt idx="6">
                  <c:v>5.1153333333333331</c:v>
                </c:pt>
                <c:pt idx="7">
                  <c:v>3.4550000000000001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06-42E8-BC4F-2EA4035BD64D}"/>
            </c:ext>
          </c:extLst>
        </c:ser>
        <c:ser>
          <c:idx val="3"/>
          <c:order val="1"/>
          <c:tx>
            <c:v>acetate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'B4B6 Aver'!$AP$47:$AP$55</c:f>
                <c:numCache>
                  <c:formatCode>General</c:formatCode>
                  <c:ptCount val="9"/>
                  <c:pt idx="0">
                    <c:v>4.2436683505953712E-2</c:v>
                  </c:pt>
                  <c:pt idx="1">
                    <c:v>1.8228660215977029E-2</c:v>
                  </c:pt>
                  <c:pt idx="2">
                    <c:v>0</c:v>
                  </c:pt>
                  <c:pt idx="3">
                    <c:v>2.4395867520731959E-2</c:v>
                  </c:pt>
                  <c:pt idx="4">
                    <c:v>0.10362807822522385</c:v>
                  </c:pt>
                  <c:pt idx="5">
                    <c:v>0.16403216178543981</c:v>
                  </c:pt>
                  <c:pt idx="6">
                    <c:v>0.30154644942592912</c:v>
                  </c:pt>
                  <c:pt idx="7">
                    <c:v>0.32688202430024244</c:v>
                  </c:pt>
                  <c:pt idx="8">
                    <c:v>8.772742960238307E-2</c:v>
                  </c:pt>
                </c:numCache>
              </c:numRef>
            </c:plus>
            <c:minus>
              <c:numRef>
                <c:f>'B4B6 Aver'!$AP$47:$AP$55</c:f>
                <c:numCache>
                  <c:formatCode>General</c:formatCode>
                  <c:ptCount val="9"/>
                  <c:pt idx="0">
                    <c:v>4.2436683505953712E-2</c:v>
                  </c:pt>
                  <c:pt idx="1">
                    <c:v>1.8228660215977029E-2</c:v>
                  </c:pt>
                  <c:pt idx="2">
                    <c:v>0</c:v>
                  </c:pt>
                  <c:pt idx="3">
                    <c:v>2.4395867520731959E-2</c:v>
                  </c:pt>
                  <c:pt idx="4">
                    <c:v>0.10362807822522385</c:v>
                  </c:pt>
                  <c:pt idx="5">
                    <c:v>0.16403216178543981</c:v>
                  </c:pt>
                  <c:pt idx="6">
                    <c:v>0.30154644942592912</c:v>
                  </c:pt>
                  <c:pt idx="7">
                    <c:v>0.32688202430024244</c:v>
                  </c:pt>
                  <c:pt idx="8">
                    <c:v>8.772742960238307E-2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'B4B6 Aver'!$B$16:$B$24</c:f>
              <c:numCache>
                <c:formatCode>General</c:formatCode>
                <c:ptCount val="9"/>
                <c:pt idx="0">
                  <c:v>21</c:v>
                </c:pt>
                <c:pt idx="1">
                  <c:v>26</c:v>
                </c:pt>
                <c:pt idx="2">
                  <c:v>29</c:v>
                </c:pt>
                <c:pt idx="3">
                  <c:v>32</c:v>
                </c:pt>
                <c:pt idx="4">
                  <c:v>38</c:v>
                </c:pt>
                <c:pt idx="5">
                  <c:v>43</c:v>
                </c:pt>
                <c:pt idx="6">
                  <c:v>46</c:v>
                </c:pt>
                <c:pt idx="7">
                  <c:v>50</c:v>
                </c:pt>
                <c:pt idx="8">
                  <c:v>58</c:v>
                </c:pt>
              </c:numCache>
            </c:numRef>
          </c:xVal>
          <c:yVal>
            <c:numRef>
              <c:f>'B4B6 Aver'!$AP$16:$AP$24</c:f>
              <c:numCache>
                <c:formatCode>0.0</c:formatCode>
                <c:ptCount val="9"/>
                <c:pt idx="0">
                  <c:v>6.8665458450727954E-2</c:v>
                </c:pt>
                <c:pt idx="1">
                  <c:v>0.12276721987722164</c:v>
                </c:pt>
                <c:pt idx="2">
                  <c:v>2.0495619936342589E-4</c:v>
                </c:pt>
                <c:pt idx="3">
                  <c:v>8.1749360615207059E-2</c:v>
                </c:pt>
                <c:pt idx="4">
                  <c:v>0.17729263593096131</c:v>
                </c:pt>
                <c:pt idx="5">
                  <c:v>0.29416592136930897</c:v>
                </c:pt>
                <c:pt idx="6">
                  <c:v>0.40837311756497596</c:v>
                </c:pt>
                <c:pt idx="7">
                  <c:v>0.56928214202758853</c:v>
                </c:pt>
                <c:pt idx="8">
                  <c:v>0.87884516525488032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606-42E8-BC4F-2EA4035BD64D}"/>
            </c:ext>
          </c:extLst>
        </c:ser>
        <c:ser>
          <c:idx val="4"/>
          <c:order val="2"/>
          <c:tx>
            <c:v>propionate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'B4B6 Aver'!$AQ$47:$AQ$55</c:f>
                <c:numCache>
                  <c:formatCode>General</c:formatCode>
                  <c:ptCount val="9"/>
                  <c:pt idx="0">
                    <c:v>0.21784725642687447</c:v>
                  </c:pt>
                  <c:pt idx="1">
                    <c:v>2.3536721284653422E-2</c:v>
                  </c:pt>
                  <c:pt idx="2">
                    <c:v>0</c:v>
                  </c:pt>
                  <c:pt idx="3">
                    <c:v>7.8590406128122556E-2</c:v>
                  </c:pt>
                  <c:pt idx="4">
                    <c:v>5.5450552112084724E-2</c:v>
                  </c:pt>
                  <c:pt idx="5">
                    <c:v>9.6478008299555787E-2</c:v>
                  </c:pt>
                  <c:pt idx="6">
                    <c:v>0.19745718642089516</c:v>
                  </c:pt>
                  <c:pt idx="7">
                    <c:v>0.11562198470644405</c:v>
                  </c:pt>
                  <c:pt idx="8">
                    <c:v>0.25657717840442312</c:v>
                  </c:pt>
                </c:numCache>
              </c:numRef>
            </c:plus>
            <c:minus>
              <c:numRef>
                <c:f>'B4B6 Aver'!$AQ$47:$AQ$55</c:f>
                <c:numCache>
                  <c:formatCode>General</c:formatCode>
                  <c:ptCount val="9"/>
                  <c:pt idx="0">
                    <c:v>0.21784725642687447</c:v>
                  </c:pt>
                  <c:pt idx="1">
                    <c:v>2.3536721284653422E-2</c:v>
                  </c:pt>
                  <c:pt idx="2">
                    <c:v>0</c:v>
                  </c:pt>
                  <c:pt idx="3">
                    <c:v>7.8590406128122556E-2</c:v>
                  </c:pt>
                  <c:pt idx="4">
                    <c:v>5.5450552112084724E-2</c:v>
                  </c:pt>
                  <c:pt idx="5">
                    <c:v>9.6478008299555787E-2</c:v>
                  </c:pt>
                  <c:pt idx="6">
                    <c:v>0.19745718642089516</c:v>
                  </c:pt>
                  <c:pt idx="7">
                    <c:v>0.11562198470644405</c:v>
                  </c:pt>
                  <c:pt idx="8">
                    <c:v>0.25657717840442312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'B4B6 Aver'!$B$16:$B$24</c:f>
              <c:numCache>
                <c:formatCode>General</c:formatCode>
                <c:ptCount val="9"/>
                <c:pt idx="0">
                  <c:v>21</c:v>
                </c:pt>
                <c:pt idx="1">
                  <c:v>26</c:v>
                </c:pt>
                <c:pt idx="2">
                  <c:v>29</c:v>
                </c:pt>
                <c:pt idx="3">
                  <c:v>32</c:v>
                </c:pt>
                <c:pt idx="4">
                  <c:v>38</c:v>
                </c:pt>
                <c:pt idx="5">
                  <c:v>43</c:v>
                </c:pt>
                <c:pt idx="6">
                  <c:v>46</c:v>
                </c:pt>
                <c:pt idx="7">
                  <c:v>50</c:v>
                </c:pt>
                <c:pt idx="8">
                  <c:v>58</c:v>
                </c:pt>
              </c:numCache>
            </c:numRef>
          </c:xVal>
          <c:yVal>
            <c:numRef>
              <c:f>'B4B6 Aver'!$AQ$16:$AQ$24</c:f>
              <c:numCache>
                <c:formatCode>0.0</c:formatCode>
                <c:ptCount val="9"/>
                <c:pt idx="0">
                  <c:v>0.37582823977898505</c:v>
                </c:pt>
                <c:pt idx="1">
                  <c:v>0.19918473700455314</c:v>
                </c:pt>
                <c:pt idx="2">
                  <c:v>2.1359593098958332E-3</c:v>
                </c:pt>
                <c:pt idx="3">
                  <c:v>0.32053198678120304</c:v>
                </c:pt>
                <c:pt idx="4">
                  <c:v>0.17705395251668832</c:v>
                </c:pt>
                <c:pt idx="5">
                  <c:v>0.19933332904718223</c:v>
                </c:pt>
                <c:pt idx="6">
                  <c:v>0.37412363165782148</c:v>
                </c:pt>
                <c:pt idx="7">
                  <c:v>0.5416734946672932</c:v>
                </c:pt>
                <c:pt idx="8">
                  <c:v>0.8194572520840897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606-42E8-BC4F-2EA4035BD64D}"/>
            </c:ext>
          </c:extLst>
        </c:ser>
        <c:ser>
          <c:idx val="1"/>
          <c:order val="3"/>
          <c:tx>
            <c:v>n-butyrate</c:v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'B4B6 Aver'!$AS$47:$AS$55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7.9317623886980271E-2</c:v>
                  </c:pt>
                  <c:pt idx="2">
                    <c:v>0</c:v>
                  </c:pt>
                  <c:pt idx="3">
                    <c:v>0.1559708255713517</c:v>
                  </c:pt>
                  <c:pt idx="4">
                    <c:v>0.91547836376712088</c:v>
                  </c:pt>
                  <c:pt idx="5">
                    <c:v>0.90726219420782173</c:v>
                  </c:pt>
                  <c:pt idx="6">
                    <c:v>1.7246323296939017</c:v>
                  </c:pt>
                  <c:pt idx="7">
                    <c:v>1.474537294850109</c:v>
                  </c:pt>
                  <c:pt idx="8">
                    <c:v>6.4101304244281121E-2</c:v>
                  </c:pt>
                </c:numCache>
              </c:numRef>
            </c:plus>
            <c:minus>
              <c:numRef>
                <c:f>'B4B6 Aver'!$AS$47:$AS$55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7.9317623886980271E-2</c:v>
                  </c:pt>
                  <c:pt idx="2">
                    <c:v>0</c:v>
                  </c:pt>
                  <c:pt idx="3">
                    <c:v>0.1559708255713517</c:v>
                  </c:pt>
                  <c:pt idx="4">
                    <c:v>0.91547836376712088</c:v>
                  </c:pt>
                  <c:pt idx="5">
                    <c:v>0.90726219420782173</c:v>
                  </c:pt>
                  <c:pt idx="6">
                    <c:v>1.7246323296939017</c:v>
                  </c:pt>
                  <c:pt idx="7">
                    <c:v>1.474537294850109</c:v>
                  </c:pt>
                  <c:pt idx="8">
                    <c:v>6.4101304244281121E-2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7030A0"/>
                </a:solidFill>
                <a:prstDash val="sysDot"/>
                <a:round/>
              </a:ln>
              <a:effectLst/>
            </c:spPr>
          </c:errBars>
          <c:xVal>
            <c:numRef>
              <c:f>'B4B6 Aver'!$B$16:$B$24</c:f>
              <c:numCache>
                <c:formatCode>General</c:formatCode>
                <c:ptCount val="9"/>
                <c:pt idx="0">
                  <c:v>21</c:v>
                </c:pt>
                <c:pt idx="1">
                  <c:v>26</c:v>
                </c:pt>
                <c:pt idx="2">
                  <c:v>29</c:v>
                </c:pt>
                <c:pt idx="3">
                  <c:v>32</c:v>
                </c:pt>
                <c:pt idx="4">
                  <c:v>38</c:v>
                </c:pt>
                <c:pt idx="5">
                  <c:v>43</c:v>
                </c:pt>
                <c:pt idx="6">
                  <c:v>46</c:v>
                </c:pt>
                <c:pt idx="7">
                  <c:v>50</c:v>
                </c:pt>
                <c:pt idx="8">
                  <c:v>58</c:v>
                </c:pt>
              </c:numCache>
            </c:numRef>
          </c:xVal>
          <c:yVal>
            <c:numRef>
              <c:f>'B4B6 Aver'!$AS$16:$AS$24</c:f>
              <c:numCache>
                <c:formatCode>0.0</c:formatCode>
                <c:ptCount val="9"/>
                <c:pt idx="0">
                  <c:v>7.9861673891313406E-3</c:v>
                </c:pt>
                <c:pt idx="1">
                  <c:v>7.4766107885522945E-2</c:v>
                </c:pt>
                <c:pt idx="2">
                  <c:v>6.6737192563657394E-4</c:v>
                </c:pt>
                <c:pt idx="3">
                  <c:v>0.14590565818647838</c:v>
                </c:pt>
                <c:pt idx="4">
                  <c:v>0.81891727137094905</c:v>
                </c:pt>
                <c:pt idx="5">
                  <c:v>0.78098071556567361</c:v>
                </c:pt>
                <c:pt idx="6">
                  <c:v>1.6002911499836838</c:v>
                </c:pt>
                <c:pt idx="7">
                  <c:v>1.8364075076497379</c:v>
                </c:pt>
                <c:pt idx="8">
                  <c:v>4.9663476488143372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606-42E8-BC4F-2EA4035BD64D}"/>
            </c:ext>
          </c:extLst>
        </c:ser>
        <c:ser>
          <c:idx val="5"/>
          <c:order val="4"/>
          <c:tx>
            <c:v>iso-butyrate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'B4B6 Aver'!$B$16:$B$24</c:f>
              <c:numCache>
                <c:formatCode>General</c:formatCode>
                <c:ptCount val="9"/>
                <c:pt idx="0">
                  <c:v>21</c:v>
                </c:pt>
                <c:pt idx="1">
                  <c:v>26</c:v>
                </c:pt>
                <c:pt idx="2">
                  <c:v>29</c:v>
                </c:pt>
                <c:pt idx="3">
                  <c:v>32</c:v>
                </c:pt>
                <c:pt idx="4">
                  <c:v>38</c:v>
                </c:pt>
                <c:pt idx="5">
                  <c:v>43</c:v>
                </c:pt>
                <c:pt idx="6">
                  <c:v>46</c:v>
                </c:pt>
                <c:pt idx="7">
                  <c:v>50</c:v>
                </c:pt>
                <c:pt idx="8">
                  <c:v>58</c:v>
                </c:pt>
              </c:numCache>
            </c:numRef>
          </c:xVal>
          <c:yVal>
            <c:numRef>
              <c:f>'B4B6 Aver'!$AR$16:$AR$24</c:f>
              <c:numCache>
                <c:formatCode>0.0</c:formatCode>
                <c:ptCount val="9"/>
                <c:pt idx="0">
                  <c:v>3.0554899942394768E-4</c:v>
                </c:pt>
                <c:pt idx="1">
                  <c:v>6.6789168412124539E-3</c:v>
                </c:pt>
                <c:pt idx="2">
                  <c:v>0</c:v>
                </c:pt>
                <c:pt idx="3">
                  <c:v>2.5913378096221124E-3</c:v>
                </c:pt>
                <c:pt idx="4">
                  <c:v>6.5083610066130532E-2</c:v>
                </c:pt>
                <c:pt idx="5">
                  <c:v>9.6021619586554557E-2</c:v>
                </c:pt>
                <c:pt idx="6">
                  <c:v>0.20743078632411266</c:v>
                </c:pt>
                <c:pt idx="7">
                  <c:v>0.29390109546854892</c:v>
                </c:pt>
                <c:pt idx="8">
                  <c:v>0.85969688293676383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606-42E8-BC4F-2EA4035BD64D}"/>
            </c:ext>
          </c:extLst>
        </c:ser>
        <c:ser>
          <c:idx val="2"/>
          <c:order val="5"/>
          <c:tx>
            <c:v>n-valerate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'B4B6 Aver'!$AU$47:$AU$55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2.7476795383393777E-2</c:v>
                  </c:pt>
                  <c:pt idx="5">
                    <c:v>3.6377932862267585E-2</c:v>
                  </c:pt>
                  <c:pt idx="6">
                    <c:v>7.4850193074986138E-2</c:v>
                  </c:pt>
                  <c:pt idx="7">
                    <c:v>0</c:v>
                  </c:pt>
                  <c:pt idx="8">
                    <c:v>8.8030751602450136E-2</c:v>
                  </c:pt>
                </c:numCache>
              </c:numRef>
            </c:plus>
            <c:minus>
              <c:numRef>
                <c:f>'B4B6 Aver'!$AU$47:$AU$55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2.7476795383393777E-2</c:v>
                  </c:pt>
                  <c:pt idx="5">
                    <c:v>3.6377932862267585E-2</c:v>
                  </c:pt>
                  <c:pt idx="6">
                    <c:v>7.4850193074986138E-2</c:v>
                  </c:pt>
                  <c:pt idx="7">
                    <c:v>0</c:v>
                  </c:pt>
                  <c:pt idx="8">
                    <c:v>8.8030751602450136E-2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'B4B6 Aver'!$B$16:$B$24</c:f>
              <c:numCache>
                <c:formatCode>General</c:formatCode>
                <c:ptCount val="9"/>
                <c:pt idx="0">
                  <c:v>21</c:v>
                </c:pt>
                <c:pt idx="1">
                  <c:v>26</c:v>
                </c:pt>
                <c:pt idx="2">
                  <c:v>29</c:v>
                </c:pt>
                <c:pt idx="3">
                  <c:v>32</c:v>
                </c:pt>
                <c:pt idx="4">
                  <c:v>38</c:v>
                </c:pt>
                <c:pt idx="5">
                  <c:v>43</c:v>
                </c:pt>
                <c:pt idx="6">
                  <c:v>46</c:v>
                </c:pt>
                <c:pt idx="7">
                  <c:v>50</c:v>
                </c:pt>
                <c:pt idx="8">
                  <c:v>58</c:v>
                </c:pt>
              </c:numCache>
            </c:numRef>
          </c:xVal>
          <c:yVal>
            <c:numRef>
              <c:f>'B4B6 Aver'!$AU$16:$AU$24</c:f>
              <c:numCache>
                <c:formatCode>0.0</c:formatCode>
                <c:ptCount val="9"/>
                <c:pt idx="0">
                  <c:v>0</c:v>
                </c:pt>
                <c:pt idx="1">
                  <c:v>2.8706876560743479E-3</c:v>
                </c:pt>
                <c:pt idx="2">
                  <c:v>0</c:v>
                </c:pt>
                <c:pt idx="3">
                  <c:v>7.0068794818992156E-3</c:v>
                </c:pt>
                <c:pt idx="4">
                  <c:v>2.2952454673613121E-2</c:v>
                </c:pt>
                <c:pt idx="5">
                  <c:v>2.593902626734014E-2</c:v>
                </c:pt>
                <c:pt idx="6">
                  <c:v>6.4794505964303681E-2</c:v>
                </c:pt>
                <c:pt idx="7">
                  <c:v>9.9160236689557354E-2</c:v>
                </c:pt>
                <c:pt idx="8">
                  <c:v>0.27152880443070548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606-42E8-BC4F-2EA4035BD64D}"/>
            </c:ext>
          </c:extLst>
        </c:ser>
        <c:ser>
          <c:idx val="6"/>
          <c:order val="6"/>
          <c:tx>
            <c:v>n-caproate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'B4B6 Aver'!$AW$47:$AW$55</c:f>
                <c:numCache>
                  <c:formatCode>General</c:formatCode>
                  <c:ptCount val="9"/>
                  <c:pt idx="0">
                    <c:v>1.5854511079468597E-2</c:v>
                  </c:pt>
                  <c:pt idx="1">
                    <c:v>1.3025864444777779E-2</c:v>
                  </c:pt>
                  <c:pt idx="2">
                    <c:v>0</c:v>
                  </c:pt>
                  <c:pt idx="3">
                    <c:v>5.0402289330574085E-2</c:v>
                  </c:pt>
                  <c:pt idx="4">
                    <c:v>9.6320016615018419E-2</c:v>
                  </c:pt>
                  <c:pt idx="5">
                    <c:v>7.7853180720298801E-2</c:v>
                  </c:pt>
                  <c:pt idx="6">
                    <c:v>0.15650165332001978</c:v>
                  </c:pt>
                  <c:pt idx="7">
                    <c:v>0.14224593534724303</c:v>
                  </c:pt>
                  <c:pt idx="8">
                    <c:v>0.1610694631568049</c:v>
                  </c:pt>
                </c:numCache>
              </c:numRef>
            </c:plus>
            <c:minus>
              <c:numRef>
                <c:f>'B4B6 Aver'!$AW$47:$AW$55</c:f>
                <c:numCache>
                  <c:formatCode>General</c:formatCode>
                  <c:ptCount val="9"/>
                  <c:pt idx="0">
                    <c:v>1.5854511079468597E-2</c:v>
                  </c:pt>
                  <c:pt idx="1">
                    <c:v>1.3025864444777779E-2</c:v>
                  </c:pt>
                  <c:pt idx="2">
                    <c:v>0</c:v>
                  </c:pt>
                  <c:pt idx="3">
                    <c:v>5.0402289330574085E-2</c:v>
                  </c:pt>
                  <c:pt idx="4">
                    <c:v>9.6320016615018419E-2</c:v>
                  </c:pt>
                  <c:pt idx="5">
                    <c:v>7.7853180720298801E-2</c:v>
                  </c:pt>
                  <c:pt idx="6">
                    <c:v>0.15650165332001978</c:v>
                  </c:pt>
                  <c:pt idx="7">
                    <c:v>0.14224593534724303</c:v>
                  </c:pt>
                  <c:pt idx="8">
                    <c:v>0.1610694631568049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'B4B6 Aver'!$B$16:$B$24</c:f>
              <c:numCache>
                <c:formatCode>General</c:formatCode>
                <c:ptCount val="9"/>
                <c:pt idx="0">
                  <c:v>21</c:v>
                </c:pt>
                <c:pt idx="1">
                  <c:v>26</c:v>
                </c:pt>
                <c:pt idx="2">
                  <c:v>29</c:v>
                </c:pt>
                <c:pt idx="3">
                  <c:v>32</c:v>
                </c:pt>
                <c:pt idx="4">
                  <c:v>38</c:v>
                </c:pt>
                <c:pt idx="5">
                  <c:v>43</c:v>
                </c:pt>
                <c:pt idx="6">
                  <c:v>46</c:v>
                </c:pt>
                <c:pt idx="7">
                  <c:v>50</c:v>
                </c:pt>
                <c:pt idx="8">
                  <c:v>58</c:v>
                </c:pt>
              </c:numCache>
            </c:numRef>
          </c:xVal>
          <c:yVal>
            <c:numRef>
              <c:f>'B4B6 Aver'!$AW$16:$AW$24</c:f>
              <c:numCache>
                <c:formatCode>0.0</c:formatCode>
                <c:ptCount val="9"/>
                <c:pt idx="0">
                  <c:v>2.4158350169718353E-2</c:v>
                </c:pt>
                <c:pt idx="1">
                  <c:v>1.703913304128506E-2</c:v>
                </c:pt>
                <c:pt idx="2">
                  <c:v>1.2735130931712963E-4</c:v>
                </c:pt>
                <c:pt idx="3">
                  <c:v>4.4885410855665456E-2</c:v>
                </c:pt>
                <c:pt idx="4">
                  <c:v>8.9947030702269989E-2</c:v>
                </c:pt>
                <c:pt idx="5">
                  <c:v>6.7939224073099935E-2</c:v>
                </c:pt>
                <c:pt idx="6">
                  <c:v>0.13309064518083819</c:v>
                </c:pt>
                <c:pt idx="7">
                  <c:v>0.13200874026355328</c:v>
                </c:pt>
                <c:pt idx="8">
                  <c:v>0.19764238422811389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606-42E8-BC4F-2EA4035BD6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7764288"/>
        <c:axId val="497763504"/>
      </c:scatterChart>
      <c:valAx>
        <c:axId val="497764288"/>
        <c:scaling>
          <c:orientation val="minMax"/>
          <c:max val="60"/>
          <c:min val="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763504"/>
        <c:crosses val="autoZero"/>
        <c:crossBetween val="midCat"/>
      </c:valAx>
      <c:valAx>
        <c:axId val="497763504"/>
        <c:scaling>
          <c:orientation val="minMax"/>
          <c:max val="1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Carboxylate (g/L)</a:t>
                </a:r>
              </a:p>
            </c:rich>
          </c:tx>
          <c:layout>
            <c:manualLayout>
              <c:xMode val="edge"/>
              <c:yMode val="edge"/>
              <c:x val="1.7919356126598677E-2"/>
              <c:y val="0.261048825045671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764288"/>
        <c:crosses val="autoZero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3464405378849875"/>
          <c:y val="9.6264219936261747E-2"/>
          <c:w val="0.28642362501585183"/>
          <c:h val="0.401166195350234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64560</xdr:colOff>
      <xdr:row>2</xdr:row>
      <xdr:rowOff>74083</xdr:rowOff>
    </xdr:from>
    <xdr:to>
      <xdr:col>8</xdr:col>
      <xdr:colOff>70910</xdr:colOff>
      <xdr:row>20</xdr:row>
      <xdr:rowOff>50800</xdr:rowOff>
    </xdr:to>
    <xdr:grpSp>
      <xdr:nvGrpSpPr>
        <xdr:cNvPr id="19" name="Group 18">
          <a:extLst>
            <a:ext uri="{FF2B5EF4-FFF2-40B4-BE49-F238E27FC236}">
              <a16:creationId xmlns:a16="http://schemas.microsoft.com/office/drawing/2014/main" id="{F76308AB-25D4-A7C4-C121-8E899B47D578}"/>
            </a:ext>
          </a:extLst>
        </xdr:cNvPr>
        <xdr:cNvGrpSpPr/>
      </xdr:nvGrpSpPr>
      <xdr:grpSpPr>
        <a:xfrm>
          <a:off x="670985" y="423333"/>
          <a:ext cx="4222750" cy="3116792"/>
          <a:chOff x="15961236" y="358775"/>
          <a:chExt cx="4309591" cy="3221664"/>
        </a:xfrm>
      </xdr:grpSpPr>
      <xdr:graphicFrame macro="">
        <xdr:nvGraphicFramePr>
          <xdr:cNvPr id="13" name="Grafiek 1">
            <a:extLst>
              <a:ext uri="{FF2B5EF4-FFF2-40B4-BE49-F238E27FC236}">
                <a16:creationId xmlns:a16="http://schemas.microsoft.com/office/drawing/2014/main" id="{710C8F5D-845D-4BEC-AB5E-D3AA6D43E123}"/>
              </a:ext>
            </a:extLst>
          </xdr:cNvPr>
          <xdr:cNvGraphicFramePr>
            <a:graphicFrameLocks/>
          </xdr:cNvGraphicFramePr>
        </xdr:nvGraphicFramePr>
        <xdr:xfrm>
          <a:off x="15961236" y="365222"/>
          <a:ext cx="4309591" cy="321521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15" name="TextBox 14">
            <a:extLst>
              <a:ext uri="{FF2B5EF4-FFF2-40B4-BE49-F238E27FC236}">
                <a16:creationId xmlns:a16="http://schemas.microsoft.com/office/drawing/2014/main" id="{87A95B91-D417-3D60-8A39-30A3484B3BA1}"/>
              </a:ext>
            </a:extLst>
          </xdr:cNvPr>
          <xdr:cNvSpPr txBox="1"/>
        </xdr:nvSpPr>
        <xdr:spPr>
          <a:xfrm>
            <a:off x="15966018" y="358775"/>
            <a:ext cx="349980" cy="39899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GB" sz="1800"/>
              <a:t>A</a:t>
            </a:r>
          </a:p>
        </xdr:txBody>
      </xdr:sp>
    </xdr:grpSp>
    <xdr:clientData/>
  </xdr:twoCellAnchor>
  <xdr:twoCellAnchor>
    <xdr:from>
      <xdr:col>0</xdr:col>
      <xdr:colOff>539751</xdr:colOff>
      <xdr:row>21</xdr:row>
      <xdr:rowOff>17992</xdr:rowOff>
    </xdr:from>
    <xdr:to>
      <xdr:col>7</xdr:col>
      <xdr:colOff>581731</xdr:colOff>
      <xdr:row>39</xdr:row>
      <xdr:rowOff>53975</xdr:rowOff>
    </xdr:to>
    <xdr:grpSp>
      <xdr:nvGrpSpPr>
        <xdr:cNvPr id="18" name="Group 17">
          <a:extLst>
            <a:ext uri="{FF2B5EF4-FFF2-40B4-BE49-F238E27FC236}">
              <a16:creationId xmlns:a16="http://schemas.microsoft.com/office/drawing/2014/main" id="{CE5B3A91-B3C7-31B6-00C9-C9F7162AE451}"/>
            </a:ext>
          </a:extLst>
        </xdr:cNvPr>
        <xdr:cNvGrpSpPr/>
      </xdr:nvGrpSpPr>
      <xdr:grpSpPr>
        <a:xfrm>
          <a:off x="542926" y="3685117"/>
          <a:ext cx="4258380" cy="3179233"/>
          <a:chOff x="20824826" y="302684"/>
          <a:chExt cx="4339166" cy="3274483"/>
        </a:xfrm>
      </xdr:grpSpPr>
      <xdr:graphicFrame macro="">
        <xdr:nvGraphicFramePr>
          <xdr:cNvPr id="5" name="Grafiek 2">
            <a:extLst>
              <a:ext uri="{FF2B5EF4-FFF2-40B4-BE49-F238E27FC236}">
                <a16:creationId xmlns:a16="http://schemas.microsoft.com/office/drawing/2014/main" id="{CF5E3F77-E657-48FA-8782-4B358D208F48}"/>
              </a:ext>
            </a:extLst>
          </xdr:cNvPr>
          <xdr:cNvGraphicFramePr>
            <a:graphicFrameLocks/>
          </xdr:cNvGraphicFramePr>
        </xdr:nvGraphicFramePr>
        <xdr:xfrm>
          <a:off x="20849166" y="338667"/>
          <a:ext cx="4314826" cy="32385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17" name="TextBox 16">
            <a:extLst>
              <a:ext uri="{FF2B5EF4-FFF2-40B4-BE49-F238E27FC236}">
                <a16:creationId xmlns:a16="http://schemas.microsoft.com/office/drawing/2014/main" id="{808DE2AE-4769-474F-A4FB-BB76D877B4B6}"/>
              </a:ext>
            </a:extLst>
          </xdr:cNvPr>
          <xdr:cNvSpPr txBox="1"/>
        </xdr:nvSpPr>
        <xdr:spPr>
          <a:xfrm>
            <a:off x="20824826" y="302684"/>
            <a:ext cx="349980" cy="39899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GB" sz="1800"/>
              <a:t>B</a:t>
            </a:r>
          </a:p>
        </xdr:txBody>
      </xdr:sp>
    </xdr:grpSp>
    <xdr:clientData/>
  </xdr:twoCellAnchor>
  <xdr:twoCellAnchor>
    <xdr:from>
      <xdr:col>10</xdr:col>
      <xdr:colOff>50797</xdr:colOff>
      <xdr:row>25</xdr:row>
      <xdr:rowOff>83609</xdr:rowOff>
    </xdr:from>
    <xdr:to>
      <xdr:col>17</xdr:col>
      <xdr:colOff>37041</xdr:colOff>
      <xdr:row>42</xdr:row>
      <xdr:rowOff>142875</xdr:rowOff>
    </xdr:to>
    <xdr:grpSp>
      <xdr:nvGrpSpPr>
        <xdr:cNvPr id="29" name="Group 28">
          <a:extLst>
            <a:ext uri="{FF2B5EF4-FFF2-40B4-BE49-F238E27FC236}">
              <a16:creationId xmlns:a16="http://schemas.microsoft.com/office/drawing/2014/main" id="{AA0CC30A-A10F-4A36-9887-902F34CFAFCF}"/>
            </a:ext>
          </a:extLst>
        </xdr:cNvPr>
        <xdr:cNvGrpSpPr/>
      </xdr:nvGrpSpPr>
      <xdr:grpSpPr>
        <a:xfrm>
          <a:off x="6080122" y="4452409"/>
          <a:ext cx="4212169" cy="3021541"/>
          <a:chOff x="15963648" y="358775"/>
          <a:chExt cx="4303292" cy="3247439"/>
        </a:xfrm>
      </xdr:grpSpPr>
      <xdr:graphicFrame macro="">
        <xdr:nvGraphicFramePr>
          <xdr:cNvPr id="30" name="Grafiek 1">
            <a:extLst>
              <a:ext uri="{FF2B5EF4-FFF2-40B4-BE49-F238E27FC236}">
                <a16:creationId xmlns:a16="http://schemas.microsoft.com/office/drawing/2014/main" id="{F6D5C822-8C7F-5DB3-0818-DF432CB2EB15}"/>
              </a:ext>
            </a:extLst>
          </xdr:cNvPr>
          <xdr:cNvGraphicFramePr>
            <a:graphicFrameLocks/>
          </xdr:cNvGraphicFramePr>
        </xdr:nvGraphicFramePr>
        <xdr:xfrm>
          <a:off x="15963648" y="361435"/>
          <a:ext cx="4303292" cy="324477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31" name="TextBox 30">
            <a:extLst>
              <a:ext uri="{FF2B5EF4-FFF2-40B4-BE49-F238E27FC236}">
                <a16:creationId xmlns:a16="http://schemas.microsoft.com/office/drawing/2014/main" id="{00D97B66-EDD8-9C6A-6244-031471FF4987}"/>
              </a:ext>
            </a:extLst>
          </xdr:cNvPr>
          <xdr:cNvSpPr txBox="1"/>
        </xdr:nvSpPr>
        <xdr:spPr>
          <a:xfrm>
            <a:off x="15966018" y="358775"/>
            <a:ext cx="349980" cy="39899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GB" sz="1800"/>
              <a:t>B</a:t>
            </a:r>
          </a:p>
        </xdr:txBody>
      </xdr:sp>
    </xdr:grpSp>
    <xdr:clientData/>
  </xdr:twoCellAnchor>
  <xdr:twoCellAnchor>
    <xdr:from>
      <xdr:col>10</xdr:col>
      <xdr:colOff>7654</xdr:colOff>
      <xdr:row>44</xdr:row>
      <xdr:rowOff>34184</xdr:rowOff>
    </xdr:from>
    <xdr:to>
      <xdr:col>16</xdr:col>
      <xdr:colOff>601133</xdr:colOff>
      <xdr:row>62</xdr:row>
      <xdr:rowOff>12701</xdr:rowOff>
    </xdr:to>
    <xdr:grpSp>
      <xdr:nvGrpSpPr>
        <xdr:cNvPr id="33" name="Group 32">
          <a:extLst>
            <a:ext uri="{FF2B5EF4-FFF2-40B4-BE49-F238E27FC236}">
              <a16:creationId xmlns:a16="http://schemas.microsoft.com/office/drawing/2014/main" id="{6A25646D-51FF-47C5-94FC-DFBDCE557440}"/>
            </a:ext>
          </a:extLst>
        </xdr:cNvPr>
        <xdr:cNvGrpSpPr/>
      </xdr:nvGrpSpPr>
      <xdr:grpSpPr>
        <a:xfrm>
          <a:off x="6043329" y="7714509"/>
          <a:ext cx="4206629" cy="3121767"/>
          <a:chOff x="20099517" y="-2109140"/>
          <a:chExt cx="9796064" cy="3238500"/>
        </a:xfrm>
      </xdr:grpSpPr>
      <xdr:graphicFrame macro="">
        <xdr:nvGraphicFramePr>
          <xdr:cNvPr id="34" name="Grafiek 2">
            <a:extLst>
              <a:ext uri="{FF2B5EF4-FFF2-40B4-BE49-F238E27FC236}">
                <a16:creationId xmlns:a16="http://schemas.microsoft.com/office/drawing/2014/main" id="{D21F238A-29C3-0C67-3163-9B191FF3594E}"/>
              </a:ext>
            </a:extLst>
          </xdr:cNvPr>
          <xdr:cNvGraphicFramePr>
            <a:graphicFrameLocks/>
          </xdr:cNvGraphicFramePr>
        </xdr:nvGraphicFramePr>
        <xdr:xfrm>
          <a:off x="20149978" y="-2109140"/>
          <a:ext cx="9745603" cy="32385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sp macro="" textlink="">
        <xdr:nvSpPr>
          <xdr:cNvPr id="35" name="TextBox 34">
            <a:extLst>
              <a:ext uri="{FF2B5EF4-FFF2-40B4-BE49-F238E27FC236}">
                <a16:creationId xmlns:a16="http://schemas.microsoft.com/office/drawing/2014/main" id="{A59FD6E1-1426-1E5E-7637-4AE1CCD34634}"/>
              </a:ext>
            </a:extLst>
          </xdr:cNvPr>
          <xdr:cNvSpPr txBox="1"/>
        </xdr:nvSpPr>
        <xdr:spPr>
          <a:xfrm>
            <a:off x="20099517" y="-2049104"/>
            <a:ext cx="612430" cy="39899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GB" sz="1800"/>
              <a:t>C</a:t>
            </a:r>
          </a:p>
        </xdr:txBody>
      </xdr:sp>
    </xdr:grpSp>
    <xdr:clientData/>
  </xdr:twoCellAnchor>
  <xdr:twoCellAnchor>
    <xdr:from>
      <xdr:col>20</xdr:col>
      <xdr:colOff>12701</xdr:colOff>
      <xdr:row>4</xdr:row>
      <xdr:rowOff>44134</xdr:rowOff>
    </xdr:from>
    <xdr:to>
      <xdr:col>27</xdr:col>
      <xdr:colOff>15879</xdr:colOff>
      <xdr:row>22</xdr:row>
      <xdr:rowOff>26141</xdr:rowOff>
    </xdr:to>
    <xdr:grpSp>
      <xdr:nvGrpSpPr>
        <xdr:cNvPr id="36" name="Group 35">
          <a:extLst>
            <a:ext uri="{FF2B5EF4-FFF2-40B4-BE49-F238E27FC236}">
              <a16:creationId xmlns:a16="http://schemas.microsoft.com/office/drawing/2014/main" id="{5FDC35D5-3C3D-47F0-AA97-D49CCC50D155}"/>
            </a:ext>
          </a:extLst>
        </xdr:cNvPr>
        <xdr:cNvGrpSpPr/>
      </xdr:nvGrpSpPr>
      <xdr:grpSpPr>
        <a:xfrm>
          <a:off x="12074526" y="745809"/>
          <a:ext cx="4229103" cy="3125257"/>
          <a:chOff x="15963560" y="358775"/>
          <a:chExt cx="4304356" cy="3250748"/>
        </a:xfrm>
      </xdr:grpSpPr>
      <xdr:graphicFrame macro="">
        <xdr:nvGraphicFramePr>
          <xdr:cNvPr id="37" name="Grafiek 1">
            <a:extLst>
              <a:ext uri="{FF2B5EF4-FFF2-40B4-BE49-F238E27FC236}">
                <a16:creationId xmlns:a16="http://schemas.microsoft.com/office/drawing/2014/main" id="{6C3CB2A7-7429-1A99-91F2-C4C6C5EF779A}"/>
              </a:ext>
            </a:extLst>
          </xdr:cNvPr>
          <xdr:cNvGraphicFramePr>
            <a:graphicFrameLocks/>
          </xdr:cNvGraphicFramePr>
        </xdr:nvGraphicFramePr>
        <xdr:xfrm>
          <a:off x="15963560" y="364744"/>
          <a:ext cx="4304356" cy="324477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sp macro="" textlink="">
        <xdr:nvSpPr>
          <xdr:cNvPr id="38" name="TextBox 37">
            <a:extLst>
              <a:ext uri="{FF2B5EF4-FFF2-40B4-BE49-F238E27FC236}">
                <a16:creationId xmlns:a16="http://schemas.microsoft.com/office/drawing/2014/main" id="{145480B5-433C-5EFF-89DE-CDA857C2EBA4}"/>
              </a:ext>
            </a:extLst>
          </xdr:cNvPr>
          <xdr:cNvSpPr txBox="1"/>
        </xdr:nvSpPr>
        <xdr:spPr>
          <a:xfrm>
            <a:off x="15966018" y="358775"/>
            <a:ext cx="349980" cy="39899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GB" sz="1800"/>
              <a:t>A</a:t>
            </a:r>
          </a:p>
        </xdr:txBody>
      </xdr:sp>
    </xdr:grpSp>
    <xdr:clientData/>
  </xdr:twoCellAnchor>
  <xdr:twoCellAnchor>
    <xdr:from>
      <xdr:col>19</xdr:col>
      <xdr:colOff>551655</xdr:colOff>
      <xdr:row>44</xdr:row>
      <xdr:rowOff>121770</xdr:rowOff>
    </xdr:from>
    <xdr:to>
      <xdr:col>26</xdr:col>
      <xdr:colOff>568325</xdr:colOff>
      <xdr:row>62</xdr:row>
      <xdr:rowOff>139701</xdr:rowOff>
    </xdr:to>
    <xdr:grpSp>
      <xdr:nvGrpSpPr>
        <xdr:cNvPr id="39" name="Group 38">
          <a:extLst>
            <a:ext uri="{FF2B5EF4-FFF2-40B4-BE49-F238E27FC236}">
              <a16:creationId xmlns:a16="http://schemas.microsoft.com/office/drawing/2014/main" id="{D286A89A-F997-45E2-9C83-226D9E6A6B91}"/>
            </a:ext>
          </a:extLst>
        </xdr:cNvPr>
        <xdr:cNvGrpSpPr/>
      </xdr:nvGrpSpPr>
      <xdr:grpSpPr>
        <a:xfrm>
          <a:off x="12013405" y="7808445"/>
          <a:ext cx="4239420" cy="3161181"/>
          <a:chOff x="15892774" y="-2686336"/>
          <a:chExt cx="11794808" cy="3387163"/>
        </a:xfrm>
      </xdr:grpSpPr>
      <xdr:graphicFrame macro="">
        <xdr:nvGraphicFramePr>
          <xdr:cNvPr id="40" name="Grafiek 2">
            <a:extLst>
              <a:ext uri="{FF2B5EF4-FFF2-40B4-BE49-F238E27FC236}">
                <a16:creationId xmlns:a16="http://schemas.microsoft.com/office/drawing/2014/main" id="{05F2E9E6-186C-F3BD-54C2-B8B80F04D4D0}"/>
              </a:ext>
            </a:extLst>
          </xdr:cNvPr>
          <xdr:cNvGraphicFramePr>
            <a:graphicFrameLocks/>
          </xdr:cNvGraphicFramePr>
        </xdr:nvGraphicFramePr>
        <xdr:xfrm>
          <a:off x="16008323" y="-2602869"/>
          <a:ext cx="11679259" cy="330369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  <xdr:sp macro="" textlink="">
        <xdr:nvSpPr>
          <xdr:cNvPr id="41" name="TextBox 40">
            <a:extLst>
              <a:ext uri="{FF2B5EF4-FFF2-40B4-BE49-F238E27FC236}">
                <a16:creationId xmlns:a16="http://schemas.microsoft.com/office/drawing/2014/main" id="{2438878E-3565-FACA-BF12-A37482A894BC}"/>
              </a:ext>
            </a:extLst>
          </xdr:cNvPr>
          <xdr:cNvSpPr txBox="1"/>
        </xdr:nvSpPr>
        <xdr:spPr>
          <a:xfrm>
            <a:off x="15892774" y="-2686336"/>
            <a:ext cx="612429" cy="39899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GB" sz="1800"/>
              <a:t>C</a:t>
            </a:r>
          </a:p>
        </xdr:txBody>
      </xdr:sp>
    </xdr:grpSp>
    <xdr:clientData/>
  </xdr:twoCellAnchor>
  <xdr:twoCellAnchor>
    <xdr:from>
      <xdr:col>20</xdr:col>
      <xdr:colOff>25400</xdr:colOff>
      <xdr:row>25</xdr:row>
      <xdr:rowOff>52917</xdr:rowOff>
    </xdr:from>
    <xdr:to>
      <xdr:col>27</xdr:col>
      <xdr:colOff>21169</xdr:colOff>
      <xdr:row>43</xdr:row>
      <xdr:rowOff>19049</xdr:rowOff>
    </xdr:to>
    <xdr:grpSp>
      <xdr:nvGrpSpPr>
        <xdr:cNvPr id="42" name="Group 41">
          <a:extLst>
            <a:ext uri="{FF2B5EF4-FFF2-40B4-BE49-F238E27FC236}">
              <a16:creationId xmlns:a16="http://schemas.microsoft.com/office/drawing/2014/main" id="{A335036B-498D-46F8-B1C8-734E7E5312C7}"/>
            </a:ext>
          </a:extLst>
        </xdr:cNvPr>
        <xdr:cNvGrpSpPr/>
      </xdr:nvGrpSpPr>
      <xdr:grpSpPr>
        <a:xfrm>
          <a:off x="12093575" y="4415367"/>
          <a:ext cx="4215344" cy="3112557"/>
          <a:chOff x="15963648" y="358775"/>
          <a:chExt cx="4303292" cy="3247439"/>
        </a:xfrm>
      </xdr:grpSpPr>
      <xdr:graphicFrame macro="">
        <xdr:nvGraphicFramePr>
          <xdr:cNvPr id="43" name="Grafiek 1">
            <a:extLst>
              <a:ext uri="{FF2B5EF4-FFF2-40B4-BE49-F238E27FC236}">
                <a16:creationId xmlns:a16="http://schemas.microsoft.com/office/drawing/2014/main" id="{7CA91D5C-D58D-FDC1-05DF-F4A770130232}"/>
              </a:ext>
            </a:extLst>
          </xdr:cNvPr>
          <xdr:cNvGraphicFramePr>
            <a:graphicFrameLocks/>
          </xdr:cNvGraphicFramePr>
        </xdr:nvGraphicFramePr>
        <xdr:xfrm>
          <a:off x="15963648" y="361435"/>
          <a:ext cx="4303292" cy="324477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7"/>
          </a:graphicData>
        </a:graphic>
      </xdr:graphicFrame>
      <xdr:sp macro="" textlink="">
        <xdr:nvSpPr>
          <xdr:cNvPr id="44" name="TextBox 43">
            <a:extLst>
              <a:ext uri="{FF2B5EF4-FFF2-40B4-BE49-F238E27FC236}">
                <a16:creationId xmlns:a16="http://schemas.microsoft.com/office/drawing/2014/main" id="{76C54673-3E31-2462-C85B-3690709DA142}"/>
              </a:ext>
            </a:extLst>
          </xdr:cNvPr>
          <xdr:cNvSpPr txBox="1"/>
        </xdr:nvSpPr>
        <xdr:spPr>
          <a:xfrm>
            <a:off x="15966018" y="358775"/>
            <a:ext cx="349980" cy="39899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GB" sz="1800"/>
              <a:t>B</a:t>
            </a:r>
          </a:p>
        </xdr:txBody>
      </xdr:sp>
    </xdr:grpSp>
    <xdr:clientData/>
  </xdr:twoCellAnchor>
  <xdr:twoCellAnchor>
    <xdr:from>
      <xdr:col>10</xdr:col>
      <xdr:colOff>7621</xdr:colOff>
      <xdr:row>4</xdr:row>
      <xdr:rowOff>30117</xdr:rowOff>
    </xdr:from>
    <xdr:to>
      <xdr:col>16</xdr:col>
      <xdr:colOff>591613</xdr:colOff>
      <xdr:row>21</xdr:row>
      <xdr:rowOff>165099</xdr:rowOff>
    </xdr:to>
    <xdr:grpSp>
      <xdr:nvGrpSpPr>
        <xdr:cNvPr id="45" name="Group 44">
          <a:extLst>
            <a:ext uri="{FF2B5EF4-FFF2-40B4-BE49-F238E27FC236}">
              <a16:creationId xmlns:a16="http://schemas.microsoft.com/office/drawing/2014/main" id="{ACEB4F30-E58E-4115-9E7F-2F219AA7259F}"/>
            </a:ext>
          </a:extLst>
        </xdr:cNvPr>
        <xdr:cNvGrpSpPr/>
      </xdr:nvGrpSpPr>
      <xdr:grpSpPr>
        <a:xfrm>
          <a:off x="6043296" y="725442"/>
          <a:ext cx="4200317" cy="3103607"/>
          <a:chOff x="15966018" y="358186"/>
          <a:chExt cx="4296068" cy="3250150"/>
        </a:xfrm>
      </xdr:grpSpPr>
      <xdr:graphicFrame macro="">
        <xdr:nvGraphicFramePr>
          <xdr:cNvPr id="46" name="Grafiek 1">
            <a:extLst>
              <a:ext uri="{FF2B5EF4-FFF2-40B4-BE49-F238E27FC236}">
                <a16:creationId xmlns:a16="http://schemas.microsoft.com/office/drawing/2014/main" id="{43678003-4454-B1D5-7F5F-AB42DE1A5E6D}"/>
              </a:ext>
            </a:extLst>
          </xdr:cNvPr>
          <xdr:cNvGraphicFramePr>
            <a:graphicFrameLocks/>
          </xdr:cNvGraphicFramePr>
        </xdr:nvGraphicFramePr>
        <xdr:xfrm>
          <a:off x="15966879" y="358186"/>
          <a:ext cx="4295207" cy="32501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8"/>
          </a:graphicData>
        </a:graphic>
      </xdr:graphicFrame>
      <xdr:sp macro="" textlink="">
        <xdr:nvSpPr>
          <xdr:cNvPr id="47" name="TextBox 46">
            <a:extLst>
              <a:ext uri="{FF2B5EF4-FFF2-40B4-BE49-F238E27FC236}">
                <a16:creationId xmlns:a16="http://schemas.microsoft.com/office/drawing/2014/main" id="{51BB36F6-E180-CEF0-7258-961B0F92A303}"/>
              </a:ext>
            </a:extLst>
          </xdr:cNvPr>
          <xdr:cNvSpPr txBox="1"/>
        </xdr:nvSpPr>
        <xdr:spPr>
          <a:xfrm>
            <a:off x="15966018" y="358775"/>
            <a:ext cx="349980" cy="39899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GB" sz="1800"/>
              <a:t>A</a:t>
            </a:r>
          </a:p>
        </xdr:txBody>
      </xdr:sp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Table1" displayName="Table1" ref="A1:C4" headerRowCount="0" totalsRowShown="0" headerRowDxfId="726" dataDxfId="725" tableBorderDxfId="724">
  <tableColumns count="3">
    <tableColumn id="1" xr3:uid="{00000000-0010-0000-0400-000001000000}" name="Column1" dataDxfId="723"/>
    <tableColumn id="2" xr3:uid="{00000000-0010-0000-0400-000002000000}" name="Column2" dataDxfId="722"/>
    <tableColumn id="3" xr3:uid="{00000000-0010-0000-0400-000003000000}" name="Column3" headerRowDxfId="721" dataDxfId="720"/>
  </tableColumns>
  <tableStyleInfo name="TableStyleLight15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F000000}" name="Table214" displayName="Table214" ref="A8:B32" totalsRowShown="0" headerRowDxfId="620">
  <autoFilter ref="A8:B32" xr:uid="{00000000-0009-0000-0100-00000D000000}"/>
  <tableColumns count="2">
    <tableColumn id="1" xr3:uid="{00000000-0010-0000-0F00-000001000000}" name="Date" dataDxfId="619"/>
    <tableColumn id="2" xr3:uid="{00000000-0010-0000-0F00-000002000000}" name="Time">
      <calculatedColumnFormula>Table2[[#This Row],[Time]]</calculatedColumnFormula>
    </tableColumn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10000000}" name="Table315" displayName="Table315" ref="C6:AI32" totalsRowShown="0" headerRowDxfId="618" tableBorderDxfId="617" headerRowCellStyle="Normal 3">
  <autoFilter ref="C6:AI32" xr:uid="{00000000-0009-0000-0100-00000E000000}"/>
  <tableColumns count="33">
    <tableColumn id="1" xr3:uid="{00000000-0010-0000-1000-000001000000}" name="Dilution" dataDxfId="616"/>
    <tableColumn id="2" xr3:uid="{00000000-0010-0000-1000-000002000000}" name="Amount " dataDxfId="615"/>
    <tableColumn id="3" xr3:uid="{00000000-0010-0000-1000-000003000000}" name="Amount 2" dataDxfId="614"/>
    <tableColumn id="4" xr3:uid="{00000000-0010-0000-1000-000004000000}" name="Amount 3" dataDxfId="613"/>
    <tableColumn id="5" xr3:uid="{00000000-0010-0000-1000-000005000000}" name="Amount 4" dataDxfId="612"/>
    <tableColumn id="6" xr3:uid="{00000000-0010-0000-1000-000006000000}" name="Amount 5" dataDxfId="611"/>
    <tableColumn id="7" xr3:uid="{00000000-0010-0000-1000-000007000000}" name="Amount 6" dataDxfId="610"/>
    <tableColumn id="8" xr3:uid="{00000000-0010-0000-1000-000008000000}" name="Amount 7" dataDxfId="609"/>
    <tableColumn id="9" xr3:uid="{00000000-0010-0000-1000-000009000000}" name="Amount 8" dataDxfId="608"/>
    <tableColumn id="10" xr3:uid="{00000000-0010-0000-1000-00000A000000}" name="Amount 9" dataDxfId="607"/>
    <tableColumn id="11" xr3:uid="{00000000-0010-0000-1000-00000B000000}" name="Amount 10" dataDxfId="606"/>
    <tableColumn id="12" xr3:uid="{00000000-0010-0000-1000-00000C000000}" name="Amount 11" dataDxfId="605"/>
    <tableColumn id="13" xr3:uid="{00000000-0010-0000-1000-00000D000000}" name="Amount 12" dataDxfId="604"/>
    <tableColumn id="14" xr3:uid="{00000000-0010-0000-1000-00000E000000}" name="Amount 13" dataDxfId="603"/>
    <tableColumn id="15" xr3:uid="{00000000-0010-0000-1000-00000F000000}" name="Amount 14" dataDxfId="602"/>
    <tableColumn id="16" xr3:uid="{00000000-0010-0000-1000-000010000000}" name="Amount 15" dataDxfId="601"/>
    <tableColumn id="17" xr3:uid="{00000000-0010-0000-1000-000011000000}" name="Amount 16" dataDxfId="600"/>
    <tableColumn id="18" xr3:uid="{00000000-0010-0000-1000-000012000000}" name="Amount 17" dataDxfId="599"/>
    <tableColumn id="19" xr3:uid="{00000000-0010-0000-1000-000013000000}" name="Amount 18" dataDxfId="598"/>
    <tableColumn id="20" xr3:uid="{00000000-0010-0000-1000-000014000000}" name="Amount 19" dataDxfId="597"/>
    <tableColumn id="21" xr3:uid="{00000000-0010-0000-1000-000015000000}" name="Ret.Time "/>
    <tableColumn id="22" xr3:uid="{00000000-0010-0000-1000-000016000000}" name="Amount 20"/>
    <tableColumn id="23" xr3:uid="{00000000-0010-0000-1000-000017000000}" name="Ret.Time"/>
    <tableColumn id="24" xr3:uid="{00000000-0010-0000-1000-000018000000}" name="Amount 21"/>
    <tableColumn id="25" xr3:uid="{00000000-0010-0000-1000-000019000000}" name="Ret.Time22"/>
    <tableColumn id="26" xr3:uid="{00000000-0010-0000-1000-00001A000000}" name="Amount 23"/>
    <tableColumn id="27" xr3:uid="{00000000-0010-0000-1000-00001B000000}" name="Ret.Time24"/>
    <tableColumn id="28" xr3:uid="{00000000-0010-0000-1000-00001C000000}" name="Amount 25"/>
    <tableColumn id="29" xr3:uid="{00000000-0010-0000-1000-00001D000000}" name="pH"/>
    <tableColumn id="30" xr3:uid="{00000000-0010-0000-1000-00001E000000}" name="dilution "/>
    <tableColumn id="31" xr3:uid="{00000000-0010-0000-1000-00001F000000}" name="correction"/>
    <tableColumn id="32" xr3:uid="{00000000-0010-0000-1000-000020000000}" name="amount"/>
    <tableColumn id="33" xr3:uid="{00000000-0010-0000-1000-000021000000}" name="pressure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11000000}" name="Table516" displayName="Table516" ref="AJ6:BA32" headerRowDxfId="596" headerRowBorderDxfId="595" tableBorderDxfId="594">
  <autoFilter ref="AJ6:BA32" xr:uid="{00000000-0009-0000-0100-00000F000000}"/>
  <tableColumns count="18">
    <tableColumn id="1" xr3:uid="{00000000-0010-0000-1100-000001000000}" name="Concentration" totalsRowLabel="Total" dataDxfId="593" totalsRowDxfId="592"/>
    <tableColumn id="2" xr3:uid="{00000000-0010-0000-1100-000002000000}" name="Concentration2" dataDxfId="591" totalsRowDxfId="590"/>
    <tableColumn id="3" xr3:uid="{00000000-0010-0000-1100-000003000000}" name="Concentration3" dataDxfId="589" totalsRowDxfId="588"/>
    <tableColumn id="4" xr3:uid="{00000000-0010-0000-1100-000004000000}" name="Concentration4" dataDxfId="587" totalsRowDxfId="586"/>
    <tableColumn id="5" xr3:uid="{00000000-0010-0000-1100-000005000000}" name="Concentration5" dataDxfId="585" totalsRowDxfId="584"/>
    <tableColumn id="6" xr3:uid="{00000000-0010-0000-1100-000006000000}" name="Concentration6" dataDxfId="583" totalsRowDxfId="582"/>
    <tableColumn id="7" xr3:uid="{00000000-0010-0000-1100-000007000000}" name="Concentration7" dataDxfId="581" totalsRowDxfId="580"/>
    <tableColumn id="8" xr3:uid="{00000000-0010-0000-1100-000008000000}" name="Concentration8"/>
    <tableColumn id="9" xr3:uid="{00000000-0010-0000-1100-000009000000}" name="Concentration9"/>
    <tableColumn id="10" xr3:uid="{00000000-0010-0000-1100-00000A000000}" name="Concentration10"/>
    <tableColumn id="11" xr3:uid="{00000000-0010-0000-1100-00000B000000}" name="Concentration11"/>
    <tableColumn id="12" xr3:uid="{00000000-0010-0000-1100-00000C000000}" name="Concentration12"/>
    <tableColumn id="13" xr3:uid="{00000000-0010-0000-1100-00000D000000}" name="Concentration13"/>
    <tableColumn id="14" xr3:uid="{00000000-0010-0000-1100-00000E000000}" name="Concentration14"/>
    <tableColumn id="15" xr3:uid="{00000000-0010-0000-1100-00000F000000}" name="Concentration15"/>
    <tableColumn id="16" xr3:uid="{00000000-0010-0000-1100-000010000000}" name="Concentration16"/>
    <tableColumn id="17" xr3:uid="{00000000-0010-0000-1100-000011000000}" name="Concentration17" totalsRowFunction="count"/>
    <tableColumn id="20" xr3:uid="{00000000-0010-0000-1100-000014000000}" name="Concentration172" dataDxfId="579"/>
  </tableColumns>
  <tableStyleInfo name="TableStyleMedium5" showFirstColumn="0" showLastColumn="0" showRowStripes="1" showColumnStripes="1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13000000}" name="Table11318" displayName="Table11318" ref="A1:C4" headerRowCount="0" totalsRowShown="0" headerRowDxfId="578" dataDxfId="577" tableBorderDxfId="576">
  <tableColumns count="3">
    <tableColumn id="1" xr3:uid="{00000000-0010-0000-1300-000001000000}" name="Column1" dataDxfId="575"/>
    <tableColumn id="2" xr3:uid="{00000000-0010-0000-1300-000002000000}" name="Column2" dataDxfId="574"/>
    <tableColumn id="3" xr3:uid="{00000000-0010-0000-1300-000003000000}" name="Column3" headerRowDxfId="573" dataDxfId="572"/>
  </tableColumns>
  <tableStyleInfo name="TableStyleLight15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4000000}" name="Table21419" displayName="Table21419" ref="A8:B32" totalsRowShown="0" headerRowDxfId="571">
  <autoFilter ref="A8:B32" xr:uid="{00000000-0009-0000-0100-000012000000}"/>
  <tableColumns count="2">
    <tableColumn id="1" xr3:uid="{00000000-0010-0000-1400-000001000000}" name="Date" dataDxfId="570">
      <calculatedColumnFormula>Table2[[#This Row],[Date]]</calculatedColumnFormula>
    </tableColumn>
    <tableColumn id="2" xr3:uid="{00000000-0010-0000-1400-000002000000}" name="Time">
      <calculatedColumnFormula>Table2[[#This Row],[Time]]</calculatedColumnFormula>
    </tableColumn>
  </tableColumns>
  <tableStyleInfo name="TableStyleMedium1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5000000}" name="Table31520" displayName="Table31520" ref="C6:AI32" totalsRowShown="0" headerRowDxfId="569" tableBorderDxfId="568" headerRowCellStyle="Normal 3">
  <autoFilter ref="C6:AI32" xr:uid="{00000000-0009-0000-0100-000013000000}"/>
  <tableColumns count="33">
    <tableColumn id="1" xr3:uid="{00000000-0010-0000-1500-000001000000}" name="Dilution" dataDxfId="567"/>
    <tableColumn id="2" xr3:uid="{00000000-0010-0000-1500-000002000000}" name="Amount " dataDxfId="566"/>
    <tableColumn id="3" xr3:uid="{00000000-0010-0000-1500-000003000000}" name="Amount 2" dataDxfId="565"/>
    <tableColumn id="4" xr3:uid="{00000000-0010-0000-1500-000004000000}" name="Amount 3" dataDxfId="564"/>
    <tableColumn id="5" xr3:uid="{00000000-0010-0000-1500-000005000000}" name="Amount 4" dataDxfId="563"/>
    <tableColumn id="6" xr3:uid="{00000000-0010-0000-1500-000006000000}" name="Amount 5" dataDxfId="562"/>
    <tableColumn id="7" xr3:uid="{00000000-0010-0000-1500-000007000000}" name="Amount 6" dataDxfId="561"/>
    <tableColumn id="8" xr3:uid="{00000000-0010-0000-1500-000008000000}" name="Amount 7" dataDxfId="560"/>
    <tableColumn id="9" xr3:uid="{00000000-0010-0000-1500-000009000000}" name="Amount 8" dataDxfId="559"/>
    <tableColumn id="10" xr3:uid="{00000000-0010-0000-1500-00000A000000}" name="Amount 9" dataDxfId="558"/>
    <tableColumn id="11" xr3:uid="{00000000-0010-0000-1500-00000B000000}" name="Amount 10" dataDxfId="557"/>
    <tableColumn id="12" xr3:uid="{00000000-0010-0000-1500-00000C000000}" name="Amount 11" dataDxfId="556"/>
    <tableColumn id="13" xr3:uid="{00000000-0010-0000-1500-00000D000000}" name="Amount 12" dataDxfId="555"/>
    <tableColumn id="14" xr3:uid="{00000000-0010-0000-1500-00000E000000}" name="Amount 13" dataDxfId="554"/>
    <tableColumn id="15" xr3:uid="{00000000-0010-0000-1500-00000F000000}" name="Amount 14" dataDxfId="553"/>
    <tableColumn id="16" xr3:uid="{00000000-0010-0000-1500-000010000000}" name="Amount 15" dataDxfId="552"/>
    <tableColumn id="17" xr3:uid="{00000000-0010-0000-1500-000011000000}" name="Amount 16" dataDxfId="551"/>
    <tableColumn id="18" xr3:uid="{00000000-0010-0000-1500-000012000000}" name="Amount 17" dataDxfId="550"/>
    <tableColumn id="19" xr3:uid="{00000000-0010-0000-1500-000013000000}" name="Amount 18" dataDxfId="549"/>
    <tableColumn id="20" xr3:uid="{00000000-0010-0000-1500-000014000000}" name="Amount 19" dataDxfId="548"/>
    <tableColumn id="21" xr3:uid="{00000000-0010-0000-1500-000015000000}" name="Ret.Time "/>
    <tableColumn id="22" xr3:uid="{00000000-0010-0000-1500-000016000000}" name="Amount 20"/>
    <tableColumn id="23" xr3:uid="{00000000-0010-0000-1500-000017000000}" name="Ret.Time"/>
    <tableColumn id="24" xr3:uid="{00000000-0010-0000-1500-000018000000}" name="Amount 21"/>
    <tableColumn id="25" xr3:uid="{00000000-0010-0000-1500-000019000000}" name="Ret.Time22"/>
    <tableColumn id="26" xr3:uid="{00000000-0010-0000-1500-00001A000000}" name="Amount 23"/>
    <tableColumn id="27" xr3:uid="{00000000-0010-0000-1500-00001B000000}" name="Ret.Time24"/>
    <tableColumn id="28" xr3:uid="{00000000-0010-0000-1500-00001C000000}" name="Amount 25"/>
    <tableColumn id="29" xr3:uid="{00000000-0010-0000-1500-00001D000000}" name="pH"/>
    <tableColumn id="30" xr3:uid="{00000000-0010-0000-1500-00001E000000}" name="dilution "/>
    <tableColumn id="31" xr3:uid="{00000000-0010-0000-1500-00001F000000}" name="correction"/>
    <tableColumn id="32" xr3:uid="{00000000-0010-0000-1500-000020000000}" name="amount"/>
    <tableColumn id="33" xr3:uid="{00000000-0010-0000-1500-000021000000}" name="pressure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16000000}" name="Table51621" displayName="Table51621" ref="AJ6:BC32" headerRowDxfId="547" headerRowBorderDxfId="546" tableBorderDxfId="545">
  <autoFilter ref="AJ6:BC32" xr:uid="{00000000-0009-0000-0100-000014000000}"/>
  <tableColumns count="20">
    <tableColumn id="1" xr3:uid="{00000000-0010-0000-1600-000001000000}" name="Concentration" totalsRowLabel="Total" dataDxfId="544" totalsRowDxfId="543"/>
    <tableColumn id="2" xr3:uid="{00000000-0010-0000-1600-000002000000}" name="Concentration2" dataDxfId="542" totalsRowDxfId="541"/>
    <tableColumn id="3" xr3:uid="{00000000-0010-0000-1600-000003000000}" name="Concentration3" dataDxfId="540" totalsRowDxfId="539"/>
    <tableColumn id="4" xr3:uid="{00000000-0010-0000-1600-000004000000}" name="Concentration4" dataDxfId="538" totalsRowDxfId="537"/>
    <tableColumn id="5" xr3:uid="{00000000-0010-0000-1600-000005000000}" name="Concentration5" dataDxfId="536" totalsRowDxfId="535"/>
    <tableColumn id="6" xr3:uid="{00000000-0010-0000-1600-000006000000}" name="Concentration6" dataDxfId="534" totalsRowDxfId="533"/>
    <tableColumn id="7" xr3:uid="{00000000-0010-0000-1600-000007000000}" name="Concentration7" dataDxfId="532" totalsRowDxfId="531"/>
    <tableColumn id="8" xr3:uid="{00000000-0010-0000-1600-000008000000}" name="Concentration8"/>
    <tableColumn id="9" xr3:uid="{00000000-0010-0000-1600-000009000000}" name="Concentration9"/>
    <tableColumn id="10" xr3:uid="{00000000-0010-0000-1600-00000A000000}" name="Concentration10"/>
    <tableColumn id="11" xr3:uid="{00000000-0010-0000-1600-00000B000000}" name="Concentration11"/>
    <tableColumn id="12" xr3:uid="{00000000-0010-0000-1600-00000C000000}" name="Concentration12"/>
    <tableColumn id="13" xr3:uid="{00000000-0010-0000-1600-00000D000000}" name="Concentration13"/>
    <tableColumn id="14" xr3:uid="{00000000-0010-0000-1600-00000E000000}" name="Concentration14"/>
    <tableColumn id="15" xr3:uid="{00000000-0010-0000-1600-00000F000000}" name="Concentration15"/>
    <tableColumn id="16" xr3:uid="{00000000-0010-0000-1600-000010000000}" name="Concentration16"/>
    <tableColumn id="17" xr3:uid="{00000000-0010-0000-1600-000011000000}" name="Concentration17" totalsRowFunction="count"/>
    <tableColumn id="20" xr3:uid="{00000000-0010-0000-1600-000014000000}" name="Concentration172" dataDxfId="530"/>
    <tableColumn id="18" xr3:uid="{00000000-0010-0000-1600-000012000000}" name="Concentration18" dataDxfId="529"/>
    <tableColumn id="19" xr3:uid="{00000000-0010-0000-1600-000013000000}" name="Concentration19" dataDxfId="528"/>
  </tableColumns>
  <tableStyleInfo name="TableStyleMedium5" showFirstColumn="0" showLastColumn="0" showRowStripes="1" showColumnStripes="1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17000000}" name="Table61722" displayName="Table61722" ref="BD6:BV32" totalsRowShown="0" headerRowDxfId="527" headerRowBorderDxfId="526" tableBorderDxfId="525">
  <autoFilter ref="BD6:BV32" xr:uid="{00000000-0009-0000-0100-000015000000}"/>
  <tableColumns count="19">
    <tableColumn id="1" xr3:uid="{00000000-0010-0000-1700-000001000000}" name="Concentration"/>
    <tableColumn id="2" xr3:uid="{00000000-0010-0000-1700-000002000000}" name="Concentration2"/>
    <tableColumn id="3" xr3:uid="{00000000-0010-0000-1700-000003000000}" name="Concentration3"/>
    <tableColumn id="4" xr3:uid="{00000000-0010-0000-1700-000004000000}" name="Concentration4"/>
    <tableColumn id="5" xr3:uid="{00000000-0010-0000-1700-000005000000}" name="Concentration5"/>
    <tableColumn id="6" xr3:uid="{00000000-0010-0000-1700-000006000000}" name="Concentration6"/>
    <tableColumn id="7" xr3:uid="{00000000-0010-0000-1700-000007000000}" name="Concentration7"/>
    <tableColumn id="8" xr3:uid="{00000000-0010-0000-1700-000008000000}" name="Concentration8"/>
    <tableColumn id="9" xr3:uid="{00000000-0010-0000-1700-000009000000}" name="Concentration9"/>
    <tableColumn id="10" xr3:uid="{00000000-0010-0000-1700-00000A000000}" name="Concentration10"/>
    <tableColumn id="11" xr3:uid="{00000000-0010-0000-1700-00000B000000}" name="Concentration11"/>
    <tableColumn id="12" xr3:uid="{00000000-0010-0000-1700-00000C000000}" name="Concentration12"/>
    <tableColumn id="13" xr3:uid="{00000000-0010-0000-1700-00000D000000}" name="Concentration13"/>
    <tableColumn id="14" xr3:uid="{00000000-0010-0000-1700-00000E000000}" name="Concentration14"/>
    <tableColumn id="15" xr3:uid="{00000000-0010-0000-1700-00000F000000}" name="Concentration15"/>
    <tableColumn id="16" xr3:uid="{00000000-0010-0000-1700-000010000000}" name="Concentration16"/>
    <tableColumn id="17" xr3:uid="{00000000-0010-0000-1700-000011000000}" name="Concentration17"/>
    <tableColumn id="18" xr3:uid="{00000000-0010-0000-1700-000012000000}" name="concentration18"/>
    <tableColumn id="19" xr3:uid="{00000000-0010-0000-1700-000013000000}" name="concentration19"/>
  </tableColumns>
  <tableStyleInfo name="TableStyleMedium7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18000000}" name="Table1131823" displayName="Table1131823" ref="A1:C4" headerRowCount="0" totalsRowShown="0" headerRowDxfId="524" dataDxfId="523" tableBorderDxfId="522">
  <tableColumns count="3">
    <tableColumn id="1" xr3:uid="{00000000-0010-0000-1800-000001000000}" name="Column1" dataDxfId="521"/>
    <tableColumn id="2" xr3:uid="{00000000-0010-0000-1800-000002000000}" name="Column2" dataDxfId="520"/>
    <tableColumn id="3" xr3:uid="{00000000-0010-0000-1800-000003000000}" name="Column3" headerRowDxfId="519" dataDxfId="518"/>
  </tableColumns>
  <tableStyleInfo name="TableStyleLight15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00000000-000C-0000-FFFF-FFFF19000000}" name="Table2141924" displayName="Table2141924" ref="A8:B32" totalsRowShown="0" headerRowDxfId="517">
  <autoFilter ref="A8:B32" xr:uid="{00000000-0009-0000-0100-000017000000}"/>
  <tableColumns count="2">
    <tableColumn id="1" xr3:uid="{00000000-0010-0000-1900-000001000000}" name="Date" dataDxfId="516">
      <calculatedColumnFormula>Table2[[#This Row],[Date]]</calculatedColumnFormula>
    </tableColumn>
    <tableColumn id="2" xr3:uid="{00000000-0010-0000-1900-000002000000}" name="Time">
      <calculatedColumnFormula>Table2[[#This Row],[Time]]</calculatedColumnFormula>
    </tableColumn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5000000}" name="Table2" displayName="Table2" ref="A8:B32" totalsRowShown="0" headerRowDxfId="719">
  <autoFilter ref="A8:B32" xr:uid="{00000000-0009-0000-0100-000002000000}"/>
  <tableColumns count="2">
    <tableColumn id="1" xr3:uid="{00000000-0010-0000-0500-000001000000}" name="Date" dataDxfId="718"/>
    <tableColumn id="2" xr3:uid="{00000000-0010-0000-0500-000002000000}" name="Time"/>
  </tableColumns>
  <tableStyleInfo name="TableStyleMedium1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0000000-000C-0000-FFFF-FFFF1A000000}" name="Table3152025" displayName="Table3152025" ref="C6:AI32" totalsRowShown="0" headerRowDxfId="515" tableBorderDxfId="514" headerRowCellStyle="Normal 3">
  <autoFilter ref="C6:AI32" xr:uid="{00000000-0009-0000-0100-000018000000}"/>
  <tableColumns count="33">
    <tableColumn id="1" xr3:uid="{00000000-0010-0000-1A00-000001000000}" name="Dilution" dataDxfId="513"/>
    <tableColumn id="2" xr3:uid="{00000000-0010-0000-1A00-000002000000}" name="Amount " dataDxfId="512"/>
    <tableColumn id="3" xr3:uid="{00000000-0010-0000-1A00-000003000000}" name="Amount 2" dataDxfId="511"/>
    <tableColumn id="4" xr3:uid="{00000000-0010-0000-1A00-000004000000}" name="Amount 3" dataDxfId="510"/>
    <tableColumn id="5" xr3:uid="{00000000-0010-0000-1A00-000005000000}" name="Amount 4" dataDxfId="509"/>
    <tableColumn id="6" xr3:uid="{00000000-0010-0000-1A00-000006000000}" name="Amount 5" dataDxfId="508"/>
    <tableColumn id="7" xr3:uid="{00000000-0010-0000-1A00-000007000000}" name="Amount 6" dataDxfId="507"/>
    <tableColumn id="8" xr3:uid="{00000000-0010-0000-1A00-000008000000}" name="Amount 7" dataDxfId="506"/>
    <tableColumn id="9" xr3:uid="{00000000-0010-0000-1A00-000009000000}" name="Amount 8" dataDxfId="505"/>
    <tableColumn id="10" xr3:uid="{00000000-0010-0000-1A00-00000A000000}" name="Amount 9" dataDxfId="504"/>
    <tableColumn id="11" xr3:uid="{00000000-0010-0000-1A00-00000B000000}" name="Amount 10" dataDxfId="503"/>
    <tableColumn id="12" xr3:uid="{00000000-0010-0000-1A00-00000C000000}" name="Amount 11" dataDxfId="502"/>
    <tableColumn id="13" xr3:uid="{00000000-0010-0000-1A00-00000D000000}" name="Amount 12" dataDxfId="501"/>
    <tableColumn id="14" xr3:uid="{00000000-0010-0000-1A00-00000E000000}" name="Amount 13" dataDxfId="500"/>
    <tableColumn id="15" xr3:uid="{00000000-0010-0000-1A00-00000F000000}" name="Amount 14" dataDxfId="499"/>
    <tableColumn id="16" xr3:uid="{00000000-0010-0000-1A00-000010000000}" name="Amount 15" dataDxfId="498"/>
    <tableColumn id="17" xr3:uid="{00000000-0010-0000-1A00-000011000000}" name="Amount 16" dataDxfId="497"/>
    <tableColumn id="18" xr3:uid="{00000000-0010-0000-1A00-000012000000}" name="Amount 17" dataDxfId="496"/>
    <tableColumn id="19" xr3:uid="{00000000-0010-0000-1A00-000013000000}" name="Amount 18" dataDxfId="495"/>
    <tableColumn id="20" xr3:uid="{00000000-0010-0000-1A00-000014000000}" name="Amount 19" dataDxfId="494"/>
    <tableColumn id="21" xr3:uid="{00000000-0010-0000-1A00-000015000000}" name="Ret.Time "/>
    <tableColumn id="22" xr3:uid="{00000000-0010-0000-1A00-000016000000}" name="Amount 20"/>
    <tableColumn id="23" xr3:uid="{00000000-0010-0000-1A00-000017000000}" name="Ret.Time"/>
    <tableColumn id="24" xr3:uid="{00000000-0010-0000-1A00-000018000000}" name="Amount 21"/>
    <tableColumn id="25" xr3:uid="{00000000-0010-0000-1A00-000019000000}" name="Ret.Time22"/>
    <tableColumn id="26" xr3:uid="{00000000-0010-0000-1A00-00001A000000}" name="Amount 23"/>
    <tableColumn id="27" xr3:uid="{00000000-0010-0000-1A00-00001B000000}" name="Ret.Time24"/>
    <tableColumn id="28" xr3:uid="{00000000-0010-0000-1A00-00001C000000}" name="Amount 25"/>
    <tableColumn id="29" xr3:uid="{00000000-0010-0000-1A00-00001D000000}" name="pH"/>
    <tableColumn id="30" xr3:uid="{00000000-0010-0000-1A00-00001E000000}" name="dilution "/>
    <tableColumn id="31" xr3:uid="{00000000-0010-0000-1A00-00001F000000}" name="correction"/>
    <tableColumn id="32" xr3:uid="{00000000-0010-0000-1A00-000020000000}" name="amount"/>
    <tableColumn id="33" xr3:uid="{00000000-0010-0000-1A00-000021000000}" name="pressure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00000000-000C-0000-FFFF-FFFF1B000000}" name="Table5162126" displayName="Table5162126" ref="AJ6:BC32" headerRowDxfId="493" headerRowBorderDxfId="492" tableBorderDxfId="491">
  <autoFilter ref="AJ6:BC32" xr:uid="{00000000-0009-0000-0100-000019000000}"/>
  <tableColumns count="20">
    <tableColumn id="1" xr3:uid="{00000000-0010-0000-1B00-000001000000}" name="Concentration" totalsRowLabel="Total" dataDxfId="490" totalsRowDxfId="489"/>
    <tableColumn id="2" xr3:uid="{00000000-0010-0000-1B00-000002000000}" name="Concentration2" dataDxfId="488" totalsRowDxfId="487"/>
    <tableColumn id="3" xr3:uid="{00000000-0010-0000-1B00-000003000000}" name="Concentration3" dataDxfId="486" totalsRowDxfId="485"/>
    <tableColumn id="4" xr3:uid="{00000000-0010-0000-1B00-000004000000}" name="Concentration4" dataDxfId="484" totalsRowDxfId="483"/>
    <tableColumn id="5" xr3:uid="{00000000-0010-0000-1B00-000005000000}" name="Concentration5" dataDxfId="482" totalsRowDxfId="481"/>
    <tableColumn id="6" xr3:uid="{00000000-0010-0000-1B00-000006000000}" name="Concentration6" dataDxfId="480" totalsRowDxfId="479"/>
    <tableColumn id="7" xr3:uid="{00000000-0010-0000-1B00-000007000000}" name="Concentration7" dataDxfId="478" totalsRowDxfId="477"/>
    <tableColumn id="8" xr3:uid="{00000000-0010-0000-1B00-000008000000}" name="Concentration8"/>
    <tableColumn id="9" xr3:uid="{00000000-0010-0000-1B00-000009000000}" name="Concentration9"/>
    <tableColumn id="10" xr3:uid="{00000000-0010-0000-1B00-00000A000000}" name="Concentration10"/>
    <tableColumn id="11" xr3:uid="{00000000-0010-0000-1B00-00000B000000}" name="Concentration11"/>
    <tableColumn id="12" xr3:uid="{00000000-0010-0000-1B00-00000C000000}" name="Concentration12"/>
    <tableColumn id="13" xr3:uid="{00000000-0010-0000-1B00-00000D000000}" name="Concentration13"/>
    <tableColumn id="14" xr3:uid="{00000000-0010-0000-1B00-00000E000000}" name="Concentration14"/>
    <tableColumn id="15" xr3:uid="{00000000-0010-0000-1B00-00000F000000}" name="Concentration15"/>
    <tableColumn id="16" xr3:uid="{00000000-0010-0000-1B00-000010000000}" name="Concentration16"/>
    <tableColumn id="17" xr3:uid="{00000000-0010-0000-1B00-000011000000}" name="Concentration17" totalsRowFunction="count"/>
    <tableColumn id="20" xr3:uid="{00000000-0010-0000-1B00-000014000000}" name="Concentration172" dataDxfId="476"/>
    <tableColumn id="18" xr3:uid="{00000000-0010-0000-1B00-000012000000}" name="Concentration18" dataDxfId="475"/>
    <tableColumn id="19" xr3:uid="{00000000-0010-0000-1B00-000013000000}" name="Concentration19" dataDxfId="474"/>
  </tableColumns>
  <tableStyleInfo name="TableStyleMedium5" showFirstColumn="0" showLastColumn="0" showRowStripes="1" showColumnStripes="1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0000000-000C-0000-FFFF-FFFF1C000000}" name="Table6172227" displayName="Table6172227" ref="BD6:BV32" totalsRowShown="0" headerRowDxfId="473" headerRowBorderDxfId="472" tableBorderDxfId="471">
  <autoFilter ref="BD6:BV32" xr:uid="{00000000-0009-0000-0100-00001A000000}"/>
  <tableColumns count="19">
    <tableColumn id="1" xr3:uid="{00000000-0010-0000-1C00-000001000000}" name="Concentration"/>
    <tableColumn id="2" xr3:uid="{00000000-0010-0000-1C00-000002000000}" name="Concentration2"/>
    <tableColumn id="3" xr3:uid="{00000000-0010-0000-1C00-000003000000}" name="Concentration3"/>
    <tableColumn id="4" xr3:uid="{00000000-0010-0000-1C00-000004000000}" name="Concentration4"/>
    <tableColumn id="5" xr3:uid="{00000000-0010-0000-1C00-000005000000}" name="Concentration5"/>
    <tableColumn id="6" xr3:uid="{00000000-0010-0000-1C00-000006000000}" name="Concentration6"/>
    <tableColumn id="7" xr3:uid="{00000000-0010-0000-1C00-000007000000}" name="Concentration7"/>
    <tableColumn id="8" xr3:uid="{00000000-0010-0000-1C00-000008000000}" name="Concentration8"/>
    <tableColumn id="9" xr3:uid="{00000000-0010-0000-1C00-000009000000}" name="Concentration9"/>
    <tableColumn id="10" xr3:uid="{00000000-0010-0000-1C00-00000A000000}" name="Concentration10"/>
    <tableColumn id="11" xr3:uid="{00000000-0010-0000-1C00-00000B000000}" name="Concentration11"/>
    <tableColumn id="12" xr3:uid="{00000000-0010-0000-1C00-00000C000000}" name="Concentration12"/>
    <tableColumn id="13" xr3:uid="{00000000-0010-0000-1C00-00000D000000}" name="Concentration13"/>
    <tableColumn id="14" xr3:uid="{00000000-0010-0000-1C00-00000E000000}" name="Concentration14"/>
    <tableColumn id="15" xr3:uid="{00000000-0010-0000-1C00-00000F000000}" name="Concentration15"/>
    <tableColumn id="16" xr3:uid="{00000000-0010-0000-1C00-000010000000}" name="Concentration16"/>
    <tableColumn id="17" xr3:uid="{00000000-0010-0000-1C00-000011000000}" name="Concentration17"/>
    <tableColumn id="18" xr3:uid="{00000000-0010-0000-1C00-000012000000}" name="concentration18"/>
    <tableColumn id="19" xr3:uid="{00000000-0010-0000-1C00-000013000000}" name="concentration19"/>
  </tableColumns>
  <tableStyleInfo name="TableStyleMedium7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1D000000}" name="Table113182328" displayName="Table113182328" ref="A1:C4" headerRowCount="0" totalsRowShown="0" headerRowDxfId="470" dataDxfId="469" tableBorderDxfId="468">
  <tableColumns count="3">
    <tableColumn id="1" xr3:uid="{00000000-0010-0000-1D00-000001000000}" name="Column1" dataDxfId="467"/>
    <tableColumn id="2" xr3:uid="{00000000-0010-0000-1D00-000002000000}" name="Column2" dataDxfId="466"/>
    <tableColumn id="3" xr3:uid="{00000000-0010-0000-1D00-000003000000}" name="Column3" headerRowDxfId="465" dataDxfId="464"/>
  </tableColumns>
  <tableStyleInfo name="TableStyleLight15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00000000-000C-0000-FFFF-FFFF1E000000}" name="Table214192429" displayName="Table214192429" ref="A8:B32" totalsRowShown="0" headerRowDxfId="463">
  <autoFilter ref="A8:B32" xr:uid="{00000000-0009-0000-0100-00001C000000}"/>
  <tableColumns count="2">
    <tableColumn id="1" xr3:uid="{00000000-0010-0000-1E00-000001000000}" name="Date" dataDxfId="462">
      <calculatedColumnFormula>'B1'!A9</calculatedColumnFormula>
    </tableColumn>
    <tableColumn id="2" xr3:uid="{00000000-0010-0000-1E00-000002000000}" name="Time">
      <calculatedColumnFormula>Table2[[#This Row],[Time]]</calculatedColumnFormula>
    </tableColumn>
  </tableColumns>
  <tableStyleInfo name="TableStyleMedium1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00000000-000C-0000-FFFF-FFFF1F000000}" name="Table315202530" displayName="Table315202530" ref="C6:AI32" totalsRowShown="0" headerRowDxfId="461" tableBorderDxfId="460" headerRowCellStyle="Normal 3">
  <autoFilter ref="C6:AI32" xr:uid="{00000000-0009-0000-0100-00001D000000}"/>
  <tableColumns count="33">
    <tableColumn id="1" xr3:uid="{00000000-0010-0000-1F00-000001000000}" name="Dilution" dataDxfId="459"/>
    <tableColumn id="2" xr3:uid="{00000000-0010-0000-1F00-000002000000}" name="Amount " dataDxfId="458"/>
    <tableColumn id="3" xr3:uid="{00000000-0010-0000-1F00-000003000000}" name="Amount 2" dataDxfId="457"/>
    <tableColumn id="4" xr3:uid="{00000000-0010-0000-1F00-000004000000}" name="Amount 3" dataDxfId="456"/>
    <tableColumn id="5" xr3:uid="{00000000-0010-0000-1F00-000005000000}" name="Amount 4" dataDxfId="455"/>
    <tableColumn id="6" xr3:uid="{00000000-0010-0000-1F00-000006000000}" name="Amount 5" dataDxfId="454"/>
    <tableColumn id="7" xr3:uid="{00000000-0010-0000-1F00-000007000000}" name="Amount 6" dataDxfId="453"/>
    <tableColumn id="8" xr3:uid="{00000000-0010-0000-1F00-000008000000}" name="Amount 7" dataDxfId="452"/>
    <tableColumn id="9" xr3:uid="{00000000-0010-0000-1F00-000009000000}" name="Amount 8" dataDxfId="451"/>
    <tableColumn id="10" xr3:uid="{00000000-0010-0000-1F00-00000A000000}" name="Amount 9" dataDxfId="450"/>
    <tableColumn id="11" xr3:uid="{00000000-0010-0000-1F00-00000B000000}" name="Amount 10" dataDxfId="449"/>
    <tableColumn id="12" xr3:uid="{00000000-0010-0000-1F00-00000C000000}" name="Amount 11" dataDxfId="448"/>
    <tableColumn id="13" xr3:uid="{00000000-0010-0000-1F00-00000D000000}" name="Amount 12" dataDxfId="447"/>
    <tableColumn id="14" xr3:uid="{00000000-0010-0000-1F00-00000E000000}" name="Amount 13" dataDxfId="446"/>
    <tableColumn id="15" xr3:uid="{00000000-0010-0000-1F00-00000F000000}" name="Amount 14" dataDxfId="445"/>
    <tableColumn id="16" xr3:uid="{00000000-0010-0000-1F00-000010000000}" name="Amount 15" dataDxfId="444"/>
    <tableColumn id="17" xr3:uid="{00000000-0010-0000-1F00-000011000000}" name="Amount 16" dataDxfId="443"/>
    <tableColumn id="18" xr3:uid="{00000000-0010-0000-1F00-000012000000}" name="Amount 17" dataDxfId="442"/>
    <tableColumn id="19" xr3:uid="{00000000-0010-0000-1F00-000013000000}" name="Amount 18" dataDxfId="441"/>
    <tableColumn id="20" xr3:uid="{00000000-0010-0000-1F00-000014000000}" name="Amount 19" dataDxfId="440"/>
    <tableColumn id="21" xr3:uid="{00000000-0010-0000-1F00-000015000000}" name="Ret.Time "/>
    <tableColumn id="22" xr3:uid="{00000000-0010-0000-1F00-000016000000}" name="Amount 20"/>
    <tableColumn id="23" xr3:uid="{00000000-0010-0000-1F00-000017000000}" name="Ret.Time"/>
    <tableColumn id="24" xr3:uid="{00000000-0010-0000-1F00-000018000000}" name="Amount 21"/>
    <tableColumn id="25" xr3:uid="{00000000-0010-0000-1F00-000019000000}" name="Ret.Time22"/>
    <tableColumn id="26" xr3:uid="{00000000-0010-0000-1F00-00001A000000}" name="Amount 23"/>
    <tableColumn id="27" xr3:uid="{00000000-0010-0000-1F00-00001B000000}" name="Ret.Time24"/>
    <tableColumn id="28" xr3:uid="{00000000-0010-0000-1F00-00001C000000}" name="Amount 25"/>
    <tableColumn id="29" xr3:uid="{00000000-0010-0000-1F00-00001D000000}" name="pH"/>
    <tableColumn id="30" xr3:uid="{00000000-0010-0000-1F00-00001E000000}" name="dilution "/>
    <tableColumn id="31" xr3:uid="{00000000-0010-0000-1F00-00001F000000}" name="correction factor"/>
    <tableColumn id="32" xr3:uid="{00000000-0010-0000-1F00-000020000000}" name="amount"/>
    <tableColumn id="33" xr3:uid="{00000000-0010-0000-1F00-000021000000}" name="pressure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00000000-000C-0000-FFFF-FFFF20000000}" name="Table516212631" displayName="Table516212631" ref="AJ6:BC32" headerRowDxfId="439" headerRowBorderDxfId="438" tableBorderDxfId="437">
  <autoFilter ref="AJ6:BC32" xr:uid="{00000000-0009-0000-0100-00001E000000}"/>
  <tableColumns count="20">
    <tableColumn id="1" xr3:uid="{00000000-0010-0000-2000-000001000000}" name="Concentration" totalsRowLabel="Total" dataDxfId="436" totalsRowDxfId="435"/>
    <tableColumn id="2" xr3:uid="{00000000-0010-0000-2000-000002000000}" name="Concentration2" dataDxfId="434" totalsRowDxfId="433"/>
    <tableColumn id="3" xr3:uid="{00000000-0010-0000-2000-000003000000}" name="Concentration3" dataDxfId="432" totalsRowDxfId="431"/>
    <tableColumn id="4" xr3:uid="{00000000-0010-0000-2000-000004000000}" name="Concentration4" dataDxfId="430" totalsRowDxfId="429"/>
    <tableColumn id="5" xr3:uid="{00000000-0010-0000-2000-000005000000}" name="Concentration5" dataDxfId="428" totalsRowDxfId="427"/>
    <tableColumn id="6" xr3:uid="{00000000-0010-0000-2000-000006000000}" name="Concentration6" dataDxfId="426" totalsRowDxfId="425"/>
    <tableColumn id="7" xr3:uid="{00000000-0010-0000-2000-000007000000}" name="Concentration7" dataDxfId="424" totalsRowDxfId="423"/>
    <tableColumn id="8" xr3:uid="{00000000-0010-0000-2000-000008000000}" name="Concentration8"/>
    <tableColumn id="9" xr3:uid="{00000000-0010-0000-2000-000009000000}" name="Concentration9"/>
    <tableColumn id="10" xr3:uid="{00000000-0010-0000-2000-00000A000000}" name="Concentration10"/>
    <tableColumn id="11" xr3:uid="{00000000-0010-0000-2000-00000B000000}" name="Concentration11"/>
    <tableColumn id="12" xr3:uid="{00000000-0010-0000-2000-00000C000000}" name="Concentration12"/>
    <tableColumn id="13" xr3:uid="{00000000-0010-0000-2000-00000D000000}" name="Concentration13"/>
    <tableColumn id="14" xr3:uid="{00000000-0010-0000-2000-00000E000000}" name="Concentration14"/>
    <tableColumn id="15" xr3:uid="{00000000-0010-0000-2000-00000F000000}" name="Concentration15"/>
    <tableColumn id="16" xr3:uid="{00000000-0010-0000-2000-000010000000}" name="Concentration16"/>
    <tableColumn id="17" xr3:uid="{00000000-0010-0000-2000-000011000000}" name="Concentration17" totalsRowFunction="count"/>
    <tableColumn id="20" xr3:uid="{00000000-0010-0000-2000-000014000000}" name="Concentration172" dataDxfId="422"/>
    <tableColumn id="18" xr3:uid="{00000000-0010-0000-2000-000012000000}" name="Concentration18" dataDxfId="421"/>
    <tableColumn id="19" xr3:uid="{00000000-0010-0000-2000-000013000000}" name="Concentration19" dataDxfId="420"/>
  </tableColumns>
  <tableStyleInfo name="TableStyleMedium5" showFirstColumn="0" showLastColumn="0" showRowStripes="1" showColumnStripes="1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00000000-000C-0000-FFFF-FFFF21000000}" name="Table617222732" displayName="Table617222732" ref="BD6:BV32" totalsRowShown="0" headerRowDxfId="419" headerRowBorderDxfId="418" tableBorderDxfId="417">
  <autoFilter ref="BD6:BV32" xr:uid="{00000000-0009-0000-0100-00001F000000}"/>
  <tableColumns count="19">
    <tableColumn id="1" xr3:uid="{00000000-0010-0000-2100-000001000000}" name="Concentration"/>
    <tableColumn id="2" xr3:uid="{00000000-0010-0000-2100-000002000000}" name="Concentration2"/>
    <tableColumn id="3" xr3:uid="{00000000-0010-0000-2100-000003000000}" name="Concentration3"/>
    <tableColumn id="4" xr3:uid="{00000000-0010-0000-2100-000004000000}" name="Concentration4"/>
    <tableColumn id="5" xr3:uid="{00000000-0010-0000-2100-000005000000}" name="Concentration5"/>
    <tableColumn id="6" xr3:uid="{00000000-0010-0000-2100-000006000000}" name="Concentration6"/>
    <tableColumn id="7" xr3:uid="{00000000-0010-0000-2100-000007000000}" name="Concentration7"/>
    <tableColumn id="8" xr3:uid="{00000000-0010-0000-2100-000008000000}" name="Concentration8"/>
    <tableColumn id="9" xr3:uid="{00000000-0010-0000-2100-000009000000}" name="Concentration9"/>
    <tableColumn id="10" xr3:uid="{00000000-0010-0000-2100-00000A000000}" name="Concentration10"/>
    <tableColumn id="11" xr3:uid="{00000000-0010-0000-2100-00000B000000}" name="Concentration11"/>
    <tableColumn id="12" xr3:uid="{00000000-0010-0000-2100-00000C000000}" name="Concentration12"/>
    <tableColumn id="13" xr3:uid="{00000000-0010-0000-2100-00000D000000}" name="Concentration13"/>
    <tableColumn id="14" xr3:uid="{00000000-0010-0000-2100-00000E000000}" name="Concentration14"/>
    <tableColumn id="15" xr3:uid="{00000000-0010-0000-2100-00000F000000}" name="Concentration15"/>
    <tableColumn id="16" xr3:uid="{00000000-0010-0000-2100-000010000000}" name="Concentration16"/>
    <tableColumn id="17" xr3:uid="{00000000-0010-0000-2100-000011000000}" name="Concentration17"/>
    <tableColumn id="18" xr3:uid="{00000000-0010-0000-2100-000012000000}" name="concentration18"/>
    <tableColumn id="19" xr3:uid="{00000000-0010-0000-2100-000013000000}" name="concentration19"/>
  </tableColumns>
  <tableStyleInfo name="TableStyleMedium7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00000000-000C-0000-FFFF-FFFF22000000}" name="Table11318232833" displayName="Table11318232833" ref="A1:C4" headerRowCount="0" totalsRowShown="0" headerRowDxfId="416" dataDxfId="415" tableBorderDxfId="414">
  <tableColumns count="3">
    <tableColumn id="1" xr3:uid="{00000000-0010-0000-2200-000001000000}" name="Column1" dataDxfId="413"/>
    <tableColumn id="2" xr3:uid="{00000000-0010-0000-2200-000002000000}" name="Column2" dataDxfId="412"/>
    <tableColumn id="3" xr3:uid="{00000000-0010-0000-2200-000003000000}" name="Column3" headerRowDxfId="411" dataDxfId="410"/>
  </tableColumns>
  <tableStyleInfo name="TableStyleLight15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23000000}" name="Table21419242934" displayName="Table21419242934" ref="A8:B32" totalsRowShown="0" headerRowDxfId="409">
  <autoFilter ref="A8:B32" xr:uid="{00000000-0009-0000-0100-000021000000}"/>
  <tableColumns count="2">
    <tableColumn id="1" xr3:uid="{00000000-0010-0000-2300-000001000000}" name="Date" dataDxfId="408">
      <calculatedColumnFormula>Table2[[#This Row],[Date]]</calculatedColumnFormula>
    </tableColumn>
    <tableColumn id="2" xr3:uid="{00000000-0010-0000-2300-000002000000}" name="Time">
      <calculatedColumnFormula>Table2[[#This Row],[Time]]</calculatedColumnFormula>
    </tableColumn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6000000}" name="Table3" displayName="Table3" ref="C6:AJ32" totalsRowShown="0" headerRowDxfId="717" tableBorderDxfId="716" headerRowCellStyle="Normal 3">
  <autoFilter ref="C6:AJ32" xr:uid="{00000000-0009-0000-0100-000003000000}"/>
  <tableColumns count="34">
    <tableColumn id="1" xr3:uid="{00000000-0010-0000-0600-000001000000}" name="Dilution" dataDxfId="715"/>
    <tableColumn id="2" xr3:uid="{00000000-0010-0000-0600-000002000000}" name="Amount " dataDxfId="714"/>
    <tableColumn id="3" xr3:uid="{00000000-0010-0000-0600-000003000000}" name="Amount 2" dataDxfId="713"/>
    <tableColumn id="4" xr3:uid="{00000000-0010-0000-0600-000004000000}" name="Amount 3" dataDxfId="712"/>
    <tableColumn id="5" xr3:uid="{00000000-0010-0000-0600-000005000000}" name="Amount 4" dataDxfId="711"/>
    <tableColumn id="6" xr3:uid="{00000000-0010-0000-0600-000006000000}" name="Amount 5" dataDxfId="710"/>
    <tableColumn id="7" xr3:uid="{00000000-0010-0000-0600-000007000000}" name="Amount 6" dataDxfId="709"/>
    <tableColumn id="8" xr3:uid="{00000000-0010-0000-0600-000008000000}" name="Amount 7" dataDxfId="708"/>
    <tableColumn id="9" xr3:uid="{00000000-0010-0000-0600-000009000000}" name="Amount 8" dataDxfId="707"/>
    <tableColumn id="10" xr3:uid="{00000000-0010-0000-0600-00000A000000}" name="Amount 9" dataDxfId="706"/>
    <tableColumn id="11" xr3:uid="{00000000-0010-0000-0600-00000B000000}" name="Amount 10" dataDxfId="705"/>
    <tableColumn id="12" xr3:uid="{00000000-0010-0000-0600-00000C000000}" name="Amount 11" dataDxfId="704"/>
    <tableColumn id="13" xr3:uid="{00000000-0010-0000-0600-00000D000000}" name="Amount 12" dataDxfId="703"/>
    <tableColumn id="14" xr3:uid="{00000000-0010-0000-0600-00000E000000}" name="Amount 13" dataDxfId="702"/>
    <tableColumn id="15" xr3:uid="{00000000-0010-0000-0600-00000F000000}" name="Amount 14" dataDxfId="701"/>
    <tableColumn id="16" xr3:uid="{00000000-0010-0000-0600-000010000000}" name="Amount 15" dataDxfId="700"/>
    <tableColumn id="17" xr3:uid="{00000000-0010-0000-0600-000011000000}" name="Amount 16" dataDxfId="699"/>
    <tableColumn id="18" xr3:uid="{00000000-0010-0000-0600-000012000000}" name="Amount 17" dataDxfId="698"/>
    <tableColumn id="19" xr3:uid="{00000000-0010-0000-0600-000013000000}" name="Amount 18" dataDxfId="697"/>
    <tableColumn id="20" xr3:uid="{00000000-0010-0000-0600-000014000000}" name="Amount 19" dataDxfId="696"/>
    <tableColumn id="21" xr3:uid="{00000000-0010-0000-0600-000015000000}" name="Ret.Time "/>
    <tableColumn id="22" xr3:uid="{00000000-0010-0000-0600-000016000000}" name="Amount 20"/>
    <tableColumn id="23" xr3:uid="{00000000-0010-0000-0600-000017000000}" name="Ret.Time"/>
    <tableColumn id="24" xr3:uid="{00000000-0010-0000-0600-000018000000}" name="Amount 21"/>
    <tableColumn id="34" xr3:uid="{00000000-0010-0000-0600-000022000000}" name="Amount 22"/>
    <tableColumn id="25" xr3:uid="{00000000-0010-0000-0600-000019000000}" name="Ret.Time22"/>
    <tableColumn id="26" xr3:uid="{00000000-0010-0000-0600-00001A000000}" name="Amount 23"/>
    <tableColumn id="27" xr3:uid="{00000000-0010-0000-0600-00001B000000}" name="Ret.Time24"/>
    <tableColumn id="28" xr3:uid="{00000000-0010-0000-0600-00001C000000}" name="Amount 25"/>
    <tableColumn id="29" xr3:uid="{00000000-0010-0000-0600-00001D000000}" name="pH"/>
    <tableColumn id="30" xr3:uid="{00000000-0010-0000-0600-00001E000000}" name="dilution "/>
    <tableColumn id="31" xr3:uid="{00000000-0010-0000-0600-00001F000000}" name="correction factor"/>
    <tableColumn id="32" xr3:uid="{00000000-0010-0000-0600-000020000000}" name="amount"/>
    <tableColumn id="33" xr3:uid="{00000000-0010-0000-0600-000021000000}" name="pressure" dataDxfId="695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00000000-000C-0000-FFFF-FFFF24000000}" name="Table31520253035" displayName="Table31520253035" ref="C6:AI32" totalsRowShown="0" headerRowDxfId="407" tableBorderDxfId="406" headerRowCellStyle="Normal 3">
  <autoFilter ref="C6:AI32" xr:uid="{00000000-0009-0000-0100-000022000000}"/>
  <tableColumns count="33">
    <tableColumn id="1" xr3:uid="{00000000-0010-0000-2400-000001000000}" name="Dilution" dataDxfId="405"/>
    <tableColumn id="2" xr3:uid="{00000000-0010-0000-2400-000002000000}" name="Amount " dataDxfId="404"/>
    <tableColumn id="3" xr3:uid="{00000000-0010-0000-2400-000003000000}" name="Amount 2" dataDxfId="403"/>
    <tableColumn id="4" xr3:uid="{00000000-0010-0000-2400-000004000000}" name="Amount 3" dataDxfId="402"/>
    <tableColumn id="5" xr3:uid="{00000000-0010-0000-2400-000005000000}" name="Amount 4" dataDxfId="401"/>
    <tableColumn id="6" xr3:uid="{00000000-0010-0000-2400-000006000000}" name="Amount 5" dataDxfId="400"/>
    <tableColumn id="7" xr3:uid="{00000000-0010-0000-2400-000007000000}" name="Amount 6" dataDxfId="399"/>
    <tableColumn id="8" xr3:uid="{00000000-0010-0000-2400-000008000000}" name="Amount 7" dataDxfId="398"/>
    <tableColumn id="9" xr3:uid="{00000000-0010-0000-2400-000009000000}" name="Amount 8" dataDxfId="397"/>
    <tableColumn id="10" xr3:uid="{00000000-0010-0000-2400-00000A000000}" name="Amount 9" dataDxfId="396"/>
    <tableColumn id="11" xr3:uid="{00000000-0010-0000-2400-00000B000000}" name="Amount 10" dataDxfId="395"/>
    <tableColumn id="12" xr3:uid="{00000000-0010-0000-2400-00000C000000}" name="Amount 11" dataDxfId="394"/>
    <tableColumn id="13" xr3:uid="{00000000-0010-0000-2400-00000D000000}" name="Amount 12" dataDxfId="393"/>
    <tableColumn id="14" xr3:uid="{00000000-0010-0000-2400-00000E000000}" name="Amount 13" dataDxfId="392"/>
    <tableColumn id="15" xr3:uid="{00000000-0010-0000-2400-00000F000000}" name="Amount 14" dataDxfId="391"/>
    <tableColumn id="16" xr3:uid="{00000000-0010-0000-2400-000010000000}" name="Amount 15" dataDxfId="390"/>
    <tableColumn id="17" xr3:uid="{00000000-0010-0000-2400-000011000000}" name="Amount 16" dataDxfId="389"/>
    <tableColumn id="18" xr3:uid="{00000000-0010-0000-2400-000012000000}" name="Amount 17" dataDxfId="388"/>
    <tableColumn id="19" xr3:uid="{00000000-0010-0000-2400-000013000000}" name="Amount 18" dataDxfId="387"/>
    <tableColumn id="20" xr3:uid="{00000000-0010-0000-2400-000014000000}" name="Amount 19" dataDxfId="386"/>
    <tableColumn id="21" xr3:uid="{00000000-0010-0000-2400-000015000000}" name="Ret.Time "/>
    <tableColumn id="22" xr3:uid="{00000000-0010-0000-2400-000016000000}" name="Amount 20"/>
    <tableColumn id="23" xr3:uid="{00000000-0010-0000-2400-000017000000}" name="Ret.Time"/>
    <tableColumn id="24" xr3:uid="{00000000-0010-0000-2400-000018000000}" name="Amount 21"/>
    <tableColumn id="25" xr3:uid="{00000000-0010-0000-2400-000019000000}" name="Ret.Time22"/>
    <tableColumn id="26" xr3:uid="{00000000-0010-0000-2400-00001A000000}" name="Amount 23"/>
    <tableColumn id="27" xr3:uid="{00000000-0010-0000-2400-00001B000000}" name="Ret.Time24"/>
    <tableColumn id="28" xr3:uid="{00000000-0010-0000-2400-00001C000000}" name="Amount 25"/>
    <tableColumn id="29" xr3:uid="{00000000-0010-0000-2400-00001D000000}" name="pH"/>
    <tableColumn id="30" xr3:uid="{00000000-0010-0000-2400-00001E000000}" name="dilution "/>
    <tableColumn id="31" xr3:uid="{00000000-0010-0000-2400-00001F000000}" name="retention"/>
    <tableColumn id="32" xr3:uid="{00000000-0010-0000-2400-000020000000}" name="amount"/>
    <tableColumn id="33" xr3:uid="{00000000-0010-0000-2400-000021000000}" name="pressure"/>
  </tableColumns>
  <tableStyleInfo name="TableStyleMedium2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00000000-000C-0000-FFFF-FFFF25000000}" name="Table51621263136" displayName="Table51621263136" ref="AJ6:BB32" headerRowDxfId="385" headerRowBorderDxfId="384" tableBorderDxfId="383">
  <autoFilter ref="AJ6:BB32" xr:uid="{00000000-0009-0000-0100-000023000000}"/>
  <tableColumns count="19">
    <tableColumn id="1" xr3:uid="{00000000-0010-0000-2500-000001000000}" name="Concentration" totalsRowLabel="Total" dataDxfId="382" totalsRowDxfId="381"/>
    <tableColumn id="2" xr3:uid="{00000000-0010-0000-2500-000002000000}" name="Concentration2" dataDxfId="380" totalsRowDxfId="379"/>
    <tableColumn id="3" xr3:uid="{00000000-0010-0000-2500-000003000000}" name="Concentration3" dataDxfId="378" totalsRowDxfId="377"/>
    <tableColumn id="4" xr3:uid="{00000000-0010-0000-2500-000004000000}" name="Concentration4" dataDxfId="376" totalsRowDxfId="375"/>
    <tableColumn id="5" xr3:uid="{00000000-0010-0000-2500-000005000000}" name="Concentration5" dataDxfId="374" totalsRowDxfId="373"/>
    <tableColumn id="6" xr3:uid="{00000000-0010-0000-2500-000006000000}" name="Concentration6" dataDxfId="372" totalsRowDxfId="371"/>
    <tableColumn id="7" xr3:uid="{00000000-0010-0000-2500-000007000000}" name="Concentration7" dataDxfId="370" totalsRowDxfId="369"/>
    <tableColumn id="8" xr3:uid="{00000000-0010-0000-2500-000008000000}" name="Concentration8"/>
    <tableColumn id="9" xr3:uid="{00000000-0010-0000-2500-000009000000}" name="Concentration9"/>
    <tableColumn id="10" xr3:uid="{00000000-0010-0000-2500-00000A000000}" name="Concentration10"/>
    <tableColumn id="11" xr3:uid="{00000000-0010-0000-2500-00000B000000}" name="Concentration11"/>
    <tableColumn id="12" xr3:uid="{00000000-0010-0000-2500-00000C000000}" name="Concentration12"/>
    <tableColumn id="13" xr3:uid="{00000000-0010-0000-2500-00000D000000}" name="Concentration13"/>
    <tableColumn id="14" xr3:uid="{00000000-0010-0000-2500-00000E000000}" name="Concentration14"/>
    <tableColumn id="15" xr3:uid="{00000000-0010-0000-2500-00000F000000}" name="Concentration15"/>
    <tableColumn id="16" xr3:uid="{00000000-0010-0000-2500-000010000000}" name="Concentration16"/>
    <tableColumn id="17" xr3:uid="{00000000-0010-0000-2500-000011000000}" name="Concentration17" totalsRowFunction="count"/>
    <tableColumn id="18" xr3:uid="{00000000-0010-0000-2500-000012000000}" name="Concentration18" dataDxfId="368"/>
    <tableColumn id="19" xr3:uid="{00000000-0010-0000-2500-000013000000}" name="Concentration19" dataDxfId="367"/>
  </tableColumns>
  <tableStyleInfo name="TableStyleMedium5" showFirstColumn="0" showLastColumn="0" showRowStripes="1" showColumnStripes="1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00000000-000C-0000-FFFF-FFFF26000000}" name="Table61722273237" displayName="Table61722273237" ref="BC6:BU32" totalsRowShown="0" headerRowDxfId="366" headerRowBorderDxfId="365" tableBorderDxfId="364">
  <autoFilter ref="BC6:BU32" xr:uid="{00000000-0009-0000-0100-000024000000}"/>
  <tableColumns count="19">
    <tableColumn id="1" xr3:uid="{00000000-0010-0000-2600-000001000000}" name="Concentration"/>
    <tableColumn id="2" xr3:uid="{00000000-0010-0000-2600-000002000000}" name="Concentration2"/>
    <tableColumn id="3" xr3:uid="{00000000-0010-0000-2600-000003000000}" name="Concentration3"/>
    <tableColumn id="4" xr3:uid="{00000000-0010-0000-2600-000004000000}" name="Concentration4"/>
    <tableColumn id="5" xr3:uid="{00000000-0010-0000-2600-000005000000}" name="Concentration5"/>
    <tableColumn id="6" xr3:uid="{00000000-0010-0000-2600-000006000000}" name="Concentration6"/>
    <tableColumn id="7" xr3:uid="{00000000-0010-0000-2600-000007000000}" name="Concentration7"/>
    <tableColumn id="8" xr3:uid="{00000000-0010-0000-2600-000008000000}" name="Concentration8"/>
    <tableColumn id="9" xr3:uid="{00000000-0010-0000-2600-000009000000}" name="Concentration9"/>
    <tableColumn id="10" xr3:uid="{00000000-0010-0000-2600-00000A000000}" name="Concentration10"/>
    <tableColumn id="11" xr3:uid="{00000000-0010-0000-2600-00000B000000}" name="Concentration11"/>
    <tableColumn id="12" xr3:uid="{00000000-0010-0000-2600-00000C000000}" name="Concentration12"/>
    <tableColumn id="13" xr3:uid="{00000000-0010-0000-2600-00000D000000}" name="Concentration13"/>
    <tableColumn id="14" xr3:uid="{00000000-0010-0000-2600-00000E000000}" name="Concentration14"/>
    <tableColumn id="15" xr3:uid="{00000000-0010-0000-2600-00000F000000}" name="Concentration15"/>
    <tableColumn id="16" xr3:uid="{00000000-0010-0000-2600-000010000000}" name="Concentration16"/>
    <tableColumn id="17" xr3:uid="{00000000-0010-0000-2600-000011000000}" name="Concentration17"/>
    <tableColumn id="18" xr3:uid="{00000000-0010-0000-2600-000012000000}" name="concentration18"/>
    <tableColumn id="19" xr3:uid="{00000000-0010-0000-2600-000013000000}" name="concentration19"/>
  </tableColumns>
  <tableStyleInfo name="TableStyleMedium7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00000000-000C-0000-FFFF-FFFF27000000}" name="Table1131823283338" displayName="Table1131823283338" ref="A1:C4" headerRowCount="0" totalsRowShown="0" headerRowDxfId="363" dataDxfId="362" tableBorderDxfId="361">
  <tableColumns count="3">
    <tableColumn id="1" xr3:uid="{00000000-0010-0000-2700-000001000000}" name="Column1" dataDxfId="360"/>
    <tableColumn id="2" xr3:uid="{00000000-0010-0000-2700-000002000000}" name="Column2" dataDxfId="359"/>
    <tableColumn id="3" xr3:uid="{00000000-0010-0000-2700-000003000000}" name="Column3" headerRowDxfId="358" dataDxfId="357"/>
  </tableColumns>
  <tableStyleInfo name="TableStyleLight15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00000000-000C-0000-FFFF-FFFF28000000}" name="Table2141924293439" displayName="Table2141924293439" ref="A8:B32" totalsRowShown="0" headerRowDxfId="356">
  <autoFilter ref="A8:B32" xr:uid="{00000000-0009-0000-0100-000026000000}"/>
  <tableColumns count="2">
    <tableColumn id="1" xr3:uid="{00000000-0010-0000-2800-000001000000}" name="Date" dataDxfId="355">
      <calculatedColumnFormula>Table2[[#This Row],[Date]]</calculatedColumnFormula>
    </tableColumn>
    <tableColumn id="2" xr3:uid="{00000000-0010-0000-2800-000002000000}" name="Time"/>
  </tableColumns>
  <tableStyleInfo name="TableStyleMedium1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00000000-000C-0000-FFFF-FFFF29000000}" name="Table3152025303540" displayName="Table3152025303540" ref="C6:AI32" totalsRowShown="0" headerRowDxfId="354" tableBorderDxfId="353" headerRowCellStyle="Normal 3">
  <autoFilter ref="C6:AI32" xr:uid="{00000000-0009-0000-0100-000027000000}"/>
  <tableColumns count="33">
    <tableColumn id="1" xr3:uid="{00000000-0010-0000-2900-000001000000}" name="Dilution" dataDxfId="352"/>
    <tableColumn id="2" xr3:uid="{00000000-0010-0000-2900-000002000000}" name="Amount " dataDxfId="351"/>
    <tableColumn id="3" xr3:uid="{00000000-0010-0000-2900-000003000000}" name="Amount 2" dataDxfId="350"/>
    <tableColumn id="4" xr3:uid="{00000000-0010-0000-2900-000004000000}" name="Amount 3" dataDxfId="349"/>
    <tableColumn id="5" xr3:uid="{00000000-0010-0000-2900-000005000000}" name="Amount 4" dataDxfId="348"/>
    <tableColumn id="6" xr3:uid="{00000000-0010-0000-2900-000006000000}" name="Amount 5" dataDxfId="347"/>
    <tableColumn id="7" xr3:uid="{00000000-0010-0000-2900-000007000000}" name="Amount 6" dataDxfId="346"/>
    <tableColumn id="8" xr3:uid="{00000000-0010-0000-2900-000008000000}" name="Amount 7" dataDxfId="345"/>
    <tableColumn id="9" xr3:uid="{00000000-0010-0000-2900-000009000000}" name="Amount 8" dataDxfId="344"/>
    <tableColumn id="10" xr3:uid="{00000000-0010-0000-2900-00000A000000}" name="Amount 9" dataDxfId="343"/>
    <tableColumn id="11" xr3:uid="{00000000-0010-0000-2900-00000B000000}" name="Amount 10" dataDxfId="342"/>
    <tableColumn id="12" xr3:uid="{00000000-0010-0000-2900-00000C000000}" name="Amount 11" dataDxfId="341"/>
    <tableColumn id="13" xr3:uid="{00000000-0010-0000-2900-00000D000000}" name="Amount 12" dataDxfId="340"/>
    <tableColumn id="14" xr3:uid="{00000000-0010-0000-2900-00000E000000}" name="Amount 13" dataDxfId="339"/>
    <tableColumn id="15" xr3:uid="{00000000-0010-0000-2900-00000F000000}" name="Amount 14" dataDxfId="338"/>
    <tableColumn id="16" xr3:uid="{00000000-0010-0000-2900-000010000000}" name="Amount 15" dataDxfId="337"/>
    <tableColumn id="17" xr3:uid="{00000000-0010-0000-2900-000011000000}" name="Amount 16" dataDxfId="336"/>
    <tableColumn id="18" xr3:uid="{00000000-0010-0000-2900-000012000000}" name="Amount 17" dataDxfId="335"/>
    <tableColumn id="19" xr3:uid="{00000000-0010-0000-2900-000013000000}" name="Amount 18" dataDxfId="334"/>
    <tableColumn id="20" xr3:uid="{00000000-0010-0000-2900-000014000000}" name="Amount 19" dataDxfId="333"/>
    <tableColumn id="21" xr3:uid="{00000000-0010-0000-2900-000015000000}" name="Ret.Time "/>
    <tableColumn id="22" xr3:uid="{00000000-0010-0000-2900-000016000000}" name="Amount 20"/>
    <tableColumn id="23" xr3:uid="{00000000-0010-0000-2900-000017000000}" name="Ret.Time"/>
    <tableColumn id="24" xr3:uid="{00000000-0010-0000-2900-000018000000}" name="Amount 21"/>
    <tableColumn id="25" xr3:uid="{00000000-0010-0000-2900-000019000000}" name="Ret.Time22"/>
    <tableColumn id="26" xr3:uid="{00000000-0010-0000-2900-00001A000000}" name="Amount 23"/>
    <tableColumn id="27" xr3:uid="{00000000-0010-0000-2900-00001B000000}" name="Ret.Time24"/>
    <tableColumn id="28" xr3:uid="{00000000-0010-0000-2900-00001C000000}" name="Amount 25"/>
    <tableColumn id="29" xr3:uid="{00000000-0010-0000-2900-00001D000000}" name="pH"/>
    <tableColumn id="30" xr3:uid="{00000000-0010-0000-2900-00001E000000}" name="dilution "/>
    <tableColumn id="31" xr3:uid="{00000000-0010-0000-2900-00001F000000}" name="retention"/>
    <tableColumn id="32" xr3:uid="{00000000-0010-0000-2900-000020000000}" name="amount"/>
    <tableColumn id="33" xr3:uid="{00000000-0010-0000-2900-000021000000}" name="pressure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00000000-000C-0000-FFFF-FFFF2A000000}" name="Table5162126313641" displayName="Table5162126313641" ref="AJ6:BB32" headerRowDxfId="332" headerRowBorderDxfId="331" tableBorderDxfId="330">
  <autoFilter ref="AJ6:BB32" xr:uid="{00000000-0009-0000-0100-000028000000}"/>
  <tableColumns count="19">
    <tableColumn id="1" xr3:uid="{00000000-0010-0000-2A00-000001000000}" name="Concentration" totalsRowLabel="Total" dataDxfId="329" totalsRowDxfId="328"/>
    <tableColumn id="2" xr3:uid="{00000000-0010-0000-2A00-000002000000}" name="Concentration2" dataDxfId="327" totalsRowDxfId="326"/>
    <tableColumn id="3" xr3:uid="{00000000-0010-0000-2A00-000003000000}" name="Concentration3" dataDxfId="325" totalsRowDxfId="324"/>
    <tableColumn id="4" xr3:uid="{00000000-0010-0000-2A00-000004000000}" name="Concentration4" dataDxfId="323" totalsRowDxfId="322"/>
    <tableColumn id="5" xr3:uid="{00000000-0010-0000-2A00-000005000000}" name="Concentration5" dataDxfId="321" totalsRowDxfId="320"/>
    <tableColumn id="6" xr3:uid="{00000000-0010-0000-2A00-000006000000}" name="Concentration6" dataDxfId="319" totalsRowDxfId="318"/>
    <tableColumn id="7" xr3:uid="{00000000-0010-0000-2A00-000007000000}" name="Concentration7" dataDxfId="317" totalsRowDxfId="316"/>
    <tableColumn id="8" xr3:uid="{00000000-0010-0000-2A00-000008000000}" name="Concentration8"/>
    <tableColumn id="9" xr3:uid="{00000000-0010-0000-2A00-000009000000}" name="Concentration9"/>
    <tableColumn id="10" xr3:uid="{00000000-0010-0000-2A00-00000A000000}" name="Concentration10"/>
    <tableColumn id="11" xr3:uid="{00000000-0010-0000-2A00-00000B000000}" name="Concentration11"/>
    <tableColumn id="12" xr3:uid="{00000000-0010-0000-2A00-00000C000000}" name="Concentration12"/>
    <tableColumn id="13" xr3:uid="{00000000-0010-0000-2A00-00000D000000}" name="Concentration13"/>
    <tableColumn id="14" xr3:uid="{00000000-0010-0000-2A00-00000E000000}" name="Concentration14"/>
    <tableColumn id="15" xr3:uid="{00000000-0010-0000-2A00-00000F000000}" name="Concentration15"/>
    <tableColumn id="16" xr3:uid="{00000000-0010-0000-2A00-000010000000}" name="Concentration16"/>
    <tableColumn id="17" xr3:uid="{00000000-0010-0000-2A00-000011000000}" name="Concentration17" totalsRowFunction="count"/>
    <tableColumn id="18" xr3:uid="{00000000-0010-0000-2A00-000012000000}" name="Concentration18" dataDxfId="315"/>
    <tableColumn id="19" xr3:uid="{00000000-0010-0000-2A00-000013000000}" name="Concentration19" dataDxfId="314"/>
  </tableColumns>
  <tableStyleInfo name="TableStyleMedium5" showFirstColumn="0" showLastColumn="0" showRowStripes="1" showColumnStripes="1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00000000-000C-0000-FFFF-FFFF2B000000}" name="Table6172227323742" displayName="Table6172227323742" ref="BC6:BU32" totalsRowShown="0" headerRowDxfId="313" headerRowBorderDxfId="312" tableBorderDxfId="311">
  <autoFilter ref="BC6:BU32" xr:uid="{00000000-0009-0000-0100-000029000000}"/>
  <tableColumns count="19">
    <tableColumn id="1" xr3:uid="{00000000-0010-0000-2B00-000001000000}" name="Concentration"/>
    <tableColumn id="2" xr3:uid="{00000000-0010-0000-2B00-000002000000}" name="Concentration2"/>
    <tableColumn id="3" xr3:uid="{00000000-0010-0000-2B00-000003000000}" name="Concentration3"/>
    <tableColumn id="4" xr3:uid="{00000000-0010-0000-2B00-000004000000}" name="Concentration4"/>
    <tableColumn id="5" xr3:uid="{00000000-0010-0000-2B00-000005000000}" name="Concentration5"/>
    <tableColumn id="6" xr3:uid="{00000000-0010-0000-2B00-000006000000}" name="Concentration6"/>
    <tableColumn id="7" xr3:uid="{00000000-0010-0000-2B00-000007000000}" name="Concentration7"/>
    <tableColumn id="8" xr3:uid="{00000000-0010-0000-2B00-000008000000}" name="Concentration8"/>
    <tableColumn id="9" xr3:uid="{00000000-0010-0000-2B00-000009000000}" name="Concentration9"/>
    <tableColumn id="10" xr3:uid="{00000000-0010-0000-2B00-00000A000000}" name="Concentration10"/>
    <tableColumn id="11" xr3:uid="{00000000-0010-0000-2B00-00000B000000}" name="Concentration11"/>
    <tableColumn id="12" xr3:uid="{00000000-0010-0000-2B00-00000C000000}" name="Concentration12"/>
    <tableColumn id="13" xr3:uid="{00000000-0010-0000-2B00-00000D000000}" name="Concentration13"/>
    <tableColumn id="14" xr3:uid="{00000000-0010-0000-2B00-00000E000000}" name="Concentration14"/>
    <tableColumn id="15" xr3:uid="{00000000-0010-0000-2B00-00000F000000}" name="Concentration15"/>
    <tableColumn id="16" xr3:uid="{00000000-0010-0000-2B00-000010000000}" name="Concentration16"/>
    <tableColumn id="17" xr3:uid="{00000000-0010-0000-2B00-000011000000}" name="Concentration17"/>
    <tableColumn id="18" xr3:uid="{00000000-0010-0000-2B00-000012000000}" name="concentration18"/>
    <tableColumn id="19" xr3:uid="{00000000-0010-0000-2B00-000013000000}" name="concentration19"/>
  </tableColumns>
  <tableStyleInfo name="TableStyleMedium7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2" xr:uid="{00000000-000C-0000-FFFF-FFFF40000000}" name="Table11318232833384348535863" displayName="Table11318232833384348535863" ref="A1:C4" headerRowCount="0" totalsRowShown="0" headerRowDxfId="310" dataDxfId="309" tableBorderDxfId="308">
  <tableColumns count="3">
    <tableColumn id="1" xr3:uid="{00000000-0010-0000-4000-000001000000}" name="Column1" dataDxfId="307"/>
    <tableColumn id="2" xr3:uid="{00000000-0010-0000-4000-000002000000}" name="Column2" dataDxfId="306"/>
    <tableColumn id="3" xr3:uid="{00000000-0010-0000-4000-000003000000}" name="Column3" headerRowDxfId="305" dataDxfId="304"/>
  </tableColumns>
  <tableStyleInfo name="TableStyleLight15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3" xr:uid="{00000000-000C-0000-FFFF-FFFF41000000}" name="Table21419242934394449545964" displayName="Table21419242934394449545964" ref="A8:B32" totalsRowShown="0" headerRowDxfId="303">
  <autoFilter ref="A8:B32" xr:uid="{00000000-0009-0000-0100-00003F000000}"/>
  <tableColumns count="2">
    <tableColumn id="1" xr3:uid="{00000000-0010-0000-4100-000001000000}" name="Date" dataDxfId="302"/>
    <tableColumn id="2" xr3:uid="{00000000-0010-0000-4100-000002000000}" name="Time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7000000}" name="Table5" displayName="Table5" ref="AK6:BB32" headerRowDxfId="694" headerRowBorderDxfId="693" tableBorderDxfId="692">
  <autoFilter ref="AK6:BB32" xr:uid="{00000000-0009-0000-0100-000005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</autoFilter>
  <tableColumns count="18">
    <tableColumn id="1" xr3:uid="{00000000-0010-0000-0700-000001000000}" name="Concentration" totalsRowLabel="Total" dataDxfId="691" totalsRowDxfId="690"/>
    <tableColumn id="2" xr3:uid="{00000000-0010-0000-0700-000002000000}" name="Concentration2" dataDxfId="689" totalsRowDxfId="688"/>
    <tableColumn id="3" xr3:uid="{00000000-0010-0000-0700-000003000000}" name="Concentration3" dataDxfId="687" totalsRowDxfId="686"/>
    <tableColumn id="4" xr3:uid="{00000000-0010-0000-0700-000004000000}" name="Concentration4" dataDxfId="685" totalsRowDxfId="684"/>
    <tableColumn id="5" xr3:uid="{00000000-0010-0000-0700-000005000000}" name="Concentration5" dataDxfId="683" totalsRowDxfId="682"/>
    <tableColumn id="6" xr3:uid="{00000000-0010-0000-0700-000006000000}" name="Concentration6" dataDxfId="681" totalsRowDxfId="680"/>
    <tableColumn id="7" xr3:uid="{00000000-0010-0000-0700-000007000000}" name="Concentration7" dataDxfId="679" totalsRowDxfId="678"/>
    <tableColumn id="8" xr3:uid="{00000000-0010-0000-0700-000008000000}" name="Concentration8"/>
    <tableColumn id="9" xr3:uid="{00000000-0010-0000-0700-000009000000}" name="Concentration9"/>
    <tableColumn id="10" xr3:uid="{00000000-0010-0000-0700-00000A000000}" name="Concentration10"/>
    <tableColumn id="11" xr3:uid="{00000000-0010-0000-0700-00000B000000}" name="Concentration11"/>
    <tableColumn id="12" xr3:uid="{00000000-0010-0000-0700-00000C000000}" name="Concentration12"/>
    <tableColumn id="13" xr3:uid="{00000000-0010-0000-0700-00000D000000}" name="Concentration13"/>
    <tableColumn id="14" xr3:uid="{00000000-0010-0000-0700-00000E000000}" name="Concentration14"/>
    <tableColumn id="15" xr3:uid="{00000000-0010-0000-0700-00000F000000}" name="Concentration15"/>
    <tableColumn id="16" xr3:uid="{00000000-0010-0000-0700-000010000000}" name="Concentration16"/>
    <tableColumn id="17" xr3:uid="{00000000-0010-0000-0700-000011000000}" name="Concentration17" totalsRowFunction="count"/>
    <tableColumn id="20" xr3:uid="{00000000-0010-0000-0700-000014000000}" name="Concentration172" dataDxfId="677"/>
  </tableColumns>
  <tableStyleInfo name="TableStyleMedium5" showFirstColumn="0" showLastColumn="0" showRowStripes="1" showColumnStripes="1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4" xr:uid="{00000000-000C-0000-FFFF-FFFF42000000}" name="Table31520253035404550556065" displayName="Table31520253035404550556065" ref="C6:AI32" totalsRowShown="0" headerRowDxfId="301" tableBorderDxfId="300" headerRowCellStyle="Normal 3">
  <autoFilter ref="C6:AI32" xr:uid="{00000000-0009-0000-0100-000040000000}"/>
  <tableColumns count="33">
    <tableColumn id="1" xr3:uid="{00000000-0010-0000-4200-000001000000}" name="Dilution" dataDxfId="299"/>
    <tableColumn id="2" xr3:uid="{00000000-0010-0000-4200-000002000000}" name="Amount " dataDxfId="298"/>
    <tableColumn id="3" xr3:uid="{00000000-0010-0000-4200-000003000000}" name="Amount 2" dataDxfId="297"/>
    <tableColumn id="4" xr3:uid="{00000000-0010-0000-4200-000004000000}" name="Amount 3" dataDxfId="296"/>
    <tableColumn id="5" xr3:uid="{00000000-0010-0000-4200-000005000000}" name="Amount 4" dataDxfId="295"/>
    <tableColumn id="6" xr3:uid="{00000000-0010-0000-4200-000006000000}" name="Amount 5" dataDxfId="294"/>
    <tableColumn id="7" xr3:uid="{00000000-0010-0000-4200-000007000000}" name="Amount 6" dataDxfId="293"/>
    <tableColumn id="8" xr3:uid="{00000000-0010-0000-4200-000008000000}" name="Amount 7" dataDxfId="292"/>
    <tableColumn id="9" xr3:uid="{00000000-0010-0000-4200-000009000000}" name="Amount 8" dataDxfId="291"/>
    <tableColumn id="10" xr3:uid="{00000000-0010-0000-4200-00000A000000}" name="Amount 9" dataDxfId="290"/>
    <tableColumn id="11" xr3:uid="{00000000-0010-0000-4200-00000B000000}" name="Amount 10" dataDxfId="289"/>
    <tableColumn id="12" xr3:uid="{00000000-0010-0000-4200-00000C000000}" name="Amount 11" dataDxfId="288"/>
    <tableColumn id="13" xr3:uid="{00000000-0010-0000-4200-00000D000000}" name="Amount 12" dataDxfId="287"/>
    <tableColumn id="14" xr3:uid="{00000000-0010-0000-4200-00000E000000}" name="Amount 13" dataDxfId="286"/>
    <tableColumn id="15" xr3:uid="{00000000-0010-0000-4200-00000F000000}" name="Amount 14" dataDxfId="285"/>
    <tableColumn id="16" xr3:uid="{00000000-0010-0000-4200-000010000000}" name="Amount 15" dataDxfId="284"/>
    <tableColumn id="17" xr3:uid="{00000000-0010-0000-4200-000011000000}" name="Amount 16" dataDxfId="283"/>
    <tableColumn id="18" xr3:uid="{00000000-0010-0000-4200-000012000000}" name="Amount 17" dataDxfId="282"/>
    <tableColumn id="19" xr3:uid="{00000000-0010-0000-4200-000013000000}" name="Amount 18" dataDxfId="281"/>
    <tableColumn id="20" xr3:uid="{00000000-0010-0000-4200-000014000000}" name="Amount 19" dataDxfId="280"/>
    <tableColumn id="21" xr3:uid="{00000000-0010-0000-4200-000015000000}" name="Ret.Time "/>
    <tableColumn id="22" xr3:uid="{00000000-0010-0000-4200-000016000000}" name="Amount 20"/>
    <tableColumn id="23" xr3:uid="{00000000-0010-0000-4200-000017000000}" name="Ret.Time"/>
    <tableColumn id="24" xr3:uid="{00000000-0010-0000-4200-000018000000}" name="Amount 21"/>
    <tableColumn id="25" xr3:uid="{00000000-0010-0000-4200-000019000000}" name="Ret.Time22"/>
    <tableColumn id="26" xr3:uid="{00000000-0010-0000-4200-00001A000000}" name="Amount 23"/>
    <tableColumn id="27" xr3:uid="{00000000-0010-0000-4200-00001B000000}" name="Ret.Time24"/>
    <tableColumn id="28" xr3:uid="{00000000-0010-0000-4200-00001C000000}" name="Amount 25"/>
    <tableColumn id="29" xr3:uid="{00000000-0010-0000-4200-00001D000000}" name="pH"/>
    <tableColumn id="30" xr3:uid="{00000000-0010-0000-4200-00001E000000}" name="dilution "/>
    <tableColumn id="31" xr3:uid="{00000000-0010-0000-4200-00001F000000}" name="correction"/>
    <tableColumn id="32" xr3:uid="{00000000-0010-0000-4200-000020000000}" name="amount"/>
    <tableColumn id="33" xr3:uid="{00000000-0010-0000-4200-000021000000}" name="pressure" dataDxfId="279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5" xr:uid="{00000000-000C-0000-FFFF-FFFF43000000}" name="Table51621263136414651566166" displayName="Table51621263136414651566166" ref="AJ6:BC32" headerRowDxfId="278" headerRowBorderDxfId="277" tableBorderDxfId="276">
  <autoFilter ref="AJ6:BC32" xr:uid="{00000000-0009-0000-0100-000041000000}"/>
  <tableColumns count="20">
    <tableColumn id="1" xr3:uid="{00000000-0010-0000-4300-000001000000}" name="Concentration" totalsRowLabel="Total" dataDxfId="275" totalsRowDxfId="274"/>
    <tableColumn id="2" xr3:uid="{00000000-0010-0000-4300-000002000000}" name="Concentration2" dataDxfId="273" totalsRowDxfId="272"/>
    <tableColumn id="3" xr3:uid="{00000000-0010-0000-4300-000003000000}" name="Concentration3" dataDxfId="271" totalsRowDxfId="270"/>
    <tableColumn id="4" xr3:uid="{00000000-0010-0000-4300-000004000000}" name="Concentration4" dataDxfId="269" totalsRowDxfId="268"/>
    <tableColumn id="5" xr3:uid="{00000000-0010-0000-4300-000005000000}" name="Concentration5" dataDxfId="267" totalsRowDxfId="266"/>
    <tableColumn id="6" xr3:uid="{00000000-0010-0000-4300-000006000000}" name="Concentration6" dataDxfId="265" totalsRowDxfId="264"/>
    <tableColumn id="7" xr3:uid="{00000000-0010-0000-4300-000007000000}" name="Concentration7" dataDxfId="263" totalsRowDxfId="262"/>
    <tableColumn id="8" xr3:uid="{00000000-0010-0000-4300-000008000000}" name="Concentration8"/>
    <tableColumn id="9" xr3:uid="{00000000-0010-0000-4300-000009000000}" name="Concentration9"/>
    <tableColumn id="10" xr3:uid="{00000000-0010-0000-4300-00000A000000}" name="Concentration10"/>
    <tableColumn id="11" xr3:uid="{00000000-0010-0000-4300-00000B000000}" name="Concentration11"/>
    <tableColumn id="12" xr3:uid="{00000000-0010-0000-4300-00000C000000}" name="Concentration12"/>
    <tableColumn id="13" xr3:uid="{00000000-0010-0000-4300-00000D000000}" name="Concentration13"/>
    <tableColumn id="14" xr3:uid="{00000000-0010-0000-4300-00000E000000}" name="Concentration14"/>
    <tableColumn id="15" xr3:uid="{00000000-0010-0000-4300-00000F000000}" name="Concentration15"/>
    <tableColumn id="16" xr3:uid="{00000000-0010-0000-4300-000010000000}" name="Concentration16"/>
    <tableColumn id="17" xr3:uid="{00000000-0010-0000-4300-000011000000}" name="Concentration17" totalsRowFunction="count"/>
    <tableColumn id="20" xr3:uid="{00000000-0010-0000-4300-000014000000}" name="Concentration172" dataDxfId="261"/>
    <tableColumn id="18" xr3:uid="{00000000-0010-0000-4300-000012000000}" name="Concentration18" dataDxfId="260"/>
    <tableColumn id="19" xr3:uid="{00000000-0010-0000-4300-000013000000}" name="Concentration19" dataDxfId="259"/>
  </tableColumns>
  <tableStyleInfo name="TableStyleMedium5" showFirstColumn="0" showLastColumn="0" showRowStripes="1" showColumnStripes="1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6" xr:uid="{00000000-000C-0000-FFFF-FFFF44000000}" name="Table61722273237424752576267" displayName="Table61722273237424752576267" ref="BD6:BZ32" totalsRowShown="0" headerRowDxfId="258" headerRowBorderDxfId="257" tableBorderDxfId="256">
  <autoFilter ref="BD6:BZ32" xr:uid="{00000000-0009-0000-0100-000042000000}"/>
  <tableColumns count="23">
    <tableColumn id="1" xr3:uid="{00000000-0010-0000-4400-000001000000}" name="Concentration"/>
    <tableColumn id="2" xr3:uid="{00000000-0010-0000-4400-000002000000}" name="Concentration2"/>
    <tableColumn id="3" xr3:uid="{00000000-0010-0000-4400-000003000000}" name="Concentration3"/>
    <tableColumn id="4" xr3:uid="{00000000-0010-0000-4400-000004000000}" name="Concentration4"/>
    <tableColumn id="5" xr3:uid="{00000000-0010-0000-4400-000005000000}" name="Concentration5"/>
    <tableColumn id="6" xr3:uid="{00000000-0010-0000-4400-000006000000}" name="Concentration6"/>
    <tableColumn id="7" xr3:uid="{00000000-0010-0000-4400-000007000000}" name="Concentration7"/>
    <tableColumn id="8" xr3:uid="{00000000-0010-0000-4400-000008000000}" name="Concentration8"/>
    <tableColumn id="9" xr3:uid="{00000000-0010-0000-4400-000009000000}" name="Concentration9"/>
    <tableColumn id="10" xr3:uid="{00000000-0010-0000-4400-00000A000000}" name="Concentration10"/>
    <tableColumn id="11" xr3:uid="{00000000-0010-0000-4400-00000B000000}" name="Concentration11"/>
    <tableColumn id="12" xr3:uid="{00000000-0010-0000-4400-00000C000000}" name="Concentration12"/>
    <tableColumn id="13" xr3:uid="{00000000-0010-0000-4400-00000D000000}" name="Concentration13"/>
    <tableColumn id="14" xr3:uid="{00000000-0010-0000-4400-00000E000000}" name="Concentration14"/>
    <tableColumn id="15" xr3:uid="{00000000-0010-0000-4400-00000F000000}" name="Concentration15"/>
    <tableColumn id="16" xr3:uid="{00000000-0010-0000-4400-000010000000}" name="Concentration16"/>
    <tableColumn id="21" xr3:uid="{00000000-0010-0000-4400-000015000000}" name="Concentration162" dataDxfId="255"/>
    <tableColumn id="17" xr3:uid="{00000000-0010-0000-4400-000011000000}" name="Concentration17"/>
    <tableColumn id="18" xr3:uid="{00000000-0010-0000-4400-000012000000}" name="concentration18"/>
    <tableColumn id="19" xr3:uid="{00000000-0010-0000-4400-000013000000}" name="concentration19"/>
    <tableColumn id="20" xr3:uid="{00000000-0010-0000-4400-000014000000}" name="TOTAL"/>
    <tableColumn id="22" xr3:uid="{00000000-0010-0000-4400-000016000000}" name="% unknown" dataDxfId="254">
      <calculatedColumnFormula>100*Table61722273237424752576267[[#This Row],[TOTAL]]/(Table61722273237424752576267[[#This Row],[TOTAL]]+Table61722273237424752576267[[#This Row],[concentration19]])</calculatedColumnFormula>
    </tableColumn>
    <tableColumn id="23" xr3:uid="{00000000-0010-0000-4400-000017000000}" name="Column1" dataDxfId="253"/>
  </tableColumns>
  <tableStyleInfo name="TableStyleMedium7" showFirstColumn="0" showLastColumn="0" showRowStripes="1" showColumnStripes="0"/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7" xr:uid="{00000000-000C-0000-FFFF-FFFF45000000}" name="Table1131823283338434853586368" displayName="Table1131823283338434853586368" ref="A1:C4" headerRowCount="0" totalsRowShown="0" headerRowDxfId="252" dataDxfId="251" tableBorderDxfId="250">
  <tableColumns count="3">
    <tableColumn id="1" xr3:uid="{00000000-0010-0000-4500-000001000000}" name="Column1" dataDxfId="249"/>
    <tableColumn id="2" xr3:uid="{00000000-0010-0000-4500-000002000000}" name="Column2" dataDxfId="248"/>
    <tableColumn id="3" xr3:uid="{00000000-0010-0000-4500-000003000000}" name="Column3" headerRowDxfId="247" dataDxfId="246"/>
  </tableColumns>
  <tableStyleInfo name="TableStyleLight15" showFirstColumn="0" showLastColumn="0" showRowStripes="1" showColumnStripes="0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8" xr:uid="{00000000-000C-0000-FFFF-FFFF46000000}" name="Table2141924293439444954596469" displayName="Table2141924293439444954596469" ref="A8:B32" totalsRowShown="0" headerRowDxfId="245">
  <autoFilter ref="A8:B32" xr:uid="{00000000-0009-0000-0100-000044000000}"/>
  <tableColumns count="2">
    <tableColumn id="1" xr3:uid="{00000000-0010-0000-4600-000001000000}" name="Date" dataDxfId="244">
      <calculatedColumnFormula>Table2[[#This Row],[Date]]</calculatedColumnFormula>
    </tableColumn>
    <tableColumn id="2" xr3:uid="{00000000-0010-0000-4600-000002000000}" name="Time">
      <calculatedColumnFormula>Table2[[#This Row],[Time]]</calculatedColumnFormula>
    </tableColumn>
  </tableColumns>
  <tableStyleInfo name="TableStyleMedium1" showFirstColumn="0" showLastColumn="0" showRowStripes="1" showColumnStripes="0"/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9" xr:uid="{00000000-000C-0000-FFFF-FFFF47000000}" name="Table3152025303540455055606570" displayName="Table3152025303540455055606570" ref="C6:AI32" totalsRowShown="0" headerRowDxfId="243" tableBorderDxfId="242" headerRowCellStyle="Normal 3">
  <autoFilter ref="C6:AI32" xr:uid="{00000000-0009-0000-0100-000045000000}"/>
  <tableColumns count="33">
    <tableColumn id="1" xr3:uid="{00000000-0010-0000-4700-000001000000}" name="Dilution" dataDxfId="241"/>
    <tableColumn id="2" xr3:uid="{00000000-0010-0000-4700-000002000000}" name="Amount " dataDxfId="240"/>
    <tableColumn id="3" xr3:uid="{00000000-0010-0000-4700-000003000000}" name="Amount 2" dataDxfId="239"/>
    <tableColumn id="4" xr3:uid="{00000000-0010-0000-4700-000004000000}" name="Amount 3" dataDxfId="238"/>
    <tableColumn id="5" xr3:uid="{00000000-0010-0000-4700-000005000000}" name="Amount 4" dataDxfId="237"/>
    <tableColumn id="6" xr3:uid="{00000000-0010-0000-4700-000006000000}" name="Amount 5" dataDxfId="236"/>
    <tableColumn id="7" xr3:uid="{00000000-0010-0000-4700-000007000000}" name="Amount 6" dataDxfId="235"/>
    <tableColumn id="8" xr3:uid="{00000000-0010-0000-4700-000008000000}" name="Amount 7" dataDxfId="234"/>
    <tableColumn id="9" xr3:uid="{00000000-0010-0000-4700-000009000000}" name="Amount 8" dataDxfId="233"/>
    <tableColumn id="10" xr3:uid="{00000000-0010-0000-4700-00000A000000}" name="Amount 9" dataDxfId="232"/>
    <tableColumn id="11" xr3:uid="{00000000-0010-0000-4700-00000B000000}" name="Amount 10" dataDxfId="231"/>
    <tableColumn id="12" xr3:uid="{00000000-0010-0000-4700-00000C000000}" name="Amount 11" dataDxfId="230"/>
    <tableColumn id="13" xr3:uid="{00000000-0010-0000-4700-00000D000000}" name="Amount 12" dataDxfId="229"/>
    <tableColumn id="14" xr3:uid="{00000000-0010-0000-4700-00000E000000}" name="Amount 13" dataDxfId="228"/>
    <tableColumn id="15" xr3:uid="{00000000-0010-0000-4700-00000F000000}" name="Amount 14" dataDxfId="227"/>
    <tableColumn id="16" xr3:uid="{00000000-0010-0000-4700-000010000000}" name="Amount 15" dataDxfId="226"/>
    <tableColumn id="17" xr3:uid="{00000000-0010-0000-4700-000011000000}" name="Amount 16" dataDxfId="225"/>
    <tableColumn id="18" xr3:uid="{00000000-0010-0000-4700-000012000000}" name="Amount 17" dataDxfId="224"/>
    <tableColumn id="19" xr3:uid="{00000000-0010-0000-4700-000013000000}" name="Amount 18" dataDxfId="223"/>
    <tableColumn id="20" xr3:uid="{00000000-0010-0000-4700-000014000000}" name="Amount 19" dataDxfId="222"/>
    <tableColumn id="21" xr3:uid="{00000000-0010-0000-4700-000015000000}" name="Ret.Time "/>
    <tableColumn id="22" xr3:uid="{00000000-0010-0000-4700-000016000000}" name="Amount 20"/>
    <tableColumn id="23" xr3:uid="{00000000-0010-0000-4700-000017000000}" name="Ret.Time"/>
    <tableColumn id="24" xr3:uid="{00000000-0010-0000-4700-000018000000}" name="Amount 21"/>
    <tableColumn id="25" xr3:uid="{00000000-0010-0000-4700-000019000000}" name="Ret.Time22"/>
    <tableColumn id="26" xr3:uid="{00000000-0010-0000-4700-00001A000000}" name="Amount 23"/>
    <tableColumn id="27" xr3:uid="{00000000-0010-0000-4700-00001B000000}" name="Ret.Time24"/>
    <tableColumn id="28" xr3:uid="{00000000-0010-0000-4700-00001C000000}" name="Amount 25"/>
    <tableColumn id="29" xr3:uid="{00000000-0010-0000-4700-00001D000000}" name="pH"/>
    <tableColumn id="30" xr3:uid="{00000000-0010-0000-4700-00001E000000}" name="dilution "/>
    <tableColumn id="31" xr3:uid="{00000000-0010-0000-4700-00001F000000}" name="retention"/>
    <tableColumn id="32" xr3:uid="{00000000-0010-0000-4700-000020000000}" name="amount"/>
    <tableColumn id="33" xr3:uid="{00000000-0010-0000-4700-000021000000}" name="pressure" dataDxfId="221"/>
  </tableColumns>
  <tableStyleInfo name="TableStyleMedium2" showFirstColumn="0" showLastColumn="0" showRowStripes="1" showColumnStripes="0"/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0" xr:uid="{00000000-000C-0000-FFFF-FFFF48000000}" name="Table5162126313641465156616671" displayName="Table5162126313641465156616671" ref="AJ6:BB32" headerRowDxfId="220" headerRowBorderDxfId="219" tableBorderDxfId="218">
  <autoFilter ref="AJ6:BB32" xr:uid="{00000000-0009-0000-0100-000046000000}"/>
  <tableColumns count="19">
    <tableColumn id="1" xr3:uid="{00000000-0010-0000-4800-000001000000}" name="Concentration" totalsRowLabel="Total" dataDxfId="217" totalsRowDxfId="216"/>
    <tableColumn id="2" xr3:uid="{00000000-0010-0000-4800-000002000000}" name="Concentration2" dataDxfId="215" totalsRowDxfId="214"/>
    <tableColumn id="3" xr3:uid="{00000000-0010-0000-4800-000003000000}" name="Concentration3" dataDxfId="213" totalsRowDxfId="212"/>
    <tableColumn id="4" xr3:uid="{00000000-0010-0000-4800-000004000000}" name="Concentration4" dataDxfId="211" totalsRowDxfId="210"/>
    <tableColumn id="5" xr3:uid="{00000000-0010-0000-4800-000005000000}" name="Concentration5" dataDxfId="209" totalsRowDxfId="208"/>
    <tableColumn id="6" xr3:uid="{00000000-0010-0000-4800-000006000000}" name="Concentration6" dataDxfId="207" totalsRowDxfId="206"/>
    <tableColumn id="7" xr3:uid="{00000000-0010-0000-4800-000007000000}" name="Concentration7" dataDxfId="205" totalsRowDxfId="204"/>
    <tableColumn id="8" xr3:uid="{00000000-0010-0000-4800-000008000000}" name="Concentration8"/>
    <tableColumn id="9" xr3:uid="{00000000-0010-0000-4800-000009000000}" name="Concentration9"/>
    <tableColumn id="10" xr3:uid="{00000000-0010-0000-4800-00000A000000}" name="Concentration10"/>
    <tableColumn id="11" xr3:uid="{00000000-0010-0000-4800-00000B000000}" name="Concentration11"/>
    <tableColumn id="12" xr3:uid="{00000000-0010-0000-4800-00000C000000}" name="Concentration12"/>
    <tableColumn id="13" xr3:uid="{00000000-0010-0000-4800-00000D000000}" name="Concentration13"/>
    <tableColumn id="14" xr3:uid="{00000000-0010-0000-4800-00000E000000}" name="Concentration14"/>
    <tableColumn id="15" xr3:uid="{00000000-0010-0000-4800-00000F000000}" name="Concentration15"/>
    <tableColumn id="16" xr3:uid="{00000000-0010-0000-4800-000010000000}" name="Concentration16"/>
    <tableColumn id="17" xr3:uid="{00000000-0010-0000-4800-000011000000}" name="Concentration17" totalsRowFunction="count"/>
    <tableColumn id="18" xr3:uid="{00000000-0010-0000-4800-000012000000}" name="Concentration18" dataDxfId="203"/>
    <tableColumn id="19" xr3:uid="{00000000-0010-0000-4800-000013000000}" name="Concentration19" dataDxfId="202"/>
  </tableColumns>
  <tableStyleInfo name="TableStyleMedium5" showFirstColumn="0" showLastColumn="0" showRowStripes="1" showColumnStripes="1"/>
</table>
</file>

<file path=xl/tables/table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1" xr:uid="{00000000-000C-0000-FFFF-FFFF49000000}" name="Table6172227323742475257626772" displayName="Table6172227323742475257626772" ref="BC6:BW32" totalsRowShown="0" headerRowDxfId="201" headerRowBorderDxfId="200" tableBorderDxfId="199">
  <autoFilter ref="BC6:BW32" xr:uid="{00000000-0009-0000-0100-000047000000}"/>
  <tableColumns count="21">
    <tableColumn id="1" xr3:uid="{00000000-0010-0000-4900-000001000000}" name="Concentration"/>
    <tableColumn id="2" xr3:uid="{00000000-0010-0000-4900-000002000000}" name="Concentration2"/>
    <tableColumn id="3" xr3:uid="{00000000-0010-0000-4900-000003000000}" name="Concentration3"/>
    <tableColumn id="4" xr3:uid="{00000000-0010-0000-4900-000004000000}" name="Concentration4"/>
    <tableColumn id="5" xr3:uid="{00000000-0010-0000-4900-000005000000}" name="Concentration5"/>
    <tableColumn id="6" xr3:uid="{00000000-0010-0000-4900-000006000000}" name="Concentration6"/>
    <tableColumn id="7" xr3:uid="{00000000-0010-0000-4900-000007000000}" name="Concentration7"/>
    <tableColumn id="8" xr3:uid="{00000000-0010-0000-4900-000008000000}" name="Concentration8"/>
    <tableColumn id="9" xr3:uid="{00000000-0010-0000-4900-000009000000}" name="Concentration9"/>
    <tableColumn id="10" xr3:uid="{00000000-0010-0000-4900-00000A000000}" name="Concentration10"/>
    <tableColumn id="11" xr3:uid="{00000000-0010-0000-4900-00000B000000}" name="Concentration11"/>
    <tableColumn id="12" xr3:uid="{00000000-0010-0000-4900-00000C000000}" name="Concentration12"/>
    <tableColumn id="13" xr3:uid="{00000000-0010-0000-4900-00000D000000}" name="Concentration13"/>
    <tableColumn id="14" xr3:uid="{00000000-0010-0000-4900-00000E000000}" name="Concentration14"/>
    <tableColumn id="15" xr3:uid="{00000000-0010-0000-4900-00000F000000}" name="Concentration15"/>
    <tableColumn id="16" xr3:uid="{00000000-0010-0000-4900-000010000000}" name="Concentration16"/>
    <tableColumn id="21" xr3:uid="{00000000-0010-0000-4900-000015000000}" name="Concentration162" dataDxfId="198"/>
    <tableColumn id="17" xr3:uid="{00000000-0010-0000-4900-000011000000}" name="Concentration17"/>
    <tableColumn id="18" xr3:uid="{00000000-0010-0000-4900-000012000000}" name="concentration18"/>
    <tableColumn id="19" xr3:uid="{00000000-0010-0000-4900-000013000000}" name="concentration19"/>
    <tableColumn id="20" xr3:uid="{00000000-0010-0000-4900-000014000000}" name="TOTAL"/>
  </tableColumns>
  <tableStyleInfo name="TableStyleMedium7" showFirstColumn="0" showLastColumn="0" showRowStripes="1" showColumnStripes="0"/>
</table>
</file>

<file path=xl/tables/table4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0" xr:uid="{00000000-000C-0000-FFFF-FFFF4A000000}" name="Table214192429343944495459646981" displayName="Table214192429343944495459646981" ref="A39:B63" totalsRowShown="0" headerRowDxfId="197">
  <autoFilter ref="A39:B63" xr:uid="{00000000-0009-0000-0100-000050000000}"/>
  <tableColumns count="2">
    <tableColumn id="1" xr3:uid="{00000000-0010-0000-4A00-000001000000}" name="Date" dataDxfId="196">
      <calculatedColumnFormula>A9</calculatedColumnFormula>
    </tableColumn>
    <tableColumn id="2" xr3:uid="{00000000-0010-0000-4A00-000002000000}" name="Time" dataDxfId="195">
      <calculatedColumnFormula>B9</calculatedColumnFormula>
    </tableColumn>
  </tableColumns>
  <tableStyleInfo name="TableStyleMedium1" showFirstColumn="0" showLastColumn="0" showRowStripes="1" showColumnStripes="0"/>
</table>
</file>

<file path=xl/tables/table4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1" xr:uid="{00000000-000C-0000-FFFF-FFFF4B000000}" name="Table315202530354045505560657082" displayName="Table315202530354045505560657082" ref="C37:AI63" totalsRowShown="0" headerRowDxfId="194" tableBorderDxfId="193" headerRowCellStyle="Normal 3">
  <autoFilter ref="C37:AI63" xr:uid="{00000000-0009-0000-0100-000051000000}"/>
  <tableColumns count="33">
    <tableColumn id="1" xr3:uid="{00000000-0010-0000-4B00-000001000000}" name="Dilution" dataDxfId="192"/>
    <tableColumn id="2" xr3:uid="{00000000-0010-0000-4B00-000002000000}" name="Amount " dataDxfId="191"/>
    <tableColumn id="3" xr3:uid="{00000000-0010-0000-4B00-000003000000}" name="Amount 2" dataDxfId="190"/>
    <tableColumn id="4" xr3:uid="{00000000-0010-0000-4B00-000004000000}" name="Amount 3" dataDxfId="189"/>
    <tableColumn id="5" xr3:uid="{00000000-0010-0000-4B00-000005000000}" name="Amount 4" dataDxfId="188"/>
    <tableColumn id="6" xr3:uid="{00000000-0010-0000-4B00-000006000000}" name="Amount 5" dataDxfId="187"/>
    <tableColumn id="7" xr3:uid="{00000000-0010-0000-4B00-000007000000}" name="Amount 6" dataDxfId="186"/>
    <tableColumn id="8" xr3:uid="{00000000-0010-0000-4B00-000008000000}" name="Amount 7" dataDxfId="185"/>
    <tableColumn id="9" xr3:uid="{00000000-0010-0000-4B00-000009000000}" name="Amount 8" dataDxfId="184"/>
    <tableColumn id="10" xr3:uid="{00000000-0010-0000-4B00-00000A000000}" name="Amount 9" dataDxfId="183"/>
    <tableColumn id="11" xr3:uid="{00000000-0010-0000-4B00-00000B000000}" name="Amount 10" dataDxfId="182"/>
    <tableColumn id="12" xr3:uid="{00000000-0010-0000-4B00-00000C000000}" name="Amount 11" dataDxfId="181"/>
    <tableColumn id="13" xr3:uid="{00000000-0010-0000-4B00-00000D000000}" name="Amount 12" dataDxfId="180"/>
    <tableColumn id="14" xr3:uid="{00000000-0010-0000-4B00-00000E000000}" name="Amount 13" dataDxfId="179"/>
    <tableColumn id="15" xr3:uid="{00000000-0010-0000-4B00-00000F000000}" name="Amount 14" dataDxfId="178"/>
    <tableColumn id="16" xr3:uid="{00000000-0010-0000-4B00-000010000000}" name="Amount 15" dataDxfId="177"/>
    <tableColumn id="17" xr3:uid="{00000000-0010-0000-4B00-000011000000}" name="Amount 16" dataDxfId="176"/>
    <tableColumn id="18" xr3:uid="{00000000-0010-0000-4B00-000012000000}" name="Amount 17" dataDxfId="175"/>
    <tableColumn id="19" xr3:uid="{00000000-0010-0000-4B00-000013000000}" name="Amount 18" dataDxfId="174"/>
    <tableColumn id="20" xr3:uid="{00000000-0010-0000-4B00-000014000000}" name="Amount 19" dataDxfId="173"/>
    <tableColumn id="21" xr3:uid="{00000000-0010-0000-4B00-000015000000}" name="Ret.Time "/>
    <tableColumn id="22" xr3:uid="{00000000-0010-0000-4B00-000016000000}" name="Amount 20"/>
    <tableColumn id="23" xr3:uid="{00000000-0010-0000-4B00-000017000000}" name="Ret.Time"/>
    <tableColumn id="24" xr3:uid="{00000000-0010-0000-4B00-000018000000}" name="Amount 21"/>
    <tableColumn id="25" xr3:uid="{00000000-0010-0000-4B00-000019000000}" name="Ret.Time22"/>
    <tableColumn id="26" xr3:uid="{00000000-0010-0000-4B00-00001A000000}" name="Amount 23"/>
    <tableColumn id="27" xr3:uid="{00000000-0010-0000-4B00-00001B000000}" name="Ret.Time24"/>
    <tableColumn id="28" xr3:uid="{00000000-0010-0000-4B00-00001C000000}" name="Amount 25"/>
    <tableColumn id="29" xr3:uid="{00000000-0010-0000-4B00-00001D000000}" name="pH"/>
    <tableColumn id="30" xr3:uid="{00000000-0010-0000-4B00-00001E000000}" name="dilution "/>
    <tableColumn id="31" xr3:uid="{00000000-0010-0000-4B00-00001F000000}" name="retention"/>
    <tableColumn id="32" xr3:uid="{00000000-0010-0000-4B00-000020000000}" name="amount"/>
    <tableColumn id="33" xr3:uid="{00000000-0010-0000-4B00-000021000000}" name="pressure" dataDxfId="17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9000000}" name="Table18" displayName="Table18" ref="A1:C4" headerRowCount="0" totalsRowShown="0" headerRowDxfId="676" dataDxfId="675" tableBorderDxfId="674">
  <tableColumns count="3">
    <tableColumn id="1" xr3:uid="{00000000-0010-0000-0900-000001000000}" name="Column1" dataDxfId="673"/>
    <tableColumn id="2" xr3:uid="{00000000-0010-0000-0900-000002000000}" name="Column2" dataDxfId="672"/>
    <tableColumn id="3" xr3:uid="{00000000-0010-0000-0900-000003000000}" name="Column3" headerRowDxfId="671" dataDxfId="670"/>
  </tableColumns>
  <tableStyleInfo name="TableStyleLight15" showFirstColumn="0" showLastColumn="0" showRowStripes="1" showColumnStripes="0"/>
</table>
</file>

<file path=xl/tables/table5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2" xr:uid="{00000000-000C-0000-FFFF-FFFF4C000000}" name="Table516212631364146515661667183" displayName="Table516212631364146515661667183" ref="AJ37:BB63" headerRowDxfId="171" headerRowBorderDxfId="170" tableBorderDxfId="169">
  <autoFilter ref="AJ37:BB63" xr:uid="{00000000-0009-0000-0100-000052000000}"/>
  <tableColumns count="19">
    <tableColumn id="1" xr3:uid="{00000000-0010-0000-4C00-000001000000}" name="Concentration" totalsRowLabel="Total" dataDxfId="168" totalsRowDxfId="167"/>
    <tableColumn id="2" xr3:uid="{00000000-0010-0000-4C00-000002000000}" name="Concentration2" dataDxfId="166" totalsRowDxfId="165"/>
    <tableColumn id="3" xr3:uid="{00000000-0010-0000-4C00-000003000000}" name="Concentration3" dataDxfId="164" totalsRowDxfId="163"/>
    <tableColumn id="4" xr3:uid="{00000000-0010-0000-4C00-000004000000}" name="Concentration4" dataDxfId="162" totalsRowDxfId="161"/>
    <tableColumn id="5" xr3:uid="{00000000-0010-0000-4C00-000005000000}" name="Concentration5" dataDxfId="160" totalsRowDxfId="159"/>
    <tableColumn id="6" xr3:uid="{00000000-0010-0000-4C00-000006000000}" name="Concentration6" dataDxfId="158" totalsRowDxfId="157"/>
    <tableColumn id="7" xr3:uid="{00000000-0010-0000-4C00-000007000000}" name="Concentration7" dataDxfId="156" totalsRowDxfId="155"/>
    <tableColumn id="8" xr3:uid="{00000000-0010-0000-4C00-000008000000}" name="Concentration8"/>
    <tableColumn id="9" xr3:uid="{00000000-0010-0000-4C00-000009000000}" name="Concentration9"/>
    <tableColumn id="10" xr3:uid="{00000000-0010-0000-4C00-00000A000000}" name="Concentration10"/>
    <tableColumn id="11" xr3:uid="{00000000-0010-0000-4C00-00000B000000}" name="Concentration11"/>
    <tableColumn id="12" xr3:uid="{00000000-0010-0000-4C00-00000C000000}" name="Concentration12"/>
    <tableColumn id="13" xr3:uid="{00000000-0010-0000-4C00-00000D000000}" name="Concentration13"/>
    <tableColumn id="14" xr3:uid="{00000000-0010-0000-4C00-00000E000000}" name="Concentration14"/>
    <tableColumn id="15" xr3:uid="{00000000-0010-0000-4C00-00000F000000}" name="Concentration15"/>
    <tableColumn id="16" xr3:uid="{00000000-0010-0000-4C00-000010000000}" name="Concentration16"/>
    <tableColumn id="17" xr3:uid="{00000000-0010-0000-4C00-000011000000}" name="Concentration17" totalsRowFunction="count"/>
    <tableColumn id="18" xr3:uid="{00000000-0010-0000-4C00-000012000000}" name="Concentration18" dataDxfId="154"/>
    <tableColumn id="19" xr3:uid="{00000000-0010-0000-4C00-000013000000}" name="Concentration19" dataDxfId="153"/>
  </tableColumns>
  <tableStyleInfo name="TableStyleMedium5" showFirstColumn="0" showLastColumn="0" showRowStripes="1" showColumnStripes="1"/>
</table>
</file>

<file path=xl/tables/table5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3" xr:uid="{00000000-000C-0000-FFFF-FFFF4D000000}" name="Table617222732374247525762677284" displayName="Table617222732374247525762677284" ref="BC37:BV63" totalsRowShown="0" headerRowDxfId="152" headerRowBorderDxfId="151" tableBorderDxfId="150">
  <autoFilter ref="BC37:BV63" xr:uid="{00000000-0009-0000-0100-000053000000}"/>
  <tableColumns count="20">
    <tableColumn id="1" xr3:uid="{00000000-0010-0000-4D00-000001000000}" name="Concentration"/>
    <tableColumn id="2" xr3:uid="{00000000-0010-0000-4D00-000002000000}" name="Concentration2"/>
    <tableColumn id="3" xr3:uid="{00000000-0010-0000-4D00-000003000000}" name="Concentration3"/>
    <tableColumn id="4" xr3:uid="{00000000-0010-0000-4D00-000004000000}" name="Concentration4"/>
    <tableColumn id="5" xr3:uid="{00000000-0010-0000-4D00-000005000000}" name="Concentration5"/>
    <tableColumn id="6" xr3:uid="{00000000-0010-0000-4D00-000006000000}" name="Concentration6"/>
    <tableColumn id="7" xr3:uid="{00000000-0010-0000-4D00-000007000000}" name="Concentration7"/>
    <tableColumn id="8" xr3:uid="{00000000-0010-0000-4D00-000008000000}" name="Concentration8"/>
    <tableColumn id="9" xr3:uid="{00000000-0010-0000-4D00-000009000000}" name="Concentration9"/>
    <tableColumn id="10" xr3:uid="{00000000-0010-0000-4D00-00000A000000}" name="Concentration10"/>
    <tableColumn id="11" xr3:uid="{00000000-0010-0000-4D00-00000B000000}" name="Concentration11"/>
    <tableColumn id="12" xr3:uid="{00000000-0010-0000-4D00-00000C000000}" name="Concentration12"/>
    <tableColumn id="13" xr3:uid="{00000000-0010-0000-4D00-00000D000000}" name="Concentration13"/>
    <tableColumn id="14" xr3:uid="{00000000-0010-0000-4D00-00000E000000}" name="Concentration14"/>
    <tableColumn id="15" xr3:uid="{00000000-0010-0000-4D00-00000F000000}" name="Concentration15"/>
    <tableColumn id="16" xr3:uid="{00000000-0010-0000-4D00-000010000000}" name="Concentration16"/>
    <tableColumn id="17" xr3:uid="{00000000-0010-0000-4D00-000011000000}" name="Concentration17"/>
    <tableColumn id="18" xr3:uid="{00000000-0010-0000-4D00-000012000000}" name="concentration18"/>
    <tableColumn id="19" xr3:uid="{00000000-0010-0000-4D00-000013000000}" name="concentration19"/>
    <tableColumn id="20" xr3:uid="{00000000-0010-0000-4D00-000014000000}" name="TOTAL"/>
  </tableColumns>
  <tableStyleInfo name="TableStyleMedium7" showFirstColumn="0" showLastColumn="0" showRowStripes="1" showColumnStripes="0"/>
</table>
</file>

<file path=xl/tables/table5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6" xr:uid="{00000000-000C-0000-FFFF-FFFF4E000000}" name="Table21419242934394449545964698177" displayName="Table21419242934394449545964698177" ref="A68:B92" totalsRowShown="0" headerRowDxfId="149">
  <autoFilter ref="A68:B92" xr:uid="{00000000-0009-0000-0100-00004C000000}"/>
  <tableColumns count="2">
    <tableColumn id="1" xr3:uid="{00000000-0010-0000-4E00-000001000000}" name="Date" dataDxfId="148">
      <calculatedColumnFormula>A9</calculatedColumnFormula>
    </tableColumn>
    <tableColumn id="2" xr3:uid="{00000000-0010-0000-4E00-000002000000}" name="Time" dataDxfId="147">
      <calculatedColumnFormula>B9</calculatedColumnFormula>
    </tableColumn>
  </tableColumns>
  <tableStyleInfo name="TableStyleMedium1" showFirstColumn="0" showLastColumn="0" showRowStripes="1" showColumnStripes="0"/>
</table>
</file>

<file path=xl/tables/table5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7" xr:uid="{00000000-000C-0000-FFFF-FFFF4F000000}" name="Table31520253035404550556065708278" displayName="Table31520253035404550556065708278" ref="C66:AI92" totalsRowShown="0" headerRowDxfId="146" tableBorderDxfId="145" headerRowCellStyle="Normal 3">
  <autoFilter ref="C66:AI92" xr:uid="{00000000-0009-0000-0100-00004D000000}"/>
  <tableColumns count="33">
    <tableColumn id="1" xr3:uid="{00000000-0010-0000-4F00-000001000000}" name="Dilution" dataDxfId="144"/>
    <tableColumn id="2" xr3:uid="{00000000-0010-0000-4F00-000002000000}" name="Amount " dataDxfId="143"/>
    <tableColumn id="3" xr3:uid="{00000000-0010-0000-4F00-000003000000}" name="Amount 2" dataDxfId="142"/>
    <tableColumn id="4" xr3:uid="{00000000-0010-0000-4F00-000004000000}" name="Amount 3" dataDxfId="141"/>
    <tableColumn id="5" xr3:uid="{00000000-0010-0000-4F00-000005000000}" name="Amount 4" dataDxfId="140"/>
    <tableColumn id="6" xr3:uid="{00000000-0010-0000-4F00-000006000000}" name="Amount 5" dataDxfId="139"/>
    <tableColumn id="7" xr3:uid="{00000000-0010-0000-4F00-000007000000}" name="Amount 6" dataDxfId="138"/>
    <tableColumn id="8" xr3:uid="{00000000-0010-0000-4F00-000008000000}" name="Amount 7" dataDxfId="137"/>
    <tableColumn id="9" xr3:uid="{00000000-0010-0000-4F00-000009000000}" name="Amount 8" dataDxfId="136"/>
    <tableColumn id="10" xr3:uid="{00000000-0010-0000-4F00-00000A000000}" name="Amount 9" dataDxfId="135"/>
    <tableColumn id="11" xr3:uid="{00000000-0010-0000-4F00-00000B000000}" name="Amount 10" dataDxfId="134"/>
    <tableColumn id="12" xr3:uid="{00000000-0010-0000-4F00-00000C000000}" name="Amount 11" dataDxfId="133"/>
    <tableColumn id="13" xr3:uid="{00000000-0010-0000-4F00-00000D000000}" name="Amount 12" dataDxfId="132"/>
    <tableColumn id="14" xr3:uid="{00000000-0010-0000-4F00-00000E000000}" name="Amount 13" dataDxfId="131"/>
    <tableColumn id="15" xr3:uid="{00000000-0010-0000-4F00-00000F000000}" name="Amount 14" dataDxfId="130"/>
    <tableColumn id="16" xr3:uid="{00000000-0010-0000-4F00-000010000000}" name="Amount 15" dataDxfId="129"/>
    <tableColumn id="17" xr3:uid="{00000000-0010-0000-4F00-000011000000}" name="Amount 16" dataDxfId="128"/>
    <tableColumn id="18" xr3:uid="{00000000-0010-0000-4F00-000012000000}" name="Amount 17" dataDxfId="127"/>
    <tableColumn id="19" xr3:uid="{00000000-0010-0000-4F00-000013000000}" name="Amount 18" dataDxfId="126"/>
    <tableColumn id="20" xr3:uid="{00000000-0010-0000-4F00-000014000000}" name="Amount 19" dataDxfId="125"/>
    <tableColumn id="21" xr3:uid="{00000000-0010-0000-4F00-000015000000}" name="Ret.Time "/>
    <tableColumn id="22" xr3:uid="{00000000-0010-0000-4F00-000016000000}" name="Amount 20"/>
    <tableColumn id="23" xr3:uid="{00000000-0010-0000-4F00-000017000000}" name="Ret.Time"/>
    <tableColumn id="24" xr3:uid="{00000000-0010-0000-4F00-000018000000}" name="Amount 21"/>
    <tableColumn id="25" xr3:uid="{00000000-0010-0000-4F00-000019000000}" name="Ret.Time22"/>
    <tableColumn id="26" xr3:uid="{00000000-0010-0000-4F00-00001A000000}" name="Amount 23"/>
    <tableColumn id="27" xr3:uid="{00000000-0010-0000-4F00-00001B000000}" name="Ret.Time24"/>
    <tableColumn id="28" xr3:uid="{00000000-0010-0000-4F00-00001C000000}" name="Amount 25"/>
    <tableColumn id="29" xr3:uid="{00000000-0010-0000-4F00-00001D000000}" name="pH"/>
    <tableColumn id="30" xr3:uid="{00000000-0010-0000-4F00-00001E000000}" name="dilution "/>
    <tableColumn id="31" xr3:uid="{00000000-0010-0000-4F00-00001F000000}" name="retention"/>
    <tableColumn id="32" xr3:uid="{00000000-0010-0000-4F00-000020000000}" name="amount"/>
    <tableColumn id="33" xr3:uid="{00000000-0010-0000-4F00-000021000000}" name="pressure" dataDxfId="124"/>
  </tableColumns>
  <tableStyleInfo name="TableStyleMedium2" showFirstColumn="0" showLastColumn="0" showRowStripes="1" showColumnStripes="0"/>
</table>
</file>

<file path=xl/tables/table5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8" xr:uid="{00000000-000C-0000-FFFF-FFFF50000000}" name="Table51621263136414651566166718379" displayName="Table51621263136414651566166718379" ref="AJ66:BB92" headerRowDxfId="123" headerRowBorderDxfId="122" tableBorderDxfId="121">
  <autoFilter ref="AJ66:BB92" xr:uid="{00000000-0009-0000-0100-00004E000000}"/>
  <tableColumns count="19">
    <tableColumn id="1" xr3:uid="{00000000-0010-0000-5000-000001000000}" name="Concentration" totalsRowLabel="Total" dataDxfId="120" totalsRowDxfId="119"/>
    <tableColumn id="2" xr3:uid="{00000000-0010-0000-5000-000002000000}" name="Concentration2" dataDxfId="118" totalsRowDxfId="117"/>
    <tableColumn id="3" xr3:uid="{00000000-0010-0000-5000-000003000000}" name="Concentration3" dataDxfId="116" totalsRowDxfId="115"/>
    <tableColumn id="4" xr3:uid="{00000000-0010-0000-5000-000004000000}" name="Concentration4" dataDxfId="114" totalsRowDxfId="113"/>
    <tableColumn id="5" xr3:uid="{00000000-0010-0000-5000-000005000000}" name="Concentration5" dataDxfId="112" totalsRowDxfId="111"/>
    <tableColumn id="6" xr3:uid="{00000000-0010-0000-5000-000006000000}" name="Concentration6" dataDxfId="110" totalsRowDxfId="109"/>
    <tableColumn id="7" xr3:uid="{00000000-0010-0000-5000-000007000000}" name="Concentration7" dataDxfId="108" totalsRowDxfId="107"/>
    <tableColumn id="8" xr3:uid="{00000000-0010-0000-5000-000008000000}" name="Concentration8"/>
    <tableColumn id="9" xr3:uid="{00000000-0010-0000-5000-000009000000}" name="Concentration9"/>
    <tableColumn id="10" xr3:uid="{00000000-0010-0000-5000-00000A000000}" name="Concentration10"/>
    <tableColumn id="11" xr3:uid="{00000000-0010-0000-5000-00000B000000}" name="Concentration11"/>
    <tableColumn id="12" xr3:uid="{00000000-0010-0000-5000-00000C000000}" name="Concentration12"/>
    <tableColumn id="13" xr3:uid="{00000000-0010-0000-5000-00000D000000}" name="Concentration13"/>
    <tableColumn id="14" xr3:uid="{00000000-0010-0000-5000-00000E000000}" name="Concentration14"/>
    <tableColumn id="15" xr3:uid="{00000000-0010-0000-5000-00000F000000}" name="Concentration15"/>
    <tableColumn id="16" xr3:uid="{00000000-0010-0000-5000-000010000000}" name="Concentration16"/>
    <tableColumn id="17" xr3:uid="{00000000-0010-0000-5000-000011000000}" name="Concentration17" totalsRowFunction="count"/>
    <tableColumn id="18" xr3:uid="{00000000-0010-0000-5000-000012000000}" name="Concentration18" dataDxfId="106"/>
    <tableColumn id="19" xr3:uid="{00000000-0010-0000-5000-000013000000}" name="Concentration19" dataDxfId="105"/>
  </tableColumns>
  <tableStyleInfo name="TableStyleMedium5" showFirstColumn="0" showLastColumn="0" showRowStripes="1" showColumnStripes="1"/>
</table>
</file>

<file path=xl/tables/table5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9" xr:uid="{00000000-000C-0000-FFFF-FFFF51000000}" name="Table61722273237424752576267728480" displayName="Table61722273237424752576267728480" ref="BC66:BV92" totalsRowShown="0" headerRowDxfId="104" headerRowBorderDxfId="103" tableBorderDxfId="102">
  <autoFilter ref="BC66:BV92" xr:uid="{00000000-0009-0000-0100-00004F000000}"/>
  <tableColumns count="20">
    <tableColumn id="1" xr3:uid="{00000000-0010-0000-5100-000001000000}" name="Concentration"/>
    <tableColumn id="2" xr3:uid="{00000000-0010-0000-5100-000002000000}" name="Concentration2"/>
    <tableColumn id="3" xr3:uid="{00000000-0010-0000-5100-000003000000}" name="Concentration3"/>
    <tableColumn id="4" xr3:uid="{00000000-0010-0000-5100-000004000000}" name="Concentration4"/>
    <tableColumn id="5" xr3:uid="{00000000-0010-0000-5100-000005000000}" name="Concentration5"/>
    <tableColumn id="6" xr3:uid="{00000000-0010-0000-5100-000006000000}" name="Concentration6"/>
    <tableColumn id="7" xr3:uid="{00000000-0010-0000-5100-000007000000}" name="Concentration7"/>
    <tableColumn id="8" xr3:uid="{00000000-0010-0000-5100-000008000000}" name="Concentration8"/>
    <tableColumn id="9" xr3:uid="{00000000-0010-0000-5100-000009000000}" name="Concentration9"/>
    <tableColumn id="10" xr3:uid="{00000000-0010-0000-5100-00000A000000}" name="Concentration10"/>
    <tableColumn id="11" xr3:uid="{00000000-0010-0000-5100-00000B000000}" name="Concentration11"/>
    <tableColumn id="12" xr3:uid="{00000000-0010-0000-5100-00000C000000}" name="Concentration12"/>
    <tableColumn id="13" xr3:uid="{00000000-0010-0000-5100-00000D000000}" name="Concentration13"/>
    <tableColumn id="14" xr3:uid="{00000000-0010-0000-5100-00000E000000}" name="Concentration14"/>
    <tableColumn id="15" xr3:uid="{00000000-0010-0000-5100-00000F000000}" name="Concentration15"/>
    <tableColumn id="16" xr3:uid="{00000000-0010-0000-5100-000010000000}" name="Concentration16"/>
    <tableColumn id="17" xr3:uid="{00000000-0010-0000-5100-000011000000}" name="Concentration17"/>
    <tableColumn id="18" xr3:uid="{00000000-0010-0000-5100-000012000000}" name="concentration18"/>
    <tableColumn id="19" xr3:uid="{00000000-0010-0000-5100-000013000000}" name="concentration19"/>
    <tableColumn id="20" xr3:uid="{00000000-0010-0000-5100-000014000000}" name="TOTAL"/>
  </tableColumns>
  <tableStyleInfo name="TableStyleMedium7" showFirstColumn="0" showLastColumn="0" showRowStripes="1" showColumnStripes="0"/>
</table>
</file>

<file path=xl/tables/table5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4" xr:uid="{00000000-000C-0000-FFFF-FFFF52000000}" name="Table2141924293439444954596469817785" displayName="Table2141924293439444954596469817785" ref="A98:B122" totalsRowShown="0" headerRowDxfId="101">
  <autoFilter ref="A98:B122" xr:uid="{00000000-0009-0000-0100-000054000000}"/>
  <tableColumns count="2">
    <tableColumn id="1" xr3:uid="{00000000-0010-0000-5200-000001000000}" name="Date" dataDxfId="100">
      <calculatedColumnFormula>A9</calculatedColumnFormula>
    </tableColumn>
    <tableColumn id="2" xr3:uid="{00000000-0010-0000-5200-000002000000}" name="Time" dataDxfId="99">
      <calculatedColumnFormula>B9</calculatedColumnFormula>
    </tableColumn>
  </tableColumns>
  <tableStyleInfo name="TableStyleMedium1" showFirstColumn="0" showLastColumn="0" showRowStripes="1" showColumnStripes="0"/>
</table>
</file>

<file path=xl/tables/table5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5" xr:uid="{00000000-000C-0000-FFFF-FFFF53000000}" name="Table3152025303540455055606570827886" displayName="Table3152025303540455055606570827886" ref="C96:AI122" totalsRowShown="0" headerRowDxfId="98" tableBorderDxfId="97" headerRowCellStyle="Normal 3">
  <autoFilter ref="C96:AI122" xr:uid="{00000000-0009-0000-0100-000055000000}"/>
  <tableColumns count="33">
    <tableColumn id="1" xr3:uid="{00000000-0010-0000-5300-000001000000}" name="Dilution" dataDxfId="96"/>
    <tableColumn id="2" xr3:uid="{00000000-0010-0000-5300-000002000000}" name="Amount " dataDxfId="95"/>
    <tableColumn id="3" xr3:uid="{00000000-0010-0000-5300-000003000000}" name="Amount 2" dataDxfId="94"/>
    <tableColumn id="4" xr3:uid="{00000000-0010-0000-5300-000004000000}" name="Amount 3" dataDxfId="93"/>
    <tableColumn id="5" xr3:uid="{00000000-0010-0000-5300-000005000000}" name="Amount 4" dataDxfId="92"/>
    <tableColumn id="6" xr3:uid="{00000000-0010-0000-5300-000006000000}" name="Amount 5" dataDxfId="91"/>
    <tableColumn id="7" xr3:uid="{00000000-0010-0000-5300-000007000000}" name="Amount 6" dataDxfId="90"/>
    <tableColumn id="8" xr3:uid="{00000000-0010-0000-5300-000008000000}" name="Amount 7" dataDxfId="89"/>
    <tableColumn id="9" xr3:uid="{00000000-0010-0000-5300-000009000000}" name="Amount 8" dataDxfId="88"/>
    <tableColumn id="10" xr3:uid="{00000000-0010-0000-5300-00000A000000}" name="Amount 9" dataDxfId="87"/>
    <tableColumn id="11" xr3:uid="{00000000-0010-0000-5300-00000B000000}" name="Amount 10" dataDxfId="86"/>
    <tableColumn id="12" xr3:uid="{00000000-0010-0000-5300-00000C000000}" name="Amount 11" dataDxfId="85"/>
    <tableColumn id="13" xr3:uid="{00000000-0010-0000-5300-00000D000000}" name="Amount 12" dataDxfId="84"/>
    <tableColumn id="14" xr3:uid="{00000000-0010-0000-5300-00000E000000}" name="Amount 13" dataDxfId="83"/>
    <tableColumn id="15" xr3:uid="{00000000-0010-0000-5300-00000F000000}" name="Amount 14" dataDxfId="82"/>
    <tableColumn id="16" xr3:uid="{00000000-0010-0000-5300-000010000000}" name="Amount 15" dataDxfId="81"/>
    <tableColumn id="17" xr3:uid="{00000000-0010-0000-5300-000011000000}" name="Amount 16" dataDxfId="80"/>
    <tableColumn id="18" xr3:uid="{00000000-0010-0000-5300-000012000000}" name="Amount 17" dataDxfId="79"/>
    <tableColumn id="19" xr3:uid="{00000000-0010-0000-5300-000013000000}" name="Amount 18" dataDxfId="78"/>
    <tableColumn id="20" xr3:uid="{00000000-0010-0000-5300-000014000000}" name="Amount 19" dataDxfId="77"/>
    <tableColumn id="21" xr3:uid="{00000000-0010-0000-5300-000015000000}" name="Ret.Time "/>
    <tableColumn id="22" xr3:uid="{00000000-0010-0000-5300-000016000000}" name="Amount 20"/>
    <tableColumn id="23" xr3:uid="{00000000-0010-0000-5300-000017000000}" name="Ret.Time"/>
    <tableColumn id="24" xr3:uid="{00000000-0010-0000-5300-000018000000}" name="Amount 21"/>
    <tableColumn id="25" xr3:uid="{00000000-0010-0000-5300-000019000000}" name="Ret.Time22"/>
    <tableColumn id="26" xr3:uid="{00000000-0010-0000-5300-00001A000000}" name="Amount 23"/>
    <tableColumn id="27" xr3:uid="{00000000-0010-0000-5300-00001B000000}" name="Ret.Time24"/>
    <tableColumn id="28" xr3:uid="{00000000-0010-0000-5300-00001C000000}" name="Amount 25"/>
    <tableColumn id="29" xr3:uid="{00000000-0010-0000-5300-00001D000000}" name="pH"/>
    <tableColumn id="30" xr3:uid="{00000000-0010-0000-5300-00001E000000}" name="dilution "/>
    <tableColumn id="31" xr3:uid="{00000000-0010-0000-5300-00001F000000}" name="retention"/>
    <tableColumn id="32" xr3:uid="{00000000-0010-0000-5300-000020000000}" name="amount"/>
    <tableColumn id="33" xr3:uid="{00000000-0010-0000-5300-000021000000}" name="pressure" dataDxfId="76"/>
  </tableColumns>
  <tableStyleInfo name="TableStyleMedium2" showFirstColumn="0" showLastColumn="0" showRowStripes="1" showColumnStripes="0"/>
</table>
</file>

<file path=xl/tables/table5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6" xr:uid="{00000000-000C-0000-FFFF-FFFF54000000}" name="Table5162126313641465156616671837987" displayName="Table5162126313641465156616671837987" ref="AJ96:BB122" headerRowDxfId="75" headerRowBorderDxfId="74" tableBorderDxfId="73">
  <autoFilter ref="AJ96:BB122" xr:uid="{00000000-0009-0000-0100-000056000000}"/>
  <tableColumns count="19">
    <tableColumn id="1" xr3:uid="{00000000-0010-0000-5400-000001000000}" name="Concentration" totalsRowLabel="Total" dataDxfId="72" totalsRowDxfId="71"/>
    <tableColumn id="2" xr3:uid="{00000000-0010-0000-5400-000002000000}" name="Concentration2" dataDxfId="70" totalsRowDxfId="69"/>
    <tableColumn id="3" xr3:uid="{00000000-0010-0000-5400-000003000000}" name="Concentration3" dataDxfId="68" totalsRowDxfId="67"/>
    <tableColumn id="4" xr3:uid="{00000000-0010-0000-5400-000004000000}" name="Concentration4" dataDxfId="66" totalsRowDxfId="65"/>
    <tableColumn id="5" xr3:uid="{00000000-0010-0000-5400-000005000000}" name="Concentration5" dataDxfId="64" totalsRowDxfId="63"/>
    <tableColumn id="6" xr3:uid="{00000000-0010-0000-5400-000006000000}" name="Concentration6" dataDxfId="62" totalsRowDxfId="61"/>
    <tableColumn id="7" xr3:uid="{00000000-0010-0000-5400-000007000000}" name="Concentration7" dataDxfId="60" totalsRowDxfId="59"/>
    <tableColumn id="8" xr3:uid="{00000000-0010-0000-5400-000008000000}" name="Concentration8"/>
    <tableColumn id="9" xr3:uid="{00000000-0010-0000-5400-000009000000}" name="Concentration9"/>
    <tableColumn id="10" xr3:uid="{00000000-0010-0000-5400-00000A000000}" name="Concentration10"/>
    <tableColumn id="11" xr3:uid="{00000000-0010-0000-5400-00000B000000}" name="Concentration11"/>
    <tableColumn id="12" xr3:uid="{00000000-0010-0000-5400-00000C000000}" name="Concentration12"/>
    <tableColumn id="13" xr3:uid="{00000000-0010-0000-5400-00000D000000}" name="Concentration13"/>
    <tableColumn id="14" xr3:uid="{00000000-0010-0000-5400-00000E000000}" name="Concentration14"/>
    <tableColumn id="15" xr3:uid="{00000000-0010-0000-5400-00000F000000}" name="Concentration15"/>
    <tableColumn id="16" xr3:uid="{00000000-0010-0000-5400-000010000000}" name="Concentration16"/>
    <tableColumn id="17" xr3:uid="{00000000-0010-0000-5400-000011000000}" name="Concentration17" totalsRowFunction="count"/>
    <tableColumn id="18" xr3:uid="{00000000-0010-0000-5400-000012000000}" name="Concentration18" dataDxfId="58"/>
    <tableColumn id="19" xr3:uid="{00000000-0010-0000-5400-000013000000}" name="Concentration19" dataDxfId="57"/>
  </tableColumns>
  <tableStyleInfo name="TableStyleMedium5" showFirstColumn="0" showLastColumn="0" showRowStripes="1" showColumnStripes="1"/>
</table>
</file>

<file path=xl/tables/table5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7" xr:uid="{00000000-000C-0000-FFFF-FFFF55000000}" name="Table6172227323742475257626772848088" displayName="Table6172227323742475257626772848088" ref="BC96:BV122" totalsRowShown="0" headerRowDxfId="56" headerRowBorderDxfId="55" tableBorderDxfId="54">
  <autoFilter ref="BC96:BV122" xr:uid="{00000000-0009-0000-0100-000057000000}"/>
  <tableColumns count="20">
    <tableColumn id="1" xr3:uid="{00000000-0010-0000-5500-000001000000}" name="Concentration"/>
    <tableColumn id="2" xr3:uid="{00000000-0010-0000-5500-000002000000}" name="Concentration2"/>
    <tableColumn id="3" xr3:uid="{00000000-0010-0000-5500-000003000000}" name="Concentration3"/>
    <tableColumn id="4" xr3:uid="{00000000-0010-0000-5500-000004000000}" name="Concentration4"/>
    <tableColumn id="5" xr3:uid="{00000000-0010-0000-5500-000005000000}" name="Concentration5"/>
    <tableColumn id="6" xr3:uid="{00000000-0010-0000-5500-000006000000}" name="Concentration6"/>
    <tableColumn id="7" xr3:uid="{00000000-0010-0000-5500-000007000000}" name="Concentration7"/>
    <tableColumn id="8" xr3:uid="{00000000-0010-0000-5500-000008000000}" name="Concentration8"/>
    <tableColumn id="9" xr3:uid="{00000000-0010-0000-5500-000009000000}" name="Concentration9"/>
    <tableColumn id="10" xr3:uid="{00000000-0010-0000-5500-00000A000000}" name="Concentration10"/>
    <tableColumn id="11" xr3:uid="{00000000-0010-0000-5500-00000B000000}" name="Concentration11"/>
    <tableColumn id="12" xr3:uid="{00000000-0010-0000-5500-00000C000000}" name="Concentration12"/>
    <tableColumn id="13" xr3:uid="{00000000-0010-0000-5500-00000D000000}" name="Concentration13"/>
    <tableColumn id="14" xr3:uid="{00000000-0010-0000-5500-00000E000000}" name="Concentration14"/>
    <tableColumn id="15" xr3:uid="{00000000-0010-0000-5500-00000F000000}" name="Concentration15"/>
    <tableColumn id="16" xr3:uid="{00000000-0010-0000-5500-000010000000}" name="Concentration16"/>
    <tableColumn id="17" xr3:uid="{00000000-0010-0000-5500-000011000000}" name="Concentration17"/>
    <tableColumn id="18" xr3:uid="{00000000-0010-0000-5500-000012000000}" name="concentration18"/>
    <tableColumn id="19" xr3:uid="{00000000-0010-0000-5500-000013000000}" name="concentration19"/>
    <tableColumn id="20" xr3:uid="{00000000-0010-0000-5500-000014000000}" name="TOTAL"/>
  </tableColumns>
  <tableStyleInfo name="TableStyleMedium7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A000000}" name="Table29" displayName="Table29" ref="A8:B32" totalsRowShown="0" headerRowDxfId="669">
  <autoFilter ref="A8:B32" xr:uid="{00000000-0009-0000-0100-000008000000}"/>
  <tableColumns count="2">
    <tableColumn id="1" xr3:uid="{00000000-0010-0000-0A00-000001000000}" name="Date" dataDxfId="668"/>
    <tableColumn id="2" xr3:uid="{00000000-0010-0000-0A00-000002000000}" name="Time">
      <calculatedColumnFormula>Table2[[#This Row],[Time]]</calculatedColumnFormula>
    </tableColumn>
  </tableColumns>
  <tableStyleInfo name="TableStyleMedium1" showFirstColumn="0" showLastColumn="0" showRowStripes="1" showColumnStripes="0"/>
</table>
</file>

<file path=xl/tables/table6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56000000}" name="Table1131823283338434853585" displayName="Table1131823283338434853585" ref="A1:C4" headerRowCount="0" totalsRowShown="0" headerRowDxfId="53" dataDxfId="52" tableBorderDxfId="51">
  <tableColumns count="3">
    <tableColumn id="1" xr3:uid="{00000000-0010-0000-5600-000001000000}" name="Column1" dataDxfId="50"/>
    <tableColumn id="2" xr3:uid="{00000000-0010-0000-5600-000002000000}" name="Column2" dataDxfId="49"/>
    <tableColumn id="3" xr3:uid="{00000000-0010-0000-5600-000003000000}" name="Column3" headerRowDxfId="48" dataDxfId="47"/>
  </tableColumns>
  <tableStyleInfo name="TableStyleLight15" showFirstColumn="0" showLastColumn="0" showRowStripes="1" showColumnStripes="0"/>
</table>
</file>

<file path=xl/tables/table6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2" xr:uid="{00000000-000C-0000-FFFF-FFFF57000000}" name="Table21419242934394449545973" displayName="Table21419242934394449545973" ref="A8:B32" totalsRowShown="0" headerRowDxfId="46">
  <autoFilter ref="A8:B32" xr:uid="{00000000-0009-0000-0100-000048000000}"/>
  <tableColumns count="2">
    <tableColumn id="1" xr3:uid="{00000000-0010-0000-5700-000001000000}" name="Date" dataDxfId="45"/>
    <tableColumn id="2" xr3:uid="{00000000-0010-0000-5700-000002000000}" name="Time"/>
  </tableColumns>
  <tableStyleInfo name="TableStyleMedium1" showFirstColumn="0" showLastColumn="0" showRowStripes="1" showColumnStripes="0"/>
</table>
</file>

<file path=xl/tables/table6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3" xr:uid="{00000000-000C-0000-FFFF-FFFF58000000}" name="Table31520253035404550556074" displayName="Table31520253035404550556074" ref="C6:AI32" totalsRowShown="0" headerRowDxfId="44" tableBorderDxfId="43" headerRowCellStyle="Normal 3">
  <autoFilter ref="C6:AI32" xr:uid="{00000000-0009-0000-0100-000049000000}"/>
  <tableColumns count="33">
    <tableColumn id="1" xr3:uid="{00000000-0010-0000-5800-000001000000}" name="Dilution" dataDxfId="42"/>
    <tableColumn id="2" xr3:uid="{00000000-0010-0000-5800-000002000000}" name="Amount " dataDxfId="41"/>
    <tableColumn id="3" xr3:uid="{00000000-0010-0000-5800-000003000000}" name="Amount 2" dataDxfId="40"/>
    <tableColumn id="4" xr3:uid="{00000000-0010-0000-5800-000004000000}" name="Amount 3" dataDxfId="39"/>
    <tableColumn id="5" xr3:uid="{00000000-0010-0000-5800-000005000000}" name="Amount 4" dataDxfId="38"/>
    <tableColumn id="6" xr3:uid="{00000000-0010-0000-5800-000006000000}" name="Amount 5" dataDxfId="37"/>
    <tableColumn id="7" xr3:uid="{00000000-0010-0000-5800-000007000000}" name="Amount 6" dataDxfId="36"/>
    <tableColumn id="8" xr3:uid="{00000000-0010-0000-5800-000008000000}" name="Amount 7" dataDxfId="35"/>
    <tableColumn id="9" xr3:uid="{00000000-0010-0000-5800-000009000000}" name="Amount 8" dataDxfId="34"/>
    <tableColumn id="10" xr3:uid="{00000000-0010-0000-5800-00000A000000}" name="Amount 9" dataDxfId="33"/>
    <tableColumn id="11" xr3:uid="{00000000-0010-0000-5800-00000B000000}" name="Amount 10" dataDxfId="32"/>
    <tableColumn id="12" xr3:uid="{00000000-0010-0000-5800-00000C000000}" name="Amount 11" dataDxfId="31"/>
    <tableColumn id="13" xr3:uid="{00000000-0010-0000-5800-00000D000000}" name="Amount 12" dataDxfId="30"/>
    <tableColumn id="14" xr3:uid="{00000000-0010-0000-5800-00000E000000}" name="Amount 13" dataDxfId="29"/>
    <tableColumn id="15" xr3:uid="{00000000-0010-0000-5800-00000F000000}" name="Amount 14" dataDxfId="28"/>
    <tableColumn id="16" xr3:uid="{00000000-0010-0000-5800-000010000000}" name="Amount 15" dataDxfId="27"/>
    <tableColumn id="17" xr3:uid="{00000000-0010-0000-5800-000011000000}" name="Amount 16" dataDxfId="26"/>
    <tableColumn id="18" xr3:uid="{00000000-0010-0000-5800-000012000000}" name="Amount 17" dataDxfId="25"/>
    <tableColumn id="19" xr3:uid="{00000000-0010-0000-5800-000013000000}" name="Amount 18" dataDxfId="24"/>
    <tableColumn id="20" xr3:uid="{00000000-0010-0000-5800-000014000000}" name="Amount 19" dataDxfId="23"/>
    <tableColumn id="21" xr3:uid="{00000000-0010-0000-5800-000015000000}" name="Ret.Time "/>
    <tableColumn id="22" xr3:uid="{00000000-0010-0000-5800-000016000000}" name="Amount 20"/>
    <tableColumn id="23" xr3:uid="{00000000-0010-0000-5800-000017000000}" name="Ret.Time"/>
    <tableColumn id="24" xr3:uid="{00000000-0010-0000-5800-000018000000}" name="Amount 21"/>
    <tableColumn id="25" xr3:uid="{00000000-0010-0000-5800-000019000000}" name="Ret.Time22"/>
    <tableColumn id="26" xr3:uid="{00000000-0010-0000-5800-00001A000000}" name="Amount 23"/>
    <tableColumn id="27" xr3:uid="{00000000-0010-0000-5800-00001B000000}" name="Ret.Time24"/>
    <tableColumn id="28" xr3:uid="{00000000-0010-0000-5800-00001C000000}" name="Amount 25"/>
    <tableColumn id="29" xr3:uid="{00000000-0010-0000-5800-00001D000000}" name="pH"/>
    <tableColumn id="30" xr3:uid="{00000000-0010-0000-5800-00001E000000}" name="dilution "/>
    <tableColumn id="31" xr3:uid="{00000000-0010-0000-5800-00001F000000}" name="retention"/>
    <tableColumn id="32" xr3:uid="{00000000-0010-0000-5800-000020000000}" name="amount"/>
    <tableColumn id="33" xr3:uid="{00000000-0010-0000-5800-000021000000}" name="pressure" dataDxfId="22"/>
  </tableColumns>
  <tableStyleInfo name="TableStyleMedium2" showFirstColumn="0" showLastColumn="0" showRowStripes="1" showColumnStripes="0"/>
</table>
</file>

<file path=xl/tables/table6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4" xr:uid="{00000000-000C-0000-FFFF-FFFF59000000}" name="Table51621263136414651566175" displayName="Table51621263136414651566175" ref="AJ6:BB32" headerRowDxfId="21" headerRowBorderDxfId="20" tableBorderDxfId="19">
  <autoFilter ref="AJ6:BB32" xr:uid="{00000000-0009-0000-0100-00004A000000}"/>
  <tableColumns count="19">
    <tableColumn id="1" xr3:uid="{00000000-0010-0000-5900-000001000000}" name="Concentration" totalsRowLabel="Total" dataDxfId="18" totalsRowDxfId="17"/>
    <tableColumn id="2" xr3:uid="{00000000-0010-0000-5900-000002000000}" name="Concentration2" dataDxfId="16" totalsRowDxfId="15"/>
    <tableColumn id="3" xr3:uid="{00000000-0010-0000-5900-000003000000}" name="Concentration3" dataDxfId="14" totalsRowDxfId="13"/>
    <tableColumn id="4" xr3:uid="{00000000-0010-0000-5900-000004000000}" name="Concentration4" dataDxfId="12" totalsRowDxfId="11"/>
    <tableColumn id="5" xr3:uid="{00000000-0010-0000-5900-000005000000}" name="Concentration5" dataDxfId="10" totalsRowDxfId="9"/>
    <tableColumn id="6" xr3:uid="{00000000-0010-0000-5900-000006000000}" name="Concentration6" dataDxfId="8" totalsRowDxfId="7"/>
    <tableColumn id="7" xr3:uid="{00000000-0010-0000-5900-000007000000}" name="Concentration7" dataDxfId="6" totalsRowDxfId="5" dataCellStyle="Good"/>
    <tableColumn id="8" xr3:uid="{00000000-0010-0000-5900-000008000000}" name="Concentration8" dataCellStyle="Good"/>
    <tableColumn id="9" xr3:uid="{00000000-0010-0000-5900-000009000000}" name="Concentration9"/>
    <tableColumn id="10" xr3:uid="{00000000-0010-0000-5900-00000A000000}" name="Concentration10"/>
    <tableColumn id="11" xr3:uid="{00000000-0010-0000-5900-00000B000000}" name="Concentration11"/>
    <tableColumn id="12" xr3:uid="{00000000-0010-0000-5900-00000C000000}" name="Concentration12"/>
    <tableColumn id="13" xr3:uid="{00000000-0010-0000-5900-00000D000000}" name="Concentration13"/>
    <tableColumn id="14" xr3:uid="{00000000-0010-0000-5900-00000E000000}" name="Concentration14"/>
    <tableColumn id="15" xr3:uid="{00000000-0010-0000-5900-00000F000000}" name="Concentration15"/>
    <tableColumn id="16" xr3:uid="{00000000-0010-0000-5900-000010000000}" name="Concentration16"/>
    <tableColumn id="17" xr3:uid="{00000000-0010-0000-5900-000011000000}" name="Concentration17" totalsRowFunction="count"/>
    <tableColumn id="18" xr3:uid="{00000000-0010-0000-5900-000012000000}" name="Concentration18" dataDxfId="4"/>
    <tableColumn id="19" xr3:uid="{00000000-0010-0000-5900-000013000000}" name="Concentration19" dataDxfId="3"/>
  </tableColumns>
  <tableStyleInfo name="TableStyleMedium5" showFirstColumn="0" showLastColumn="0" showRowStripes="1" showColumnStripes="1"/>
</table>
</file>

<file path=xl/tables/table6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5" xr:uid="{00000000-000C-0000-FFFF-FFFF5A000000}" name="Table61722273237424752576276" displayName="Table61722273237424752576276" ref="BC6:BU32" totalsRowShown="0" headerRowDxfId="2" headerRowBorderDxfId="1" tableBorderDxfId="0">
  <autoFilter ref="BC6:BU32" xr:uid="{00000000-0009-0000-0100-00004B000000}"/>
  <tableColumns count="19">
    <tableColumn id="1" xr3:uid="{00000000-0010-0000-5A00-000001000000}" name="Concentration"/>
    <tableColumn id="2" xr3:uid="{00000000-0010-0000-5A00-000002000000}" name="Concentration2"/>
    <tableColumn id="3" xr3:uid="{00000000-0010-0000-5A00-000003000000}" name="Concentration3"/>
    <tableColumn id="4" xr3:uid="{00000000-0010-0000-5A00-000004000000}" name="Concentration4"/>
    <tableColumn id="5" xr3:uid="{00000000-0010-0000-5A00-000005000000}" name="Concentration5"/>
    <tableColumn id="6" xr3:uid="{00000000-0010-0000-5A00-000006000000}" name="Concentration6"/>
    <tableColumn id="7" xr3:uid="{00000000-0010-0000-5A00-000007000000}" name="Concentration7"/>
    <tableColumn id="8" xr3:uid="{00000000-0010-0000-5A00-000008000000}" name="Concentration8"/>
    <tableColumn id="9" xr3:uid="{00000000-0010-0000-5A00-000009000000}" name="Concentration9"/>
    <tableColumn id="10" xr3:uid="{00000000-0010-0000-5A00-00000A000000}" name="Concentration10"/>
    <tableColumn id="11" xr3:uid="{00000000-0010-0000-5A00-00000B000000}" name="Concentration11"/>
    <tableColumn id="12" xr3:uid="{00000000-0010-0000-5A00-00000C000000}" name="Concentration12"/>
    <tableColumn id="13" xr3:uid="{00000000-0010-0000-5A00-00000D000000}" name="Concentration13"/>
    <tableColumn id="14" xr3:uid="{00000000-0010-0000-5A00-00000E000000}" name="Concentration14"/>
    <tableColumn id="15" xr3:uid="{00000000-0010-0000-5A00-00000F000000}" name="Concentration15"/>
    <tableColumn id="16" xr3:uid="{00000000-0010-0000-5A00-000010000000}" name="Concentration16"/>
    <tableColumn id="17" xr3:uid="{00000000-0010-0000-5A00-000011000000}" name="Concentration17"/>
    <tableColumn id="18" xr3:uid="{00000000-0010-0000-5A00-000012000000}" name="concentration18"/>
    <tableColumn id="19" xr3:uid="{00000000-0010-0000-5A00-000013000000}" name="concentration19"/>
  </tableColumns>
  <tableStyleInfo name="TableStyleMedium7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B000000}" name="Table310" displayName="Table310" ref="C6:AI32" totalsRowShown="0" headerRowDxfId="667" tableBorderDxfId="666" headerRowCellStyle="Normal 3">
  <autoFilter ref="C6:AI32" xr:uid="{00000000-0009-0000-0100-000009000000}"/>
  <tableColumns count="33">
    <tableColumn id="1" xr3:uid="{00000000-0010-0000-0B00-000001000000}" name="Dilution" dataDxfId="665"/>
    <tableColumn id="2" xr3:uid="{00000000-0010-0000-0B00-000002000000}" name="Amount " dataDxfId="664"/>
    <tableColumn id="3" xr3:uid="{00000000-0010-0000-0B00-000003000000}" name="Amount 2" dataDxfId="663"/>
    <tableColumn id="4" xr3:uid="{00000000-0010-0000-0B00-000004000000}" name="Amount 3" dataDxfId="662"/>
    <tableColumn id="5" xr3:uid="{00000000-0010-0000-0B00-000005000000}" name="Amount 4" dataDxfId="661"/>
    <tableColumn id="6" xr3:uid="{00000000-0010-0000-0B00-000006000000}" name="Amount 5" dataDxfId="660"/>
    <tableColumn id="7" xr3:uid="{00000000-0010-0000-0B00-000007000000}" name="Amount 6" dataDxfId="659"/>
    <tableColumn id="8" xr3:uid="{00000000-0010-0000-0B00-000008000000}" name="Amount 7" dataDxfId="658"/>
    <tableColumn id="9" xr3:uid="{00000000-0010-0000-0B00-000009000000}" name="Amount 8" dataDxfId="657"/>
    <tableColumn id="10" xr3:uid="{00000000-0010-0000-0B00-00000A000000}" name="Amount 9" dataDxfId="656"/>
    <tableColumn id="11" xr3:uid="{00000000-0010-0000-0B00-00000B000000}" name="Amount 10" dataDxfId="655"/>
    <tableColumn id="12" xr3:uid="{00000000-0010-0000-0B00-00000C000000}" name="Amount 11" dataDxfId="654"/>
    <tableColumn id="13" xr3:uid="{00000000-0010-0000-0B00-00000D000000}" name="Amount 12" dataDxfId="653"/>
    <tableColumn id="14" xr3:uid="{00000000-0010-0000-0B00-00000E000000}" name="Amount 13" dataDxfId="652"/>
    <tableColumn id="15" xr3:uid="{00000000-0010-0000-0B00-00000F000000}" name="Amount 14" dataDxfId="651"/>
    <tableColumn id="16" xr3:uid="{00000000-0010-0000-0B00-000010000000}" name="Amount 15" dataDxfId="650"/>
    <tableColumn id="17" xr3:uid="{00000000-0010-0000-0B00-000011000000}" name="Amount 16" dataDxfId="649"/>
    <tableColumn id="18" xr3:uid="{00000000-0010-0000-0B00-000012000000}" name="Amount 17" dataDxfId="648"/>
    <tableColumn id="19" xr3:uid="{00000000-0010-0000-0B00-000013000000}" name="Amount 18" dataDxfId="647"/>
    <tableColumn id="20" xr3:uid="{00000000-0010-0000-0B00-000014000000}" name="Amount 19" dataDxfId="646"/>
    <tableColumn id="21" xr3:uid="{00000000-0010-0000-0B00-000015000000}" name="Ret.Time "/>
    <tableColumn id="22" xr3:uid="{00000000-0010-0000-0B00-000016000000}" name="Amount 20"/>
    <tableColumn id="23" xr3:uid="{00000000-0010-0000-0B00-000017000000}" name="Ret.Time"/>
    <tableColumn id="24" xr3:uid="{00000000-0010-0000-0B00-000018000000}" name="Amount 21"/>
    <tableColumn id="25" xr3:uid="{00000000-0010-0000-0B00-000019000000}" name="Ret.Time22"/>
    <tableColumn id="26" xr3:uid="{00000000-0010-0000-0B00-00001A000000}" name="Amount 23"/>
    <tableColumn id="27" xr3:uid="{00000000-0010-0000-0B00-00001B000000}" name="Ret.Time24"/>
    <tableColumn id="28" xr3:uid="{00000000-0010-0000-0B00-00001C000000}" name="Amount 25"/>
    <tableColumn id="29" xr3:uid="{00000000-0010-0000-0B00-00001D000000}" name="pH"/>
    <tableColumn id="30" xr3:uid="{00000000-0010-0000-0B00-00001E000000}" name="dilution "/>
    <tableColumn id="31" xr3:uid="{00000000-0010-0000-0B00-00001F000000}" name="correction"/>
    <tableColumn id="32" xr3:uid="{00000000-0010-0000-0B00-000020000000}" name="amount"/>
    <tableColumn id="34" xr3:uid="{00000000-0010-0000-0B00-000022000000}" name="pressure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C000000}" name="Table511" displayName="Table511" ref="AJ6:BA32" headerRowDxfId="645" headerRowBorderDxfId="644" tableBorderDxfId="643">
  <autoFilter ref="AJ6:BA32" xr:uid="{00000000-0009-0000-0100-00000A000000}"/>
  <tableColumns count="18">
    <tableColumn id="1" xr3:uid="{00000000-0010-0000-0C00-000001000000}" name="Concentration" totalsRowLabel="Total" dataDxfId="642" totalsRowDxfId="641"/>
    <tableColumn id="2" xr3:uid="{00000000-0010-0000-0C00-000002000000}" name="Concentration2" dataDxfId="640" totalsRowDxfId="639"/>
    <tableColumn id="3" xr3:uid="{00000000-0010-0000-0C00-000003000000}" name="Concentration3" dataDxfId="638" totalsRowDxfId="637"/>
    <tableColumn id="4" xr3:uid="{00000000-0010-0000-0C00-000004000000}" name="Concentration4" dataDxfId="636" totalsRowDxfId="635"/>
    <tableColumn id="5" xr3:uid="{00000000-0010-0000-0C00-000005000000}" name="Concentration5" dataDxfId="634" totalsRowDxfId="633"/>
    <tableColumn id="6" xr3:uid="{00000000-0010-0000-0C00-000006000000}" name="Concentration6" dataDxfId="632" totalsRowDxfId="631"/>
    <tableColumn id="7" xr3:uid="{00000000-0010-0000-0C00-000007000000}" name="Concentration7" dataDxfId="630" totalsRowDxfId="629"/>
    <tableColumn id="8" xr3:uid="{00000000-0010-0000-0C00-000008000000}" name="Concentration8"/>
    <tableColumn id="9" xr3:uid="{00000000-0010-0000-0C00-000009000000}" name="Concentration9"/>
    <tableColumn id="10" xr3:uid="{00000000-0010-0000-0C00-00000A000000}" name="Concentration10"/>
    <tableColumn id="11" xr3:uid="{00000000-0010-0000-0C00-00000B000000}" name="Concentration11"/>
    <tableColumn id="12" xr3:uid="{00000000-0010-0000-0C00-00000C000000}" name="Concentration12"/>
    <tableColumn id="13" xr3:uid="{00000000-0010-0000-0C00-00000D000000}" name="Concentration13"/>
    <tableColumn id="14" xr3:uid="{00000000-0010-0000-0C00-00000E000000}" name="Concentration14"/>
    <tableColumn id="15" xr3:uid="{00000000-0010-0000-0C00-00000F000000}" name="Concentration15"/>
    <tableColumn id="16" xr3:uid="{00000000-0010-0000-0C00-000010000000}" name="Concentration16"/>
    <tableColumn id="17" xr3:uid="{00000000-0010-0000-0C00-000011000000}" name="Concentration17" totalsRowFunction="count"/>
    <tableColumn id="20" xr3:uid="{00000000-0010-0000-0C00-000014000000}" name="Concentration172" dataDxfId="628"/>
  </tableColumns>
  <tableStyleInfo name="TableStyleMedium5" showFirstColumn="0" showLastColumn="0" showRowStripes="1" showColumnStripes="1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E000000}" name="Table113" displayName="Table113" ref="A1:C4" headerRowCount="0" totalsRowShown="0" headerRowDxfId="627" dataDxfId="626" tableBorderDxfId="625">
  <tableColumns count="3">
    <tableColumn id="1" xr3:uid="{00000000-0010-0000-0E00-000001000000}" name="Column1" dataDxfId="624"/>
    <tableColumn id="2" xr3:uid="{00000000-0010-0000-0E00-000002000000}" name="Column2" dataDxfId="623"/>
    <tableColumn id="3" xr3:uid="{00000000-0010-0000-0E00-000003000000}" name="Column3" headerRowDxfId="622" dataDxfId="621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table" Target="../tables/table38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49.xml"/><Relationship Id="rId13" Type="http://schemas.openxmlformats.org/officeDocument/2006/relationships/table" Target="../tables/table54.xml"/><Relationship Id="rId18" Type="http://schemas.openxmlformats.org/officeDocument/2006/relationships/table" Target="../tables/table59.xml"/><Relationship Id="rId3" Type="http://schemas.openxmlformats.org/officeDocument/2006/relationships/table" Target="../tables/table44.xml"/><Relationship Id="rId7" Type="http://schemas.openxmlformats.org/officeDocument/2006/relationships/table" Target="../tables/table48.xml"/><Relationship Id="rId12" Type="http://schemas.openxmlformats.org/officeDocument/2006/relationships/table" Target="../tables/table53.xml"/><Relationship Id="rId17" Type="http://schemas.openxmlformats.org/officeDocument/2006/relationships/table" Target="../tables/table58.xml"/><Relationship Id="rId2" Type="http://schemas.openxmlformats.org/officeDocument/2006/relationships/table" Target="../tables/table43.xml"/><Relationship Id="rId16" Type="http://schemas.openxmlformats.org/officeDocument/2006/relationships/table" Target="../tables/table57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47.xml"/><Relationship Id="rId11" Type="http://schemas.openxmlformats.org/officeDocument/2006/relationships/table" Target="../tables/table52.xml"/><Relationship Id="rId5" Type="http://schemas.openxmlformats.org/officeDocument/2006/relationships/table" Target="../tables/table46.xml"/><Relationship Id="rId15" Type="http://schemas.openxmlformats.org/officeDocument/2006/relationships/table" Target="../tables/table56.xml"/><Relationship Id="rId10" Type="http://schemas.openxmlformats.org/officeDocument/2006/relationships/table" Target="../tables/table51.xml"/><Relationship Id="rId4" Type="http://schemas.openxmlformats.org/officeDocument/2006/relationships/table" Target="../tables/table45.xml"/><Relationship Id="rId9" Type="http://schemas.openxmlformats.org/officeDocument/2006/relationships/table" Target="../tables/table50.xml"/><Relationship Id="rId14" Type="http://schemas.openxmlformats.org/officeDocument/2006/relationships/table" Target="../tables/table55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2.xml"/><Relationship Id="rId2" Type="http://schemas.openxmlformats.org/officeDocument/2006/relationships/table" Target="../tables/table61.xml"/><Relationship Id="rId1" Type="http://schemas.openxmlformats.org/officeDocument/2006/relationships/table" Target="../tables/table60.xml"/><Relationship Id="rId5" Type="http://schemas.openxmlformats.org/officeDocument/2006/relationships/table" Target="../tables/table64.xml"/><Relationship Id="rId4" Type="http://schemas.openxmlformats.org/officeDocument/2006/relationships/table" Target="../tables/table6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table" Target="../tables/table9.xml"/><Relationship Id="rId4" Type="http://schemas.openxmlformats.org/officeDocument/2006/relationships/table" Target="../tables/table1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table" Target="../tables/table13.xml"/><Relationship Id="rId5" Type="http://schemas.openxmlformats.org/officeDocument/2006/relationships/table" Target="../tables/table17.xml"/><Relationship Id="rId4" Type="http://schemas.openxmlformats.org/officeDocument/2006/relationships/table" Target="../tables/table16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table" Target="../tables/table23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0.xml"/><Relationship Id="rId2" Type="http://schemas.openxmlformats.org/officeDocument/2006/relationships/table" Target="../tables/table29.xml"/><Relationship Id="rId1" Type="http://schemas.openxmlformats.org/officeDocument/2006/relationships/table" Target="../tables/table28.xml"/><Relationship Id="rId5" Type="http://schemas.openxmlformats.org/officeDocument/2006/relationships/table" Target="../tables/table32.xml"/><Relationship Id="rId4" Type="http://schemas.openxmlformats.org/officeDocument/2006/relationships/table" Target="../tables/table31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table" Target="../tables/table34.xml"/><Relationship Id="rId1" Type="http://schemas.openxmlformats.org/officeDocument/2006/relationships/table" Target="../tables/table33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80"/>
  <sheetViews>
    <sheetView tabSelected="1" zoomScale="60" zoomScaleNormal="60" workbookViewId="0"/>
  </sheetViews>
  <sheetFormatPr defaultRowHeight="14.5" x14ac:dyDescent="0.35"/>
  <sheetData>
    <row r="1" spans="2:21" x14ac:dyDescent="0.35">
      <c r="B1" t="s">
        <v>178</v>
      </c>
      <c r="K1" t="s">
        <v>179</v>
      </c>
      <c r="U1" t="s">
        <v>177</v>
      </c>
    </row>
    <row r="2" spans="2:21" x14ac:dyDescent="0.35">
      <c r="K2" t="s">
        <v>174</v>
      </c>
      <c r="U2" t="s">
        <v>176</v>
      </c>
    </row>
    <row r="3" spans="2:21" x14ac:dyDescent="0.35">
      <c r="K3" t="s">
        <v>172</v>
      </c>
      <c r="U3" t="s">
        <v>175</v>
      </c>
    </row>
    <row r="23" spans="9:11" x14ac:dyDescent="0.35">
      <c r="I23">
        <f>26*50/62</f>
        <v>20.967741935483872</v>
      </c>
      <c r="K23" t="s">
        <v>173</v>
      </c>
    </row>
    <row r="24" spans="9:11" x14ac:dyDescent="0.35">
      <c r="K24" t="s">
        <v>171</v>
      </c>
    </row>
    <row r="69" spans="3:9" x14ac:dyDescent="0.35">
      <c r="I69" s="29"/>
    </row>
    <row r="70" spans="3:9" x14ac:dyDescent="0.35">
      <c r="I70" s="29"/>
    </row>
    <row r="71" spans="3:9" x14ac:dyDescent="0.35">
      <c r="C71" s="177"/>
      <c r="I71" s="29"/>
    </row>
    <row r="72" spans="3:9" x14ac:dyDescent="0.35">
      <c r="I72" s="29"/>
    </row>
    <row r="73" spans="3:9" x14ac:dyDescent="0.35">
      <c r="I73" s="29"/>
    </row>
    <row r="74" spans="3:9" x14ac:dyDescent="0.35">
      <c r="I74" s="29"/>
    </row>
    <row r="75" spans="3:9" x14ac:dyDescent="0.35">
      <c r="I75" s="29"/>
    </row>
    <row r="76" spans="3:9" x14ac:dyDescent="0.35">
      <c r="I76" s="29"/>
    </row>
    <row r="77" spans="3:9" x14ac:dyDescent="0.35">
      <c r="I77" s="29"/>
    </row>
    <row r="78" spans="3:9" x14ac:dyDescent="0.35">
      <c r="I78" s="29"/>
    </row>
    <row r="79" spans="3:9" x14ac:dyDescent="0.35">
      <c r="I79" s="29"/>
    </row>
    <row r="80" spans="3:9" x14ac:dyDescent="0.35">
      <c r="I80" s="29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DA126"/>
  <sheetViews>
    <sheetView zoomScale="70" zoomScaleNormal="70" workbookViewId="0">
      <pane xSplit="2" topLeftCell="C1" activePane="topRight" state="frozen"/>
      <selection activeCell="A6" sqref="A6"/>
      <selection pane="topRight"/>
    </sheetView>
  </sheetViews>
  <sheetFormatPr defaultRowHeight="14.5" x14ac:dyDescent="0.35"/>
  <cols>
    <col min="1" max="1" width="14.90625" customWidth="1"/>
    <col min="2" max="2" width="11" customWidth="1"/>
    <col min="3" max="3" width="10.453125" customWidth="1"/>
    <col min="4" max="4" width="10.7265625" customWidth="1"/>
    <col min="5" max="12" width="11.7265625" customWidth="1"/>
    <col min="13" max="19" width="12.7265625" customWidth="1"/>
    <col min="20" max="22" width="12.7265625" hidden="1" customWidth="1"/>
    <col min="23" max="23" width="11.81640625" customWidth="1"/>
    <col min="24" max="24" width="12.7265625" customWidth="1"/>
    <col min="25" max="25" width="11.26953125" customWidth="1"/>
    <col min="26" max="26" width="12.7265625" customWidth="1"/>
    <col min="27" max="27" width="13.26953125" customWidth="1"/>
    <col min="28" max="28" width="12.7265625" customWidth="1"/>
    <col min="29" max="29" width="13.26953125" customWidth="1"/>
    <col min="30" max="30" width="12.7265625" customWidth="1"/>
    <col min="32" max="32" width="10.81640625" customWidth="1"/>
    <col min="33" max="33" width="11.26953125" customWidth="1"/>
    <col min="34" max="35" width="10.1796875" customWidth="1"/>
    <col min="36" max="36" width="15.81640625" customWidth="1"/>
    <col min="37" max="40" width="16.81640625" customWidth="1"/>
    <col min="41" max="41" width="0.81640625" customWidth="1"/>
    <col min="42" max="44" width="16.81640625" customWidth="1"/>
    <col min="45" max="55" width="17.81640625" customWidth="1"/>
    <col min="56" max="56" width="15.81640625" hidden="1" customWidth="1"/>
    <col min="57" max="61" width="16.81640625" hidden="1" customWidth="1"/>
    <col min="62" max="64" width="16.81640625" customWidth="1"/>
    <col min="65" max="73" width="17.81640625" customWidth="1"/>
  </cols>
  <sheetData>
    <row r="1" spans="1:90" x14ac:dyDescent="0.35">
      <c r="A1" s="24" t="s">
        <v>28</v>
      </c>
      <c r="B1" s="24" t="s">
        <v>138</v>
      </c>
      <c r="C1" s="24"/>
    </row>
    <row r="2" spans="1:90" x14ac:dyDescent="0.35">
      <c r="A2" s="25" t="s">
        <v>30</v>
      </c>
      <c r="B2" s="25" t="s">
        <v>31</v>
      </c>
      <c r="C2" s="24" t="s">
        <v>75</v>
      </c>
      <c r="AJ2" s="2" t="s">
        <v>2</v>
      </c>
      <c r="AK2" s="168" t="s">
        <v>170</v>
      </c>
      <c r="AP2" s="146"/>
      <c r="AQ2" s="146"/>
    </row>
    <row r="3" spans="1:90" x14ac:dyDescent="0.35">
      <c r="A3" s="25" t="s">
        <v>74</v>
      </c>
      <c r="B3" s="25">
        <v>3</v>
      </c>
      <c r="C3" s="24" t="s">
        <v>76</v>
      </c>
    </row>
    <row r="4" spans="1:90" x14ac:dyDescent="0.35">
      <c r="A4" s="24" t="s">
        <v>33</v>
      </c>
      <c r="B4" s="24">
        <f>(B3/50)*1000</f>
        <v>60</v>
      </c>
      <c r="C4" s="56" t="s">
        <v>77</v>
      </c>
      <c r="E4" s="1"/>
      <c r="F4" s="3"/>
      <c r="G4" s="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 t="s">
        <v>60</v>
      </c>
      <c r="X4" s="1"/>
      <c r="Y4" s="1"/>
      <c r="Z4" s="1"/>
      <c r="AA4" s="1"/>
      <c r="AC4" s="1"/>
      <c r="AD4" s="1"/>
      <c r="AE4" s="1"/>
      <c r="AF4" t="s">
        <v>69</v>
      </c>
      <c r="AJ4" s="37" t="s">
        <v>37</v>
      </c>
      <c r="AL4" s="3"/>
      <c r="AM4" s="2"/>
      <c r="AN4" s="1"/>
      <c r="AO4" s="1"/>
      <c r="AP4" s="37" t="s">
        <v>37</v>
      </c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I4" s="1"/>
      <c r="BJ4" s="4"/>
      <c r="CF4">
        <v>3</v>
      </c>
      <c r="CG4" t="s">
        <v>190</v>
      </c>
    </row>
    <row r="5" spans="1:90" ht="15" thickBot="1" x14ac:dyDescent="0.4">
      <c r="A5" s="24"/>
      <c r="B5" s="24"/>
      <c r="C5" s="2" t="s">
        <v>2</v>
      </c>
      <c r="D5" s="2"/>
      <c r="E5" s="1"/>
      <c r="F5" s="3"/>
      <c r="G5" s="2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C5" s="1"/>
      <c r="AD5" s="1"/>
      <c r="AE5" s="1"/>
      <c r="AJ5" s="37"/>
      <c r="AL5" s="3"/>
      <c r="AM5" s="2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 t="s">
        <v>60</v>
      </c>
      <c r="BC5" s="1"/>
      <c r="BD5" s="56" t="s">
        <v>79</v>
      </c>
      <c r="BI5" s="1"/>
      <c r="BJ5" s="57"/>
      <c r="BK5" s="24" t="s">
        <v>79</v>
      </c>
      <c r="BT5" t="s">
        <v>157</v>
      </c>
      <c r="BV5" t="s">
        <v>60</v>
      </c>
      <c r="CJ5" s="146" t="s">
        <v>193</v>
      </c>
    </row>
    <row r="6" spans="1:90" x14ac:dyDescent="0.35">
      <c r="C6" s="5" t="s">
        <v>3</v>
      </c>
      <c r="D6" s="6" t="s">
        <v>4</v>
      </c>
      <c r="E6" s="6" t="s">
        <v>90</v>
      </c>
      <c r="F6" s="6" t="s">
        <v>91</v>
      </c>
      <c r="G6" s="6" t="s">
        <v>92</v>
      </c>
      <c r="H6" s="6" t="s">
        <v>93</v>
      </c>
      <c r="I6" s="6" t="s">
        <v>94</v>
      </c>
      <c r="J6" s="6" t="s">
        <v>95</v>
      </c>
      <c r="K6" s="6" t="s">
        <v>96</v>
      </c>
      <c r="L6" s="6" t="s">
        <v>97</v>
      </c>
      <c r="M6" s="6" t="s">
        <v>98</v>
      </c>
      <c r="N6" s="6" t="s">
        <v>99</v>
      </c>
      <c r="O6" s="6" t="s">
        <v>100</v>
      </c>
      <c r="P6" s="6" t="s">
        <v>101</v>
      </c>
      <c r="Q6" s="6" t="s">
        <v>102</v>
      </c>
      <c r="R6" s="6" t="s">
        <v>103</v>
      </c>
      <c r="S6" s="7" t="s">
        <v>104</v>
      </c>
      <c r="T6" s="7" t="s">
        <v>105</v>
      </c>
      <c r="U6" s="7" t="s">
        <v>106</v>
      </c>
      <c r="V6" s="8" t="s">
        <v>107</v>
      </c>
      <c r="W6" s="36" t="s">
        <v>61</v>
      </c>
      <c r="X6" s="33" t="s">
        <v>108</v>
      </c>
      <c r="Y6" s="36" t="s">
        <v>62</v>
      </c>
      <c r="Z6" s="35" t="s">
        <v>109</v>
      </c>
      <c r="AA6" s="34" t="s">
        <v>110</v>
      </c>
      <c r="AB6" s="33" t="s">
        <v>111</v>
      </c>
      <c r="AC6" s="36" t="s">
        <v>112</v>
      </c>
      <c r="AD6" s="35" t="s">
        <v>113</v>
      </c>
      <c r="AE6" s="38" t="s">
        <v>68</v>
      </c>
      <c r="AF6" s="39" t="s">
        <v>70</v>
      </c>
      <c r="AG6" s="39" t="s">
        <v>151</v>
      </c>
      <c r="AH6" s="40" t="s">
        <v>32</v>
      </c>
      <c r="AI6" s="127" t="s">
        <v>136</v>
      </c>
      <c r="AJ6" s="69" t="s">
        <v>35</v>
      </c>
      <c r="AK6" s="70" t="s">
        <v>114</v>
      </c>
      <c r="AL6" s="70" t="s">
        <v>115</v>
      </c>
      <c r="AM6" s="70" t="s">
        <v>116</v>
      </c>
      <c r="AN6" s="70" t="s">
        <v>117</v>
      </c>
      <c r="AO6" s="70" t="s">
        <v>118</v>
      </c>
      <c r="AP6" s="70" t="s">
        <v>119</v>
      </c>
      <c r="AQ6" s="70" t="s">
        <v>120</v>
      </c>
      <c r="AR6" s="70" t="s">
        <v>121</v>
      </c>
      <c r="AS6" s="70" t="s">
        <v>122</v>
      </c>
      <c r="AT6" s="70" t="s">
        <v>123</v>
      </c>
      <c r="AU6" s="70" t="s">
        <v>124</v>
      </c>
      <c r="AV6" s="70" t="s">
        <v>125</v>
      </c>
      <c r="AW6" s="70" t="s">
        <v>126</v>
      </c>
      <c r="AX6" s="70" t="s">
        <v>127</v>
      </c>
      <c r="AY6" s="71" t="s">
        <v>128</v>
      </c>
      <c r="AZ6" s="72" t="s">
        <v>129</v>
      </c>
      <c r="BA6" s="85" t="s">
        <v>148</v>
      </c>
      <c r="BB6" s="85" t="s">
        <v>134</v>
      </c>
      <c r="BC6" s="88" t="s">
        <v>135</v>
      </c>
      <c r="BD6" s="69" t="s">
        <v>35</v>
      </c>
      <c r="BE6" s="70" t="s">
        <v>114</v>
      </c>
      <c r="BF6" s="70" t="s">
        <v>115</v>
      </c>
      <c r="BG6" s="70" t="s">
        <v>116</v>
      </c>
      <c r="BH6" s="70" t="s">
        <v>117</v>
      </c>
      <c r="BI6" s="70" t="s">
        <v>118</v>
      </c>
      <c r="BJ6" s="70" t="s">
        <v>119</v>
      </c>
      <c r="BK6" s="70" t="s">
        <v>120</v>
      </c>
      <c r="BL6" s="70" t="s">
        <v>121</v>
      </c>
      <c r="BM6" s="70" t="s">
        <v>122</v>
      </c>
      <c r="BN6" s="70" t="s">
        <v>123</v>
      </c>
      <c r="BO6" s="70" t="s">
        <v>124</v>
      </c>
      <c r="BP6" s="70" t="s">
        <v>125</v>
      </c>
      <c r="BQ6" s="70" t="s">
        <v>126</v>
      </c>
      <c r="BR6" s="70" t="s">
        <v>127</v>
      </c>
      <c r="BS6" s="71" t="s">
        <v>128</v>
      </c>
      <c r="BT6" s="88" t="s">
        <v>156</v>
      </c>
      <c r="BU6" s="72" t="s">
        <v>129</v>
      </c>
      <c r="BV6" s="85" t="s">
        <v>130</v>
      </c>
      <c r="BW6" s="85" t="s">
        <v>132</v>
      </c>
      <c r="BX6" s="85" t="s">
        <v>140</v>
      </c>
      <c r="BY6" s="153" t="s">
        <v>160</v>
      </c>
      <c r="BZ6" s="153" t="s">
        <v>168</v>
      </c>
      <c r="CC6" t="s">
        <v>185</v>
      </c>
      <c r="CD6" t="s">
        <v>186</v>
      </c>
      <c r="CE6" t="s">
        <v>188</v>
      </c>
      <c r="CF6" t="s">
        <v>189</v>
      </c>
      <c r="CJ6" s="146">
        <f>CJ15/CF4*100</f>
        <v>37.839837722222221</v>
      </c>
      <c r="CK6" t="s">
        <v>64</v>
      </c>
    </row>
    <row r="7" spans="1:90" x14ac:dyDescent="0.35">
      <c r="C7" s="9" t="s">
        <v>5</v>
      </c>
      <c r="D7" s="10" t="s">
        <v>7</v>
      </c>
      <c r="E7" s="10" t="s">
        <v>7</v>
      </c>
      <c r="F7" s="10" t="s">
        <v>7</v>
      </c>
      <c r="G7" s="10" t="s">
        <v>7</v>
      </c>
      <c r="H7" s="10" t="s">
        <v>7</v>
      </c>
      <c r="I7" s="10" t="s">
        <v>7</v>
      </c>
      <c r="J7" s="10" t="s">
        <v>7</v>
      </c>
      <c r="K7" s="10" t="s">
        <v>7</v>
      </c>
      <c r="L7" s="10" t="s">
        <v>7</v>
      </c>
      <c r="M7" s="10" t="s">
        <v>7</v>
      </c>
      <c r="N7" s="10" t="s">
        <v>7</v>
      </c>
      <c r="O7" s="10" t="s">
        <v>7</v>
      </c>
      <c r="P7" s="10" t="s">
        <v>7</v>
      </c>
      <c r="Q7" s="10" t="s">
        <v>7</v>
      </c>
      <c r="R7" s="10" t="s">
        <v>7</v>
      </c>
      <c r="S7" s="11" t="s">
        <v>7</v>
      </c>
      <c r="T7" s="11" t="s">
        <v>6</v>
      </c>
      <c r="U7" s="11" t="s">
        <v>6</v>
      </c>
      <c r="V7" s="12" t="s">
        <v>6</v>
      </c>
      <c r="W7" s="36" t="s">
        <v>63</v>
      </c>
      <c r="X7" s="33" t="s">
        <v>64</v>
      </c>
      <c r="Y7" s="36" t="s">
        <v>63</v>
      </c>
      <c r="Z7" s="35" t="s">
        <v>64</v>
      </c>
      <c r="AA7" s="34" t="s">
        <v>63</v>
      </c>
      <c r="AB7" s="33" t="s">
        <v>64</v>
      </c>
      <c r="AC7" s="36" t="s">
        <v>63</v>
      </c>
      <c r="AD7" s="35" t="s">
        <v>64</v>
      </c>
      <c r="AE7" s="38"/>
      <c r="AF7" s="39" t="s">
        <v>5</v>
      </c>
      <c r="AG7" s="39" t="s">
        <v>5</v>
      </c>
      <c r="AH7" s="40" t="s">
        <v>7</v>
      </c>
      <c r="AI7" s="39" t="s">
        <v>137</v>
      </c>
      <c r="AJ7" s="9" t="s">
        <v>36</v>
      </c>
      <c r="AK7" s="10" t="s">
        <v>36</v>
      </c>
      <c r="AL7" s="10" t="s">
        <v>36</v>
      </c>
      <c r="AM7" s="10" t="s">
        <v>36</v>
      </c>
      <c r="AN7" s="10" t="s">
        <v>36</v>
      </c>
      <c r="AO7" s="10" t="s">
        <v>36</v>
      </c>
      <c r="AP7" s="163" t="s">
        <v>77</v>
      </c>
      <c r="AQ7" s="163" t="s">
        <v>77</v>
      </c>
      <c r="AR7" s="163" t="s">
        <v>77</v>
      </c>
      <c r="AS7" s="163" t="s">
        <v>77</v>
      </c>
      <c r="AT7" s="163" t="s">
        <v>77</v>
      </c>
      <c r="AU7" s="163" t="s">
        <v>77</v>
      </c>
      <c r="AV7" s="163" t="s">
        <v>77</v>
      </c>
      <c r="AW7" s="163" t="s">
        <v>77</v>
      </c>
      <c r="AX7" s="163" t="s">
        <v>77</v>
      </c>
      <c r="AY7" s="163" t="s">
        <v>77</v>
      </c>
      <c r="AZ7" s="58" t="s">
        <v>36</v>
      </c>
      <c r="BA7" s="86" t="s">
        <v>153</v>
      </c>
      <c r="BB7" s="86" t="s">
        <v>36</v>
      </c>
      <c r="BC7" s="86" t="s">
        <v>36</v>
      </c>
      <c r="BD7" s="9" t="s">
        <v>89</v>
      </c>
      <c r="BE7" s="9" t="s">
        <v>89</v>
      </c>
      <c r="BF7" s="9" t="s">
        <v>89</v>
      </c>
      <c r="BG7" s="9" t="s">
        <v>89</v>
      </c>
      <c r="BH7" s="9" t="s">
        <v>89</v>
      </c>
      <c r="BI7" s="9" t="s">
        <v>89</v>
      </c>
      <c r="BJ7" s="9" t="s">
        <v>139</v>
      </c>
      <c r="BK7" s="9" t="s">
        <v>139</v>
      </c>
      <c r="BL7" s="9" t="s">
        <v>139</v>
      </c>
      <c r="BM7" s="9" t="s">
        <v>139</v>
      </c>
      <c r="BN7" s="9" t="s">
        <v>139</v>
      </c>
      <c r="BO7" s="9" t="s">
        <v>139</v>
      </c>
      <c r="BP7" s="9" t="s">
        <v>139</v>
      </c>
      <c r="BQ7" s="9" t="s">
        <v>139</v>
      </c>
      <c r="BR7" s="9" t="s">
        <v>139</v>
      </c>
      <c r="BS7" s="9" t="s">
        <v>139</v>
      </c>
      <c r="BT7" s="150" t="s">
        <v>142</v>
      </c>
      <c r="BU7" s="9" t="s">
        <v>89</v>
      </c>
      <c r="BV7" s="9" t="s">
        <v>89</v>
      </c>
      <c r="BW7" s="9" t="s">
        <v>139</v>
      </c>
      <c r="BX7" t="s">
        <v>139</v>
      </c>
      <c r="BY7" t="e">
        <f>100*Table61722273237424752576267[[#This Row],[TOTAL]]/(Table61722273237424752576267[[#This Row],[TOTAL]]+Table61722273237424752576267[[#This Row],[concentration19]])</f>
        <v>#VALUE!</v>
      </c>
      <c r="CC7" t="s">
        <v>77</v>
      </c>
      <c r="CD7" t="s">
        <v>187</v>
      </c>
      <c r="CF7" t="s">
        <v>76</v>
      </c>
    </row>
    <row r="8" spans="1:90" ht="16" thickBot="1" x14ac:dyDescent="0.4">
      <c r="A8" s="22" t="s">
        <v>0</v>
      </c>
      <c r="B8" s="73" t="s">
        <v>1</v>
      </c>
      <c r="C8" s="13" t="s">
        <v>6</v>
      </c>
      <c r="D8" s="14" t="s">
        <v>8</v>
      </c>
      <c r="E8" s="14" t="s">
        <v>9</v>
      </c>
      <c r="F8" s="14" t="s">
        <v>10</v>
      </c>
      <c r="G8" s="14" t="s">
        <v>11</v>
      </c>
      <c r="H8" s="14" t="s">
        <v>12</v>
      </c>
      <c r="I8" s="14" t="s">
        <v>13</v>
      </c>
      <c r="J8" s="14" t="s">
        <v>14</v>
      </c>
      <c r="K8" s="14" t="s">
        <v>15</v>
      </c>
      <c r="L8" s="14" t="s">
        <v>16</v>
      </c>
      <c r="M8" s="14" t="s">
        <v>17</v>
      </c>
      <c r="N8" s="14" t="s">
        <v>18</v>
      </c>
      <c r="O8" s="14" t="s">
        <v>19</v>
      </c>
      <c r="P8" s="14" t="s">
        <v>20</v>
      </c>
      <c r="Q8" s="14" t="s">
        <v>21</v>
      </c>
      <c r="R8" s="14" t="s">
        <v>22</v>
      </c>
      <c r="S8" s="15" t="s">
        <v>23</v>
      </c>
      <c r="T8" s="15" t="s">
        <v>24</v>
      </c>
      <c r="U8" s="15" t="s">
        <v>25</v>
      </c>
      <c r="V8" s="16" t="s">
        <v>26</v>
      </c>
      <c r="W8" s="36" t="s">
        <v>65</v>
      </c>
      <c r="X8" s="33" t="s">
        <v>65</v>
      </c>
      <c r="Y8" s="36" t="s">
        <v>66</v>
      </c>
      <c r="Z8" s="35" t="s">
        <v>66</v>
      </c>
      <c r="AA8" s="34" t="s">
        <v>55</v>
      </c>
      <c r="AB8" s="33" t="s">
        <v>55</v>
      </c>
      <c r="AC8" s="36" t="s">
        <v>67</v>
      </c>
      <c r="AD8" s="35" t="s">
        <v>67</v>
      </c>
      <c r="AE8" s="38"/>
      <c r="AF8" s="39"/>
      <c r="AG8" s="39"/>
      <c r="AH8" s="40" t="s">
        <v>73</v>
      </c>
      <c r="AI8" s="39" t="s">
        <v>145</v>
      </c>
      <c r="AJ8" s="13" t="s">
        <v>8</v>
      </c>
      <c r="AK8" s="14" t="s">
        <v>9</v>
      </c>
      <c r="AL8" s="14" t="s">
        <v>10</v>
      </c>
      <c r="AM8" s="14" t="s">
        <v>11</v>
      </c>
      <c r="AN8" s="14" t="s">
        <v>12</v>
      </c>
      <c r="AO8" s="14" t="s">
        <v>13</v>
      </c>
      <c r="AP8" s="164" t="s">
        <v>14</v>
      </c>
      <c r="AQ8" s="164" t="s">
        <v>15</v>
      </c>
      <c r="AR8" s="164" t="s">
        <v>16</v>
      </c>
      <c r="AS8" s="164" t="s">
        <v>17</v>
      </c>
      <c r="AT8" s="164" t="s">
        <v>18</v>
      </c>
      <c r="AU8" s="164" t="s">
        <v>19</v>
      </c>
      <c r="AV8" s="164" t="s">
        <v>20</v>
      </c>
      <c r="AW8" s="164" t="s">
        <v>21</v>
      </c>
      <c r="AX8" s="164" t="s">
        <v>22</v>
      </c>
      <c r="AY8" s="165" t="s">
        <v>23</v>
      </c>
      <c r="AZ8" s="59" t="s">
        <v>78</v>
      </c>
      <c r="BA8" s="87" t="s">
        <v>73</v>
      </c>
      <c r="BB8" s="87" t="s">
        <v>131</v>
      </c>
      <c r="BC8" s="87" t="s">
        <v>133</v>
      </c>
      <c r="BD8" s="13" t="s">
        <v>8</v>
      </c>
      <c r="BE8" s="14" t="s">
        <v>9</v>
      </c>
      <c r="BF8" s="14" t="s">
        <v>10</v>
      </c>
      <c r="BG8" s="14" t="s">
        <v>11</v>
      </c>
      <c r="BH8" s="14" t="s">
        <v>12</v>
      </c>
      <c r="BI8" s="14" t="s">
        <v>13</v>
      </c>
      <c r="BJ8" s="14" t="s">
        <v>14</v>
      </c>
      <c r="BK8" s="14" t="s">
        <v>15</v>
      </c>
      <c r="BL8" s="14" t="s">
        <v>16</v>
      </c>
      <c r="BM8" s="14" t="s">
        <v>17</v>
      </c>
      <c r="BN8" s="14" t="s">
        <v>18</v>
      </c>
      <c r="BO8" s="14" t="s">
        <v>19</v>
      </c>
      <c r="BP8" s="14" t="s">
        <v>20</v>
      </c>
      <c r="BQ8" s="14" t="s">
        <v>21</v>
      </c>
      <c r="BR8" s="14" t="s">
        <v>22</v>
      </c>
      <c r="BS8" s="16" t="s">
        <v>23</v>
      </c>
      <c r="BT8" s="151" t="s">
        <v>73</v>
      </c>
      <c r="BU8" s="59" t="s">
        <v>78</v>
      </c>
      <c r="BV8" t="s">
        <v>131</v>
      </c>
      <c r="BW8" t="s">
        <v>159</v>
      </c>
      <c r="BX8" t="s">
        <v>158</v>
      </c>
      <c r="BY8" t="e">
        <f>100*Table61722273237424752576267[[#This Row],[TOTAL]]/(Table61722273237424752576267[[#This Row],[TOTAL]]+Table61722273237424752576267[[#This Row],[concentration19]])</f>
        <v>#VALUE!</v>
      </c>
    </row>
    <row r="9" spans="1:90" s="47" customFormat="1" ht="16" thickBot="1" x14ac:dyDescent="0.4">
      <c r="A9" s="63" t="str">
        <f>Table2[[#This Row],[Date]]</f>
        <v>20-03-18</v>
      </c>
      <c r="B9" s="74">
        <f>Table2[[#This Row],[Time]]</f>
        <v>0</v>
      </c>
      <c r="C9" s="41">
        <f>Table3[[#This Row],[Dilution]]</f>
        <v>0</v>
      </c>
      <c r="D9" s="123" t="e">
        <f>AVERAGE(Table3[[#This Row],[Amount ]],Table310[[#This Row],[Amount ]],Table315[[#This Row],[Amount ]])</f>
        <v>#DIV/0!</v>
      </c>
      <c r="E9" s="123" t="e">
        <f>AVERAGE(Table3[[#This Row],[Amount 2]],Table310[[#This Row],[Amount 2]],Table315[[#This Row],[Amount 2]])</f>
        <v>#DIV/0!</v>
      </c>
      <c r="F9" s="123" t="e">
        <f>AVERAGE(Table3[[#This Row],[Amount 3]],Table310[[#This Row],[Amount 3]],Table315[[#This Row],[Amount 3]])</f>
        <v>#DIV/0!</v>
      </c>
      <c r="G9" s="123" t="e">
        <f>AVERAGE(Table3[[#This Row],[Amount 4]],Table310[[#This Row],[Amount 4]],Table315[[#This Row],[Amount 4]])</f>
        <v>#DIV/0!</v>
      </c>
      <c r="H9" s="123" t="e">
        <f>AVERAGE(Table3[[#This Row],[Amount 5]],Table310[[#This Row],[Amount 5]],Table315[[#This Row],[Amount 5]])</f>
        <v>#DIV/0!</v>
      </c>
      <c r="I9" s="123" t="e">
        <f>AVERAGE(Table3[[#This Row],[Amount 6]],Table310[[#This Row],[Amount 6]],Table315[[#This Row],[Amount 6]])</f>
        <v>#DIV/0!</v>
      </c>
      <c r="J9" s="123">
        <f>IFERROR(AVERAGE(Table3[[#This Row],[Amount 7]],Table310[[#This Row],[Amount 7]],Table315[[#This Row],[Amount 7]]),0)</f>
        <v>0</v>
      </c>
      <c r="K9" s="123">
        <f>IFERROR(AVERAGE(Table3[[#This Row],[Amount 8]],Table310[[#This Row],[Amount 8]],Table315[[#This Row],[Amount 8]]),0)</f>
        <v>0</v>
      </c>
      <c r="L9" s="123">
        <f>IFERROR(AVERAGE(Table3[[#This Row],[Amount 9]],Table310[[#This Row],[Amount 9]],Table315[[#This Row],[Amount 9]]),0)</f>
        <v>0</v>
      </c>
      <c r="M9" s="123">
        <f>IFERROR(AVERAGE(Table3[[#This Row],[Amount 10]],Table310[[#This Row],[Amount 10]],Table315[[#This Row],[Amount 10]]),0)</f>
        <v>0</v>
      </c>
      <c r="N9" s="123">
        <f>IFERROR(AVERAGE(Table3[[#This Row],[Amount 11]],Table310[[#This Row],[Amount 11]],Table315[[#This Row],[Amount 11]]),0)</f>
        <v>0</v>
      </c>
      <c r="O9" s="123">
        <f>IFERROR(AVERAGE(Table3[[#This Row],[Amount 12]],Table310[[#This Row],[Amount 12]],Table315[[#This Row],[Amount 12]]),0)</f>
        <v>0</v>
      </c>
      <c r="P9" s="123">
        <f>IFERROR(AVERAGE(Table3[[#This Row],[Amount 13]],Table310[[#This Row],[Amount 13]],Table315[[#This Row],[Amount 13]]),0)</f>
        <v>0</v>
      </c>
      <c r="Q9" s="123">
        <f>IFERROR(AVERAGE(Table3[[#This Row],[Amount 14]],Table310[[#This Row],[Amount 14]],Table315[[#This Row],[Amount 14]]),0)</f>
        <v>0</v>
      </c>
      <c r="R9" s="123">
        <f>IFERROR(AVERAGE(Table3[[#This Row],[Amount 15]],Table310[[#This Row],[Amount 15]],Table315[[#This Row],[Amount 15]]),0)</f>
        <v>0</v>
      </c>
      <c r="S9" s="123">
        <f>IFERROR(AVERAGE(Table3[[#This Row],[Amount 16]],Table310[[#This Row],[Amount 16]],Table315[[#This Row],[Amount 16]]),0)</f>
        <v>0</v>
      </c>
      <c r="T9" s="18">
        <f>IFERROR(AVERAGE(Table3[[#This Row],[Amount 17]],Table310[[#This Row],[Amount 17]],Table315[[#This Row],[Amount 17]]),0)</f>
        <v>0</v>
      </c>
      <c r="U9" s="18">
        <f>IFERROR(AVERAGE(Table3[[#This Row],[Amount 18]],Table310[[#This Row],[Amount 18]],Table315[[#This Row],[Amount 18]]),0)</f>
        <v>0</v>
      </c>
      <c r="V9" s="18">
        <f>IFERROR(AVERAGE(Table3[[#This Row],[Amount 19]],Table310[[#This Row],[Amount 19]],Table315[[#This Row],[Amount 19]]),0)</f>
        <v>0</v>
      </c>
      <c r="W9" s="123">
        <f>IFERROR(AVERAGE(Table3[[#This Row],[Ret.Time ]],Table310[[#This Row],[Ret.Time ]],Table315[[#This Row],[Ret.Time ]]),0)</f>
        <v>0</v>
      </c>
      <c r="X9" s="123">
        <f>IFERROR(AVERAGE(Table3[[#This Row],[Amount 20]],Table310[[#This Row],[Amount 20]],Table315[[#This Row],[Amount 20]]),0)</f>
        <v>0</v>
      </c>
      <c r="Y9" s="123">
        <f>IFERROR(AVERAGE(Table3[[#This Row],[Ret.Time]],Table310[[#This Row],[Ret.Time]],Table315[[#This Row],[Ret.Time]]),0)</f>
        <v>0</v>
      </c>
      <c r="Z9" s="123">
        <f>IFERROR(AVERAGE(Table3[[#This Row],[Amount 21]],Table310[[#This Row],[Amount 21]],Table315[[#This Row],[Amount 21]]),0)</f>
        <v>0</v>
      </c>
      <c r="AA9" s="123">
        <f>IFERROR(AVERAGE(Table3[[#This Row],[Ret.Time22]],Table310[[#This Row],[Ret.Time22]],Table315[[#This Row],[Ret.Time22]]),0)</f>
        <v>0</v>
      </c>
      <c r="AB9" s="123">
        <f>IFERROR(AVERAGE(Table3[[#This Row],[Amount 23]],Table310[[#This Row],[Amount 23]],Table315[[#This Row],[Amount 23]]),0)</f>
        <v>0</v>
      </c>
      <c r="AC9" s="123">
        <f>IFERROR(AVERAGE(Table3[[#This Row],[Ret.Time24]],Table310[[#This Row],[Ret.Time24]],Table315[[#This Row],[Ret.Time24]]),0)</f>
        <v>0</v>
      </c>
      <c r="AD9" s="123">
        <f>IFERROR(AVERAGE(Table3[[#This Row],[Amount 25]],Table310[[#This Row],[Amount 25]],Table315[[#This Row],[Amount 25]]),0)</f>
        <v>0</v>
      </c>
      <c r="AE9" s="18">
        <f>IFERROR(AVERAGE(Table3[[#This Row],[pH]],Table310[[#This Row],[pH]],Table315[[#This Row],[pH]]),0)</f>
        <v>7</v>
      </c>
      <c r="AF9" s="18">
        <f>IFERROR(AVERAGE(Table3[[#This Row],[dilution ]],Table310[[#This Row],[dilution ]],Table315[[#This Row],[dilution ]]),0)</f>
        <v>0</v>
      </c>
      <c r="AG9" s="18">
        <f>IFERROR(AVERAGE(Table3[[#This Row],[correction factor]],Table310[[#This Row],[correction]],Table315[[#This Row],[correction]]),0)</f>
        <v>1</v>
      </c>
      <c r="AH9" s="18">
        <f>IFERROR(AVERAGE(Table3[[#This Row],[amount]],Table310[[#This Row],[amount]],Table315[[#This Row],[amount]]),0)</f>
        <v>0</v>
      </c>
      <c r="AI9" s="18">
        <f>IFERROR(AVERAGE(Table3[[#This Row],[pressure]],Table310[[#This Row],[pressure]],Table315[[#This Row],[pressure]]),0)</f>
        <v>0</v>
      </c>
      <c r="AJ9" s="64" t="e">
        <f>IF(D9="nd","nd",D9*$C9/constants!$B$3)</f>
        <v>#DIV/0!</v>
      </c>
      <c r="AK9" s="64" t="e">
        <f>IF(E9="nd","nd",E9*$C9/constants!$B$6)</f>
        <v>#DIV/0!</v>
      </c>
      <c r="AL9" s="64" t="e">
        <f>IF(F9="nd","nd",F9*$C9/constants!$B$7)</f>
        <v>#DIV/0!</v>
      </c>
      <c r="AM9" s="64" t="e">
        <f>IF(G9="nd","nd",G9*$C9/constants!$B$8)</f>
        <v>#DIV/0!</v>
      </c>
      <c r="AN9" s="64" t="e">
        <f>IF(H9="nd","nd",H9*$C9/constants!$B$9)</f>
        <v>#DIV/0!</v>
      </c>
      <c r="AO9" s="64" t="e">
        <f>IF(I9="nd","nd",I9*$C9/constants!$B$10)</f>
        <v>#DIV/0!</v>
      </c>
      <c r="AP9" s="162">
        <f>IF(J9="nd","nd",J9*$C9/constants!$B$5)</f>
        <v>0</v>
      </c>
      <c r="AQ9" s="162">
        <f t="shared" ref="AQ9:AY9" si="0">IF(K9="nd","nd",K9*$C9/1000)</f>
        <v>0</v>
      </c>
      <c r="AR9" s="162">
        <f t="shared" si="0"/>
        <v>0</v>
      </c>
      <c r="AS9" s="162">
        <f t="shared" si="0"/>
        <v>0</v>
      </c>
      <c r="AT9" s="162">
        <f t="shared" si="0"/>
        <v>0</v>
      </c>
      <c r="AU9" s="162">
        <f t="shared" si="0"/>
        <v>0</v>
      </c>
      <c r="AV9" s="162">
        <f t="shared" si="0"/>
        <v>0</v>
      </c>
      <c r="AW9" s="162">
        <f t="shared" si="0"/>
        <v>0</v>
      </c>
      <c r="AX9" s="162">
        <f t="shared" si="0"/>
        <v>0</v>
      </c>
      <c r="AY9" s="162">
        <f t="shared" si="0"/>
        <v>0</v>
      </c>
      <c r="AZ9" s="64">
        <f>IF(AH9="nd","nd",AH9*Table31520253035404550556065[[#This Row],[dilution ]]/constants!$B$3)</f>
        <v>0</v>
      </c>
      <c r="BA9" s="64">
        <f>AVERAGE(Table5[[#This Row],[Concentration172]],Table511[[#This Row],[Concentration172]],Table516[[#This Row],[Concentration172]])</f>
        <v>0</v>
      </c>
      <c r="BB9" s="64">
        <f>IFERROR(AVERAGE(#REF!,#REF!,#REF!),0)</f>
        <v>0</v>
      </c>
      <c r="BC9" s="64"/>
      <c r="BD9" s="112" t="e">
        <f>(Table51621263136414651566166[[#This Row],[Concentration]]*constants!$C$3)/1000</f>
        <v>#DIV/0!</v>
      </c>
      <c r="BE9" s="112" t="e">
        <f>(Table51621263136414651566166[[#This Row],[Concentration2]]*constants!$C$6)/1000</f>
        <v>#DIV/0!</v>
      </c>
      <c r="BF9" s="112" t="e">
        <f>(Table51621263136414651566166[[#This Row],[Concentration3]]*constants!$C$7)/1000</f>
        <v>#DIV/0!</v>
      </c>
      <c r="BG9" s="112" t="e">
        <f>(Table51621263136414651566166[[#This Row],[Concentration4]]*constants!$C$8)/1000</f>
        <v>#DIV/0!</v>
      </c>
      <c r="BH9" s="112" t="e">
        <f>(Table51621263136414651566166[[#This Row],[Concentration5]]*constants!$C$9)/1000</f>
        <v>#DIV/0!</v>
      </c>
      <c r="BI9" s="112" t="e">
        <f>(Table51621263136414651566166[[#This Row],[Concentration6]]*constants!$C$10)/1000</f>
        <v>#DIV/0!</v>
      </c>
      <c r="BJ9" s="112"/>
      <c r="BK9" s="112"/>
      <c r="BL9" s="112"/>
      <c r="BM9" s="112"/>
      <c r="BN9" s="112"/>
      <c r="BO9" s="112"/>
      <c r="BP9" s="112"/>
      <c r="BQ9" s="112"/>
      <c r="BR9" s="112"/>
      <c r="BS9" s="112"/>
      <c r="BT9" s="152" t="e">
        <f>Table61722273237424752576267[[#This Row],[Concentration17]]*1000</f>
        <v>#REF!</v>
      </c>
      <c r="BU9" s="112" t="e">
        <f>AVERAGE(#REF!,#REF!,#REF!)</f>
        <v>#REF!</v>
      </c>
      <c r="BV9" s="47">
        <f>Table51621263136414651566166[[#This Row],[Concentration18]]</f>
        <v>0</v>
      </c>
      <c r="BW9" s="47">
        <f>SUM(IFERROR(Table61722273237424752576267[[#This Row],[Concentration7]],0),IFERROR(Table61722273237424752576267[[#This Row],[Concentration8]],0),IFERROR(Table61722273237424752576267[[#This Row],[Concentration9]],0),IFERROR(Table61722273237424752576267[[#This Row],[Concentration10]],0),IFERROR(Table61722273237424752576267[[#This Row],[Concentration11]],0),IFERROR(Table61722273237424752576267[[#This Row],[Concentration12]],0),IFERROR(Table61722273237424752576267[[#This Row],[Concentration13]],0),IFERROR(Table61722273237424752576267[[#This Row],[Concentration14]],0),IFERROR(Table61722273237424752576267[[#This Row],[Concentration15]],0),IFERROR(Table61722273237424752576267[[#This Row],[Concentration16]],0),Table61722273237424752576267[[#This Row],[concentration18]])</f>
        <v>0</v>
      </c>
      <c r="BY9" s="47" t="e">
        <f>100*Table61722273237424752576267[[#This Row],[TOTAL]]/(Table61722273237424752576267[[#This Row],[TOTAL]]+Table61722273237424752576267[[#This Row],[concentration19]])</f>
        <v>#DIV/0!</v>
      </c>
      <c r="BZ9" s="66"/>
      <c r="CC9" s="178">
        <f>Table51621263136414651566166[[#This Row],[Concentration172]]</f>
        <v>0</v>
      </c>
      <c r="CD9" s="47">
        <v>50</v>
      </c>
      <c r="CE9" s="47">
        <v>1.5</v>
      </c>
      <c r="CF9" s="66">
        <f>CC9*(CE9/1000)</f>
        <v>0</v>
      </c>
    </row>
    <row r="10" spans="1:90" s="66" customFormat="1" ht="16" thickBot="1" x14ac:dyDescent="0.4">
      <c r="A10" s="63" t="str">
        <f>Table2[[#This Row],[Date]]</f>
        <v>22-03-18</v>
      </c>
      <c r="B10" s="74">
        <f>Table2[[#This Row],[Time]]</f>
        <v>2</v>
      </c>
      <c r="C10" s="41">
        <f>Table3[[#This Row],[Dilution]]</f>
        <v>0</v>
      </c>
      <c r="D10" s="123" t="e">
        <f>AVERAGE(Table3[[#This Row],[Amount ]],Table310[[#This Row],[Amount ]],Table315[[#This Row],[Amount ]])</f>
        <v>#DIV/0!</v>
      </c>
      <c r="E10" s="123" t="e">
        <f>AVERAGE(Table3[[#This Row],[Amount 2]],Table310[[#This Row],[Amount 2]],Table315[[#This Row],[Amount 2]])</f>
        <v>#DIV/0!</v>
      </c>
      <c r="F10" s="123" t="e">
        <f>AVERAGE(Table3[[#This Row],[Amount 3]],Table310[[#This Row],[Amount 3]],Table315[[#This Row],[Amount 3]])</f>
        <v>#DIV/0!</v>
      </c>
      <c r="G10" s="123" t="e">
        <f>AVERAGE(Table3[[#This Row],[Amount 4]],Table310[[#This Row],[Amount 4]],Table315[[#This Row],[Amount 4]])</f>
        <v>#DIV/0!</v>
      </c>
      <c r="H10" s="123" t="e">
        <f>AVERAGE(Table3[[#This Row],[Amount 5]],Table310[[#This Row],[Amount 5]],Table315[[#This Row],[Amount 5]])</f>
        <v>#DIV/0!</v>
      </c>
      <c r="I10" s="123" t="e">
        <f>AVERAGE(Table3[[#This Row],[Amount 6]],Table310[[#This Row],[Amount 6]],Table315[[#This Row],[Amount 6]])</f>
        <v>#DIV/0!</v>
      </c>
      <c r="J10" s="123">
        <f>IFERROR(AVERAGE(Table3[[#This Row],[Amount 7]],Table310[[#This Row],[Amount 7]],Table315[[#This Row],[Amount 7]]),0)</f>
        <v>0</v>
      </c>
      <c r="K10" s="123">
        <f>IFERROR(AVERAGE(Table3[[#This Row],[Amount 8]],Table310[[#This Row],[Amount 8]],Table315[[#This Row],[Amount 8]]),0)</f>
        <v>0</v>
      </c>
      <c r="L10" s="123">
        <f>IFERROR(AVERAGE(Table3[[#This Row],[Amount 9]],Table310[[#This Row],[Amount 9]],Table315[[#This Row],[Amount 9]]),0)</f>
        <v>0</v>
      </c>
      <c r="M10" s="123">
        <f>IFERROR(AVERAGE(Table3[[#This Row],[Amount 10]],Table310[[#This Row],[Amount 10]],Table315[[#This Row],[Amount 10]]),0)</f>
        <v>0</v>
      </c>
      <c r="N10" s="123">
        <f>IFERROR(AVERAGE(Table3[[#This Row],[Amount 11]],Table310[[#This Row],[Amount 11]],Table315[[#This Row],[Amount 11]]),0)</f>
        <v>0</v>
      </c>
      <c r="O10" s="123">
        <f>IFERROR(AVERAGE(Table3[[#This Row],[Amount 12]],Table310[[#This Row],[Amount 12]],Table315[[#This Row],[Amount 12]]),0)</f>
        <v>0</v>
      </c>
      <c r="P10" s="123">
        <f>IFERROR(AVERAGE(Table3[[#This Row],[Amount 13]],Table310[[#This Row],[Amount 13]],Table315[[#This Row],[Amount 13]]),0)</f>
        <v>0</v>
      </c>
      <c r="Q10" s="123">
        <f>IFERROR(AVERAGE(Table3[[#This Row],[Amount 14]],Table310[[#This Row],[Amount 14]],Table315[[#This Row],[Amount 14]]),0)</f>
        <v>0</v>
      </c>
      <c r="R10" s="123">
        <f>IFERROR(AVERAGE(Table3[[#This Row],[Amount 15]],Table310[[#This Row],[Amount 15]],Table315[[#This Row],[Amount 15]]),0)</f>
        <v>0</v>
      </c>
      <c r="S10" s="123">
        <f>IFERROR(AVERAGE(Table3[[#This Row],[Amount 16]],Table310[[#This Row],[Amount 16]],Table315[[#This Row],[Amount 16]]),0)</f>
        <v>0</v>
      </c>
      <c r="T10" s="18">
        <f>IFERROR(AVERAGE(Table3[[#This Row],[Amount 17]],Table310[[#This Row],[Amount 17]],Table315[[#This Row],[Amount 17]]),0)</f>
        <v>0</v>
      </c>
      <c r="U10" s="18">
        <f>IFERROR(AVERAGE(Table3[[#This Row],[Amount 18]],Table310[[#This Row],[Amount 18]],Table315[[#This Row],[Amount 18]]),0)</f>
        <v>0</v>
      </c>
      <c r="V10" s="18">
        <f>IFERROR(AVERAGE(Table3[[#This Row],[Amount 19]],Table310[[#This Row],[Amount 19]],Table315[[#This Row],[Amount 19]]),0)</f>
        <v>0</v>
      </c>
      <c r="W10" s="123">
        <f>IFERROR(AVERAGE(Table3[[#This Row],[Ret.Time ]],Table310[[#This Row],[Ret.Time ]],Table315[[#This Row],[Ret.Time ]]),0)</f>
        <v>0</v>
      </c>
      <c r="X10" s="123">
        <f>IFERROR(AVERAGE(Table3[[#This Row],[Amount 20]],Table310[[#This Row],[Amount 20]],Table315[[#This Row],[Amount 20]]),0)</f>
        <v>0</v>
      </c>
      <c r="Y10" s="123">
        <f>IFERROR(AVERAGE(Table3[[#This Row],[Ret.Time]],Table310[[#This Row],[Ret.Time]],Table315[[#This Row],[Ret.Time]]),0)</f>
        <v>0</v>
      </c>
      <c r="Z10" s="123">
        <f>IFERROR(AVERAGE(Table3[[#This Row],[Amount 21]],Table310[[#This Row],[Amount 21]],Table315[[#This Row],[Amount 21]]),0)</f>
        <v>0</v>
      </c>
      <c r="AA10" s="123">
        <f>IFERROR(AVERAGE(Table3[[#This Row],[Ret.Time22]],Table310[[#This Row],[Ret.Time22]],Table315[[#This Row],[Ret.Time22]]),0)</f>
        <v>0</v>
      </c>
      <c r="AB10" s="123">
        <f>IFERROR(AVERAGE(Table3[[#This Row],[Amount 23]],Table310[[#This Row],[Amount 23]],Table315[[#This Row],[Amount 23]]),0)</f>
        <v>0</v>
      </c>
      <c r="AC10" s="123">
        <f>IFERROR(AVERAGE(Table3[[#This Row],[Ret.Time24]],Table310[[#This Row],[Ret.Time24]],Table315[[#This Row],[Ret.Time24]]),0)</f>
        <v>0</v>
      </c>
      <c r="AD10" s="123">
        <f>IFERROR(AVERAGE(Table3[[#This Row],[Amount 25]],Table310[[#This Row],[Amount 25]],Table315[[#This Row],[Amount 25]]),0)</f>
        <v>0</v>
      </c>
      <c r="AE10" s="18">
        <f>IFERROR(AVERAGE(Table3[[#This Row],[pH]],Table310[[#This Row],[pH]],Table315[[#This Row],[pH]]),0)</f>
        <v>6.59</v>
      </c>
      <c r="AF10" s="18">
        <f>IFERROR(AVERAGE(Table3[[#This Row],[dilution ]],Table310[[#This Row],[dilution ]],Table315[[#This Row],[dilution ]]),0)</f>
        <v>10</v>
      </c>
      <c r="AG10" s="18">
        <f>IFERROR(AVERAGE(Table3[[#This Row],[correction factor]],Table310[[#This Row],[correction]],Table315[[#This Row],[correction]]),0)</f>
        <v>1</v>
      </c>
      <c r="AH10" s="18">
        <f>IFERROR(AVERAGE(Table3[[#This Row],[amount]],Table310[[#This Row],[amount]],Table315[[#This Row],[amount]]),0)</f>
        <v>9.8023333333333333</v>
      </c>
      <c r="AI10" s="18">
        <f>IFERROR(AVERAGE(Table3[[#This Row],[pressure]],Table310[[#This Row],[pressure]],Table315[[#This Row],[pressure]]),0)</f>
        <v>0</v>
      </c>
      <c r="AJ10" s="64" t="e">
        <f>IF(D10="nd","nd",D10*$C10/constants!$B$3)</f>
        <v>#DIV/0!</v>
      </c>
      <c r="AK10" s="64" t="e">
        <f>IF(E10="nd","nd",E10*$C10/constants!$B$6)</f>
        <v>#DIV/0!</v>
      </c>
      <c r="AL10" s="64" t="e">
        <f>IF(F10="nd","nd",F10*$C10/constants!$B$7)</f>
        <v>#DIV/0!</v>
      </c>
      <c r="AM10" s="64" t="e">
        <f>IF(G10="nd","nd",G10*$C10/constants!$B$8)</f>
        <v>#DIV/0!</v>
      </c>
      <c r="AN10" s="64" t="e">
        <f>IF(H10="nd","nd",H10*$C10/constants!$B$9)</f>
        <v>#DIV/0!</v>
      </c>
      <c r="AO10" s="64" t="e">
        <f>IF(I10="nd","nd",I10*$C10/constants!$B$10)</f>
        <v>#DIV/0!</v>
      </c>
      <c r="AP10" s="162">
        <f>IF(J10="nd","nd",J10*$C10/constants!$B$5)</f>
        <v>0</v>
      </c>
      <c r="AQ10" s="162">
        <f t="shared" ref="AQ10:AQ25" si="1">IF(K10="nd","nd",K10*$C10/1000)</f>
        <v>0</v>
      </c>
      <c r="AR10" s="162">
        <f t="shared" ref="AR10:AR25" si="2">IF(L10="nd","nd",L10*$C10/1000)</f>
        <v>0</v>
      </c>
      <c r="AS10" s="162">
        <f t="shared" ref="AS10:AS25" si="3">IF(M10="nd","nd",M10*$C10/1000)</f>
        <v>0</v>
      </c>
      <c r="AT10" s="162">
        <f t="shared" ref="AT10:AT25" si="4">IF(N10="nd","nd",N10*$C10/1000)</f>
        <v>0</v>
      </c>
      <c r="AU10" s="162">
        <f t="shared" ref="AU10:AU25" si="5">IF(O10="nd","nd",O10*$C10/1000)</f>
        <v>0</v>
      </c>
      <c r="AV10" s="162">
        <f t="shared" ref="AV10:AV25" si="6">IF(P10="nd","nd",P10*$C10/1000)</f>
        <v>0</v>
      </c>
      <c r="AW10" s="162">
        <f t="shared" ref="AW10:AW25" si="7">IF(Q10="nd","nd",Q10*$C10/1000)</f>
        <v>0</v>
      </c>
      <c r="AX10" s="162">
        <f t="shared" ref="AX10:AX25" si="8">IF(R10="nd","nd",R10*$C10/1000)</f>
        <v>0</v>
      </c>
      <c r="AY10" s="162">
        <f>IF(S10="nd","nd",S10*$C10/constants!$B$15)</f>
        <v>0</v>
      </c>
      <c r="AZ10" s="64">
        <f>IF(AH10="nd","nd",AH10*Table31520253035404550556065[[#This Row],[dilution ]]/constants!$B$3)</f>
        <v>3.0592139483594449</v>
      </c>
      <c r="BA10" s="64">
        <f>AVERAGE(Table5[[#This Row],[Concentration172]],Table511[[#This Row],[Concentration172]],Table516[[#This Row],[Concentration172]])</f>
        <v>9.8023333333333337E-2</v>
      </c>
      <c r="BB10" s="64">
        <f>IFERROR(AVERAGE(#REF!,#REF!,#REF!),0)</f>
        <v>0</v>
      </c>
      <c r="BC10" s="64"/>
      <c r="BD10" s="112" t="e">
        <f>(Table51621263136414651566166[[#This Row],[Concentration]]*constants!$C$3)/1000</f>
        <v>#DIV/0!</v>
      </c>
      <c r="BE10" s="112" t="e">
        <f>(Table51621263136414651566166[[#This Row],[Concentration2]]*constants!$C$6)/1000</f>
        <v>#DIV/0!</v>
      </c>
      <c r="BF10" s="112" t="e">
        <f>(Table51621263136414651566166[[#This Row],[Concentration3]]*constants!$C$7)/1000</f>
        <v>#DIV/0!</v>
      </c>
      <c r="BG10" s="112" t="e">
        <f>(Table51621263136414651566166[[#This Row],[Concentration4]]*constants!$C$8)/1000</f>
        <v>#DIV/0!</v>
      </c>
      <c r="BH10" s="112" t="e">
        <f>(Table51621263136414651566166[[#This Row],[Concentration5]]*constants!$C$9)/1000</f>
        <v>#DIV/0!</v>
      </c>
      <c r="BI10" s="112" t="e">
        <f>(Table51621263136414651566166[[#This Row],[Concentration6]]*constants!$C$10)/1000</f>
        <v>#DIV/0!</v>
      </c>
      <c r="BJ10" s="112"/>
      <c r="BK10" s="112"/>
      <c r="BL10" s="112"/>
      <c r="BM10" s="112"/>
      <c r="BN10" s="112"/>
      <c r="BO10" s="112"/>
      <c r="BP10" s="112"/>
      <c r="BQ10" s="112"/>
      <c r="BR10" s="112"/>
      <c r="BS10" s="112"/>
      <c r="BT10" s="152" t="e">
        <f>Table61722273237424752576267[[#This Row],[Concentration17]]*1000</f>
        <v>#REF!</v>
      </c>
      <c r="BU10" s="112" t="e">
        <f>AVERAGE(#REF!,#REF!,#REF!)</f>
        <v>#REF!</v>
      </c>
      <c r="BV10" s="47">
        <f>Table51621263136414651566166[[#This Row],[Concentration18]]</f>
        <v>0</v>
      </c>
      <c r="BW10" s="47">
        <f>SUM(IFERROR(Table61722273237424752576267[[#This Row],[Concentration7]],0),IFERROR(Table61722273237424752576267[[#This Row],[Concentration8]],0),IFERROR(Table61722273237424752576267[[#This Row],[Concentration9]],0),IFERROR(Table61722273237424752576267[[#This Row],[Concentration10]],0),IFERROR(Table61722273237424752576267[[#This Row],[Concentration11]],0),IFERROR(Table61722273237424752576267[[#This Row],[Concentration12]],0),IFERROR(Table61722273237424752576267[[#This Row],[Concentration13]],0),IFERROR(Table61722273237424752576267[[#This Row],[Concentration14]],0),IFERROR(Table61722273237424752576267[[#This Row],[Concentration15]],0),IFERROR(Table61722273237424752576267[[#This Row],[Concentration16]],0),Table61722273237424752576267[[#This Row],[concentration18]])</f>
        <v>0</v>
      </c>
      <c r="BX10" s="47"/>
      <c r="BY10" s="66" t="e">
        <f>100*Table61722273237424752576267[[#This Row],[TOTAL]]/(Table61722273237424752576267[[#This Row],[TOTAL]]+Table61722273237424752576267[[#This Row],[concentration19]])</f>
        <v>#DIV/0!</v>
      </c>
      <c r="CC10" s="178">
        <f>Table51621263136414651566166[[#This Row],[Concentration172]]</f>
        <v>9.8023333333333337E-2</v>
      </c>
      <c r="CD10" s="66">
        <f>CD9-CE9</f>
        <v>48.5</v>
      </c>
      <c r="CE10" s="47">
        <v>1.5</v>
      </c>
      <c r="CF10" s="66">
        <f>CC10*(CE10/1000)</f>
        <v>1.47035E-4</v>
      </c>
    </row>
    <row r="11" spans="1:90" s="47" customFormat="1" ht="16" thickBot="1" x14ac:dyDescent="0.4">
      <c r="A11" s="63" t="str">
        <f>Table2[[#This Row],[Date]]</f>
        <v>23-03-18</v>
      </c>
      <c r="B11" s="74">
        <f>Table2[[#This Row],[Time]]</f>
        <v>3</v>
      </c>
      <c r="C11" s="41">
        <f>Table3[[#This Row],[Dilution]]</f>
        <v>0</v>
      </c>
      <c r="D11" s="123" t="e">
        <f>AVERAGE(Table3[[#This Row],[Amount ]],Table310[[#This Row],[Amount ]],Table315[[#This Row],[Amount ]])</f>
        <v>#DIV/0!</v>
      </c>
      <c r="E11" s="123" t="e">
        <f>AVERAGE(Table3[[#This Row],[Amount 2]],Table310[[#This Row],[Amount 2]],Table315[[#This Row],[Amount 2]])</f>
        <v>#DIV/0!</v>
      </c>
      <c r="F11" s="123" t="e">
        <f>AVERAGE(Table3[[#This Row],[Amount 3]],Table310[[#This Row],[Amount 3]],Table315[[#This Row],[Amount 3]])</f>
        <v>#DIV/0!</v>
      </c>
      <c r="G11" s="123" t="e">
        <f>AVERAGE(Table3[[#This Row],[Amount 4]],Table310[[#This Row],[Amount 4]],Table315[[#This Row],[Amount 4]])</f>
        <v>#DIV/0!</v>
      </c>
      <c r="H11" s="123" t="e">
        <f>AVERAGE(Table3[[#This Row],[Amount 5]],Table310[[#This Row],[Amount 5]],Table315[[#This Row],[Amount 5]])</f>
        <v>#DIV/0!</v>
      </c>
      <c r="I11" s="123" t="e">
        <f>AVERAGE(Table3[[#This Row],[Amount 6]],Table310[[#This Row],[Amount 6]],Table315[[#This Row],[Amount 6]])</f>
        <v>#DIV/0!</v>
      </c>
      <c r="J11" s="123">
        <f>IFERROR(AVERAGE(Table3[[#This Row],[Amount 7]],Table310[[#This Row],[Amount 7]],Table315[[#This Row],[Amount 7]]),0)</f>
        <v>0</v>
      </c>
      <c r="K11" s="123">
        <f>IFERROR(AVERAGE(Table3[[#This Row],[Amount 8]],Table310[[#This Row],[Amount 8]],Table315[[#This Row],[Amount 8]]),0)</f>
        <v>0</v>
      </c>
      <c r="L11" s="123">
        <f>IFERROR(AVERAGE(Table3[[#This Row],[Amount 9]],Table310[[#This Row],[Amount 9]],Table315[[#This Row],[Amount 9]]),0)</f>
        <v>0</v>
      </c>
      <c r="M11" s="123">
        <f>IFERROR(AVERAGE(Table3[[#This Row],[Amount 10]],Table310[[#This Row],[Amount 10]],Table315[[#This Row],[Amount 10]]),0)</f>
        <v>0</v>
      </c>
      <c r="N11" s="123">
        <f>IFERROR(AVERAGE(Table3[[#This Row],[Amount 11]],Table310[[#This Row],[Amount 11]],Table315[[#This Row],[Amount 11]]),0)</f>
        <v>0</v>
      </c>
      <c r="O11" s="123">
        <f>IFERROR(AVERAGE(Table3[[#This Row],[Amount 12]],Table310[[#This Row],[Amount 12]],Table315[[#This Row],[Amount 12]]),0)</f>
        <v>0</v>
      </c>
      <c r="P11" s="123">
        <f>IFERROR(AVERAGE(Table3[[#This Row],[Amount 13]],Table310[[#This Row],[Amount 13]],Table315[[#This Row],[Amount 13]]),0)</f>
        <v>0</v>
      </c>
      <c r="Q11" s="123">
        <f>IFERROR(AVERAGE(Table3[[#This Row],[Amount 14]],Table310[[#This Row],[Amount 14]],Table315[[#This Row],[Amount 14]]),0)</f>
        <v>0</v>
      </c>
      <c r="R11" s="123">
        <f>IFERROR(AVERAGE(Table3[[#This Row],[Amount 15]],Table310[[#This Row],[Amount 15]],Table315[[#This Row],[Amount 15]]),0)</f>
        <v>0</v>
      </c>
      <c r="S11" s="123">
        <f>IFERROR(AVERAGE(Table3[[#This Row],[Amount 16]],Table310[[#This Row],[Amount 16]],Table315[[#This Row],[Amount 16]]),0)</f>
        <v>0</v>
      </c>
      <c r="T11" s="18">
        <f>IFERROR(AVERAGE(Table3[[#This Row],[Amount 17]],Table310[[#This Row],[Amount 17]],Table315[[#This Row],[Amount 17]]),0)</f>
        <v>0</v>
      </c>
      <c r="U11" s="18">
        <f>IFERROR(AVERAGE(Table3[[#This Row],[Amount 18]],Table310[[#This Row],[Amount 18]],Table315[[#This Row],[Amount 18]]),0)</f>
        <v>0</v>
      </c>
      <c r="V11" s="18">
        <f>IFERROR(AVERAGE(Table3[[#This Row],[Amount 19]],Table310[[#This Row],[Amount 19]],Table315[[#This Row],[Amount 19]]),0)</f>
        <v>0</v>
      </c>
      <c r="W11" s="123">
        <f>IFERROR(AVERAGE(Table3[[#This Row],[Ret.Time ]],Table310[[#This Row],[Ret.Time ]],Table315[[#This Row],[Ret.Time ]]),0)</f>
        <v>0</v>
      </c>
      <c r="X11" s="123">
        <f>IFERROR(AVERAGE(Table3[[#This Row],[Amount 20]],Table310[[#This Row],[Amount 20]],Table315[[#This Row],[Amount 20]]),0)</f>
        <v>0</v>
      </c>
      <c r="Y11" s="123">
        <f>IFERROR(AVERAGE(Table3[[#This Row],[Ret.Time]],Table310[[#This Row],[Ret.Time]],Table315[[#This Row],[Ret.Time]]),0)</f>
        <v>0</v>
      </c>
      <c r="Z11" s="123">
        <f>IFERROR(AVERAGE(Table3[[#This Row],[Amount 21]],Table310[[#This Row],[Amount 21]],Table315[[#This Row],[Amount 21]]),0)</f>
        <v>0</v>
      </c>
      <c r="AA11" s="123">
        <f>IFERROR(AVERAGE(Table3[[#This Row],[Ret.Time22]],Table310[[#This Row],[Ret.Time22]],Table315[[#This Row],[Ret.Time22]]),0)</f>
        <v>0</v>
      </c>
      <c r="AB11" s="123">
        <f>IFERROR(AVERAGE(Table3[[#This Row],[Amount 23]],Table310[[#This Row],[Amount 23]],Table315[[#This Row],[Amount 23]]),0)</f>
        <v>0</v>
      </c>
      <c r="AC11" s="123">
        <f>IFERROR(AVERAGE(Table3[[#This Row],[Ret.Time24]],Table310[[#This Row],[Ret.Time24]],Table315[[#This Row],[Ret.Time24]]),0)</f>
        <v>0</v>
      </c>
      <c r="AD11" s="123">
        <f>IFERROR(AVERAGE(Table3[[#This Row],[Amount 25]],Table310[[#This Row],[Amount 25]],Table315[[#This Row],[Amount 25]]),0)</f>
        <v>0</v>
      </c>
      <c r="AE11" s="18">
        <f>IFERROR(AVERAGE(Table3[[#This Row],[pH]],Table310[[#This Row],[pH]],Table315[[#This Row],[pH]]),0)</f>
        <v>6.2399999999999993</v>
      </c>
      <c r="AF11" s="18">
        <f>IFERROR(AVERAGE(Table3[[#This Row],[dilution ]],Table310[[#This Row],[dilution ]],Table315[[#This Row],[dilution ]]),0)</f>
        <v>10</v>
      </c>
      <c r="AG11" s="18">
        <f>IFERROR(AVERAGE(Table3[[#This Row],[correction factor]],Table310[[#This Row],[correction]],Table315[[#This Row],[correction]]),0)</f>
        <v>1</v>
      </c>
      <c r="AH11" s="18">
        <f>IFERROR(AVERAGE(Table3[[#This Row],[amount]],Table310[[#This Row],[amount]],Table315[[#This Row],[amount]]),0)</f>
        <v>12.040000000000001</v>
      </c>
      <c r="AI11" s="18">
        <f>IFERROR(AVERAGE(Table3[[#This Row],[pressure]],Table310[[#This Row],[pressure]],Table315[[#This Row],[pressure]]),0)</f>
        <v>0</v>
      </c>
      <c r="AJ11" s="64" t="e">
        <f>IF(D11="nd","nd",D11*$C11/constants!$B$3)</f>
        <v>#DIV/0!</v>
      </c>
      <c r="AK11" s="64" t="e">
        <f>IF(E11="nd","nd",E11*$C11/constants!$B$6)</f>
        <v>#DIV/0!</v>
      </c>
      <c r="AL11" s="64" t="e">
        <f>IF(F11="nd","nd",F11*$C11/constants!$B$7)</f>
        <v>#DIV/0!</v>
      </c>
      <c r="AM11" s="64" t="e">
        <f>IF(G11="nd","nd",G11*$C11/constants!$B$8)</f>
        <v>#DIV/0!</v>
      </c>
      <c r="AN11" s="64" t="e">
        <f>IF(H11="nd","nd",H11*$C11/constants!$B$9)</f>
        <v>#DIV/0!</v>
      </c>
      <c r="AO11" s="64" t="e">
        <f>IF(I11="nd","nd",I11*$C11/constants!$B$10)</f>
        <v>#DIV/0!</v>
      </c>
      <c r="AP11" s="162">
        <f>IF(J11="nd","nd",J11*$C11/constants!$B$5)</f>
        <v>0</v>
      </c>
      <c r="AQ11" s="162">
        <f t="shared" si="1"/>
        <v>0</v>
      </c>
      <c r="AR11" s="162">
        <f t="shared" si="2"/>
        <v>0</v>
      </c>
      <c r="AS11" s="162">
        <f t="shared" si="3"/>
        <v>0</v>
      </c>
      <c r="AT11" s="162">
        <f t="shared" si="4"/>
        <v>0</v>
      </c>
      <c r="AU11" s="162">
        <f t="shared" si="5"/>
        <v>0</v>
      </c>
      <c r="AV11" s="162">
        <f t="shared" si="6"/>
        <v>0</v>
      </c>
      <c r="AW11" s="162">
        <f t="shared" si="7"/>
        <v>0</v>
      </c>
      <c r="AX11" s="162">
        <f t="shared" si="8"/>
        <v>0</v>
      </c>
      <c r="AY11" s="162">
        <f>IF(S11="nd","nd",S11*$C11/constants!$B$15)</f>
        <v>0</v>
      </c>
      <c r="AZ11" s="64">
        <f>IF(AH11="nd","nd",AH11*Table31520253035404550556065[[#This Row],[dilution ]]/constants!$B$3)</f>
        <v>3.7575681917483301</v>
      </c>
      <c r="BA11" s="64">
        <f>AVERAGE(Table5[[#This Row],[Concentration172]],Table511[[#This Row],[Concentration172]],Table516[[#This Row],[Concentration172]])</f>
        <v>0.12039999999999999</v>
      </c>
      <c r="BB11" s="64">
        <f>IFERROR(AVERAGE(#REF!,#REF!,#REF!),0)</f>
        <v>0</v>
      </c>
      <c r="BC11" s="64"/>
      <c r="BD11" s="112" t="e">
        <f>(Table51621263136414651566166[[#This Row],[Concentration]]*constants!$C$3)/1000</f>
        <v>#DIV/0!</v>
      </c>
      <c r="BE11" s="112" t="e">
        <f>(Table51621263136414651566166[[#This Row],[Concentration2]]*constants!$C$6)/1000</f>
        <v>#DIV/0!</v>
      </c>
      <c r="BF11" s="112" t="e">
        <f>(Table51621263136414651566166[[#This Row],[Concentration3]]*constants!$C$7)/1000</f>
        <v>#DIV/0!</v>
      </c>
      <c r="BG11" s="112" t="e">
        <f>(Table51621263136414651566166[[#This Row],[Concentration4]]*constants!$C$8)/1000</f>
        <v>#DIV/0!</v>
      </c>
      <c r="BH11" s="112" t="e">
        <f>(Table51621263136414651566166[[#This Row],[Concentration5]]*constants!$C$9)/1000</f>
        <v>#DIV/0!</v>
      </c>
      <c r="BI11" s="112" t="e">
        <f>(Table51621263136414651566166[[#This Row],[Concentration6]]*constants!$C$10)/1000</f>
        <v>#DIV/0!</v>
      </c>
      <c r="BJ11" s="112"/>
      <c r="BK11" s="112"/>
      <c r="BL11" s="112"/>
      <c r="BM11" s="112"/>
      <c r="BN11" s="112"/>
      <c r="BO11" s="112"/>
      <c r="BP11" s="112"/>
      <c r="BQ11" s="112"/>
      <c r="BR11" s="112"/>
      <c r="BS11" s="112"/>
      <c r="BT11" s="152" t="e">
        <f>Table61722273237424752576267[[#This Row],[Concentration17]]*1000</f>
        <v>#REF!</v>
      </c>
      <c r="BU11" s="112" t="e">
        <f>AVERAGE(#REF!,#REF!,#REF!)</f>
        <v>#REF!</v>
      </c>
      <c r="BV11" s="47">
        <f>Table51621263136414651566166[[#This Row],[Concentration18]]</f>
        <v>0</v>
      </c>
      <c r="BW11" s="47">
        <f>SUM(IFERROR(Table61722273237424752576267[[#This Row],[Concentration7]],0),IFERROR(Table61722273237424752576267[[#This Row],[Concentration8]],0),IFERROR(Table61722273237424752576267[[#This Row],[Concentration9]],0),IFERROR(Table61722273237424752576267[[#This Row],[Concentration10]],0),IFERROR(Table61722273237424752576267[[#This Row],[Concentration11]],0),IFERROR(Table61722273237424752576267[[#This Row],[Concentration12]],0),IFERROR(Table61722273237424752576267[[#This Row],[Concentration13]],0),IFERROR(Table61722273237424752576267[[#This Row],[Concentration14]],0),IFERROR(Table61722273237424752576267[[#This Row],[Concentration15]],0),IFERROR(Table61722273237424752576267[[#This Row],[Concentration16]],0),Table61722273237424752576267[[#This Row],[concentration18]])</f>
        <v>0</v>
      </c>
      <c r="BY11" s="47" t="e">
        <f>100*Table61722273237424752576267[[#This Row],[TOTAL]]/(Table61722273237424752576267[[#This Row],[TOTAL]]+Table61722273237424752576267[[#This Row],[concentration19]])</f>
        <v>#DIV/0!</v>
      </c>
      <c r="BZ11" s="66"/>
      <c r="CC11" s="178">
        <f>Table51621263136414651566166[[#This Row],[Concentration172]]</f>
        <v>0.12039999999999999</v>
      </c>
      <c r="CD11" s="66">
        <f t="shared" ref="CD11:CD15" si="9">CD10-CE10</f>
        <v>47</v>
      </c>
      <c r="CE11" s="47">
        <v>1.5</v>
      </c>
      <c r="CF11" s="66">
        <f t="shared" ref="CF11:CF14" si="10">CC11*(CE11/1000)</f>
        <v>1.806E-4</v>
      </c>
    </row>
    <row r="12" spans="1:90" s="66" customFormat="1" ht="16" thickBot="1" x14ac:dyDescent="0.4">
      <c r="A12" s="63" t="str">
        <f>Table2[[#This Row],[Date]]</f>
        <v>26-03-18</v>
      </c>
      <c r="B12" s="74">
        <f>Table2[[#This Row],[Time]]</f>
        <v>6</v>
      </c>
      <c r="C12" s="41">
        <f>Table3[[#This Row],[Dilution]]</f>
        <v>0</v>
      </c>
      <c r="D12" s="123" t="e">
        <f>AVERAGE(Table3[[#This Row],[Amount ]],Table310[[#This Row],[Amount ]],Table315[[#This Row],[Amount ]])</f>
        <v>#DIV/0!</v>
      </c>
      <c r="E12" s="123" t="e">
        <f>AVERAGE(Table3[[#This Row],[Amount 2]],Table310[[#This Row],[Amount 2]],Table315[[#This Row],[Amount 2]])</f>
        <v>#DIV/0!</v>
      </c>
      <c r="F12" s="123" t="e">
        <f>AVERAGE(Table3[[#This Row],[Amount 3]],Table310[[#This Row],[Amount 3]],Table315[[#This Row],[Amount 3]])</f>
        <v>#DIV/0!</v>
      </c>
      <c r="G12" s="123" t="e">
        <f>AVERAGE(Table3[[#This Row],[Amount 4]],Table310[[#This Row],[Amount 4]],Table315[[#This Row],[Amount 4]])</f>
        <v>#DIV/0!</v>
      </c>
      <c r="H12" s="123" t="e">
        <f>AVERAGE(Table3[[#This Row],[Amount 5]],Table310[[#This Row],[Amount 5]],Table315[[#This Row],[Amount 5]])</f>
        <v>#DIV/0!</v>
      </c>
      <c r="I12" s="123" t="e">
        <f>AVERAGE(Table3[[#This Row],[Amount 6]],Table310[[#This Row],[Amount 6]],Table315[[#This Row],[Amount 6]])</f>
        <v>#DIV/0!</v>
      </c>
      <c r="J12" s="123">
        <f>IFERROR(AVERAGE(Table3[[#This Row],[Amount 7]],Table310[[#This Row],[Amount 7]],Table315[[#This Row],[Amount 7]]),0)</f>
        <v>0</v>
      </c>
      <c r="K12" s="123">
        <f>IFERROR(AVERAGE(Table3[[#This Row],[Amount 8]],Table310[[#This Row],[Amount 8]],Table315[[#This Row],[Amount 8]]),0)</f>
        <v>0</v>
      </c>
      <c r="L12" s="123">
        <f>IFERROR(AVERAGE(Table3[[#This Row],[Amount 9]],Table310[[#This Row],[Amount 9]],Table315[[#This Row],[Amount 9]]),0)</f>
        <v>0</v>
      </c>
      <c r="M12" s="123">
        <f>IFERROR(AVERAGE(Table3[[#This Row],[Amount 10]],Table310[[#This Row],[Amount 10]],Table315[[#This Row],[Amount 10]]),0)</f>
        <v>0</v>
      </c>
      <c r="N12" s="123">
        <f>IFERROR(AVERAGE(Table3[[#This Row],[Amount 11]],Table310[[#This Row],[Amount 11]],Table315[[#This Row],[Amount 11]]),0)</f>
        <v>0</v>
      </c>
      <c r="O12" s="123">
        <f>IFERROR(AVERAGE(Table3[[#This Row],[Amount 12]],Table310[[#This Row],[Amount 12]],Table315[[#This Row],[Amount 12]]),0)</f>
        <v>0</v>
      </c>
      <c r="P12" s="123">
        <f>IFERROR(AVERAGE(Table3[[#This Row],[Amount 13]],Table310[[#This Row],[Amount 13]],Table315[[#This Row],[Amount 13]]),0)</f>
        <v>0</v>
      </c>
      <c r="Q12" s="123">
        <f>IFERROR(AVERAGE(Table3[[#This Row],[Amount 14]],Table310[[#This Row],[Amount 14]],Table315[[#This Row],[Amount 14]]),0)</f>
        <v>0</v>
      </c>
      <c r="R12" s="123">
        <f>IFERROR(AVERAGE(Table3[[#This Row],[Amount 15]],Table310[[#This Row],[Amount 15]],Table315[[#This Row],[Amount 15]]),0)</f>
        <v>0</v>
      </c>
      <c r="S12" s="123">
        <f>IFERROR(AVERAGE(Table3[[#This Row],[Amount 16]],Table310[[#This Row],[Amount 16]],Table315[[#This Row],[Amount 16]]),0)</f>
        <v>0</v>
      </c>
      <c r="T12" s="18">
        <f>IFERROR(AVERAGE(Table3[[#This Row],[Amount 17]],Table310[[#This Row],[Amount 17]],Table315[[#This Row],[Amount 17]]),0)</f>
        <v>0</v>
      </c>
      <c r="U12" s="18">
        <f>IFERROR(AVERAGE(Table3[[#This Row],[Amount 18]],Table310[[#This Row],[Amount 18]],Table315[[#This Row],[Amount 18]]),0)</f>
        <v>0</v>
      </c>
      <c r="V12" s="18">
        <f>IFERROR(AVERAGE(Table3[[#This Row],[Amount 19]],Table310[[#This Row],[Amount 19]],Table315[[#This Row],[Amount 19]]),0)</f>
        <v>0</v>
      </c>
      <c r="W12" s="123">
        <f>IFERROR(AVERAGE(Table3[[#This Row],[Ret.Time ]],Table310[[#This Row],[Ret.Time ]],Table315[[#This Row],[Ret.Time ]]),0)</f>
        <v>0</v>
      </c>
      <c r="X12" s="123">
        <f>IFERROR(AVERAGE(Table3[[#This Row],[Amount 20]],Table310[[#This Row],[Amount 20]],Table315[[#This Row],[Amount 20]]),0)</f>
        <v>0</v>
      </c>
      <c r="Y12" s="123">
        <f>IFERROR(AVERAGE(Table3[[#This Row],[Ret.Time]],Table310[[#This Row],[Ret.Time]],Table315[[#This Row],[Ret.Time]]),0)</f>
        <v>0</v>
      </c>
      <c r="Z12" s="123">
        <f>IFERROR(AVERAGE(Table3[[#This Row],[Amount 21]],Table310[[#This Row],[Amount 21]],Table315[[#This Row],[Amount 21]]),0)</f>
        <v>0</v>
      </c>
      <c r="AA12" s="123">
        <f>IFERROR(AVERAGE(Table3[[#This Row],[Ret.Time22]],Table310[[#This Row],[Ret.Time22]],Table315[[#This Row],[Ret.Time22]]),0)</f>
        <v>0</v>
      </c>
      <c r="AB12" s="123">
        <f>IFERROR(AVERAGE(Table3[[#This Row],[Amount 23]],Table310[[#This Row],[Amount 23]],Table315[[#This Row],[Amount 23]]),0)</f>
        <v>0</v>
      </c>
      <c r="AC12" s="123">
        <f>IFERROR(AVERAGE(Table3[[#This Row],[Ret.Time24]],Table310[[#This Row],[Ret.Time24]],Table315[[#This Row],[Ret.Time24]]),0)</f>
        <v>0</v>
      </c>
      <c r="AD12" s="123">
        <f>IFERROR(AVERAGE(Table3[[#This Row],[Amount 25]],Table310[[#This Row],[Amount 25]],Table315[[#This Row],[Amount 25]]),0)</f>
        <v>0</v>
      </c>
      <c r="AE12" s="18">
        <f>IFERROR(AVERAGE(Table3[[#This Row],[pH]],Table310[[#This Row],[pH]],Table315[[#This Row],[pH]]),0)</f>
        <v>3.1933333333333334</v>
      </c>
      <c r="AF12" s="18">
        <f>IFERROR(AVERAGE(Table3[[#This Row],[dilution ]],Table310[[#This Row],[dilution ]],Table315[[#This Row],[dilution ]]),0)</f>
        <v>100</v>
      </c>
      <c r="AG12" s="18">
        <f>IFERROR(AVERAGE(Table3[[#This Row],[correction factor]],Table310[[#This Row],[correction]],Table315[[#This Row],[correction]]),0)</f>
        <v>1</v>
      </c>
      <c r="AH12" s="18">
        <f>IFERROR(AVERAGE(Table3[[#This Row],[amount]],Table310[[#This Row],[amount]],Table315[[#This Row],[amount]]),0)</f>
        <v>13.430666666666667</v>
      </c>
      <c r="AI12" s="18">
        <f>IFERROR(AVERAGE(Table3[[#This Row],[pressure]],Table310[[#This Row],[pressure]],Table315[[#This Row],[pressure]]),0)</f>
        <v>0</v>
      </c>
      <c r="AJ12" s="64" t="e">
        <f>IF(D12="nd","nd",D12*$C12/constants!$B$3)</f>
        <v>#DIV/0!</v>
      </c>
      <c r="AK12" s="64" t="e">
        <f>IF(E12="nd","nd",E12*$C12/constants!$B$6)</f>
        <v>#DIV/0!</v>
      </c>
      <c r="AL12" s="64" t="e">
        <f>IF(F12="nd","nd",F12*$C12/constants!$B$7)</f>
        <v>#DIV/0!</v>
      </c>
      <c r="AM12" s="64" t="e">
        <f>IF(G12="nd","nd",G12*$C12/constants!$B$8)</f>
        <v>#DIV/0!</v>
      </c>
      <c r="AN12" s="64" t="e">
        <f>IF(H12="nd","nd",H12*$C12/constants!$B$9)</f>
        <v>#DIV/0!</v>
      </c>
      <c r="AO12" s="64" t="e">
        <f>IF(I12="nd","nd",I12*$C12/constants!$B$10)</f>
        <v>#DIV/0!</v>
      </c>
      <c r="AP12" s="162">
        <f>IF(J12="nd","nd",J12*$C12/constants!$B$5)</f>
        <v>0</v>
      </c>
      <c r="AQ12" s="162">
        <f t="shared" si="1"/>
        <v>0</v>
      </c>
      <c r="AR12" s="162">
        <f t="shared" si="2"/>
        <v>0</v>
      </c>
      <c r="AS12" s="162">
        <f t="shared" si="3"/>
        <v>0</v>
      </c>
      <c r="AT12" s="162">
        <f t="shared" si="4"/>
        <v>0</v>
      </c>
      <c r="AU12" s="162">
        <f t="shared" si="5"/>
        <v>0</v>
      </c>
      <c r="AV12" s="162">
        <f t="shared" si="6"/>
        <v>0</v>
      </c>
      <c r="AW12" s="162">
        <f t="shared" si="7"/>
        <v>0</v>
      </c>
      <c r="AX12" s="162">
        <f t="shared" si="8"/>
        <v>0</v>
      </c>
      <c r="AY12" s="162">
        <f>IF(S12="nd","nd",S12*$C12/constants!$B$15)</f>
        <v>0</v>
      </c>
      <c r="AZ12" s="64">
        <f>IF(AH12="nd","nd",AH12*Table31520253035404550556065[[#This Row],[dilution ]]/constants!$B$3)</f>
        <v>41.915818821130593</v>
      </c>
      <c r="BA12" s="64">
        <f>AVERAGE(Table5[[#This Row],[Concentration172]],Table511[[#This Row],[Concentration172]],Table516[[#This Row],[Concentration172]])</f>
        <v>1.3430666666666664</v>
      </c>
      <c r="BB12" s="64">
        <f>IFERROR(AVERAGE(#REF!,#REF!,#REF!),0)</f>
        <v>0</v>
      </c>
      <c r="BC12" s="64"/>
      <c r="BD12" s="112" t="e">
        <f>(Table51621263136414651566166[[#This Row],[Concentration]]*constants!$C$3)/1000</f>
        <v>#DIV/0!</v>
      </c>
      <c r="BE12" s="112" t="e">
        <f>(Table51621263136414651566166[[#This Row],[Concentration2]]*constants!$C$6)/1000</f>
        <v>#DIV/0!</v>
      </c>
      <c r="BF12" s="112" t="e">
        <f>(Table51621263136414651566166[[#This Row],[Concentration3]]*constants!$C$7)/1000</f>
        <v>#DIV/0!</v>
      </c>
      <c r="BG12" s="112" t="e">
        <f>(Table51621263136414651566166[[#This Row],[Concentration4]]*constants!$C$8)/1000</f>
        <v>#DIV/0!</v>
      </c>
      <c r="BH12" s="112" t="e">
        <f>(Table51621263136414651566166[[#This Row],[Concentration5]]*constants!$C$9)/1000</f>
        <v>#DIV/0!</v>
      </c>
      <c r="BI12" s="112" t="e">
        <f>(Table51621263136414651566166[[#This Row],[Concentration6]]*constants!$C$10)/1000</f>
        <v>#DIV/0!</v>
      </c>
      <c r="BJ12" s="112"/>
      <c r="BK12" s="112"/>
      <c r="BL12" s="112"/>
      <c r="BM12" s="112"/>
      <c r="BN12" s="112"/>
      <c r="BO12" s="112"/>
      <c r="BP12" s="112"/>
      <c r="BQ12" s="112"/>
      <c r="BR12" s="112"/>
      <c r="BS12" s="112"/>
      <c r="BT12" s="152" t="e">
        <f>Table61722273237424752576267[[#This Row],[Concentration17]]*1000</f>
        <v>#REF!</v>
      </c>
      <c r="BU12" s="112" t="e">
        <f>AVERAGE(#REF!,#REF!,#REF!)</f>
        <v>#REF!</v>
      </c>
      <c r="BV12" s="47">
        <f>Table51621263136414651566166[[#This Row],[Concentration18]]</f>
        <v>0</v>
      </c>
      <c r="BW12" s="47">
        <f>SUM(IFERROR(Table61722273237424752576267[[#This Row],[Concentration7]],0),IFERROR(Table61722273237424752576267[[#This Row],[Concentration8]],0),IFERROR(Table61722273237424752576267[[#This Row],[Concentration9]],0),IFERROR(Table61722273237424752576267[[#This Row],[Concentration10]],0),IFERROR(Table61722273237424752576267[[#This Row],[Concentration11]],0),IFERROR(Table61722273237424752576267[[#This Row],[Concentration12]],0),IFERROR(Table61722273237424752576267[[#This Row],[Concentration13]],0),IFERROR(Table61722273237424752576267[[#This Row],[Concentration14]],0),IFERROR(Table61722273237424752576267[[#This Row],[Concentration15]],0),IFERROR(Table61722273237424752576267[[#This Row],[Concentration16]],0),Table61722273237424752576267[[#This Row],[concentration18]])</f>
        <v>0</v>
      </c>
      <c r="BX12" s="47"/>
      <c r="BY12" s="66" t="e">
        <f>100*Table61722273237424752576267[[#This Row],[TOTAL]]/(Table61722273237424752576267[[#This Row],[TOTAL]]+Table61722273237424752576267[[#This Row],[concentration19]])</f>
        <v>#DIV/0!</v>
      </c>
      <c r="CC12" s="178">
        <f>Table51621263136414651566166[[#This Row],[Concentration172]]</f>
        <v>1.3430666666666664</v>
      </c>
      <c r="CD12" s="66">
        <f t="shared" si="9"/>
        <v>45.5</v>
      </c>
      <c r="CE12" s="47">
        <v>1.5</v>
      </c>
      <c r="CF12" s="66">
        <f t="shared" si="10"/>
        <v>2.0145999999999996E-3</v>
      </c>
    </row>
    <row r="13" spans="1:90" s="47" customFormat="1" ht="16" thickBot="1" x14ac:dyDescent="0.4">
      <c r="A13" s="63" t="str">
        <f>Table2[[#This Row],[Date]]</f>
        <v>29-03-18</v>
      </c>
      <c r="B13" s="74">
        <f>Table2[[#This Row],[Time]]</f>
        <v>9</v>
      </c>
      <c r="C13" s="41">
        <f>Table3[[#This Row],[Dilution]]</f>
        <v>0</v>
      </c>
      <c r="D13" s="123" t="e">
        <f>AVERAGE(Table3[[#This Row],[Amount ]],Table310[[#This Row],[Amount ]],Table315[[#This Row],[Amount ]])</f>
        <v>#DIV/0!</v>
      </c>
      <c r="E13" s="123" t="e">
        <f>AVERAGE(Table3[[#This Row],[Amount 2]],Table310[[#This Row],[Amount 2]],Table315[[#This Row],[Amount 2]])</f>
        <v>#DIV/0!</v>
      </c>
      <c r="F13" s="123" t="e">
        <f>AVERAGE(Table3[[#This Row],[Amount 3]],Table310[[#This Row],[Amount 3]],Table315[[#This Row],[Amount 3]])</f>
        <v>#DIV/0!</v>
      </c>
      <c r="G13" s="123" t="e">
        <f>AVERAGE(Table3[[#This Row],[Amount 4]],Table310[[#This Row],[Amount 4]],Table315[[#This Row],[Amount 4]])</f>
        <v>#DIV/0!</v>
      </c>
      <c r="H13" s="123" t="e">
        <f>AVERAGE(Table3[[#This Row],[Amount 5]],Table310[[#This Row],[Amount 5]],Table315[[#This Row],[Amount 5]])</f>
        <v>#DIV/0!</v>
      </c>
      <c r="I13" s="123" t="e">
        <f>AVERAGE(Table3[[#This Row],[Amount 6]],Table310[[#This Row],[Amount 6]],Table315[[#This Row],[Amount 6]])</f>
        <v>#DIV/0!</v>
      </c>
      <c r="J13" s="123">
        <f>IFERROR(AVERAGE(Table3[[#This Row],[Amount 7]],Table310[[#This Row],[Amount 7]],Table315[[#This Row],[Amount 7]]),0)</f>
        <v>0</v>
      </c>
      <c r="K13" s="123">
        <f>IFERROR(AVERAGE(Table3[[#This Row],[Amount 8]],Table310[[#This Row],[Amount 8]],Table315[[#This Row],[Amount 8]]),0)</f>
        <v>0</v>
      </c>
      <c r="L13" s="123">
        <f>IFERROR(AVERAGE(Table3[[#This Row],[Amount 9]],Table310[[#This Row],[Amount 9]],Table315[[#This Row],[Amount 9]]),0)</f>
        <v>0</v>
      </c>
      <c r="M13" s="123">
        <f>IFERROR(AVERAGE(Table3[[#This Row],[Amount 10]],Table310[[#This Row],[Amount 10]],Table315[[#This Row],[Amount 10]]),0)</f>
        <v>0</v>
      </c>
      <c r="N13" s="123">
        <f>IFERROR(AVERAGE(Table3[[#This Row],[Amount 11]],Table310[[#This Row],[Amount 11]],Table315[[#This Row],[Amount 11]]),0)</f>
        <v>0</v>
      </c>
      <c r="O13" s="123">
        <f>IFERROR(AVERAGE(Table3[[#This Row],[Amount 12]],Table310[[#This Row],[Amount 12]],Table315[[#This Row],[Amount 12]]),0)</f>
        <v>0</v>
      </c>
      <c r="P13" s="123">
        <f>IFERROR(AVERAGE(Table3[[#This Row],[Amount 13]],Table310[[#This Row],[Amount 13]],Table315[[#This Row],[Amount 13]]),0)</f>
        <v>0</v>
      </c>
      <c r="Q13" s="123">
        <f>IFERROR(AVERAGE(Table3[[#This Row],[Amount 14]],Table310[[#This Row],[Amount 14]],Table315[[#This Row],[Amount 14]]),0)</f>
        <v>0</v>
      </c>
      <c r="R13" s="123">
        <f>IFERROR(AVERAGE(Table3[[#This Row],[Amount 15]],Table310[[#This Row],[Amount 15]],Table315[[#This Row],[Amount 15]]),0)</f>
        <v>0</v>
      </c>
      <c r="S13" s="123">
        <f>IFERROR(AVERAGE(Table3[[#This Row],[Amount 16]],Table310[[#This Row],[Amount 16]],Table315[[#This Row],[Amount 16]]),0)</f>
        <v>0</v>
      </c>
      <c r="T13" s="18">
        <f>IFERROR(AVERAGE(Table3[[#This Row],[Amount 17]],Table310[[#This Row],[Amount 17]],Table315[[#This Row],[Amount 17]]),0)</f>
        <v>0</v>
      </c>
      <c r="U13" s="18">
        <f>IFERROR(AVERAGE(Table3[[#This Row],[Amount 18]],Table310[[#This Row],[Amount 18]],Table315[[#This Row],[Amount 18]]),0)</f>
        <v>0</v>
      </c>
      <c r="V13" s="18">
        <f>IFERROR(AVERAGE(Table3[[#This Row],[Amount 19]],Table310[[#This Row],[Amount 19]],Table315[[#This Row],[Amount 19]]),0)</f>
        <v>0</v>
      </c>
      <c r="W13" s="123">
        <f>IFERROR(AVERAGE(Table3[[#This Row],[Ret.Time ]],Table310[[#This Row],[Ret.Time ]],Table315[[#This Row],[Ret.Time ]]),0)</f>
        <v>0</v>
      </c>
      <c r="X13" s="123">
        <f>IFERROR(AVERAGE(Table3[[#This Row],[Amount 20]],Table310[[#This Row],[Amount 20]],Table315[[#This Row],[Amount 20]]),0)</f>
        <v>0</v>
      </c>
      <c r="Y13" s="123">
        <f>IFERROR(AVERAGE(Table3[[#This Row],[Ret.Time]],Table310[[#This Row],[Ret.Time]],Table315[[#This Row],[Ret.Time]]),0)</f>
        <v>0</v>
      </c>
      <c r="Z13" s="123">
        <f>IFERROR(AVERAGE(Table3[[#This Row],[Amount 21]],Table310[[#This Row],[Amount 21]],Table315[[#This Row],[Amount 21]]),0)</f>
        <v>0</v>
      </c>
      <c r="AA13" s="123">
        <f>IFERROR(AVERAGE(Table3[[#This Row],[Ret.Time22]],Table310[[#This Row],[Ret.Time22]],Table315[[#This Row],[Ret.Time22]]),0)</f>
        <v>0</v>
      </c>
      <c r="AB13" s="123">
        <f>IFERROR(AVERAGE(Table3[[#This Row],[Amount 23]],Table310[[#This Row],[Amount 23]],Table315[[#This Row],[Amount 23]]),0)</f>
        <v>0</v>
      </c>
      <c r="AC13" s="123">
        <f>IFERROR(AVERAGE(Table3[[#This Row],[Ret.Time24]],Table310[[#This Row],[Ret.Time24]],Table315[[#This Row],[Ret.Time24]]),0)</f>
        <v>0</v>
      </c>
      <c r="AD13" s="123">
        <f>IFERROR(AVERAGE(Table3[[#This Row],[Amount 25]],Table310[[#This Row],[Amount 25]],Table315[[#This Row],[Amount 25]]),0)</f>
        <v>0</v>
      </c>
      <c r="AE13" s="18">
        <f>IFERROR(AVERAGE(Table3[[#This Row],[pH]],Table310[[#This Row],[pH]],Table315[[#This Row],[pH]]),0)</f>
        <v>2.6633333333333336</v>
      </c>
      <c r="AF13" s="18">
        <f>IFERROR(AVERAGE(Table3[[#This Row],[dilution ]],Table310[[#This Row],[dilution ]],Table315[[#This Row],[dilution ]]),0)</f>
        <v>100</v>
      </c>
      <c r="AG13" s="18">
        <f>IFERROR(AVERAGE(Table3[[#This Row],[correction factor]],Table310[[#This Row],[correction]],Table315[[#This Row],[correction]]),0)</f>
        <v>1</v>
      </c>
      <c r="AH13" s="18">
        <f>IFERROR(AVERAGE(Table3[[#This Row],[amount]],Table310[[#This Row],[amount]],Table315[[#This Row],[amount]]),0)</f>
        <v>53.204799999999999</v>
      </c>
      <c r="AI13" s="18">
        <f>IFERROR(AVERAGE(Table3[[#This Row],[pressure]],Table310[[#This Row],[pressure]],Table315[[#This Row],[pressure]]),0)</f>
        <v>0</v>
      </c>
      <c r="AJ13" s="64" t="e">
        <f>IF(D13="nd","nd",D13*$C13/constants!$B$3)</f>
        <v>#DIV/0!</v>
      </c>
      <c r="AK13" s="64" t="e">
        <f>IF(E13="nd","nd",E13*$C13/constants!$B$6)</f>
        <v>#DIV/0!</v>
      </c>
      <c r="AL13" s="64" t="e">
        <f>IF(F13="nd","nd",F13*$C13/constants!$B$7)</f>
        <v>#DIV/0!</v>
      </c>
      <c r="AM13" s="64" t="e">
        <f>IF(G13="nd","nd",G13*$C13/constants!$B$8)</f>
        <v>#DIV/0!</v>
      </c>
      <c r="AN13" s="64" t="e">
        <f>IF(H13="nd","nd",H13*$C13/constants!$B$9)</f>
        <v>#DIV/0!</v>
      </c>
      <c r="AO13" s="64" t="e">
        <f>IF(I13="nd","nd",I13*$C13/constants!$B$10)</f>
        <v>#DIV/0!</v>
      </c>
      <c r="AP13" s="162">
        <f>IF(J13="nd","nd",J13*$C13/constants!$B$5)</f>
        <v>0</v>
      </c>
      <c r="AQ13" s="162">
        <f t="shared" si="1"/>
        <v>0</v>
      </c>
      <c r="AR13" s="162">
        <f t="shared" si="2"/>
        <v>0</v>
      </c>
      <c r="AS13" s="162">
        <f t="shared" si="3"/>
        <v>0</v>
      </c>
      <c r="AT13" s="162">
        <f t="shared" si="4"/>
        <v>0</v>
      </c>
      <c r="AU13" s="162">
        <f t="shared" si="5"/>
        <v>0</v>
      </c>
      <c r="AV13" s="162">
        <f t="shared" si="6"/>
        <v>0</v>
      </c>
      <c r="AW13" s="162">
        <f t="shared" si="7"/>
        <v>0</v>
      </c>
      <c r="AX13" s="162">
        <f t="shared" si="8"/>
        <v>0</v>
      </c>
      <c r="AY13" s="162">
        <f>IF(S13="nd","nd",S13*$C13/constants!$B$15)</f>
        <v>0</v>
      </c>
      <c r="AZ13" s="64">
        <f>IF(AH13="nd","nd",AH13*Table31520253035404550556065[[#This Row],[dilution ]]/constants!$B$3)</f>
        <v>166.04706322951125</v>
      </c>
      <c r="BA13" s="64">
        <f>AVERAGE(Table5[[#This Row],[Concentration172]],Table511[[#This Row],[Concentration172]],Table516[[#This Row],[Concentration172]])</f>
        <v>5.3204799999999999</v>
      </c>
      <c r="BB13" s="64">
        <f>IFERROR(AVERAGE(#REF!,#REF!,#REF!),0)</f>
        <v>0</v>
      </c>
      <c r="BC13" s="64"/>
      <c r="BD13" s="112" t="e">
        <f>(Table51621263136414651566166[[#This Row],[Concentration]]*constants!$C$3)/1000</f>
        <v>#DIV/0!</v>
      </c>
      <c r="BE13" s="112" t="e">
        <f>(Table51621263136414651566166[[#This Row],[Concentration2]]*constants!$C$6)/1000</f>
        <v>#DIV/0!</v>
      </c>
      <c r="BF13" s="112" t="e">
        <f>(Table51621263136414651566166[[#This Row],[Concentration3]]*constants!$C$7)/1000</f>
        <v>#DIV/0!</v>
      </c>
      <c r="BG13" s="112" t="e">
        <f>(Table51621263136414651566166[[#This Row],[Concentration4]]*constants!$C$8)/1000</f>
        <v>#DIV/0!</v>
      </c>
      <c r="BH13" s="112" t="e">
        <f>(Table51621263136414651566166[[#This Row],[Concentration5]]*constants!$C$9)/1000</f>
        <v>#DIV/0!</v>
      </c>
      <c r="BI13" s="112" t="e">
        <f>(Table51621263136414651566166[[#This Row],[Concentration6]]*constants!$C$10)/1000</f>
        <v>#DIV/0!</v>
      </c>
      <c r="BJ13" s="112"/>
      <c r="BK13" s="112"/>
      <c r="BL13" s="112"/>
      <c r="BM13" s="112"/>
      <c r="BN13" s="112"/>
      <c r="BO13" s="112"/>
      <c r="BP13" s="112"/>
      <c r="BQ13" s="112"/>
      <c r="BR13" s="112"/>
      <c r="BS13" s="112"/>
      <c r="BT13" s="152" t="e">
        <f>Table61722273237424752576267[[#This Row],[Concentration17]]*1000</f>
        <v>#REF!</v>
      </c>
      <c r="BU13" s="112" t="e">
        <f>AVERAGE(#REF!,#REF!,#REF!)</f>
        <v>#REF!</v>
      </c>
      <c r="BV13" s="47">
        <f>Table51621263136414651566166[[#This Row],[Concentration18]]</f>
        <v>0</v>
      </c>
      <c r="BW13" s="47">
        <f>SUM(IFERROR(Table61722273237424752576267[[#This Row],[Concentration7]],0),IFERROR(Table61722273237424752576267[[#This Row],[Concentration8]],0),IFERROR(Table61722273237424752576267[[#This Row],[Concentration9]],0),IFERROR(Table61722273237424752576267[[#This Row],[Concentration10]],0),IFERROR(Table61722273237424752576267[[#This Row],[Concentration11]],0),IFERROR(Table61722273237424752576267[[#This Row],[Concentration12]],0),IFERROR(Table61722273237424752576267[[#This Row],[Concentration13]],0),IFERROR(Table61722273237424752576267[[#This Row],[Concentration14]],0),IFERROR(Table61722273237424752576267[[#This Row],[Concentration15]],0),IFERROR(Table61722273237424752576267[[#This Row],[Concentration16]],0),Table61722273237424752576267[[#This Row],[concentration18]])</f>
        <v>0</v>
      </c>
      <c r="BY13" s="47" t="e">
        <f>100*Table61722273237424752576267[[#This Row],[TOTAL]]/(Table61722273237424752576267[[#This Row],[TOTAL]]+Table61722273237424752576267[[#This Row],[concentration19]])</f>
        <v>#DIV/0!</v>
      </c>
      <c r="BZ13" s="66"/>
      <c r="CC13" s="178">
        <f>Table51621263136414651566166[[#This Row],[Concentration172]]</f>
        <v>5.3204799999999999</v>
      </c>
      <c r="CD13" s="66">
        <f t="shared" si="9"/>
        <v>44</v>
      </c>
      <c r="CE13" s="47">
        <v>1.5</v>
      </c>
      <c r="CF13" s="66">
        <f t="shared" si="10"/>
        <v>7.9807200000000002E-3</v>
      </c>
    </row>
    <row r="14" spans="1:90" s="66" customFormat="1" ht="16" thickBot="1" x14ac:dyDescent="0.4">
      <c r="A14" s="63">
        <f>Table2[[#This Row],[Date]]</f>
        <v>43163</v>
      </c>
      <c r="B14" s="74">
        <f>Table2[[#This Row],[Time]]</f>
        <v>15</v>
      </c>
      <c r="C14" s="41">
        <f>Table3[[#This Row],[Dilution]]</f>
        <v>0</v>
      </c>
      <c r="D14" s="123" t="e">
        <f>AVERAGE(Table3[[#This Row],[Amount ]],Table310[[#This Row],[Amount ]],Table315[[#This Row],[Amount ]])</f>
        <v>#DIV/0!</v>
      </c>
      <c r="E14" s="123" t="e">
        <f>AVERAGE(Table3[[#This Row],[Amount 2]],Table310[[#This Row],[Amount 2]],Table315[[#This Row],[Amount 2]])</f>
        <v>#DIV/0!</v>
      </c>
      <c r="F14" s="123" t="e">
        <f>AVERAGE(Table3[[#This Row],[Amount 3]],Table310[[#This Row],[Amount 3]],Table315[[#This Row],[Amount 3]])</f>
        <v>#DIV/0!</v>
      </c>
      <c r="G14" s="123" t="e">
        <f>AVERAGE(Table3[[#This Row],[Amount 4]],Table310[[#This Row],[Amount 4]],Table315[[#This Row],[Amount 4]])</f>
        <v>#DIV/0!</v>
      </c>
      <c r="H14" s="123" t="e">
        <f>AVERAGE(Table3[[#This Row],[Amount 5]],Table310[[#This Row],[Amount 5]],Table315[[#This Row],[Amount 5]])</f>
        <v>#DIV/0!</v>
      </c>
      <c r="I14" s="123" t="e">
        <f>AVERAGE(Table3[[#This Row],[Amount 6]],Table310[[#This Row],[Amount 6]],Table315[[#This Row],[Amount 6]])</f>
        <v>#DIV/0!</v>
      </c>
      <c r="J14" s="123">
        <f>IFERROR(AVERAGE(Table3[[#This Row],[Amount 7]],Table310[[#This Row],[Amount 7]],Table315[[#This Row],[Amount 7]]),0)</f>
        <v>0</v>
      </c>
      <c r="K14" s="123">
        <f>IFERROR(AVERAGE(Table3[[#This Row],[Amount 8]],Table310[[#This Row],[Amount 8]],Table315[[#This Row],[Amount 8]]),0)</f>
        <v>0</v>
      </c>
      <c r="L14" s="123">
        <f>IFERROR(AVERAGE(Table3[[#This Row],[Amount 9]],Table310[[#This Row],[Amount 9]],Table315[[#This Row],[Amount 9]]),0)</f>
        <v>0</v>
      </c>
      <c r="M14" s="123">
        <f>IFERROR(AVERAGE(Table3[[#This Row],[Amount 10]],Table310[[#This Row],[Amount 10]],Table315[[#This Row],[Amount 10]]),0)</f>
        <v>0</v>
      </c>
      <c r="N14" s="123">
        <f>IFERROR(AVERAGE(Table3[[#This Row],[Amount 11]],Table310[[#This Row],[Amount 11]],Table315[[#This Row],[Amount 11]]),0)</f>
        <v>0</v>
      </c>
      <c r="O14" s="123">
        <f>IFERROR(AVERAGE(Table3[[#This Row],[Amount 12]],Table310[[#This Row],[Amount 12]],Table315[[#This Row],[Amount 12]]),0)</f>
        <v>0</v>
      </c>
      <c r="P14" s="123">
        <f>IFERROR(AVERAGE(Table3[[#This Row],[Amount 13]],Table310[[#This Row],[Amount 13]],Table315[[#This Row],[Amount 13]]),0)</f>
        <v>0</v>
      </c>
      <c r="Q14" s="123">
        <f>IFERROR(AVERAGE(Table3[[#This Row],[Amount 14]],Table310[[#This Row],[Amount 14]],Table315[[#This Row],[Amount 14]]),0)</f>
        <v>0</v>
      </c>
      <c r="R14" s="123">
        <f>IFERROR(AVERAGE(Table3[[#This Row],[Amount 15]],Table310[[#This Row],[Amount 15]],Table315[[#This Row],[Amount 15]]),0)</f>
        <v>0</v>
      </c>
      <c r="S14" s="123">
        <f>IFERROR(AVERAGE(Table3[[#This Row],[Amount 16]],Table310[[#This Row],[Amount 16]],Table315[[#This Row],[Amount 16]]),0)</f>
        <v>0</v>
      </c>
      <c r="T14" s="18">
        <f>IFERROR(AVERAGE(Table3[[#This Row],[Amount 17]],Table310[[#This Row],[Amount 17]],Table315[[#This Row],[Amount 17]]),0)</f>
        <v>0</v>
      </c>
      <c r="U14" s="18">
        <f>IFERROR(AVERAGE(Table3[[#This Row],[Amount 18]],Table310[[#This Row],[Amount 18]],Table315[[#This Row],[Amount 18]]),0)</f>
        <v>0</v>
      </c>
      <c r="V14" s="18">
        <f>IFERROR(AVERAGE(Table3[[#This Row],[Amount 19]],Table310[[#This Row],[Amount 19]],Table315[[#This Row],[Amount 19]]),0)</f>
        <v>0</v>
      </c>
      <c r="W14" s="123">
        <f>IFERROR(AVERAGE(Table3[[#This Row],[Ret.Time ]],Table310[[#This Row],[Ret.Time ]],Table315[[#This Row],[Ret.Time ]]),0)</f>
        <v>0</v>
      </c>
      <c r="X14" s="123">
        <f>IFERROR(AVERAGE(Table3[[#This Row],[Amount 20]],Table310[[#This Row],[Amount 20]],Table315[[#This Row],[Amount 20]]),0)</f>
        <v>0</v>
      </c>
      <c r="Y14" s="123">
        <f>IFERROR(AVERAGE(Table3[[#This Row],[Ret.Time]],Table310[[#This Row],[Ret.Time]],Table315[[#This Row],[Ret.Time]]),0)</f>
        <v>0</v>
      </c>
      <c r="Z14" s="123">
        <f>IFERROR(AVERAGE(Table3[[#This Row],[Amount 21]],Table310[[#This Row],[Amount 21]],Table315[[#This Row],[Amount 21]]),0)</f>
        <v>0</v>
      </c>
      <c r="AA14" s="123">
        <f>IFERROR(AVERAGE(Table3[[#This Row],[Ret.Time22]],Table310[[#This Row],[Ret.Time22]],Table315[[#This Row],[Ret.Time22]]),0)</f>
        <v>0</v>
      </c>
      <c r="AB14" s="123">
        <f>IFERROR(AVERAGE(Table3[[#This Row],[Amount 23]],Table310[[#This Row],[Amount 23]],Table315[[#This Row],[Amount 23]]),0)</f>
        <v>0</v>
      </c>
      <c r="AC14" s="123">
        <f>IFERROR(AVERAGE(Table3[[#This Row],[Ret.Time24]],Table310[[#This Row],[Ret.Time24]],Table315[[#This Row],[Ret.Time24]]),0)</f>
        <v>0</v>
      </c>
      <c r="AD14" s="123">
        <f>IFERROR(AVERAGE(Table3[[#This Row],[Amount 25]],Table310[[#This Row],[Amount 25]],Table315[[#This Row],[Amount 25]]),0)</f>
        <v>0</v>
      </c>
      <c r="AE14" s="18">
        <f>IFERROR(AVERAGE(Table3[[#This Row],[pH]],Table310[[#This Row],[pH]],Table315[[#This Row],[pH]]),0)</f>
        <v>2.41</v>
      </c>
      <c r="AF14" s="18">
        <f>IFERROR(AVERAGE(Table3[[#This Row],[dilution ]],Table310[[#This Row],[dilution ]],Table315[[#This Row],[dilution ]]),0)</f>
        <v>200</v>
      </c>
      <c r="AG14" s="18">
        <f>IFERROR(AVERAGE(Table3[[#This Row],[correction factor]],Table310[[#This Row],[correction]],Table315[[#This Row],[correction]]),0)</f>
        <v>1</v>
      </c>
      <c r="AH14" s="18">
        <f>IFERROR(AVERAGE(Table3[[#This Row],[amount]],Table310[[#This Row],[amount]],Table315[[#This Row],[amount]]),0)</f>
        <v>117.74836666666666</v>
      </c>
      <c r="AI14" s="18">
        <f>IFERROR(AVERAGE(Table3[[#This Row],[pressure]],Table310[[#This Row],[pressure]],Table315[[#This Row],[pressure]]),0)</f>
        <v>0</v>
      </c>
      <c r="AJ14" s="64" t="e">
        <f>IF(D14="nd","nd",D14*$C14/constants!$B$3)</f>
        <v>#DIV/0!</v>
      </c>
      <c r="AK14" s="64" t="e">
        <f>IF(E14="nd","nd",E14*$C14/constants!$B$6)</f>
        <v>#DIV/0!</v>
      </c>
      <c r="AL14" s="64" t="e">
        <f>IF(F14="nd","nd",F14*$C14/constants!$B$7)</f>
        <v>#DIV/0!</v>
      </c>
      <c r="AM14" s="64" t="e">
        <f>IF(G14="nd","nd",G14*$C14/constants!$B$8)</f>
        <v>#DIV/0!</v>
      </c>
      <c r="AN14" s="64" t="e">
        <f>IF(H14="nd","nd",H14*$C14/constants!$B$9)</f>
        <v>#DIV/0!</v>
      </c>
      <c r="AO14" s="64" t="e">
        <f>IF(I14="nd","nd",I14*$C14/constants!$B$10)</f>
        <v>#DIV/0!</v>
      </c>
      <c r="AP14" s="162">
        <f>IF(J14="nd","nd",J14*$C14/constants!$B$5)</f>
        <v>0</v>
      </c>
      <c r="AQ14" s="162">
        <f t="shared" si="1"/>
        <v>0</v>
      </c>
      <c r="AR14" s="162">
        <f t="shared" si="2"/>
        <v>0</v>
      </c>
      <c r="AS14" s="162">
        <f t="shared" si="3"/>
        <v>0</v>
      </c>
      <c r="AT14" s="162">
        <f t="shared" si="4"/>
        <v>0</v>
      </c>
      <c r="AU14" s="162">
        <f t="shared" si="5"/>
        <v>0</v>
      </c>
      <c r="AV14" s="162">
        <f t="shared" si="6"/>
        <v>0</v>
      </c>
      <c r="AW14" s="162">
        <f t="shared" si="7"/>
        <v>0</v>
      </c>
      <c r="AX14" s="162">
        <f t="shared" si="8"/>
        <v>0</v>
      </c>
      <c r="AY14" s="162">
        <f>IF(S14="nd","nd",S14*$C14/constants!$B$15)</f>
        <v>0</v>
      </c>
      <c r="AZ14" s="64">
        <f>IF(AH14="nd","nd",AH14*Table31520253035404550556065[[#This Row],[dilution ]]/constants!$B$3)</f>
        <v>734.96265318436213</v>
      </c>
      <c r="BA14" s="64">
        <f>AVERAGE(Table5[[#This Row],[Concentration172]],Table511[[#This Row],[Concentration172]],Table516[[#This Row],[Concentration172]])</f>
        <v>23.549673333333331</v>
      </c>
      <c r="BB14" s="64">
        <f>IFERROR(AVERAGE(#REF!,#REF!,#REF!),0)</f>
        <v>0</v>
      </c>
      <c r="BC14" s="64"/>
      <c r="BD14" s="112" t="e">
        <f>(Table51621263136414651566166[[#This Row],[Concentration]]*constants!$C$3)/1000</f>
        <v>#DIV/0!</v>
      </c>
      <c r="BE14" s="112" t="e">
        <f>(Table51621263136414651566166[[#This Row],[Concentration2]]*constants!$C$6)/1000</f>
        <v>#DIV/0!</v>
      </c>
      <c r="BF14" s="112" t="e">
        <f>(Table51621263136414651566166[[#This Row],[Concentration3]]*constants!$C$7)/1000</f>
        <v>#DIV/0!</v>
      </c>
      <c r="BG14" s="112" t="e">
        <f>(Table51621263136414651566166[[#This Row],[Concentration4]]*constants!$C$8)/1000</f>
        <v>#DIV/0!</v>
      </c>
      <c r="BH14" s="112" t="e">
        <f>(Table51621263136414651566166[[#This Row],[Concentration5]]*constants!$C$9)/1000</f>
        <v>#DIV/0!</v>
      </c>
      <c r="BI14" s="112" t="e">
        <f>(Table51621263136414651566166[[#This Row],[Concentration6]]*constants!$C$10)/1000</f>
        <v>#DIV/0!</v>
      </c>
      <c r="BJ14" s="112"/>
      <c r="BK14" s="112"/>
      <c r="BL14" s="112"/>
      <c r="BM14" s="112"/>
      <c r="BN14" s="112"/>
      <c r="BO14" s="112"/>
      <c r="BP14" s="112"/>
      <c r="BQ14" s="112"/>
      <c r="BR14" s="112"/>
      <c r="BS14" s="112"/>
      <c r="BT14" s="152" t="e">
        <f>Table61722273237424752576267[[#This Row],[Concentration17]]*1000</f>
        <v>#REF!</v>
      </c>
      <c r="BU14" s="112" t="e">
        <f>AVERAGE(#REF!,#REF!,#REF!)</f>
        <v>#REF!</v>
      </c>
      <c r="BV14" s="47">
        <f>Table51621263136414651566166[[#This Row],[Concentration18]]</f>
        <v>0</v>
      </c>
      <c r="BW14" s="47">
        <f>SUM(IFERROR(Table61722273237424752576267[[#This Row],[Concentration7]],0),IFERROR(Table61722273237424752576267[[#This Row],[Concentration8]],0),IFERROR(Table61722273237424752576267[[#This Row],[Concentration9]],0),IFERROR(Table61722273237424752576267[[#This Row],[Concentration10]],0),IFERROR(Table61722273237424752576267[[#This Row],[Concentration11]],0),IFERROR(Table61722273237424752576267[[#This Row],[Concentration12]],0),IFERROR(Table61722273237424752576267[[#This Row],[Concentration13]],0),IFERROR(Table61722273237424752576267[[#This Row],[Concentration14]],0),IFERROR(Table61722273237424752576267[[#This Row],[Concentration15]],0),IFERROR(Table61722273237424752576267[[#This Row],[Concentration16]],0),Table61722273237424752576267[[#This Row],[concentration18]])</f>
        <v>0</v>
      </c>
      <c r="BX14" s="47"/>
      <c r="BY14" s="66" t="e">
        <f>100*Table61722273237424752576267[[#This Row],[TOTAL]]/(Table61722273237424752576267[[#This Row],[TOTAL]]+Table61722273237424752576267[[#This Row],[concentration19]])</f>
        <v>#DIV/0!</v>
      </c>
      <c r="CC14" s="178">
        <f>Table51621263136414651566166[[#This Row],[Concentration172]]</f>
        <v>23.549673333333331</v>
      </c>
      <c r="CD14" s="66">
        <f t="shared" si="9"/>
        <v>42.5</v>
      </c>
      <c r="CE14" s="47">
        <v>1.5</v>
      </c>
      <c r="CF14" s="66">
        <f t="shared" si="10"/>
        <v>3.5324509999999996E-2</v>
      </c>
    </row>
    <row r="15" spans="1:90" s="47" customFormat="1" ht="16" thickBot="1" x14ac:dyDescent="0.4">
      <c r="A15" s="63">
        <f>Table2[[#This Row],[Date]]</f>
        <v>43347</v>
      </c>
      <c r="B15" s="166">
        <f>Table2[[#This Row],[Time]]</f>
        <v>21</v>
      </c>
      <c r="C15" s="41">
        <f>Table3[[#This Row],[Dilution]]</f>
        <v>0</v>
      </c>
      <c r="D15" s="123" t="e">
        <f>AVERAGE(Table3[[#This Row],[Amount ]],Table310[[#This Row],[Amount ]],Table315[[#This Row],[Amount ]])</f>
        <v>#DIV/0!</v>
      </c>
      <c r="E15" s="123" t="e">
        <f>AVERAGE(Table3[[#This Row],[Amount 2]],Table310[[#This Row],[Amount 2]],Table315[[#This Row],[Amount 2]])</f>
        <v>#DIV/0!</v>
      </c>
      <c r="F15" s="123" t="e">
        <f>AVERAGE(Table3[[#This Row],[Amount 3]],Table310[[#This Row],[Amount 3]],Table315[[#This Row],[Amount 3]])</f>
        <v>#DIV/0!</v>
      </c>
      <c r="G15" s="123" t="e">
        <f>AVERAGE(Table3[[#This Row],[Amount 4]],Table310[[#This Row],[Amount 4]],Table315[[#This Row],[Amount 4]])</f>
        <v>#DIV/0!</v>
      </c>
      <c r="H15" s="123" t="e">
        <f>AVERAGE(Table3[[#This Row],[Amount 5]],Table310[[#This Row],[Amount 5]],Table315[[#This Row],[Amount 5]])</f>
        <v>#DIV/0!</v>
      </c>
      <c r="I15" s="123" t="e">
        <f>AVERAGE(Table3[[#This Row],[Amount 6]],Table310[[#This Row],[Amount 6]],Table315[[#This Row],[Amount 6]])</f>
        <v>#DIV/0!</v>
      </c>
      <c r="J15" s="123">
        <f>IFERROR(AVERAGE(Table3[[#This Row],[Amount 7]],Table310[[#This Row],[Amount 7]],Table315[[#This Row],[Amount 7]]),0)</f>
        <v>0</v>
      </c>
      <c r="K15" s="123">
        <f>IFERROR(AVERAGE(Table3[[#This Row],[Amount 8]],Table310[[#This Row],[Amount 8]],Table315[[#This Row],[Amount 8]]),0)</f>
        <v>0</v>
      </c>
      <c r="L15" s="123">
        <f>IFERROR(AVERAGE(Table3[[#This Row],[Amount 9]],Table310[[#This Row],[Amount 9]],Table315[[#This Row],[Amount 9]]),0)</f>
        <v>0</v>
      </c>
      <c r="M15" s="123">
        <f>IFERROR(AVERAGE(Table3[[#This Row],[Amount 10]],Table310[[#This Row],[Amount 10]],Table315[[#This Row],[Amount 10]]),0)</f>
        <v>0</v>
      </c>
      <c r="N15" s="123">
        <f>IFERROR(AVERAGE(Table3[[#This Row],[Amount 11]],Table310[[#This Row],[Amount 11]],Table315[[#This Row],[Amount 11]]),0)</f>
        <v>0</v>
      </c>
      <c r="O15" s="123">
        <f>IFERROR(AVERAGE(Table3[[#This Row],[Amount 12]],Table310[[#This Row],[Amount 12]],Table315[[#This Row],[Amount 12]]),0)</f>
        <v>0</v>
      </c>
      <c r="P15" s="123">
        <f>IFERROR(AVERAGE(Table3[[#This Row],[Amount 13]],Table310[[#This Row],[Amount 13]],Table315[[#This Row],[Amount 13]]),0)</f>
        <v>0</v>
      </c>
      <c r="Q15" s="123">
        <f>IFERROR(AVERAGE(Table3[[#This Row],[Amount 14]],Table310[[#This Row],[Amount 14]],Table315[[#This Row],[Amount 14]]),0)</f>
        <v>0</v>
      </c>
      <c r="R15" s="123">
        <f>IFERROR(AVERAGE(Table3[[#This Row],[Amount 15]],Table310[[#This Row],[Amount 15]],Table315[[#This Row],[Amount 15]]),0)</f>
        <v>0</v>
      </c>
      <c r="S15" s="123">
        <f>IFERROR(AVERAGE(Table3[[#This Row],[Amount 16]],Table310[[#This Row],[Amount 16]],Table315[[#This Row],[Amount 16]]),0)</f>
        <v>0</v>
      </c>
      <c r="T15" s="18">
        <f>IFERROR(AVERAGE(Table3[[#This Row],[Amount 17]],Table310[[#This Row],[Amount 17]],Table315[[#This Row],[Amount 17]]),0)</f>
        <v>0</v>
      </c>
      <c r="U15" s="18">
        <f>IFERROR(AVERAGE(Table3[[#This Row],[Amount 18]],Table310[[#This Row],[Amount 18]],Table315[[#This Row],[Amount 18]]),0)</f>
        <v>0</v>
      </c>
      <c r="V15" s="18">
        <f>IFERROR(AVERAGE(Table3[[#This Row],[Amount 19]],Table310[[#This Row],[Amount 19]],Table315[[#This Row],[Amount 19]]),0)</f>
        <v>0</v>
      </c>
      <c r="W15" s="123">
        <f>IFERROR(AVERAGE(Table3[[#This Row],[Ret.Time ]],Table310[[#This Row],[Ret.Time ]],Table315[[#This Row],[Ret.Time ]]),0)</f>
        <v>0</v>
      </c>
      <c r="X15" s="123">
        <f>IFERROR(AVERAGE(Table3[[#This Row],[Amount 20]],Table310[[#This Row],[Amount 20]],Table315[[#This Row],[Amount 20]]),0)</f>
        <v>0</v>
      </c>
      <c r="Y15" s="123">
        <f>IFERROR(AVERAGE(Table3[[#This Row],[Ret.Time]],Table310[[#This Row],[Ret.Time]],Table315[[#This Row],[Ret.Time]]),0)</f>
        <v>0</v>
      </c>
      <c r="Z15" s="123">
        <f>IFERROR(AVERAGE(Table3[[#This Row],[Amount 21]],Table310[[#This Row],[Amount 21]],Table315[[#This Row],[Amount 21]]),0)</f>
        <v>0</v>
      </c>
      <c r="AA15" s="123">
        <f>IFERROR(AVERAGE(Table3[[#This Row],[Ret.Time22]],Table310[[#This Row],[Ret.Time22]],Table315[[#This Row],[Ret.Time22]]),0)</f>
        <v>0</v>
      </c>
      <c r="AB15" s="123">
        <f>IFERROR(AVERAGE(Table3[[#This Row],[Amount 23]],Table310[[#This Row],[Amount 23]],Table315[[#This Row],[Amount 23]]),0)</f>
        <v>0</v>
      </c>
      <c r="AC15" s="123">
        <f>IFERROR(AVERAGE(Table3[[#This Row],[Ret.Time24]],Table310[[#This Row],[Ret.Time24]],Table315[[#This Row],[Ret.Time24]]),0)</f>
        <v>0</v>
      </c>
      <c r="AD15" s="123">
        <f>IFERROR(AVERAGE(Table3[[#This Row],[Amount 25]],Table310[[#This Row],[Amount 25]],Table315[[#This Row],[Amount 25]]),0)</f>
        <v>0</v>
      </c>
      <c r="AE15" s="18">
        <f>IFERROR(AVERAGE(Table3[[#This Row],[pH]],Table310[[#This Row],[pH]],Table315[[#This Row],[pH]]),0)</f>
        <v>2.4033333333333333</v>
      </c>
      <c r="AF15" s="18">
        <f>IFERROR(AVERAGE(Table3[[#This Row],[dilution ]],Table310[[#This Row],[dilution ]],Table315[[#This Row],[dilution ]]),0)</f>
        <v>166.66666666666666</v>
      </c>
      <c r="AG15" s="18">
        <f>IFERROR(AVERAGE(Table3[[#This Row],[correction factor]],Table310[[#This Row],[correction]],Table315[[#This Row],[correction]]),0)</f>
        <v>1</v>
      </c>
      <c r="AH15" s="18">
        <f>IFERROR(AVERAGE(Table3[[#This Row],[amount]],Table310[[#This Row],[amount]],Table315[[#This Row],[amount]]),0)</f>
        <v>205.53666666666663</v>
      </c>
      <c r="AI15" s="18">
        <f>IFERROR(AVERAGE(Table3[[#This Row],[pressure]],Table310[[#This Row],[pressure]],Table315[[#This Row],[pressure]]),0)</f>
        <v>0</v>
      </c>
      <c r="AJ15" s="64" t="e">
        <f>IF(D15="nd","nd",D15*$C15/constants!$B$3)</f>
        <v>#DIV/0!</v>
      </c>
      <c r="AK15" s="64" t="e">
        <f>IF(E15="nd","nd",E15*$C15/constants!$B$6)</f>
        <v>#DIV/0!</v>
      </c>
      <c r="AL15" s="64" t="e">
        <f>IF(F15="nd","nd",F15*$C15/constants!$B$7)</f>
        <v>#DIV/0!</v>
      </c>
      <c r="AM15" s="64" t="e">
        <f>IF(G15="nd","nd",G15*$C15/constants!$B$8)</f>
        <v>#DIV/0!</v>
      </c>
      <c r="AN15" s="64" t="e">
        <f>IF(H15="nd","nd",H15*$C15/constants!$B$9)</f>
        <v>#DIV/0!</v>
      </c>
      <c r="AO15" s="64" t="e">
        <f>IF(I15="nd","nd",I15*$C15/constants!$B$10)</f>
        <v>#DIV/0!</v>
      </c>
      <c r="AP15" s="162">
        <f t="shared" ref="AP15:AP23" si="11">IF(J15="nd","nd",J15*$C15/1000)</f>
        <v>0</v>
      </c>
      <c r="AQ15" s="162">
        <f t="shared" si="1"/>
        <v>0</v>
      </c>
      <c r="AR15" s="162">
        <f t="shared" si="2"/>
        <v>0</v>
      </c>
      <c r="AS15" s="162">
        <f t="shared" si="3"/>
        <v>0</v>
      </c>
      <c r="AT15" s="162">
        <f t="shared" si="4"/>
        <v>0</v>
      </c>
      <c r="AU15" s="162">
        <f t="shared" si="5"/>
        <v>0</v>
      </c>
      <c r="AV15" s="162">
        <f t="shared" si="6"/>
        <v>0</v>
      </c>
      <c r="AW15" s="162">
        <f t="shared" si="7"/>
        <v>0</v>
      </c>
      <c r="AX15" s="162">
        <f t="shared" si="8"/>
        <v>0</v>
      </c>
      <c r="AY15" s="162">
        <f>IF(S15="nd","nd",S15*$C15/constants!$B$15)</f>
        <v>0</v>
      </c>
      <c r="AZ15" s="64">
        <f>IF(AH15="nd","nd",AH15*Table31520253035404550556065[[#This Row],[dilution ]]/constants!$B$3)</f>
        <v>1069.1002781072061</v>
      </c>
      <c r="BA15" s="64">
        <f>AVERAGE(Table5[[#This Row],[Concentration172]],Table511[[#This Row],[Concentration172]],Table516[[#This Row],[Concentration172]])</f>
        <v>26.574333333333332</v>
      </c>
      <c r="BB15" s="64">
        <f>IFERROR(AVERAGE(#REF!,#REF!,#REF!),0)</f>
        <v>0</v>
      </c>
      <c r="BC15" s="64"/>
      <c r="BD15" s="112" t="e">
        <f>(Table51621263136414651566166[[#This Row],[Concentration]]*constants!$C$3)/1000</f>
        <v>#DIV/0!</v>
      </c>
      <c r="BE15" s="112" t="e">
        <f>(Table51621263136414651566166[[#This Row],[Concentration2]]*constants!$C$6)/1000</f>
        <v>#DIV/0!</v>
      </c>
      <c r="BF15" s="112" t="e">
        <f>(Table51621263136414651566166[[#This Row],[Concentration3]]*constants!$C$7)/1000</f>
        <v>#DIV/0!</v>
      </c>
      <c r="BG15" s="112" t="e">
        <f>(Table51621263136414651566166[[#This Row],[Concentration4]]*constants!$C$8)/1000</f>
        <v>#DIV/0!</v>
      </c>
      <c r="BH15" s="112" t="e">
        <f>(Table51621263136414651566166[[#This Row],[Concentration5]]*constants!$C$9)/1000</f>
        <v>#DIV/0!</v>
      </c>
      <c r="BI15" s="112" t="e">
        <f>(Table51621263136414651566166[[#This Row],[Concentration6]]*constants!$C$10)/1000</f>
        <v>#DIV/0!</v>
      </c>
      <c r="BJ15" s="112"/>
      <c r="BK15" s="112"/>
      <c r="BL15" s="112"/>
      <c r="BM15" s="112"/>
      <c r="BN15" s="112"/>
      <c r="BO15" s="112"/>
      <c r="BP15" s="112"/>
      <c r="BQ15" s="112"/>
      <c r="BR15" s="112"/>
      <c r="BS15" s="112"/>
      <c r="BT15" s="152" t="e">
        <f>Table61722273237424752576267[[#This Row],[Concentration17]]*1000</f>
        <v>#REF!</v>
      </c>
      <c r="BU15" s="112" t="e">
        <f>AVERAGE(#REF!,#REF!,#REF!)</f>
        <v>#REF!</v>
      </c>
      <c r="BV15" s="47">
        <f>Table51621263136414651566166[[#This Row],[Concentration18]]</f>
        <v>0</v>
      </c>
      <c r="BW15" s="47">
        <f>SUM(IFERROR(Table61722273237424752576267[[#This Row],[Concentration7]],0),IFERROR(Table61722273237424752576267[[#This Row],[Concentration8]],0),IFERROR(Table61722273237424752576267[[#This Row],[Concentration9]],0),IFERROR(Table61722273237424752576267[[#This Row],[Concentration10]],0),IFERROR(Table61722273237424752576267[[#This Row],[Concentration11]],0),IFERROR(Table61722273237424752576267[[#This Row],[Concentration12]],0),IFERROR(Table61722273237424752576267[[#This Row],[Concentration13]],0),IFERROR(Table61722273237424752576267[[#This Row],[Concentration14]],0),IFERROR(Table61722273237424752576267[[#This Row],[Concentration15]],0),IFERROR(Table61722273237424752576267[[#This Row],[Concentration16]],0),Table61722273237424752576267[[#This Row],[concentration18]])</f>
        <v>0</v>
      </c>
      <c r="BY15" s="47" t="e">
        <f>100*Table61722273237424752576267[[#This Row],[TOTAL]]/(Table61722273237424752576267[[#This Row],[TOTAL]]+Table61722273237424752576267[[#This Row],[concentration19]])</f>
        <v>#DIV/0!</v>
      </c>
      <c r="BZ15" s="66"/>
      <c r="CC15" s="178">
        <f>Table51621263136414651566166[[#This Row],[Concentration172]]</f>
        <v>26.574333333333332</v>
      </c>
      <c r="CD15" s="66">
        <f t="shared" si="9"/>
        <v>41</v>
      </c>
      <c r="CE15" s="47">
        <v>1.5</v>
      </c>
      <c r="CF15" s="66">
        <f>CC15*(CD15/1000)</f>
        <v>1.0895476666666666</v>
      </c>
      <c r="CG15" s="47" t="s">
        <v>191</v>
      </c>
      <c r="CI15" s="47" t="s">
        <v>159</v>
      </c>
      <c r="CJ15" s="47">
        <f>CF15+SUM(CF9:CF14)</f>
        <v>1.1351951316666666</v>
      </c>
      <c r="CK15" s="47" t="s">
        <v>192</v>
      </c>
    </row>
    <row r="16" spans="1:90" s="66" customFormat="1" ht="16" thickBot="1" x14ac:dyDescent="0.4">
      <c r="A16" s="63">
        <f>Table2[[#This Row],[Date]]</f>
        <v>43347</v>
      </c>
      <c r="B16" s="167">
        <v>21</v>
      </c>
      <c r="C16" s="41">
        <f>Table3[[#This Row],[Dilution]]</f>
        <v>10</v>
      </c>
      <c r="D16" s="18">
        <f>AVERAGE(Table3[[#This Row],[Amount ]],Table310[[#This Row],[Amount ]],Table315[[#This Row],[Amount ]])</f>
        <v>0</v>
      </c>
      <c r="E16" s="18">
        <f>AVERAGE(Table3[[#This Row],[Amount 2]],Table310[[#This Row],[Amount 2]],Table315[[#This Row],[Amount 2]])</f>
        <v>0</v>
      </c>
      <c r="F16" s="18">
        <f>AVERAGE(Table3[[#This Row],[Amount 3]],Table310[[#This Row],[Amount 3]],Table315[[#This Row],[Amount 3]])</f>
        <v>0</v>
      </c>
      <c r="G16" s="18">
        <f>AVERAGE(Table3[[#This Row],[Amount 4]],Table310[[#This Row],[Amount 4]],Table315[[#This Row],[Amount 4]])</f>
        <v>0</v>
      </c>
      <c r="H16" s="18">
        <f>AVERAGE(Table3[[#This Row],[Amount 5]],Table310[[#This Row],[Amount 5]],Table315[[#This Row],[Amount 5]])</f>
        <v>0</v>
      </c>
      <c r="I16" s="18">
        <f>AVERAGE(Table3[[#This Row],[Amount 6]],Table310[[#This Row],[Amount 6]],Table315[[#This Row],[Amount 6]])</f>
        <v>2.1973136704564875</v>
      </c>
      <c r="J16" s="18">
        <f>IFERROR(AVERAGE(Table3[[#This Row],[Amount 7]],Table310[[#This Row],[Amount 7]],Table315[[#This Row],[Amount 7]]),0)</f>
        <v>6.9622815475036974</v>
      </c>
      <c r="K16" s="18">
        <f>IFERROR(AVERAGE(Table3[[#This Row],[Amount 8]],Table310[[#This Row],[Amount 8]],Table315[[#This Row],[Amount 8]]),0)</f>
        <v>19.582593483656549</v>
      </c>
      <c r="L16" s="18">
        <f>IFERROR(AVERAGE(Table3[[#This Row],[Amount 9]],Table310[[#This Row],[Amount 9]],Table315[[#This Row],[Amount 9]]),0)</f>
        <v>9.9878136017576502E-2</v>
      </c>
      <c r="M16" s="18">
        <f>IFERROR(AVERAGE(Table3[[#This Row],[Amount 10]],Table310[[#This Row],[Amount 10]],Table315[[#This Row],[Amount 10]]),0)</f>
        <v>0.87942821950477068</v>
      </c>
      <c r="N16" s="18">
        <f>IFERROR(AVERAGE(Table3[[#This Row],[Amount 11]],Table310[[#This Row],[Amount 11]],Table315[[#This Row],[Amount 11]]),0)</f>
        <v>8.3762444628242574E-2</v>
      </c>
      <c r="O16" s="18">
        <f>IFERROR(AVERAGE(Table3[[#This Row],[Amount 12]],Table310[[#This Row],[Amount 12]],Table315[[#This Row],[Amount 12]]),0)</f>
        <v>0</v>
      </c>
      <c r="P16" s="18">
        <f>IFERROR(AVERAGE(Table3[[#This Row],[Amount 13]],Table310[[#This Row],[Amount 13]],Table315[[#This Row],[Amount 13]]),0)</f>
        <v>0</v>
      </c>
      <c r="Q16" s="18">
        <f>IFERROR(AVERAGE(Table3[[#This Row],[Amount 14]],Table310[[#This Row],[Amount 14]],Table315[[#This Row],[Amount 14]]),0)</f>
        <v>0.79436864984160194</v>
      </c>
      <c r="R16" s="18">
        <f>IFERROR(AVERAGE(Table3[[#This Row],[Amount 15]],Table310[[#This Row],[Amount 15]],Table315[[#This Row],[Amount 15]]),0)</f>
        <v>0</v>
      </c>
      <c r="S16" s="18">
        <f>IFERROR(AVERAGE(Table3[[#This Row],[Amount 16]],Table310[[#This Row],[Amount 16]],Table315[[#This Row],[Amount 16]]),0)</f>
        <v>6.2589642207300935</v>
      </c>
      <c r="T16" s="18">
        <f>IFERROR(AVERAGE(Table3[[#This Row],[Amount 17]],Table310[[#This Row],[Amount 17]],Table315[[#This Row],[Amount 17]]),0)</f>
        <v>0</v>
      </c>
      <c r="U16" s="18">
        <f>IFERROR(AVERAGE(Table3[[#This Row],[Amount 18]],Table310[[#This Row],[Amount 18]],Table315[[#This Row],[Amount 18]]),0)</f>
        <v>0</v>
      </c>
      <c r="V16" s="18">
        <f>IFERROR(AVERAGE(Table3[[#This Row],[Amount 19]],Table310[[#This Row],[Amount 19]],Table315[[#This Row],[Amount 19]]),0)</f>
        <v>0</v>
      </c>
      <c r="W16" s="123">
        <f>IFERROR(AVERAGE(Table3[[#This Row],[Ret.Time ]],Table310[[#This Row],[Ret.Time ]],Table315[[#This Row],[Ret.Time ]]),0)</f>
        <v>0</v>
      </c>
      <c r="X16" s="123">
        <f>IFERROR(AVERAGE(Table3[[#This Row],[Amount 20]],Table310[[#This Row],[Amount 20]],Table315[[#This Row],[Amount 20]]),0)</f>
        <v>0</v>
      </c>
      <c r="Y16" s="123">
        <f>IFERROR(AVERAGE(Table3[[#This Row],[Ret.Time]],Table310[[#This Row],[Ret.Time]],Table315[[#This Row],[Ret.Time]]),0)</f>
        <v>0</v>
      </c>
      <c r="Z16" s="123">
        <f>IFERROR(AVERAGE(Table3[[#This Row],[Amount 21]],Table310[[#This Row],[Amount 21]],Table315[[#This Row],[Amount 21]]),0)</f>
        <v>0</v>
      </c>
      <c r="AA16" s="123">
        <f>IFERROR(AVERAGE(Table3[[#This Row],[Ret.Time22]],Table310[[#This Row],[Ret.Time22]],Table315[[#This Row],[Ret.Time22]]),0)</f>
        <v>0</v>
      </c>
      <c r="AB16" s="123">
        <f>IFERROR(AVERAGE(Table3[[#This Row],[Amount 23]],Table310[[#This Row],[Amount 23]],Table315[[#This Row],[Amount 23]]),0)</f>
        <v>0</v>
      </c>
      <c r="AC16" s="123">
        <f>IFERROR(AVERAGE(Table3[[#This Row],[Ret.Time24]],Table310[[#This Row],[Ret.Time24]],Table315[[#This Row],[Ret.Time24]]),0)</f>
        <v>0</v>
      </c>
      <c r="AD16" s="123">
        <f>IFERROR(AVERAGE(Table3[[#This Row],[Amount 25]],Table310[[#This Row],[Amount 25]],Table315[[#This Row],[Amount 25]]),0)</f>
        <v>0</v>
      </c>
      <c r="AE16" s="18">
        <f>IFERROR(AVERAGE(Table3[[#This Row],[pH]],Table310[[#This Row],[pH]],Table315[[#This Row],[pH]]),0)</f>
        <v>5.72</v>
      </c>
      <c r="AF16" s="18">
        <f>IFERROR(AVERAGE(Table3[[#This Row],[dilution ]],Table310[[#This Row],[dilution ]],Table315[[#This Row],[dilution ]]),0)</f>
        <v>100</v>
      </c>
      <c r="AG16" s="18">
        <f>IFERROR(AVERAGE(Table3[[#This Row],[correction factor]],Table310[[#This Row],[correction]],Table315[[#This Row],[correction]]),0)</f>
        <v>1</v>
      </c>
      <c r="AH16" s="18">
        <f>IFERROR(AVERAGE(Table3[[#This Row],[amount]],Table310[[#This Row],[amount]],Table315[[#This Row],[amount]]),0)</f>
        <v>154.535</v>
      </c>
      <c r="AI16" s="18">
        <f>IFERROR(AVERAGE(Table3[[#This Row],[pressure]],Table310[[#This Row],[pressure]],Table315[[#This Row],[pressure]]),0)</f>
        <v>0</v>
      </c>
      <c r="AJ16" s="64">
        <f>IF(D16="nd","nd",D16*$C16/constants!$B$3)</f>
        <v>0</v>
      </c>
      <c r="AK16" s="64">
        <f>IF(E16="nd","nd",E16*$C16/constants!$B$6)</f>
        <v>0</v>
      </c>
      <c r="AL16" s="64">
        <f>IF(F16="nd","nd",F16*$C16/constants!$B$7)</f>
        <v>0</v>
      </c>
      <c r="AM16" s="64">
        <f>IF(G16="nd","nd",G16*$C16/constants!$B$8)</f>
        <v>0</v>
      </c>
      <c r="AN16" s="64">
        <f>IF(H16="nd","nd",H16*$C16/constants!$B$9)</f>
        <v>0</v>
      </c>
      <c r="AO16" s="64">
        <f>IF(I16="nd","nd",I16*$C16/constants!$B$10)</f>
        <v>0.21504973432929989</v>
      </c>
      <c r="AP16" s="162">
        <f>IF(J16="nd","nd",J16*$C16/1000)</f>
        <v>6.9622815475036973E-2</v>
      </c>
      <c r="AQ16" s="162">
        <f t="shared" si="1"/>
        <v>0.19582593483656549</v>
      </c>
      <c r="AR16" s="162">
        <f t="shared" si="2"/>
        <v>9.987813601757651E-4</v>
      </c>
      <c r="AS16" s="162">
        <f t="shared" si="3"/>
        <v>8.7942821950477076E-3</v>
      </c>
      <c r="AT16" s="162">
        <f t="shared" si="4"/>
        <v>8.3762444628242576E-4</v>
      </c>
      <c r="AU16" s="162">
        <f t="shared" si="5"/>
        <v>0</v>
      </c>
      <c r="AV16" s="162">
        <f t="shared" si="6"/>
        <v>0</v>
      </c>
      <c r="AW16" s="162">
        <f t="shared" si="7"/>
        <v>7.9436864984160187E-3</v>
      </c>
      <c r="AX16" s="162">
        <f t="shared" si="8"/>
        <v>0</v>
      </c>
      <c r="AY16" s="162">
        <f>IF(S16="nd","nd",S16*$C16/constants!$B$15)</f>
        <v>0.43400531298834327</v>
      </c>
      <c r="AZ16" s="64">
        <f>IF(AH16="nd","nd",AH16*Table31520253035404550556065[[#This Row],[dilution ]]/constants!$B$3)</f>
        <v>482.28887085700018</v>
      </c>
      <c r="BA16" s="64">
        <f>AVERAGE(Table5[[#This Row],[Concentration172]],Table511[[#This Row],[Concentration172]],Table516[[#This Row],[Concentration172]])</f>
        <v>15.4535</v>
      </c>
      <c r="BB16" s="64">
        <f>IFERROR(AVERAGE(#REF!,#REF!,#REF!),0)</f>
        <v>0</v>
      </c>
      <c r="BC16" s="64"/>
      <c r="BD16" s="112">
        <f>(Table51621263136414651566166[[#This Row],[Concentration]]*constants!$C$3)/1000</f>
        <v>0</v>
      </c>
      <c r="BE16" s="112">
        <f>(Table51621263136414651566166[[#This Row],[Concentration2]]*constants!$C$6)/1000</f>
        <v>0</v>
      </c>
      <c r="BF16" s="112">
        <f>(Table51621263136414651566166[[#This Row],[Concentration3]]*constants!$C$7)/1000</f>
        <v>0</v>
      </c>
      <c r="BG16" s="112">
        <f>(Table51621263136414651566166[[#This Row],[Concentration4]]*constants!$C$8)/1000</f>
        <v>0</v>
      </c>
      <c r="BH16" s="112">
        <f>(Table51621263136414651566166[[#This Row],[Concentration5]]*constants!$C$9)/1000</f>
        <v>0</v>
      </c>
      <c r="BI16" s="112">
        <f>(Table51621263136414651566166[[#This Row],[Concentration6]]*constants!$C$10)/1000</f>
        <v>1.2902984059757995E-3</v>
      </c>
      <c r="BJ16" s="112">
        <f>Table51621263136414651566166[[#This Row],[Concentration7]]*2</f>
        <v>0.13924563095007395</v>
      </c>
      <c r="BK16" s="112">
        <f>Table51621263136414651566166[[#This Row],[Concentration8]]*3</f>
        <v>0.58747780450969644</v>
      </c>
      <c r="BL16" s="112">
        <f>Table51621263136414651566166[[#This Row],[Concentration9]]*4</f>
        <v>3.9951254407030604E-3</v>
      </c>
      <c r="BM16" s="112">
        <f>Table51621263136414651566166[[#This Row],[Concentration10]]*4</f>
        <v>3.5177128780190831E-2</v>
      </c>
      <c r="BN16" s="112">
        <f>Table51621263136414651566166[[#This Row],[Concentration11]]*5</f>
        <v>4.1881222314121289E-3</v>
      </c>
      <c r="BO16" s="112">
        <f>Table51621263136414651566166[[#This Row],[Concentration12]]*5</f>
        <v>0</v>
      </c>
      <c r="BP16" s="112">
        <f>Table51621263136414651566166[[#This Row],[Concentration13]]*6</f>
        <v>0</v>
      </c>
      <c r="BQ16" s="112">
        <f>Table51621263136414651566166[[#This Row],[Concentration14]]*6</f>
        <v>4.7662118990496112E-2</v>
      </c>
      <c r="BR16" s="112">
        <f>Table51621263136414651566166[[#This Row],[Concentration15]]*7</f>
        <v>0</v>
      </c>
      <c r="BS16" s="112">
        <f>Table51621263136414651566166[[#This Row],[Concentration16]]*8</f>
        <v>3.4720425039067462</v>
      </c>
      <c r="BT16" s="152" t="e">
        <f>Table61722273237424752576267[[#This Row],[Concentration17]]*1000-(Table61722273237424752576267[[#This Row],[Concentration17]]*1000)</f>
        <v>#REF!</v>
      </c>
      <c r="BU16" s="112" t="e">
        <f>AVERAGE(#REF!,#REF!,#REF!)</f>
        <v>#REF!</v>
      </c>
      <c r="BV16" s="47">
        <f>Table51621263136414651566166[[#This Row],[Concentration18]]</f>
        <v>0</v>
      </c>
      <c r="BW16" s="47">
        <f>SUM(IFERROR(Table61722273237424752576267[[#This Row],[Concentration7]],0),IFERROR(Table61722273237424752576267[[#This Row],[Concentration8]],0),IFERROR(Table61722273237424752576267[[#This Row],[Concentration9]],0),IFERROR(Table61722273237424752576267[[#This Row],[Concentration10]],0),IFERROR(Table61722273237424752576267[[#This Row],[Concentration11]],0),IFERROR(Table61722273237424752576267[[#This Row],[Concentration12]],0),IFERROR(Table61722273237424752576267[[#This Row],[Concentration13]],0),IFERROR(Table61722273237424752576267[[#This Row],[Concentration14]],0),IFERROR(Table61722273237424752576267[[#This Row],[Concentration15]],0),IFERROR(Table61722273237424752576267[[#This Row],[Concentration16]],0),Table61722273237424752576267[[#This Row],[concentration18]])</f>
        <v>4.2897884348093189</v>
      </c>
      <c r="BX16" s="47" t="e">
        <f>IF((Table61722273237424752576267[[#This Row],[Concentration162]]-Table61722273237424752576267[[#This Row],[concentration19]])&lt;0,0,Table61722273237424752576267[[#This Row],[Concentration162]]-Table61722273237424752576267[[#This Row],[concentration19]])</f>
        <v>#REF!</v>
      </c>
      <c r="BY16" s="66" t="e">
        <f>100*Table61722273237424752576267[[#This Row],[TOTAL]]/(Table61722273237424752576267[[#This Row],[TOTAL]]+Table61722273237424752576267[[#This Row],[concentration19]])</f>
        <v>#REF!</v>
      </c>
      <c r="BZ16" s="146">
        <f>CC16*(CD16/1000)/constants!$B$23*1000*constants!$C$23</f>
        <v>24.188982015985793</v>
      </c>
      <c r="CA16" s="66" t="s">
        <v>195</v>
      </c>
      <c r="CC16" s="178">
        <f>Table51621263136414651566166[[#This Row],[Concentration172]]</f>
        <v>15.4535</v>
      </c>
      <c r="CD16" s="66">
        <f>40+1+6</f>
        <v>47</v>
      </c>
      <c r="CE16" s="80">
        <v>1.5</v>
      </c>
      <c r="CF16" s="181">
        <f>CC16*(CE16/1000)/constants!$B$23*1000*constants!$C$23</f>
        <v>0.77198878774422741</v>
      </c>
      <c r="CG16" s="181">
        <f>AP16*(CE16/1000)/constants!$B$5*1000*constants!$C$5</f>
        <v>3.4781263975406469E-3</v>
      </c>
      <c r="CH16" s="181">
        <f>AQ16*(CE16/1000)/constants!$B$11*1000*constants!$C$11</f>
        <v>1.1895634481628326E-2</v>
      </c>
      <c r="CI16" s="181">
        <f>AS16*(CE16/1000)/constants!$B$4*1000*constants!$C$4</f>
        <v>5.9888876092759015E-4</v>
      </c>
      <c r="CJ16" s="181">
        <f>AR16*(CE16/1000)/constants!$B$19*1000*constants!$C$19</f>
        <v>3.4008399887945149E-5</v>
      </c>
      <c r="CK16" s="181">
        <f>AU16*(CE16/1000)/constants!$B$12*1000*constants!$C$12</f>
        <v>0</v>
      </c>
      <c r="CL16" s="181">
        <f>AW16*(CE16/1000)/constants!$B$13*1000*constants!$C$13</f>
        <v>6.1547157787314195E-4</v>
      </c>
    </row>
    <row r="17" spans="1:105" s="47" customFormat="1" ht="16" thickBot="1" x14ac:dyDescent="0.4">
      <c r="A17" s="63" t="str">
        <f>Table2[[#This Row],[Date]]</f>
        <v>13-04</v>
      </c>
      <c r="B17" s="167">
        <f>Table2[[#This Row],[Time]]</f>
        <v>26</v>
      </c>
      <c r="C17" s="41">
        <f>Table3[[#This Row],[Dilution]]</f>
        <v>10</v>
      </c>
      <c r="D17" s="18">
        <f>AVERAGE(Table3[[#This Row],[Amount ]],Table310[[#This Row],[Amount ]],Table315[[#This Row],[Amount ]])</f>
        <v>0</v>
      </c>
      <c r="E17" s="18">
        <f>AVERAGE(Table3[[#This Row],[Amount 2]],Table310[[#This Row],[Amount 2]],Table315[[#This Row],[Amount 2]])</f>
        <v>0</v>
      </c>
      <c r="F17" s="18">
        <f>AVERAGE(Table3[[#This Row],[Amount 3]],Table310[[#This Row],[Amount 3]],Table315[[#This Row],[Amount 3]])</f>
        <v>0</v>
      </c>
      <c r="G17" s="18">
        <f>AVERAGE(Table3[[#This Row],[Amount 4]],Table310[[#This Row],[Amount 4]],Table315[[#This Row],[Amount 4]])</f>
        <v>0</v>
      </c>
      <c r="H17" s="18">
        <f>AVERAGE(Table3[[#This Row],[Amount 5]],Table310[[#This Row],[Amount 5]],Table315[[#This Row],[Amount 5]])</f>
        <v>0</v>
      </c>
      <c r="I17" s="18">
        <f>AVERAGE(Table3[[#This Row],[Amount 6]],Table310[[#This Row],[Amount 6]],Table315[[#This Row],[Amount 6]])</f>
        <v>1.3710668372435364</v>
      </c>
      <c r="J17" s="18">
        <f>IFERROR(AVERAGE(Table3[[#This Row],[Amount 7]],Table310[[#This Row],[Amount 7]],Table315[[#This Row],[Amount 7]]),0)</f>
        <v>13.750600860586486</v>
      </c>
      <c r="K17" s="18">
        <f>IFERROR(AVERAGE(Table3[[#This Row],[Amount 8]],Table310[[#This Row],[Amount 8]],Table315[[#This Row],[Amount 8]]),0)</f>
        <v>12.410605337404553</v>
      </c>
      <c r="L17" s="18">
        <f>IFERROR(AVERAGE(Table3[[#This Row],[Amount 9]],Table310[[#This Row],[Amount 9]],Table315[[#This Row],[Amount 9]]),0)</f>
        <v>0</v>
      </c>
      <c r="M17" s="18">
        <f>IFERROR(AVERAGE(Table3[[#This Row],[Amount 10]],Table310[[#This Row],[Amount 10]],Table315[[#This Row],[Amount 10]]),0)</f>
        <v>2.7480930327012429</v>
      </c>
      <c r="N17" s="18">
        <f>IFERROR(AVERAGE(Table3[[#This Row],[Amount 11]],Table310[[#This Row],[Amount 11]],Table315[[#This Row],[Amount 11]]),0)</f>
        <v>0</v>
      </c>
      <c r="O17" s="18">
        <f>IFERROR(AVERAGE(Table3[[#This Row],[Amount 12]],Table310[[#This Row],[Amount 12]],Table315[[#This Row],[Amount 12]]),0)</f>
        <v>0</v>
      </c>
      <c r="P17" s="18">
        <f>IFERROR(AVERAGE(Table3[[#This Row],[Amount 13]],Table310[[#This Row],[Amount 13]],Table315[[#This Row],[Amount 13]]),0)</f>
        <v>0</v>
      </c>
      <c r="Q17" s="18">
        <f>IFERROR(AVERAGE(Table3[[#This Row],[Amount 14]],Table310[[#This Row],[Amount 14]],Table315[[#This Row],[Amount 14]]),0)</f>
        <v>1.2313527289504067</v>
      </c>
      <c r="R17" s="18">
        <f>IFERROR(AVERAGE(Table3[[#This Row],[Amount 15]],Table310[[#This Row],[Amount 15]],Table315[[#This Row],[Amount 15]]),0)</f>
        <v>0</v>
      </c>
      <c r="S17" s="18">
        <f>IFERROR(AVERAGE(Table3[[#This Row],[Amount 16]],Table310[[#This Row],[Amount 16]],Table315[[#This Row],[Amount 16]]),0)</f>
        <v>4.5458556551652221</v>
      </c>
      <c r="T17" s="18">
        <f>IFERROR(AVERAGE(Table3[[#This Row],[Amount 17]],Table310[[#This Row],[Amount 17]],Table315[[#This Row],[Amount 17]]),0)</f>
        <v>0</v>
      </c>
      <c r="U17" s="18">
        <f>IFERROR(AVERAGE(Table3[[#This Row],[Amount 18]],Table310[[#This Row],[Amount 18]],Table315[[#This Row],[Amount 18]]),0)</f>
        <v>0</v>
      </c>
      <c r="V17" s="18">
        <f>IFERROR(AVERAGE(Table3[[#This Row],[Amount 19]],Table310[[#This Row],[Amount 19]],Table315[[#This Row],[Amount 19]]),0)</f>
        <v>0</v>
      </c>
      <c r="W17" s="123">
        <f>IFERROR(AVERAGE(Table3[[#This Row],[Ret.Time ]],Table310[[#This Row],[Ret.Time ]],Table315[[#This Row],[Ret.Time ]]),0)</f>
        <v>0</v>
      </c>
      <c r="X17" s="123">
        <f>IFERROR(AVERAGE(Table3[[#This Row],[Amount 20]],Table310[[#This Row],[Amount 20]],Table315[[#This Row],[Amount 20]]),0)</f>
        <v>0</v>
      </c>
      <c r="Y17" s="123">
        <f>IFERROR(AVERAGE(Table3[[#This Row],[Ret.Time]],Table310[[#This Row],[Ret.Time]],Table315[[#This Row],[Ret.Time]]),0)</f>
        <v>0</v>
      </c>
      <c r="Z17" s="123">
        <f>IFERROR(AVERAGE(Table3[[#This Row],[Amount 21]],Table310[[#This Row],[Amount 21]],Table315[[#This Row],[Amount 21]]),0)</f>
        <v>0</v>
      </c>
      <c r="AA17" s="123">
        <f>IFERROR(AVERAGE(Table3[[#This Row],[Ret.Time22]],Table310[[#This Row],[Ret.Time22]],Table315[[#This Row],[Ret.Time22]]),0)</f>
        <v>0</v>
      </c>
      <c r="AB17" s="123">
        <f>IFERROR(AVERAGE(Table3[[#This Row],[Amount 23]],Table310[[#This Row],[Amount 23]],Table315[[#This Row],[Amount 23]]),0)</f>
        <v>0</v>
      </c>
      <c r="AC17" s="123">
        <f>IFERROR(AVERAGE(Table3[[#This Row],[Ret.Time24]],Table310[[#This Row],[Ret.Time24]],Table315[[#This Row],[Ret.Time24]]),0)</f>
        <v>0</v>
      </c>
      <c r="AD17" s="123">
        <f>IFERROR(AVERAGE(Table3[[#This Row],[Amount 25]],Table310[[#This Row],[Amount 25]],Table315[[#This Row],[Amount 25]]),0)</f>
        <v>0</v>
      </c>
      <c r="AE17" s="18">
        <f>IFERROR(AVERAGE(Table3[[#This Row],[pH]],Table310[[#This Row],[pH]],Table315[[#This Row],[pH]]),0)</f>
        <v>5.7833333333333341</v>
      </c>
      <c r="AF17" s="18">
        <f>IFERROR(AVERAGE(Table3[[#This Row],[dilution ]],Table310[[#This Row],[dilution ]],Table315[[#This Row],[dilution ]]),0)</f>
        <v>100</v>
      </c>
      <c r="AG17" s="18">
        <f>IFERROR(AVERAGE(Table3[[#This Row],[correction factor]],Table310[[#This Row],[correction]],Table315[[#This Row],[correction]]),0)</f>
        <v>1</v>
      </c>
      <c r="AH17" s="18">
        <f>IFERROR(AVERAGE(Table3[[#This Row],[amount]],Table310[[#This Row],[amount]],Table315[[#This Row],[amount]]),0)</f>
        <v>134.04213333333334</v>
      </c>
      <c r="AI17" s="18">
        <f>IFERROR(AVERAGE(Table3[[#This Row],[pressure]],Table310[[#This Row],[pressure]],Table315[[#This Row],[pressure]]),0)</f>
        <v>0</v>
      </c>
      <c r="AJ17" s="64">
        <f>IF(D17="nd","nd",D17*$C17/constants!$B$3)</f>
        <v>0</v>
      </c>
      <c r="AK17" s="64">
        <f>IF(E17="nd","nd",E17*$C17/constants!$B$6)</f>
        <v>0</v>
      </c>
      <c r="AL17" s="64">
        <f>IF(F17="nd","nd",F17*$C17/constants!$B$7)</f>
        <v>0</v>
      </c>
      <c r="AM17" s="64">
        <f>IF(G17="nd","nd",G17*$C17/constants!$B$8)</f>
        <v>0</v>
      </c>
      <c r="AN17" s="64">
        <f>IF(H17="nd","nd",H17*$C17/constants!$B$9)</f>
        <v>0</v>
      </c>
      <c r="AO17" s="64">
        <f>IF(I17="nd","nd",I17*$C17/constants!$B$10)</f>
        <v>0.13418546612677376</v>
      </c>
      <c r="AP17" s="162">
        <f t="shared" si="11"/>
        <v>0.13750600860586484</v>
      </c>
      <c r="AQ17" s="162">
        <f t="shared" si="1"/>
        <v>0.12410605337404552</v>
      </c>
      <c r="AR17" s="162">
        <f t="shared" si="2"/>
        <v>0</v>
      </c>
      <c r="AS17" s="162">
        <f t="shared" si="3"/>
        <v>2.7480930327012432E-2</v>
      </c>
      <c r="AT17" s="162">
        <f t="shared" si="4"/>
        <v>0</v>
      </c>
      <c r="AU17" s="162">
        <f t="shared" si="5"/>
        <v>0</v>
      </c>
      <c r="AV17" s="162">
        <f t="shared" si="6"/>
        <v>0</v>
      </c>
      <c r="AW17" s="162">
        <f t="shared" si="7"/>
        <v>1.2313527289504068E-2</v>
      </c>
      <c r="AX17" s="162">
        <f t="shared" si="8"/>
        <v>0</v>
      </c>
      <c r="AY17" s="162">
        <f>IF(S17="nd","nd",S17*$C17/constants!$B$15)</f>
        <v>0.31521597453542805</v>
      </c>
      <c r="AZ17" s="64">
        <f>IF(AH17="nd","nd",AH17*Table31520253035404550556065[[#This Row],[dilution ]]/constants!$B$3)</f>
        <v>418.33260512244345</v>
      </c>
      <c r="BA17" s="64">
        <f>AVERAGE(Table5[[#This Row],[Concentration172]],Table511[[#This Row],[Concentration172]],Table516[[#This Row],[Concentration172]])</f>
        <v>13.404213333333336</v>
      </c>
      <c r="BB17" s="64">
        <f>IFERROR(AVERAGE(#REF!,#REF!,#REF!),0)</f>
        <v>0</v>
      </c>
      <c r="BC17" s="64"/>
      <c r="BD17" s="112">
        <f>(Table51621263136414651566166[[#This Row],[Concentration]]*constants!$C$3)/1000</f>
        <v>0</v>
      </c>
      <c r="BE17" s="112">
        <f>(Table51621263136414651566166[[#This Row],[Concentration2]]*constants!$C$6)/1000</f>
        <v>0</v>
      </c>
      <c r="BF17" s="112">
        <f>(Table51621263136414651566166[[#This Row],[Concentration3]]*constants!$C$7)/1000</f>
        <v>0</v>
      </c>
      <c r="BG17" s="112">
        <f>(Table51621263136414651566166[[#This Row],[Concentration4]]*constants!$C$8)/1000</f>
        <v>0</v>
      </c>
      <c r="BH17" s="112">
        <f>(Table51621263136414651566166[[#This Row],[Concentration5]]*constants!$C$9)/1000</f>
        <v>0</v>
      </c>
      <c r="BI17" s="112">
        <f>(Table51621263136414651566166[[#This Row],[Concentration6]]*constants!$C$10)/1000</f>
        <v>8.0511279676064268E-4</v>
      </c>
      <c r="BJ17" s="112">
        <f>Table51621263136414651566166[[#This Row],[Concentration7]]*2</f>
        <v>0.27501201721172969</v>
      </c>
      <c r="BK17" s="112">
        <f>Table51621263136414651566166[[#This Row],[Concentration8]]*3</f>
        <v>0.37231816012213659</v>
      </c>
      <c r="BL17" s="112">
        <f>Table51621263136414651566166[[#This Row],[Concentration9]]*4</f>
        <v>0</v>
      </c>
      <c r="BM17" s="112">
        <f>Table51621263136414651566166[[#This Row],[Concentration10]]*4</f>
        <v>0.10992372130804973</v>
      </c>
      <c r="BN17" s="112">
        <f>Table51621263136414651566166[[#This Row],[Concentration11]]*5</f>
        <v>0</v>
      </c>
      <c r="BO17" s="112">
        <f>Table51621263136414651566166[[#This Row],[Concentration12]]*5</f>
        <v>0</v>
      </c>
      <c r="BP17" s="112">
        <f>Table51621263136414651566166[[#This Row],[Concentration13]]*6</f>
        <v>0</v>
      </c>
      <c r="BQ17" s="112">
        <f>Table51621263136414651566166[[#This Row],[Concentration14]]*6</f>
        <v>7.3881163737024413E-2</v>
      </c>
      <c r="BR17" s="112">
        <f>Table51621263136414651566166[[#This Row],[Concentration15]]*7</f>
        <v>0</v>
      </c>
      <c r="BS17" s="112">
        <f>Table51621263136414651566166[[#This Row],[Concentration16]]*8</f>
        <v>2.5217277962834244</v>
      </c>
      <c r="BT17" s="152" t="e">
        <f>($BU$16*1000)-(Table61722273237424752576267[[#This Row],[Concentration17]]*1000)</f>
        <v>#REF!</v>
      </c>
      <c r="BU17" s="112" t="e">
        <f>AVERAGE(#REF!,#REF!,#REF!)</f>
        <v>#REF!</v>
      </c>
      <c r="BV17" s="47">
        <f>Table51621263136414651566166[[#This Row],[Concentration18]]</f>
        <v>0</v>
      </c>
      <c r="BW17" s="47">
        <f>SUM(IFERROR(Table61722273237424752576267[[#This Row],[Concentration7]],0),IFERROR(Table61722273237424752576267[[#This Row],[Concentration8]],0),IFERROR(Table61722273237424752576267[[#This Row],[Concentration9]],0),IFERROR(Table61722273237424752576267[[#This Row],[Concentration10]],0),IFERROR(Table61722273237424752576267[[#This Row],[Concentration11]],0),IFERROR(Table61722273237424752576267[[#This Row],[Concentration12]],0),IFERROR(Table61722273237424752576267[[#This Row],[Concentration13]],0),IFERROR(Table61722273237424752576267[[#This Row],[Concentration14]],0),IFERROR(Table61722273237424752576267[[#This Row],[Concentration15]],0),IFERROR(Table61722273237424752576267[[#This Row],[Concentration16]],0),Table61722273237424752576267[[#This Row],[concentration18]])</f>
        <v>3.3528628586623648</v>
      </c>
      <c r="BX17" s="47" t="e">
        <f>IF((Table61722273237424752576267[[#This Row],[Concentration162]]-Table61722273237424752576267[[#This Row],[concentration19]])&lt;0,0,Table61722273237424752576267[[#This Row],[Concentration162]]-Table61722273237424752576267[[#This Row],[concentration19]])</f>
        <v>#REF!</v>
      </c>
      <c r="BY17" s="47" t="e">
        <f>100*Table61722273237424752576267[[#This Row],[TOTAL]]/(Table61722273237424752576267[[#This Row],[TOTAL]]+Table61722273237424752576267[[#This Row],[concentration19]])</f>
        <v>#REF!</v>
      </c>
      <c r="CC17" s="178">
        <f>Table51621263136414651566166[[#This Row],[Concentration172]]</f>
        <v>13.404213333333336</v>
      </c>
      <c r="CD17" s="66">
        <f>CD16-CE16</f>
        <v>45.5</v>
      </c>
      <c r="CE17" s="80">
        <v>1.5</v>
      </c>
      <c r="CF17" s="181">
        <f>CC17*(CE17/1000)/constants!$B$23*1000*constants!$C$23</f>
        <v>0.66961545293072833</v>
      </c>
      <c r="CG17" s="181">
        <f>AP17*(CE17/1000)/constants!$B$5*1000*constants!$C$5</f>
        <v>6.8693469962298435E-3</v>
      </c>
      <c r="CH17" s="181">
        <f>AQ17*(CE17/1000)/constants!$B$11*1000*constants!$C$11</f>
        <v>7.5389414028699756E-3</v>
      </c>
      <c r="CI17" s="181">
        <f>AS17*(CE17/1000)/constants!$B$4*1000*constants!$C$4</f>
        <v>1.8714455537883299E-3</v>
      </c>
      <c r="CJ17" s="181">
        <f>AR17*(CE17/1000)/constants!$B$19*1000*constants!$C$19</f>
        <v>0</v>
      </c>
      <c r="CK17" s="181">
        <f>AU17*(CE17/1000)/constants!$B$12*1000*constants!$C$12</f>
        <v>0</v>
      </c>
      <c r="CL17" s="181">
        <f>AW17*(CE17/1000)/constants!$B$13*1000*constants!$C$13</f>
        <v>9.5404395321570777E-4</v>
      </c>
    </row>
    <row r="18" spans="1:105" s="126" customFormat="1" ht="16" thickBot="1" x14ac:dyDescent="0.4">
      <c r="A18" s="121" t="str">
        <f>Table2[[#This Row],[Date]]</f>
        <v>16-04</v>
      </c>
      <c r="B18" s="167">
        <f>Table2[[#This Row],[Time]]</f>
        <v>29</v>
      </c>
      <c r="C18" s="122">
        <f>Table3[[#This Row],[Dilution]]</f>
        <v>10</v>
      </c>
      <c r="D18" s="123">
        <f>AVERAGE(Table3[[#This Row],[Amount ]],Table310[[#This Row],[Amount ]],Table315[[#This Row],[Amount ]])</f>
        <v>0</v>
      </c>
      <c r="E18" s="123">
        <f>AVERAGE(Table3[[#This Row],[Amount 2]],Table310[[#This Row],[Amount 2]],Table315[[#This Row],[Amount 2]])</f>
        <v>0</v>
      </c>
      <c r="F18" s="123">
        <f>AVERAGE(Table3[[#This Row],[Amount 3]],Table310[[#This Row],[Amount 3]],Table315[[#This Row],[Amount 3]])</f>
        <v>0</v>
      </c>
      <c r="G18" s="123">
        <f>AVERAGE(Table3[[#This Row],[Amount 4]],Table310[[#This Row],[Amount 4]],Table315[[#This Row],[Amount 4]])</f>
        <v>0</v>
      </c>
      <c r="H18" s="123">
        <f>AVERAGE(Table3[[#This Row],[Amount 5]],Table310[[#This Row],[Amount 5]],Table315[[#This Row],[Amount 5]])</f>
        <v>0</v>
      </c>
      <c r="I18" s="123">
        <f>AVERAGE(Table3[[#This Row],[Amount 6]],Table310[[#This Row],[Amount 6]],Table315[[#This Row],[Amount 6]])</f>
        <v>0</v>
      </c>
      <c r="J18" s="18">
        <f>IFERROR(AVERAGE(Table3[[#This Row],[Amount 7]],Table310[[#This Row],[Amount 7]],Table315[[#This Row],[Amount 7]]),0)</f>
        <v>1.2211313920359468</v>
      </c>
      <c r="K18" s="18">
        <f>IFERROR(AVERAGE(Table3[[#This Row],[Amount 8]],Table310[[#This Row],[Amount 8]],Table315[[#This Row],[Amount 8]]),0)</f>
        <v>8.3237539785879625E-2</v>
      </c>
      <c r="L18" s="18">
        <f>IFERROR(AVERAGE(Table3[[#This Row],[Amount 9]],Table310[[#This Row],[Amount 9]],Table315[[#This Row],[Amount 9]]),0)</f>
        <v>0</v>
      </c>
      <c r="M18" s="18">
        <f>IFERROR(AVERAGE(Table3[[#This Row],[Amount 10]],Table310[[#This Row],[Amount 10]],Table315[[#This Row],[Amount 10]]),0)</f>
        <v>0.3438500599592027</v>
      </c>
      <c r="N18" s="18">
        <f>IFERROR(AVERAGE(Table3[[#This Row],[Amount 11]],Table310[[#This Row],[Amount 11]],Table315[[#This Row],[Amount 11]]),0)</f>
        <v>0</v>
      </c>
      <c r="O18" s="18">
        <f>IFERROR(AVERAGE(Table3[[#This Row],[Amount 12]],Table310[[#This Row],[Amount 12]],Table315[[#This Row],[Amount 12]]),0)</f>
        <v>0</v>
      </c>
      <c r="P18" s="18">
        <f>IFERROR(AVERAGE(Table3[[#This Row],[Amount 13]],Table310[[#This Row],[Amount 13]],Table315[[#This Row],[Amount 13]]),0)</f>
        <v>0</v>
      </c>
      <c r="Q18" s="18">
        <f>IFERROR(AVERAGE(Table3[[#This Row],[Amount 14]],Table310[[#This Row],[Amount 14]],Table315[[#This Row],[Amount 14]]),0)</f>
        <v>2.7089482060185187E-3</v>
      </c>
      <c r="R18" s="18">
        <f>IFERROR(AVERAGE(Table3[[#This Row],[Amount 15]],Table310[[#This Row],[Amount 15]],Table315[[#This Row],[Amount 15]]),0)</f>
        <v>1.8081922743055556E-3</v>
      </c>
      <c r="S18" s="18">
        <f>IFERROR(AVERAGE(Table3[[#This Row],[Amount 16]],Table310[[#This Row],[Amount 16]],Table315[[#This Row],[Amount 16]]),0)</f>
        <v>1.850681423611111E-2</v>
      </c>
      <c r="T18" s="18">
        <f>IFERROR(AVERAGE(Table3[[#This Row],[Amount 17]],Table310[[#This Row],[Amount 17]],Table315[[#This Row],[Amount 17]]),0)</f>
        <v>0</v>
      </c>
      <c r="U18" s="18">
        <f>IFERROR(AVERAGE(Table3[[#This Row],[Amount 18]],Table310[[#This Row],[Amount 18]],Table315[[#This Row],[Amount 18]]),0)</f>
        <v>0</v>
      </c>
      <c r="V18" s="18">
        <f>IFERROR(AVERAGE(Table3[[#This Row],[Amount 19]],Table310[[#This Row],[Amount 19]],Table315[[#This Row],[Amount 19]]),0)</f>
        <v>0</v>
      </c>
      <c r="W18" s="123">
        <f>IFERROR(AVERAGE(Table3[[#This Row],[Ret.Time ]],Table310[[#This Row],[Ret.Time ]],Table315[[#This Row],[Ret.Time ]]),0)</f>
        <v>0</v>
      </c>
      <c r="X18" s="123">
        <f>IFERROR(AVERAGE(Table3[[#This Row],[Amount 20]],Table310[[#This Row],[Amount 20]],Table315[[#This Row],[Amount 20]]),0)</f>
        <v>0</v>
      </c>
      <c r="Y18" s="123">
        <f>IFERROR(AVERAGE(Table3[[#This Row],[Ret.Time]],Table310[[#This Row],[Ret.Time]],Table315[[#This Row],[Ret.Time]]),0)</f>
        <v>0</v>
      </c>
      <c r="Z18" s="123">
        <f>IFERROR(AVERAGE(Table3[[#This Row],[Amount 21]],Table310[[#This Row],[Amount 21]],Table315[[#This Row],[Amount 21]]),0)</f>
        <v>0</v>
      </c>
      <c r="AA18" s="123">
        <f>IFERROR(AVERAGE(Table3[[#This Row],[Ret.Time22]],Table310[[#This Row],[Ret.Time22]],Table315[[#This Row],[Ret.Time22]]),0)</f>
        <v>0</v>
      </c>
      <c r="AB18" s="123">
        <f>IFERROR(AVERAGE(Table3[[#This Row],[Amount 23]],Table310[[#This Row],[Amount 23]],Table315[[#This Row],[Amount 23]]),0)</f>
        <v>0</v>
      </c>
      <c r="AC18" s="123">
        <f>IFERROR(AVERAGE(Table3[[#This Row],[Ret.Time24]],Table310[[#This Row],[Ret.Time24]],Table315[[#This Row],[Ret.Time24]]),0)</f>
        <v>0</v>
      </c>
      <c r="AD18" s="123">
        <f>IFERROR(AVERAGE(Table3[[#This Row],[Amount 25]],Table310[[#This Row],[Amount 25]],Table315[[#This Row],[Amount 25]]),0)</f>
        <v>0</v>
      </c>
      <c r="AE18" s="18">
        <f>IFERROR(AVERAGE(Table3[[#This Row],[pH]],Table310[[#This Row],[pH]],Table315[[#This Row],[pH]]),0)</f>
        <v>5.77</v>
      </c>
      <c r="AF18" s="18">
        <f>IFERROR(AVERAGE(Table3[[#This Row],[dilution ]],Table310[[#This Row],[dilution ]],Table315[[#This Row],[dilution ]]),0)</f>
        <v>100</v>
      </c>
      <c r="AG18" s="18">
        <f>IFERROR(AVERAGE(Table3[[#This Row],[correction factor]],Table310[[#This Row],[correction]],Table315[[#This Row],[correction]]),0)</f>
        <v>1</v>
      </c>
      <c r="AH18" s="18">
        <f>IFERROR(AVERAGE(Table3[[#This Row],[amount]],Table310[[#This Row],[amount]],Table315[[#This Row],[amount]]),0)</f>
        <v>112.178</v>
      </c>
      <c r="AI18" s="18">
        <f>IFERROR(AVERAGE(Table3[[#This Row],[pressure]],Table310[[#This Row],[pressure]],Table315[[#This Row],[pressure]]),0)</f>
        <v>0</v>
      </c>
      <c r="AJ18" s="124">
        <f>IF(D18="nd","nd",D18*$C18/constants!$B$3)</f>
        <v>0</v>
      </c>
      <c r="AK18" s="124">
        <f>IF(E18="nd","nd",E18*$C18/constants!$B$6)</f>
        <v>0</v>
      </c>
      <c r="AL18" s="124">
        <f>IF(F18="nd","nd",F18*$C18/constants!$B$7)</f>
        <v>0</v>
      </c>
      <c r="AM18" s="124">
        <f>IF(G18="nd","nd",G18*$C18/constants!$B$8)</f>
        <v>0</v>
      </c>
      <c r="AN18" s="124">
        <f>IF(H18="nd","nd",H18*$C18/constants!$B$9)</f>
        <v>0</v>
      </c>
      <c r="AO18" s="124">
        <f>IF(I18="nd","nd",I18*$C18/constants!$B$10)</f>
        <v>0</v>
      </c>
      <c r="AP18" s="162">
        <f t="shared" si="11"/>
        <v>1.2211313920359467E-2</v>
      </c>
      <c r="AQ18" s="162">
        <f t="shared" si="1"/>
        <v>8.3237539785879625E-4</v>
      </c>
      <c r="AR18" s="162">
        <f t="shared" si="2"/>
        <v>0</v>
      </c>
      <c r="AS18" s="162">
        <f t="shared" si="3"/>
        <v>3.4385005995920272E-3</v>
      </c>
      <c r="AT18" s="162">
        <f t="shared" si="4"/>
        <v>0</v>
      </c>
      <c r="AU18" s="162">
        <f t="shared" si="5"/>
        <v>0</v>
      </c>
      <c r="AV18" s="162">
        <f t="shared" si="6"/>
        <v>0</v>
      </c>
      <c r="AW18" s="162">
        <f t="shared" si="7"/>
        <v>2.7089482060185187E-5</v>
      </c>
      <c r="AX18" s="162">
        <f t="shared" si="8"/>
        <v>1.8081922743055554E-5</v>
      </c>
      <c r="AY18" s="162">
        <f>IF(S18="nd","nd",S18*$C18/constants!$B$15)</f>
        <v>1.283288324026177E-3</v>
      </c>
      <c r="AZ18" s="124">
        <f>IF(AH18="nd","nd",AH18*Table31520253035404550556065[[#This Row],[dilution ]]/constants!$B$3)</f>
        <v>350.09674801822604</v>
      </c>
      <c r="BA18" s="64">
        <f>AVERAGE(Table5[[#This Row],[Concentration172]],Table511[[#This Row],[Concentration172]],Table516[[#This Row],[Concentration172]])</f>
        <v>11.217799999999999</v>
      </c>
      <c r="BB18" s="64">
        <f>IFERROR(AVERAGE(#REF!,#REF!,#REF!),0)</f>
        <v>0</v>
      </c>
      <c r="BC18" s="124"/>
      <c r="BD18" s="125">
        <f>(Table51621263136414651566166[[#This Row],[Concentration]]*constants!$C$3)/1000</f>
        <v>0</v>
      </c>
      <c r="BE18" s="125">
        <f>(Table51621263136414651566166[[#This Row],[Concentration2]]*constants!$C$6)/1000</f>
        <v>0</v>
      </c>
      <c r="BF18" s="125">
        <f>(Table51621263136414651566166[[#This Row],[Concentration3]]*constants!$C$7)/1000</f>
        <v>0</v>
      </c>
      <c r="BG18" s="125">
        <f>(Table51621263136414651566166[[#This Row],[Concentration4]]*constants!$C$8)/1000</f>
        <v>0</v>
      </c>
      <c r="BH18" s="125">
        <f>(Table51621263136414651566166[[#This Row],[Concentration5]]*constants!$C$9)/1000</f>
        <v>0</v>
      </c>
      <c r="BI18" s="125">
        <f>(Table51621263136414651566166[[#This Row],[Concentration6]]*constants!$C$10)/1000</f>
        <v>0</v>
      </c>
      <c r="BJ18" s="112">
        <f>Table51621263136414651566166[[#This Row],[Concentration7]]*2</f>
        <v>2.4422627840718934E-2</v>
      </c>
      <c r="BK18" s="112">
        <f>Table51621263136414651566166[[#This Row],[Concentration8]]*3</f>
        <v>2.497126193576389E-3</v>
      </c>
      <c r="BL18" s="112">
        <f>Table51621263136414651566166[[#This Row],[Concentration9]]*4</f>
        <v>0</v>
      </c>
      <c r="BM18" s="112">
        <f>Table51621263136414651566166[[#This Row],[Concentration10]]*4</f>
        <v>1.3754002398368109E-2</v>
      </c>
      <c r="BN18" s="112">
        <f>Table51621263136414651566166[[#This Row],[Concentration11]]*5</f>
        <v>0</v>
      </c>
      <c r="BO18" s="112">
        <f>Table51621263136414651566166[[#This Row],[Concentration12]]*5</f>
        <v>0</v>
      </c>
      <c r="BP18" s="112">
        <f>Table51621263136414651566166[[#This Row],[Concentration13]]*6</f>
        <v>0</v>
      </c>
      <c r="BQ18" s="112">
        <f>Table51621263136414651566166[[#This Row],[Concentration14]]*6</f>
        <v>1.6253689236111113E-4</v>
      </c>
      <c r="BR18" s="112">
        <f>Table51621263136414651566166[[#This Row],[Concentration15]]*7</f>
        <v>1.2657345920138888E-4</v>
      </c>
      <c r="BS18" s="112">
        <f>Table51621263136414651566166[[#This Row],[Concentration16]]*8</f>
        <v>1.0266306592209416E-2</v>
      </c>
      <c r="BT18" s="152" t="e">
        <f>($BU$16*1000)-(Table61722273237424752576267[[#This Row],[Concentration17]]*1000)</f>
        <v>#REF!</v>
      </c>
      <c r="BU18" s="112" t="e">
        <f>AVERAGE(#REF!,#REF!,#REF!)</f>
        <v>#REF!</v>
      </c>
      <c r="BV18" s="47">
        <f>Table51621263136414651566166[[#This Row],[Concentration18]]</f>
        <v>0</v>
      </c>
      <c r="BW18" s="47">
        <f>SUM(IFERROR(Table61722273237424752576267[[#This Row],[Concentration7]],0),IFERROR(Table61722273237424752576267[[#This Row],[Concentration8]],0),IFERROR(Table61722273237424752576267[[#This Row],[Concentration9]],0),IFERROR(Table61722273237424752576267[[#This Row],[Concentration10]],0),IFERROR(Table61722273237424752576267[[#This Row],[Concentration11]],0),IFERROR(Table61722273237424752576267[[#This Row],[Concentration12]],0),IFERROR(Table61722273237424752576267[[#This Row],[Concentration13]],0),IFERROR(Table61722273237424752576267[[#This Row],[Concentration14]],0),IFERROR(Table61722273237424752576267[[#This Row],[Concentration15]],0),IFERROR(Table61722273237424752576267[[#This Row],[Concentration16]],0),Table61722273237424752576267[[#This Row],[concentration18]])</f>
        <v>5.1229173376435351E-2</v>
      </c>
      <c r="BX18" s="47" t="e">
        <f>IF((Table61722273237424752576267[[#This Row],[Concentration162]]-Table61722273237424752576267[[#This Row],[concentration19]])&lt;0,0,Table61722273237424752576267[[#This Row],[Concentration162]]-Table61722273237424752576267[[#This Row],[concentration19]])</f>
        <v>#REF!</v>
      </c>
      <c r="BY18" s="126" t="e">
        <f>100*Table61722273237424752576267[[#This Row],[TOTAL]]/(Table61722273237424752576267[[#This Row],[TOTAL]]+Table61722273237424752576267[[#This Row],[concentration19]])</f>
        <v>#REF!</v>
      </c>
      <c r="BZ18" s="66"/>
      <c r="CA18" s="66"/>
      <c r="CB18" s="66"/>
      <c r="CC18" s="178">
        <f>Table51621263136414651566166[[#This Row],[Concentration172]]</f>
        <v>11.217799999999999</v>
      </c>
      <c r="CD18" s="66">
        <f t="shared" ref="CD18:CD24" si="12">CD17-CE17</f>
        <v>44</v>
      </c>
      <c r="CE18" s="80">
        <v>1.5</v>
      </c>
      <c r="CF18" s="181">
        <f>CC18*(CE18/1000)/constants!$B$23*1000*constants!$C$23</f>
        <v>0.56039187388987566</v>
      </c>
      <c r="CG18" s="181">
        <f>AP18*(CE18/1000)/constants!$B$5*1000*constants!$C$5</f>
        <v>6.1003699728699127E-4</v>
      </c>
      <c r="CH18" s="181">
        <f>AQ18*(CE18/1000)/constants!$B$11*1000*constants!$C$11</f>
        <v>5.0563442950965637E-5</v>
      </c>
      <c r="CI18" s="181">
        <f>AS18*(CE18/1000)/constants!$B$4*1000*constants!$C$4</f>
        <v>2.3416116493260578E-4</v>
      </c>
      <c r="CJ18" s="181">
        <f>AR18*(CE18/1000)/constants!$B$19*1000*constants!$C$19</f>
        <v>0</v>
      </c>
      <c r="CK18" s="181">
        <f>AU18*(CE18/1000)/constants!$B$12*1000*constants!$C$12</f>
        <v>0</v>
      </c>
      <c r="CL18" s="181">
        <f>AW18*(CE18/1000)/constants!$B$13*1000*constants!$C$13</f>
        <v>2.0988751596217863E-6</v>
      </c>
      <c r="CM18" s="66"/>
      <c r="CN18" s="66"/>
      <c r="CO18" s="66"/>
      <c r="CP18" s="66"/>
      <c r="CQ18" s="66"/>
      <c r="CR18" s="66"/>
      <c r="CS18" s="66"/>
      <c r="CT18" s="66"/>
      <c r="CU18" s="66"/>
      <c r="CV18" s="66"/>
      <c r="CW18" s="66"/>
      <c r="CX18" s="66"/>
      <c r="CY18" s="66"/>
      <c r="CZ18" s="66"/>
      <c r="DA18" s="66"/>
    </row>
    <row r="19" spans="1:105" s="116" customFormat="1" ht="16" thickBot="1" x14ac:dyDescent="0.4">
      <c r="A19" s="121" t="str">
        <f>Table2[[#This Row],[Date]]</f>
        <v>19-04</v>
      </c>
      <c r="B19" s="167">
        <f>Table2[[#This Row],[Time]]</f>
        <v>32</v>
      </c>
      <c r="C19" s="122">
        <f>Table3[[#This Row],[Dilution]]</f>
        <v>10</v>
      </c>
      <c r="D19" s="123">
        <f>AVERAGE(Table3[[#This Row],[Amount ]],Table310[[#This Row],[Amount ]],Table315[[#This Row],[Amount ]])</f>
        <v>0</v>
      </c>
      <c r="E19" s="123">
        <f>AVERAGE(Table3[[#This Row],[Amount 2]],Table310[[#This Row],[Amount 2]],Table315[[#This Row],[Amount 2]])</f>
        <v>0</v>
      </c>
      <c r="F19" s="123">
        <f>AVERAGE(Table3[[#This Row],[Amount 3]],Table310[[#This Row],[Amount 3]],Table315[[#This Row],[Amount 3]])</f>
        <v>0</v>
      </c>
      <c r="G19" s="123">
        <f>AVERAGE(Table3[[#This Row],[Amount 4]],Table310[[#This Row],[Amount 4]],Table315[[#This Row],[Amount 4]])</f>
        <v>0</v>
      </c>
      <c r="H19" s="123">
        <f>AVERAGE(Table3[[#This Row],[Amount 5]],Table310[[#This Row],[Amount 5]],Table315[[#This Row],[Amount 5]])</f>
        <v>0</v>
      </c>
      <c r="I19" s="123">
        <f>AVERAGE(Table3[[#This Row],[Amount 6]],Table310[[#This Row],[Amount 6]],Table315[[#This Row],[Amount 6]])</f>
        <v>0.26381747264851652</v>
      </c>
      <c r="J19" s="18">
        <f>IFERROR(AVERAGE(Table3[[#This Row],[Amount 7]],Table310[[#This Row],[Amount 7]],Table315[[#This Row],[Amount 7]]),0)</f>
        <v>10.01920649826476</v>
      </c>
      <c r="K19" s="18">
        <f>IFERROR(AVERAGE(Table3[[#This Row],[Amount 8]],Table310[[#This Row],[Amount 8]],Table315[[#This Row],[Amount 8]]),0)</f>
        <v>35.350948194712345</v>
      </c>
      <c r="L19" s="18">
        <f>IFERROR(AVERAGE(Table3[[#This Row],[Amount 9]],Table310[[#This Row],[Amount 9]],Table315[[#This Row],[Amount 9]]),0)</f>
        <v>1.7992588261728895</v>
      </c>
      <c r="M19" s="187">
        <f>IFERROR(AVERAGE(Table3[[#This Row],[Amount 10]],Table315[[#This Row],[Amount 10]]),0)</f>
        <v>9.8855677592702413</v>
      </c>
      <c r="N19" s="18">
        <f>IFERROR(AVERAGE(Table3[[#This Row],[Amount 11]],Table310[[#This Row],[Amount 11]],Table315[[#This Row],[Amount 11]]),0)</f>
        <v>0</v>
      </c>
      <c r="O19" s="18">
        <f>IFERROR(AVERAGE(Table3[[#This Row],[Amount 12]],Table310[[#This Row],[Amount 12]],Table315[[#This Row],[Amount 12]]),0)</f>
        <v>1.605432352826097</v>
      </c>
      <c r="P19" s="18">
        <f>IFERROR(AVERAGE(Table3[[#This Row],[Amount 13]],Table310[[#This Row],[Amount 13]],Table315[[#This Row],[Amount 13]]),0)</f>
        <v>0.30198217214633111</v>
      </c>
      <c r="Q19" s="18">
        <f>IFERROR(AVERAGE(Table3[[#This Row],[Amount 14]],Table310[[#This Row],[Amount 14]],Table315[[#This Row],[Amount 14]]),0)</f>
        <v>0.70879366006139721</v>
      </c>
      <c r="R19" s="18">
        <f>IFERROR(AVERAGE(Table3[[#This Row],[Amount 15]],Table310[[#This Row],[Amount 15]],Table315[[#This Row],[Amount 15]]),0)</f>
        <v>0</v>
      </c>
      <c r="S19" s="18">
        <f>IFERROR(AVERAGE(Table3[[#This Row],[Amount 16]],Table310[[#This Row],[Amount 16]],Table315[[#This Row],[Amount 16]]),0)</f>
        <v>3.0429024338857125</v>
      </c>
      <c r="T19" s="18">
        <f>IFERROR(AVERAGE(Table3[[#This Row],[Amount 17]],Table310[[#This Row],[Amount 17]],Table315[[#This Row],[Amount 17]]),0)</f>
        <v>0</v>
      </c>
      <c r="U19" s="18">
        <f>IFERROR(AVERAGE(Table3[[#This Row],[Amount 18]],Table310[[#This Row],[Amount 18]],Table315[[#This Row],[Amount 18]]),0)</f>
        <v>0</v>
      </c>
      <c r="V19" s="18">
        <f>IFERROR(AVERAGE(Table3[[#This Row],[Amount 19]],Table310[[#This Row],[Amount 19]],Table315[[#This Row],[Amount 19]]),0)</f>
        <v>0</v>
      </c>
      <c r="W19" s="123">
        <f>IFERROR(AVERAGE(Table3[[#This Row],[Ret.Time ]],Table310[[#This Row],[Ret.Time ]],Table315[[#This Row],[Ret.Time ]]),0)</f>
        <v>0</v>
      </c>
      <c r="X19" s="123">
        <f>IFERROR(AVERAGE(Table3[[#This Row],[Amount 20]],Table310[[#This Row],[Amount 20]],Table315[[#This Row],[Amount 20]]),0)</f>
        <v>0</v>
      </c>
      <c r="Y19" s="123">
        <f>IFERROR(AVERAGE(Table3[[#This Row],[Ret.Time]],Table310[[#This Row],[Ret.Time]],Table315[[#This Row],[Ret.Time]]),0)</f>
        <v>0</v>
      </c>
      <c r="Z19" s="123">
        <f>IFERROR(AVERAGE(Table3[[#This Row],[Amount 21]],Table310[[#This Row],[Amount 21]],Table315[[#This Row],[Amount 21]]),0)</f>
        <v>0</v>
      </c>
      <c r="AA19" s="123">
        <f>IFERROR(AVERAGE(Table3[[#This Row],[Ret.Time22]],Table310[[#This Row],[Ret.Time22]],Table315[[#This Row],[Ret.Time22]]),0)</f>
        <v>0</v>
      </c>
      <c r="AB19" s="123">
        <f>IFERROR(AVERAGE(Table3[[#This Row],[Amount 23]],Table310[[#This Row],[Amount 23]],Table315[[#This Row],[Amount 23]]),0)</f>
        <v>0</v>
      </c>
      <c r="AC19" s="123">
        <f>IFERROR(AVERAGE(Table3[[#This Row],[Ret.Time24]],Table310[[#This Row],[Ret.Time24]],Table315[[#This Row],[Ret.Time24]]),0)</f>
        <v>0</v>
      </c>
      <c r="AD19" s="123">
        <f>IFERROR(AVERAGE(Table3[[#This Row],[Amount 25]],Table310[[#This Row],[Amount 25]],Table315[[#This Row],[Amount 25]]),0)</f>
        <v>0</v>
      </c>
      <c r="AE19" s="18">
        <f>IFERROR(AVERAGE(Table3[[#This Row],[pH]],Table310[[#This Row],[pH]],Table315[[#This Row],[pH]]),0)</f>
        <v>5.9433333333333342</v>
      </c>
      <c r="AF19" s="18">
        <f>IFERROR(AVERAGE(Table3[[#This Row],[dilution ]],Table310[[#This Row],[dilution ]],Table315[[#This Row],[dilution ]]),0)</f>
        <v>100</v>
      </c>
      <c r="AG19" s="18">
        <f>IFERROR(AVERAGE(Table3[[#This Row],[correction factor]],Table310[[#This Row],[correction]],Table315[[#This Row],[correction]]),0)</f>
        <v>1</v>
      </c>
      <c r="AH19" s="18">
        <f>IFERROR(AVERAGE(Table3[[#This Row],[amount]],Table310[[#This Row],[amount]],Table315[[#This Row],[amount]]),0)</f>
        <v>77.206284118946655</v>
      </c>
      <c r="AI19" s="18">
        <f>IFERROR(AVERAGE(Table3[[#This Row],[pressure]],Table310[[#This Row],[pressure]],Table315[[#This Row],[pressure]]),0)</f>
        <v>0</v>
      </c>
      <c r="AJ19" s="124">
        <f>IF(D19="nd","nd",D19*$C19/constants!$B$3)</f>
        <v>0</v>
      </c>
      <c r="AK19" s="124">
        <f>IF(E19="nd","nd",E19*$C19/constants!$B$6)</f>
        <v>0</v>
      </c>
      <c r="AL19" s="124">
        <f>IF(F19="nd","nd",F19*$C19/constants!$B$7)</f>
        <v>0</v>
      </c>
      <c r="AM19" s="124">
        <f>IF(G19="nd","nd",G19*$C19/constants!$B$8)</f>
        <v>0</v>
      </c>
      <c r="AN19" s="124">
        <f>IF(H19="nd","nd",H19*$C19/constants!$B$9)</f>
        <v>0</v>
      </c>
      <c r="AO19" s="124">
        <f>IF(I19="nd","nd",I19*$C19/constants!$B$10)</f>
        <v>2.5819653410113479E-2</v>
      </c>
      <c r="AP19" s="162">
        <f t="shared" si="11"/>
        <v>0.1001920649826476</v>
      </c>
      <c r="AQ19" s="162">
        <f t="shared" si="1"/>
        <v>0.35350948194712345</v>
      </c>
      <c r="AR19" s="162">
        <f t="shared" si="2"/>
        <v>1.7992588261728896E-2</v>
      </c>
      <c r="AS19" s="162">
        <f t="shared" si="3"/>
        <v>9.8855677592702418E-2</v>
      </c>
      <c r="AT19" s="162">
        <f t="shared" si="4"/>
        <v>0</v>
      </c>
      <c r="AU19" s="162">
        <f t="shared" si="5"/>
        <v>1.6054323528260969E-2</v>
      </c>
      <c r="AV19" s="162">
        <f t="shared" si="6"/>
        <v>3.0198217214633112E-3</v>
      </c>
      <c r="AW19" s="162">
        <f t="shared" si="7"/>
        <v>7.0879366006139722E-3</v>
      </c>
      <c r="AX19" s="162">
        <f t="shared" si="8"/>
        <v>0</v>
      </c>
      <c r="AY19" s="162">
        <f>IF(S19="nd","nd",S19*$C19/constants!$B$15)</f>
        <v>0.21099910091154206</v>
      </c>
      <c r="AZ19" s="124">
        <f>IF(AH19="nd","nd",AH19*Table31520253035404550556065[[#This Row],[dilution ]]/constants!$B$3)</f>
        <v>240.95338655185898</v>
      </c>
      <c r="BA19" s="64">
        <f>AVERAGE(Table5[[#This Row],[Concentration172]],Table511[[#This Row],[Concentration172]],Table516[[#This Row],[Concentration172]])</f>
        <v>7.7206284118946655</v>
      </c>
      <c r="BB19" s="64">
        <f>IFERROR(AVERAGE(#REF!,#REF!,#REF!),0)</f>
        <v>0</v>
      </c>
      <c r="BC19" s="124"/>
      <c r="BD19" s="125">
        <f>(Table51621263136414651566166[[#This Row],[Concentration]]*constants!$C$3)/1000</f>
        <v>0</v>
      </c>
      <c r="BE19" s="125">
        <f>(Table51621263136414651566166[[#This Row],[Concentration2]]*constants!$C$6)/1000</f>
        <v>0</v>
      </c>
      <c r="BF19" s="125">
        <f>(Table51621263136414651566166[[#This Row],[Concentration3]]*constants!$C$7)/1000</f>
        <v>0</v>
      </c>
      <c r="BG19" s="125">
        <f>(Table51621263136414651566166[[#This Row],[Concentration4]]*constants!$C$8)/1000</f>
        <v>0</v>
      </c>
      <c r="BH19" s="125">
        <f>(Table51621263136414651566166[[#This Row],[Concentration5]]*constants!$C$9)/1000</f>
        <v>0</v>
      </c>
      <c r="BI19" s="125">
        <f>(Table51621263136414651566166[[#This Row],[Concentration6]]*constants!$C$10)/1000</f>
        <v>1.5491792046068087E-4</v>
      </c>
      <c r="BJ19" s="112">
        <f>Table51621263136414651566166[[#This Row],[Concentration7]]*2</f>
        <v>0.2003841299652952</v>
      </c>
      <c r="BK19" s="112">
        <f>Table51621263136414651566166[[#This Row],[Concentration8]]*3</f>
        <v>1.0605284458413704</v>
      </c>
      <c r="BL19" s="112">
        <f>Table51621263136414651566166[[#This Row],[Concentration9]]*4</f>
        <v>7.1970353046915583E-2</v>
      </c>
      <c r="BM19" s="112">
        <f>Table51621263136414651566166[[#This Row],[Concentration10]]*4</f>
        <v>0.39542271037080967</v>
      </c>
      <c r="BN19" s="112">
        <f>Table51621263136414651566166[[#This Row],[Concentration11]]*5</f>
        <v>0</v>
      </c>
      <c r="BO19" s="112">
        <f>Table51621263136414651566166[[#This Row],[Concentration12]]*5</f>
        <v>8.0271617641304846E-2</v>
      </c>
      <c r="BP19" s="112">
        <f>Table51621263136414651566166[[#This Row],[Concentration13]]*6</f>
        <v>1.8118930328779866E-2</v>
      </c>
      <c r="BQ19" s="112">
        <f>Table51621263136414651566166[[#This Row],[Concentration14]]*6</f>
        <v>4.2527619603683835E-2</v>
      </c>
      <c r="BR19" s="112">
        <f>Table51621263136414651566166[[#This Row],[Concentration15]]*7</f>
        <v>0</v>
      </c>
      <c r="BS19" s="112">
        <f>Table51621263136414651566166[[#This Row],[Concentration16]]*8</f>
        <v>1.6879928072923365</v>
      </c>
      <c r="BT19" s="152" t="e">
        <f>($BU$16*1000)-(Table61722273237424752576267[[#This Row],[Concentration17]]*1000)</f>
        <v>#REF!</v>
      </c>
      <c r="BU19" s="112" t="e">
        <f>AVERAGE(#REF!,#REF!,#REF!)</f>
        <v>#REF!</v>
      </c>
      <c r="BV19" s="47">
        <f>Table51621263136414651566166[[#This Row],[Concentration18]]</f>
        <v>0</v>
      </c>
      <c r="BW19" s="47">
        <f>SUM(IFERROR(Table61722273237424752576267[[#This Row],[Concentration7]],0),IFERROR(Table61722273237424752576267[[#This Row],[Concentration8]],0),IFERROR(Table61722273237424752576267[[#This Row],[Concentration9]],0),IFERROR(Table61722273237424752576267[[#This Row],[Concentration10]],0),IFERROR(Table61722273237424752576267[[#This Row],[Concentration11]],0),IFERROR(Table61722273237424752576267[[#This Row],[Concentration12]],0),IFERROR(Table61722273237424752576267[[#This Row],[Concentration13]],0),IFERROR(Table61722273237424752576267[[#This Row],[Concentration14]],0),IFERROR(Table61722273237424752576267[[#This Row],[Concentration15]],0),IFERROR(Table61722273237424752576267[[#This Row],[Concentration16]],0),Table61722273237424752576267[[#This Row],[concentration18]])</f>
        <v>3.5572166140904962</v>
      </c>
      <c r="BX19" s="47" t="e">
        <f>IF((Table61722273237424752576267[[#This Row],[Concentration162]]-Table61722273237424752576267[[#This Row],[concentration19]])&lt;0,0,Table61722273237424752576267[[#This Row],[Concentration162]]-Table61722273237424752576267[[#This Row],[concentration19]])</f>
        <v>#REF!</v>
      </c>
      <c r="BY19" s="116" t="e">
        <f>100*Table61722273237424752576267[[#This Row],[TOTAL]]/(Table61722273237424752576267[[#This Row],[TOTAL]]+Table61722273237424752576267[[#This Row],[concentration19]])</f>
        <v>#REF!</v>
      </c>
      <c r="BZ19" s="47"/>
      <c r="CA19" s="47"/>
      <c r="CB19" s="47"/>
      <c r="CC19" s="178">
        <f>Table51621263136414651566166[[#This Row],[Concentration172]]</f>
        <v>7.7206284118946655</v>
      </c>
      <c r="CD19" s="66">
        <f t="shared" si="12"/>
        <v>42.5</v>
      </c>
      <c r="CE19" s="80">
        <v>1.5</v>
      </c>
      <c r="CF19" s="181">
        <f>CC19*(CE19/1000)/constants!$B$23*1000*constants!$C$23</f>
        <v>0.38568858629580371</v>
      </c>
      <c r="CG19" s="181">
        <f>AP19*(CE19/1000)/constants!$B$5*1000*constants!$C$5</f>
        <v>5.0052653524935526E-3</v>
      </c>
      <c r="CH19" s="181">
        <f>AQ19*(CE19/1000)/constants!$B$11*1000*constants!$C$11</f>
        <v>2.1474272989133972E-2</v>
      </c>
      <c r="CI19" s="181">
        <f>AS19*(CE19/1000)/constants!$B$4*1000*constants!$C$4</f>
        <v>6.7320507747056337E-3</v>
      </c>
      <c r="CJ19" s="181">
        <f>AR19*(CE19/1000)/constants!$B$19*1000*constants!$C$19</f>
        <v>6.1264573111010246E-4</v>
      </c>
      <c r="CK19" s="181">
        <f>AU19*(CE19/1000)/constants!$B$12*1000*constants!$C$12</f>
        <v>1.1789277360104693E-3</v>
      </c>
      <c r="CL19" s="181">
        <f>AW19*(CE19/1000)/constants!$B$13*1000*constants!$C$13</f>
        <v>5.4916864157649576E-4</v>
      </c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</row>
    <row r="20" spans="1:105" s="66" customFormat="1" ht="16" thickBot="1" x14ac:dyDescent="0.4">
      <c r="A20" s="63" t="str">
        <f>Table2[[#This Row],[Date]]</f>
        <v>26-04</v>
      </c>
      <c r="B20" s="167">
        <f>Table2[[#This Row],[Time]]</f>
        <v>38</v>
      </c>
      <c r="C20" s="41">
        <f>Table3[[#This Row],[Dilution]]</f>
        <v>10</v>
      </c>
      <c r="D20" s="18">
        <f>AVERAGE(Table3[[#This Row],[Amount ]],Table310[[#This Row],[Amount ]],Table315[[#This Row],[Amount ]])</f>
        <v>0</v>
      </c>
      <c r="E20" s="18">
        <f>AVERAGE(Table3[[#This Row],[Amount 2]],Table310[[#This Row],[Amount 2]],Table315[[#This Row],[Amount 2]])</f>
        <v>0</v>
      </c>
      <c r="F20" s="18">
        <f>AVERAGE(Table3[[#This Row],[Amount 3]],Table310[[#This Row],[Amount 3]],Table315[[#This Row],[Amount 3]])</f>
        <v>0</v>
      </c>
      <c r="G20" s="18">
        <f>AVERAGE(Table3[[#This Row],[Amount 4]],Table310[[#This Row],[Amount 4]],Table315[[#This Row],[Amount 4]])</f>
        <v>0</v>
      </c>
      <c r="H20" s="18">
        <f>AVERAGE(Table3[[#This Row],[Amount 5]],Table310[[#This Row],[Amount 5]],Table315[[#This Row],[Amount 5]])</f>
        <v>0</v>
      </c>
      <c r="I20" s="18">
        <f>AVERAGE(Table3[[#This Row],[Amount 6]],Table310[[#This Row],[Amount 6]],Table315[[#This Row],[Amount 6]])</f>
        <v>0.2897043826875722</v>
      </c>
      <c r="J20" s="18">
        <f>IFERROR(AVERAGE(Table3[[#This Row],[Amount 7]],Table310[[#This Row],[Amount 7]],Table315[[#This Row],[Amount 7]]),0)</f>
        <v>64.625483904303309</v>
      </c>
      <c r="K20" s="18">
        <f>IFERROR(AVERAGE(Table3[[#This Row],[Amount 8]],Table310[[#This Row],[Amount 8]],Table315[[#This Row],[Amount 8]]),0)</f>
        <v>83.536693935260047</v>
      </c>
      <c r="L20" s="18">
        <f>IFERROR(AVERAGE(Table3[[#This Row],[Amount 9]],Table310[[#This Row],[Amount 9]],Table315[[#This Row],[Amount 9]]),0)</f>
        <v>40.481048930276671</v>
      </c>
      <c r="M20" s="18">
        <f>IFERROR(AVERAGE(Table3[[#This Row],[Amount 10]],Table310[[#This Row],[Amount 10]],Table315[[#This Row],[Amount 10]]),0)</f>
        <v>311.70355442874171</v>
      </c>
      <c r="N20" s="18">
        <f>IFERROR(AVERAGE(Table3[[#This Row],[Amount 11]],Table310[[#This Row],[Amount 11]],Table315[[#This Row],[Amount 11]]),0)</f>
        <v>2.0668089487853067</v>
      </c>
      <c r="O20" s="18">
        <f>IFERROR(AVERAGE(Table3[[#This Row],[Amount 12]],Table310[[#This Row],[Amount 12]],Table315[[#This Row],[Amount 12]]),0)</f>
        <v>17.557794150349139</v>
      </c>
      <c r="P20" s="18">
        <f>IFERROR(AVERAGE(Table3[[#This Row],[Amount 13]],Table310[[#This Row],[Amount 13]],Table315[[#This Row],[Amount 13]]),0)</f>
        <v>0.35212522883759356</v>
      </c>
      <c r="Q20" s="18">
        <f>IFERROR(AVERAGE(Table3[[#This Row],[Amount 14]],Table310[[#This Row],[Amount 14]],Table315[[#This Row],[Amount 14]]),0)</f>
        <v>5.7689966022912627</v>
      </c>
      <c r="R20" s="18">
        <f>IFERROR(AVERAGE(Table3[[#This Row],[Amount 15]],Table310[[#This Row],[Amount 15]],Table315[[#This Row],[Amount 15]]),0)</f>
        <v>1.235328231061928</v>
      </c>
      <c r="S20" s="18">
        <f>IFERROR(AVERAGE(Table3[[#This Row],[Amount 16]],Table310[[#This Row],[Amount 16]],Table315[[#This Row],[Amount 16]]),0)</f>
        <v>0.60748585121559462</v>
      </c>
      <c r="T20" s="18">
        <f>IFERROR(AVERAGE(Table3[[#This Row],[Amount 17]],Table310[[#This Row],[Amount 17]],Table315[[#This Row],[Amount 17]]),0)</f>
        <v>0</v>
      </c>
      <c r="U20" s="18">
        <f>IFERROR(AVERAGE(Table3[[#This Row],[Amount 18]],Table310[[#This Row],[Amount 18]],Table315[[#This Row],[Amount 18]]),0)</f>
        <v>0</v>
      </c>
      <c r="V20" s="18">
        <f>IFERROR(AVERAGE(Table3[[#This Row],[Amount 19]],Table310[[#This Row],[Amount 19]],Table315[[#This Row],[Amount 19]]),0)</f>
        <v>0</v>
      </c>
      <c r="W20" s="18">
        <f>IFERROR(AVERAGE(Table3[[#This Row],[Ret.Time ]],Table310[[#This Row],[Ret.Time ]],Table315[[#This Row],[Ret.Time ]]),0)</f>
        <v>0</v>
      </c>
      <c r="X20" s="18">
        <f>IFERROR(AVERAGE(Table3[[#This Row],[Amount 20]],Table310[[#This Row],[Amount 20]],Table315[[#This Row],[Amount 20]]),0)</f>
        <v>0</v>
      </c>
      <c r="Y20" s="18">
        <f>IFERROR(AVERAGE(Table3[[#This Row],[Ret.Time]],Table310[[#This Row],[Ret.Time]],Table315[[#This Row],[Ret.Time]]),0)</f>
        <v>0</v>
      </c>
      <c r="Z20" s="18">
        <f>IFERROR(AVERAGE(Table3[[#This Row],[Amount 21]],Table310[[#This Row],[Amount 21]],Table315[[#This Row],[Amount 21]]),0)</f>
        <v>0</v>
      </c>
      <c r="AA20" s="18">
        <f>IFERROR(AVERAGE(Table3[[#This Row],[Ret.Time22]],Table310[[#This Row],[Ret.Time22]],Table315[[#This Row],[Ret.Time22]]),0)</f>
        <v>0</v>
      </c>
      <c r="AB20" s="18">
        <f>IFERROR(AVERAGE(Table3[[#This Row],[Amount 23]],Table310[[#This Row],[Amount 23]],Table315[[#This Row],[Amount 23]]),0)</f>
        <v>0</v>
      </c>
      <c r="AC20" s="18">
        <f>IFERROR(AVERAGE(Table3[[#This Row],[Ret.Time24]],Table310[[#This Row],[Ret.Time24]],Table315[[#This Row],[Ret.Time24]]),0)</f>
        <v>0</v>
      </c>
      <c r="AD20" s="18">
        <f>IFERROR(AVERAGE(Table3[[#This Row],[Amount 25]],Table310[[#This Row],[Amount 25]],Table315[[#This Row],[Amount 25]]),0)</f>
        <v>0</v>
      </c>
      <c r="AE20" s="18" t="e">
        <v>#N/A</v>
      </c>
      <c r="AF20" s="18">
        <f>IFERROR(AVERAGE(Table3[[#This Row],[dilution ]],Table310[[#This Row],[dilution ]],Table315[[#This Row],[dilution ]]),0)</f>
        <v>50</v>
      </c>
      <c r="AG20" s="18">
        <f>IFERROR(AVERAGE(Table3[[#This Row],[correction factor]],Table310[[#This Row],[correction]],Table315[[#This Row],[correction]]),0)</f>
        <v>1</v>
      </c>
      <c r="AH20" s="18">
        <f>IFERROR(AVERAGE(Table3[[#This Row],[amount]],Table310[[#This Row],[amount]],Table315[[#This Row],[amount]]),0)</f>
        <v>145.28701123806096</v>
      </c>
      <c r="AI20" s="18">
        <f>IFERROR(AVERAGE(Table3[[#This Row],[pressure]],Table310[[#This Row],[pressure]],Table315[[#This Row],[pressure]]),0)</f>
        <v>0</v>
      </c>
      <c r="AJ20" s="64">
        <f>IF(D20="nd","nd",D20*$C20/constants!$B$3)</f>
        <v>0</v>
      </c>
      <c r="AK20" s="64">
        <f>IF(E20="nd","nd",E20*$C20/constants!$B$6)</f>
        <v>0</v>
      </c>
      <c r="AL20" s="64">
        <f>IF(F20="nd","nd",F20*$C20/constants!$B$7)</f>
        <v>0</v>
      </c>
      <c r="AM20" s="64">
        <f>IF(G20="nd","nd",G20*$C20/constants!$B$8)</f>
        <v>0</v>
      </c>
      <c r="AN20" s="64">
        <f>IF(H20="nd","nd",H20*$C20/constants!$B$9)</f>
        <v>0</v>
      </c>
      <c r="AO20" s="64">
        <f>IF(I20="nd","nd",I20*$C20/constants!$B$10)</f>
        <v>2.8353189336893059E-2</v>
      </c>
      <c r="AP20" s="162">
        <f t="shared" si="11"/>
        <v>0.64625483904303316</v>
      </c>
      <c r="AQ20" s="162">
        <f t="shared" si="1"/>
        <v>0.83536693935260042</v>
      </c>
      <c r="AR20" s="162">
        <f t="shared" si="2"/>
        <v>0.4048104893027667</v>
      </c>
      <c r="AS20" s="162">
        <f t="shared" si="3"/>
        <v>3.1170355442874169</v>
      </c>
      <c r="AT20" s="162">
        <f t="shared" si="4"/>
        <v>2.0668089487853068E-2</v>
      </c>
      <c r="AU20" s="162">
        <f t="shared" si="5"/>
        <v>0.17557794150349137</v>
      </c>
      <c r="AV20" s="162">
        <f t="shared" si="6"/>
        <v>3.5212522883759354E-3</v>
      </c>
      <c r="AW20" s="162">
        <f t="shared" si="7"/>
        <v>5.7689966022912625E-2</v>
      </c>
      <c r="AX20" s="162">
        <f t="shared" si="8"/>
        <v>1.235328231061928E-2</v>
      </c>
      <c r="AY20" s="162">
        <f>IF(S20="nd","nd",S20*$C20/constants!$B$15)</f>
        <v>4.212391662498749E-2</v>
      </c>
      <c r="AZ20" s="64">
        <f>IF(AH20="nd","nd",AH20*Table31520253035404550556065[[#This Row],[dilution ]]/constants!$B$3)</f>
        <v>226.71339373019933</v>
      </c>
      <c r="BA20" s="64">
        <f>AVERAGE(Table5[[#This Row],[Concentration172]],Table511[[#This Row],[Concentration172]],Table516[[#This Row],[Concentration172]])</f>
        <v>7.264350561903048</v>
      </c>
      <c r="BB20" s="64">
        <f>IFERROR(AVERAGE(#REF!,#REF!,#REF!),0)</f>
        <v>0</v>
      </c>
      <c r="BC20" s="64"/>
      <c r="BD20" s="112">
        <f>(Table51621263136414651566166[[#This Row],[Concentration]]*constants!$C$3)/1000</f>
        <v>0</v>
      </c>
      <c r="BE20" s="112">
        <f>(Table51621263136414651566166[[#This Row],[Concentration2]]*constants!$C$6)/1000</f>
        <v>0</v>
      </c>
      <c r="BF20" s="112">
        <f>(Table51621263136414651566166[[#This Row],[Concentration3]]*constants!$C$7)/1000</f>
        <v>0</v>
      </c>
      <c r="BG20" s="112">
        <f>(Table51621263136414651566166[[#This Row],[Concentration4]]*constants!$C$8)/1000</f>
        <v>0</v>
      </c>
      <c r="BH20" s="112">
        <f>(Table51621263136414651566166[[#This Row],[Concentration5]]*constants!$C$9)/1000</f>
        <v>0</v>
      </c>
      <c r="BI20" s="112">
        <f>(Table51621263136414651566166[[#This Row],[Concentration6]]*constants!$C$10)/1000</f>
        <v>1.7011913602135836E-4</v>
      </c>
      <c r="BJ20" s="112">
        <f>Table51621263136414651566166[[#This Row],[Concentration7]]*2</f>
        <v>1.2925096780860663</v>
      </c>
      <c r="BK20" s="112">
        <f>Table51621263136414651566166[[#This Row],[Concentration8]]*3</f>
        <v>2.506100818057801</v>
      </c>
      <c r="BL20" s="112">
        <f>Table51621263136414651566166[[#This Row],[Concentration9]]*4</f>
        <v>1.6192419572110668</v>
      </c>
      <c r="BM20" s="112">
        <f>Table51621263136414651566166[[#This Row],[Concentration10]]*4</f>
        <v>12.468142177149668</v>
      </c>
      <c r="BN20" s="112">
        <f>Table51621263136414651566166[[#This Row],[Concentration11]]*5</f>
        <v>0.10334044743926533</v>
      </c>
      <c r="BO20" s="112">
        <f>Table51621263136414651566166[[#This Row],[Concentration12]]*5</f>
        <v>0.87788970751745687</v>
      </c>
      <c r="BP20" s="112">
        <f>Table51621263136414651566166[[#This Row],[Concentration13]]*6</f>
        <v>2.1127513730255613E-2</v>
      </c>
      <c r="BQ20" s="112">
        <f>Table51621263136414651566166[[#This Row],[Concentration14]]*6</f>
        <v>0.34613979613747575</v>
      </c>
      <c r="BR20" s="112">
        <f>Table51621263136414651566166[[#This Row],[Concentration15]]*7</f>
        <v>8.647297617433497E-2</v>
      </c>
      <c r="BS20" s="112">
        <f>Table51621263136414651566166[[#This Row],[Concentration16]]*8</f>
        <v>0.33699133299989992</v>
      </c>
      <c r="BT20" s="152" t="e">
        <f>($BU$16*1000)-(Table61722273237424752576267[[#This Row],[Concentration17]]*1000)</f>
        <v>#REF!</v>
      </c>
      <c r="BU20" s="112" t="e">
        <f>AVERAGE(#REF!,#REF!,#REF!)</f>
        <v>#REF!</v>
      </c>
      <c r="BV20" s="47">
        <f>Table51621263136414651566166[[#This Row],[Concentration18]]</f>
        <v>0</v>
      </c>
      <c r="BW20" s="47">
        <f>SUM(IFERROR(Table61722273237424752576267[[#This Row],[Concentration7]],0),IFERROR(Table61722273237424752576267[[#This Row],[Concentration8]],0),IFERROR(Table61722273237424752576267[[#This Row],[Concentration9]],0),IFERROR(Table61722273237424752576267[[#This Row],[Concentration10]],0),IFERROR(Table61722273237424752576267[[#This Row],[Concentration11]],0),IFERROR(Table61722273237424752576267[[#This Row],[Concentration12]],0),IFERROR(Table61722273237424752576267[[#This Row],[Concentration13]],0),IFERROR(Table61722273237424752576267[[#This Row],[Concentration14]],0),IFERROR(Table61722273237424752576267[[#This Row],[Concentration15]],0),IFERROR(Table61722273237424752576267[[#This Row],[Concentration16]],0),Table61722273237424752576267[[#This Row],[concentration18]])</f>
        <v>19.657956404503292</v>
      </c>
      <c r="BX20" s="47" t="e">
        <f>IF((Table61722273237424752576267[[#This Row],[Concentration162]]-Table61722273237424752576267[[#This Row],[concentration19]])&lt;0,0,Table61722273237424752576267[[#This Row],[Concentration162]]-Table61722273237424752576267[[#This Row],[concentration19]])</f>
        <v>#REF!</v>
      </c>
      <c r="BY20" s="66" t="e">
        <f>100*Table61722273237424752576267[[#This Row],[TOTAL]]/(Table61722273237424752576267[[#This Row],[TOTAL]]+Table61722273237424752576267[[#This Row],[concentration19]])</f>
        <v>#REF!</v>
      </c>
      <c r="CC20" s="178">
        <f>Table51621263136414651566166[[#This Row],[Concentration172]]</f>
        <v>7.264350561903048</v>
      </c>
      <c r="CD20" s="66">
        <f t="shared" si="12"/>
        <v>41</v>
      </c>
      <c r="CE20" s="80">
        <v>1.5</v>
      </c>
      <c r="CF20" s="181">
        <f>CC20*(CE20/1000)/constants!$B$23*1000*constants!$C$23</f>
        <v>0.36289495480199507</v>
      </c>
      <c r="CG20" s="181">
        <f>AP20*(CE20/1000)/constants!$B$5*1000*constants!$C$5</f>
        <v>3.2284761825236451E-2</v>
      </c>
      <c r="CH20" s="181">
        <f>AQ20*(CE20/1000)/constants!$B$11*1000*constants!$C$11</f>
        <v>5.0745167012064177E-2</v>
      </c>
      <c r="CI20" s="181">
        <f>AS20*(CE20/1000)/constants!$B$4*1000*constants!$C$4</f>
        <v>0.21226946253063925</v>
      </c>
      <c r="CJ20" s="181">
        <f>AR20*(CE20/1000)/constants!$B$19*1000*constants!$C$19</f>
        <v>1.3783754431120471E-2</v>
      </c>
      <c r="CK20" s="181">
        <f>AU20*(CE20/1000)/constants!$B$12*1000*constants!$C$12</f>
        <v>1.2893330865402813E-2</v>
      </c>
      <c r="CL20" s="181">
        <f>AW20*(CE20/1000)/constants!$B$13*1000*constants!$C$13</f>
        <v>4.4697804253289748E-3</v>
      </c>
    </row>
    <row r="21" spans="1:105" s="47" customFormat="1" ht="16" thickBot="1" x14ac:dyDescent="0.4">
      <c r="A21" s="63">
        <f>Table2[[#This Row],[Date]]</f>
        <v>43105</v>
      </c>
      <c r="B21" s="167">
        <f>Table2[[#This Row],[Time]]</f>
        <v>43</v>
      </c>
      <c r="C21" s="41">
        <f>Table3[[#This Row],[Dilution]]</f>
        <v>20</v>
      </c>
      <c r="D21" s="18">
        <f>AVERAGE(Table3[[#This Row],[Amount ]],Table310[[#This Row],[Amount ]],Table315[[#This Row],[Amount ]])</f>
        <v>0</v>
      </c>
      <c r="E21" s="18">
        <f>AVERAGE(Table3[[#This Row],[Amount 2]],Table310[[#This Row],[Amount 2]],Table315[[#This Row],[Amount 2]])</f>
        <v>0</v>
      </c>
      <c r="F21" s="18">
        <f>AVERAGE(Table3[[#This Row],[Amount 3]],Table310[[#This Row],[Amount 3]],Table315[[#This Row],[Amount 3]])</f>
        <v>0</v>
      </c>
      <c r="G21" s="18">
        <f>AVERAGE(Table3[[#This Row],[Amount 4]],Table310[[#This Row],[Amount 4]],Table315[[#This Row],[Amount 4]])</f>
        <v>0</v>
      </c>
      <c r="H21" s="18">
        <f>AVERAGE(Table3[[#This Row],[Amount 5]],Table310[[#This Row],[Amount 5]],Table315[[#This Row],[Amount 5]])</f>
        <v>0</v>
      </c>
      <c r="I21" s="18">
        <f>AVERAGE(Table3[[#This Row],[Amount 6]],Table310[[#This Row],[Amount 6]],Table315[[#This Row],[Amount 6]])</f>
        <v>0.451556345230818</v>
      </c>
      <c r="J21" s="18">
        <f>IFERROR(AVERAGE(Table3[[#This Row],[Amount 7]],Table310[[#This Row],[Amount 7]],Table315[[#This Row],[Amount 7]]),0)</f>
        <v>41.060346506309322</v>
      </c>
      <c r="K21" s="18">
        <f>IFERROR(AVERAGE(Table3[[#This Row],[Amount 8]],Table310[[#This Row],[Amount 8]],Table315[[#This Row],[Amount 8]]),0)</f>
        <v>36.26262672861926</v>
      </c>
      <c r="L21" s="18">
        <f>IFERROR(AVERAGE(Table3[[#This Row],[Amount 9]],Table310[[#This Row],[Amount 9]],Table315[[#This Row],[Amount 9]]),0)</f>
        <v>24.852232104047104</v>
      </c>
      <c r="M21" s="18">
        <f>IFERROR(AVERAGE(Table3[[#This Row],[Amount 10]],Table310[[#This Row],[Amount 10]],Table315[[#This Row],[Amount 10]]),0)</f>
        <v>187.98950044008953</v>
      </c>
      <c r="N21" s="18">
        <f>IFERROR(AVERAGE(Table3[[#This Row],[Amount 11]],Table310[[#This Row],[Amount 11]],Table315[[#This Row],[Amount 11]]),0)</f>
        <v>1.1049955116325956</v>
      </c>
      <c r="O21" s="18">
        <f>IFERROR(AVERAGE(Table3[[#This Row],[Amount 12]],Table310[[#This Row],[Amount 12]],Table315[[#This Row],[Amount 12]]),0)</f>
        <v>8.9225461596068438</v>
      </c>
      <c r="P21" s="18">
        <f>IFERROR(AVERAGE(Table3[[#This Row],[Amount 13]],Table310[[#This Row],[Amount 13]],Table315[[#This Row],[Amount 13]]),0)</f>
        <v>0</v>
      </c>
      <c r="Q21" s="18">
        <f>IFERROR(AVERAGE(Table3[[#This Row],[Amount 14]],Table310[[#This Row],[Amount 14]],Table315[[#This Row],[Amount 14]]),0)</f>
        <v>5.7673457826516454</v>
      </c>
      <c r="R21" s="18">
        <f>IFERROR(AVERAGE(Table3[[#This Row],[Amount 15]],Table310[[#This Row],[Amount 15]],Table315[[#This Row],[Amount 15]]),0)</f>
        <v>0</v>
      </c>
      <c r="S21" s="18">
        <f>IFERROR(AVERAGE(Table3[[#This Row],[Amount 16]],Table310[[#This Row],[Amount 16]],Table315[[#This Row],[Amount 16]]),0)</f>
        <v>0</v>
      </c>
      <c r="T21" s="18">
        <f>IFERROR(AVERAGE(Table3[[#This Row],[Amount 17]],Table310[[#This Row],[Amount 17]],Table315[[#This Row],[Amount 17]]),0)</f>
        <v>0</v>
      </c>
      <c r="U21" s="18">
        <f>IFERROR(AVERAGE(Table3[[#This Row],[Amount 18]],Table310[[#This Row],[Amount 18]],Table315[[#This Row],[Amount 18]]),0)</f>
        <v>0</v>
      </c>
      <c r="V21" s="18">
        <f>IFERROR(AVERAGE(Table3[[#This Row],[Amount 19]],Table310[[#This Row],[Amount 19]],Table315[[#This Row],[Amount 19]]),0)</f>
        <v>0</v>
      </c>
      <c r="W21" s="18">
        <f>IFERROR(AVERAGE(Table3[[#This Row],[Ret.Time ]],Table310[[#This Row],[Ret.Time ]],Table315[[#This Row],[Ret.Time ]]),0)</f>
        <v>0</v>
      </c>
      <c r="X21" s="18">
        <f>IFERROR(AVERAGE(Table3[[#This Row],[Amount 20]],Table310[[#This Row],[Amount 20]],Table315[[#This Row],[Amount 20]]),0)</f>
        <v>0</v>
      </c>
      <c r="Y21" s="18">
        <f>IFERROR(AVERAGE(Table3[[#This Row],[Ret.Time]],Table310[[#This Row],[Ret.Time]],Table315[[#This Row],[Ret.Time]]),0)</f>
        <v>0</v>
      </c>
      <c r="Z21" s="18">
        <f>IFERROR(AVERAGE(Table3[[#This Row],[Amount 21]],Table310[[#This Row],[Amount 21]],Table315[[#This Row],[Amount 21]]),0)</f>
        <v>0</v>
      </c>
      <c r="AA21" s="18">
        <f>IFERROR(AVERAGE(Table3[[#This Row],[Ret.Time22]],Table310[[#This Row],[Ret.Time22]],Table315[[#This Row],[Ret.Time22]]),0)</f>
        <v>0</v>
      </c>
      <c r="AB21" s="18">
        <f>IFERROR(AVERAGE(Table3[[#This Row],[Amount 23]],Table310[[#This Row],[Amount 23]],Table315[[#This Row],[Amount 23]]),0)</f>
        <v>0</v>
      </c>
      <c r="AC21" s="18">
        <f>IFERROR(AVERAGE(Table3[[#This Row],[Ret.Time24]],Table310[[#This Row],[Ret.Time24]],Table315[[#This Row],[Ret.Time24]]),0)</f>
        <v>0</v>
      </c>
      <c r="AD21" s="18">
        <f>IFERROR(AVERAGE(Table3[[#This Row],[Amount 25]],Table310[[#This Row],[Amount 25]],Table315[[#This Row],[Amount 25]]),0)</f>
        <v>0</v>
      </c>
      <c r="AE21" s="18">
        <f>IFERROR(AVERAGE(Table3[[#This Row],[pH]],Table310[[#This Row],[pH]],Table315[[#This Row],[pH]]),0)</f>
        <v>7.4533333333333331</v>
      </c>
      <c r="AF21" s="18">
        <f>IFERROR(AVERAGE(Table3[[#This Row],[dilution ]],Table310[[#This Row],[dilution ]],Table315[[#This Row],[dilution ]]),0)</f>
        <v>20</v>
      </c>
      <c r="AG21" s="18">
        <f>IFERROR(AVERAGE(Table3[[#This Row],[correction factor]],Table310[[#This Row],[correction]],Table315[[#This Row],[correction]]),0)</f>
        <v>1</v>
      </c>
      <c r="AH21" s="18">
        <f>IFERROR(AVERAGE(Table3[[#This Row],[amount]],Table310[[#This Row],[amount]],Table315[[#This Row],[amount]]),0)</f>
        <v>146.15480137893306</v>
      </c>
      <c r="AI21" s="18">
        <f>IFERROR(AVERAGE(Table3[[#This Row],[pressure]],Table310[[#This Row],[pressure]],Table315[[#This Row],[pressure]]),0)</f>
        <v>0</v>
      </c>
      <c r="AJ21" s="64">
        <f>IF(D21="nd","nd",D21*$C21/constants!$B$3)</f>
        <v>0</v>
      </c>
      <c r="AK21" s="64">
        <f>IF(E21="nd","nd",E21*$C21/constants!$B$6)</f>
        <v>0</v>
      </c>
      <c r="AL21" s="64">
        <f>IF(F21="nd","nd",F21*$C21/constants!$B$7)</f>
        <v>0</v>
      </c>
      <c r="AM21" s="64">
        <f>IF(G21="nd","nd",G21*$C21/constants!$B$8)</f>
        <v>0</v>
      </c>
      <c r="AN21" s="64">
        <f>IF(H21="nd","nd",H21*$C21/constants!$B$9)</f>
        <v>0</v>
      </c>
      <c r="AO21" s="64">
        <f>IF(I21="nd","nd",I21*$C21/constants!$B$10)</f>
        <v>8.8387082265249134E-2</v>
      </c>
      <c r="AP21" s="162">
        <f t="shared" si="11"/>
        <v>0.8212069301261864</v>
      </c>
      <c r="AQ21" s="162">
        <f t="shared" si="1"/>
        <v>0.72525253457238525</v>
      </c>
      <c r="AR21" s="162">
        <f t="shared" si="2"/>
        <v>0.49704464208094207</v>
      </c>
      <c r="AS21" s="162">
        <f t="shared" si="3"/>
        <v>3.7597900088017906</v>
      </c>
      <c r="AT21" s="162">
        <f t="shared" si="4"/>
        <v>2.2099910232651912E-2</v>
      </c>
      <c r="AU21" s="162">
        <f t="shared" si="5"/>
        <v>0.17845092319213687</v>
      </c>
      <c r="AV21" s="162">
        <f t="shared" si="6"/>
        <v>0</v>
      </c>
      <c r="AW21" s="162">
        <f t="shared" si="7"/>
        <v>0.11534691565303291</v>
      </c>
      <c r="AX21" s="162">
        <f t="shared" si="8"/>
        <v>0</v>
      </c>
      <c r="AY21" s="162">
        <f>IF(S21="nd","nd",S21*$C21/constants!$B$15)</f>
        <v>0</v>
      </c>
      <c r="AZ21" s="64">
        <f>IF(AH21="nd","nd",AH21*Table31520253035404550556065[[#This Row],[dilution ]]/constants!$B$3)</f>
        <v>91.227015404115249</v>
      </c>
      <c r="BA21" s="64">
        <f>AVERAGE(Table5[[#This Row],[Concentration172]],Table511[[#This Row],[Concentration172]],Table516[[#This Row],[Concentration172]])</f>
        <v>2.9230960275786617</v>
      </c>
      <c r="BB21" s="64">
        <f>IFERROR(AVERAGE(#REF!,#REF!,#REF!),0)</f>
        <v>0</v>
      </c>
      <c r="BC21" s="64"/>
      <c r="BD21" s="112">
        <f>(Table51621263136414651566166[[#This Row],[Concentration]]*constants!$C$3)/1000</f>
        <v>0</v>
      </c>
      <c r="BE21" s="112">
        <f>(Table51621263136414651566166[[#This Row],[Concentration2]]*constants!$C$6)/1000</f>
        <v>0</v>
      </c>
      <c r="BF21" s="112">
        <f>(Table51621263136414651566166[[#This Row],[Concentration3]]*constants!$C$7)/1000</f>
        <v>0</v>
      </c>
      <c r="BG21" s="112">
        <f>(Table51621263136414651566166[[#This Row],[Concentration4]]*constants!$C$8)/1000</f>
        <v>0</v>
      </c>
      <c r="BH21" s="112">
        <f>(Table51621263136414651566166[[#This Row],[Concentration5]]*constants!$C$9)/1000</f>
        <v>0</v>
      </c>
      <c r="BI21" s="112">
        <f>(Table51621263136414651566166[[#This Row],[Concentration6]]*constants!$C$10)/1000</f>
        <v>5.3032249359149478E-4</v>
      </c>
      <c r="BJ21" s="112">
        <f>Table51621263136414651566166[[#This Row],[Concentration7]]*2</f>
        <v>1.6424138602523728</v>
      </c>
      <c r="BK21" s="112">
        <f>Table51621263136414651566166[[#This Row],[Concentration8]]*3</f>
        <v>2.1757576037171558</v>
      </c>
      <c r="BL21" s="112">
        <f>Table51621263136414651566166[[#This Row],[Concentration9]]*4</f>
        <v>1.9881785683237683</v>
      </c>
      <c r="BM21" s="112">
        <f>Table51621263136414651566166[[#This Row],[Concentration10]]*4</f>
        <v>15.039160035207162</v>
      </c>
      <c r="BN21" s="112">
        <f>Table51621263136414651566166[[#This Row],[Concentration11]]*5</f>
        <v>0.11049955116325956</v>
      </c>
      <c r="BO21" s="112">
        <f>Table51621263136414651566166[[#This Row],[Concentration12]]*5</f>
        <v>0.89225461596068434</v>
      </c>
      <c r="BP21" s="112">
        <f>Table51621263136414651566166[[#This Row],[Concentration13]]*6</f>
        <v>0</v>
      </c>
      <c r="BQ21" s="112">
        <f>Table51621263136414651566166[[#This Row],[Concentration14]]*6</f>
        <v>0.69208149391819751</v>
      </c>
      <c r="BR21" s="112">
        <f>Table51621263136414651566166[[#This Row],[Concentration15]]*7</f>
        <v>0</v>
      </c>
      <c r="BS21" s="112">
        <f>Table51621263136414651566166[[#This Row],[Concentration16]]*8</f>
        <v>0</v>
      </c>
      <c r="BT21" s="152" t="e">
        <f>($BU$16*1000)-(Table61722273237424752576267[[#This Row],[Concentration17]]*1000)</f>
        <v>#REF!</v>
      </c>
      <c r="BU21" s="112" t="e">
        <f>AVERAGE(#REF!,#REF!,#REF!)</f>
        <v>#REF!</v>
      </c>
      <c r="BV21" s="47">
        <f>Table51621263136414651566166[[#This Row],[Concentration18]]</f>
        <v>0</v>
      </c>
      <c r="BW21" s="47">
        <f>SUM(IFERROR(Table61722273237424752576267[[#This Row],[Concentration7]],0),IFERROR(Table61722273237424752576267[[#This Row],[Concentration8]],0),IFERROR(Table61722273237424752576267[[#This Row],[Concentration9]],0),IFERROR(Table61722273237424752576267[[#This Row],[Concentration10]],0),IFERROR(Table61722273237424752576267[[#This Row],[Concentration11]],0),IFERROR(Table61722273237424752576267[[#This Row],[Concentration12]],0),IFERROR(Table61722273237424752576267[[#This Row],[Concentration13]],0),IFERROR(Table61722273237424752576267[[#This Row],[Concentration14]],0),IFERROR(Table61722273237424752576267[[#This Row],[Concentration15]],0),IFERROR(Table61722273237424752576267[[#This Row],[Concentration16]],0),Table61722273237424752576267[[#This Row],[concentration18]])</f>
        <v>22.540345728542601</v>
      </c>
      <c r="BX21" s="47" t="e">
        <f>IF((Table61722273237424752576267[[#This Row],[Concentration162]]-Table61722273237424752576267[[#This Row],[concentration19]])&lt;0,0,Table61722273237424752576267[[#This Row],[Concentration162]]-Table61722273237424752576267[[#This Row],[concentration19]])</f>
        <v>#REF!</v>
      </c>
      <c r="BY21" s="47" t="e">
        <f>100*Table61722273237424752576267[[#This Row],[TOTAL]]/(Table61722273237424752576267[[#This Row],[TOTAL]]+Table61722273237424752576267[[#This Row],[concentration19]])</f>
        <v>#REF!</v>
      </c>
      <c r="CC21" s="178">
        <f>Table51621263136414651566166[[#This Row],[Concentration172]]</f>
        <v>2.9230960275786617</v>
      </c>
      <c r="CD21" s="66">
        <f t="shared" si="12"/>
        <v>39.5</v>
      </c>
      <c r="CE21" s="80">
        <v>1.5</v>
      </c>
      <c r="CF21" s="181">
        <f>CC21*(CE21/1000)/constants!$B$23*1000*constants!$C$23</f>
        <v>0.14602500137770844</v>
      </c>
      <c r="CG21" s="181">
        <f>AP21*(CE21/1000)/constants!$B$5*1000*constants!$C$5</f>
        <v>4.1024791686847382E-2</v>
      </c>
      <c r="CH21" s="181">
        <f>AQ21*(CE21/1000)/constants!$B$11*1000*constants!$C$11</f>
        <v>4.4056161740516658E-2</v>
      </c>
      <c r="CI21" s="181">
        <f>AS21*(CE21/1000)/constants!$B$4*1000*constants!$C$4</f>
        <v>0.25604090587259376</v>
      </c>
      <c r="CJ21" s="181">
        <f>AR21*(CE21/1000)/constants!$B$19*1000*constants!$C$19</f>
        <v>1.6924317597471528E-2</v>
      </c>
      <c r="CK21" s="181">
        <f>AU21*(CE21/1000)/constants!$B$12*1000*constants!$C$12</f>
        <v>1.3104304426003608E-2</v>
      </c>
      <c r="CL21" s="181">
        <f>AW21*(CE21/1000)/constants!$B$13*1000*constants!$C$13</f>
        <v>8.9370027623734173E-3</v>
      </c>
    </row>
    <row r="22" spans="1:105" s="66" customFormat="1" ht="16" thickBot="1" x14ac:dyDescent="0.4">
      <c r="A22" s="63">
        <f>Table2[[#This Row],[Date]]</f>
        <v>43195</v>
      </c>
      <c r="B22" s="167">
        <f>Table2[[#This Row],[Time]]</f>
        <v>46</v>
      </c>
      <c r="C22" s="41">
        <f>Table3[[#This Row],[Dilution]]</f>
        <v>20</v>
      </c>
      <c r="D22" s="18">
        <f>AVERAGE(Table3[[#This Row],[Amount ]],Table310[[#This Row],[Amount ]],Table315[[#This Row],[Amount ]])</f>
        <v>0</v>
      </c>
      <c r="E22" s="18">
        <f>AVERAGE(Table3[[#This Row],[Amount 2]],Table310[[#This Row],[Amount 2]],Table315[[#This Row],[Amount 2]])</f>
        <v>0.3238339214536346</v>
      </c>
      <c r="F22" s="18">
        <f>AVERAGE(Table3[[#This Row],[Amount 3]],Table310[[#This Row],[Amount 3]],Table315[[#This Row],[Amount 3]])</f>
        <v>0</v>
      </c>
      <c r="G22" s="18">
        <f>AVERAGE(Table3[[#This Row],[Amount 4]],Table310[[#This Row],[Amount 4]],Table315[[#This Row],[Amount 4]])</f>
        <v>0</v>
      </c>
      <c r="H22" s="18">
        <f>AVERAGE(Table3[[#This Row],[Amount 5]],Table310[[#This Row],[Amount 5]],Table315[[#This Row],[Amount 5]])</f>
        <v>0</v>
      </c>
      <c r="I22" s="18">
        <f>AVERAGE(Table3[[#This Row],[Amount 6]],Table310[[#This Row],[Amount 6]],Table315[[#This Row],[Amount 6]])</f>
        <v>0</v>
      </c>
      <c r="J22" s="18">
        <f>IFERROR(AVERAGE(Table3[[#This Row],[Amount 7]],Table310[[#This Row],[Amount 7]],Table315[[#This Row],[Amount 7]]),0)</f>
        <v>50.546685582979457</v>
      </c>
      <c r="K22" s="18">
        <f>IFERROR(AVERAGE(Table3[[#This Row],[Amount 8]],Table310[[#This Row],[Amount 8]],Table315[[#This Row],[Amount 8]]),0)</f>
        <v>68.645643356913482</v>
      </c>
      <c r="L22" s="18">
        <f>IFERROR(AVERAGE(Table3[[#This Row],[Amount 9]],Table310[[#This Row],[Amount 9]],Table315[[#This Row],[Amount 9]]),0)</f>
        <v>32.866212311946448</v>
      </c>
      <c r="M22" s="18">
        <f>IFERROR(AVERAGE(Table3[[#This Row],[Amount 10]],Table310[[#This Row],[Amount 10]],Table315[[#This Row],[Amount 10]]),0)</f>
        <v>273.58411986268567</v>
      </c>
      <c r="N22" s="18">
        <f>IFERROR(AVERAGE(Table3[[#This Row],[Amount 11]],Table310[[#This Row],[Amount 11]],Table315[[#This Row],[Amount 11]]),0)</f>
        <v>2.2339839465571747</v>
      </c>
      <c r="O22" s="18">
        <f>IFERROR(AVERAGE(Table3[[#This Row],[Amount 12]],Table310[[#This Row],[Amount 12]],Table315[[#This Row],[Amount 12]]),0)</f>
        <v>12.977664452336024</v>
      </c>
      <c r="P22" s="18">
        <f>IFERROR(AVERAGE(Table3[[#This Row],[Amount 13]],Table310[[#This Row],[Amount 13]],Table315[[#This Row],[Amount 13]]),0)</f>
        <v>0</v>
      </c>
      <c r="Q22" s="18">
        <f>IFERROR(AVERAGE(Table3[[#This Row],[Amount 14]],Table310[[#This Row],[Amount 14]],Table315[[#This Row],[Amount 14]]),0)</f>
        <v>9.3311631275145217</v>
      </c>
      <c r="R22" s="18">
        <f>IFERROR(AVERAGE(Table3[[#This Row],[Amount 15]],Table310[[#This Row],[Amount 15]],Table315[[#This Row],[Amount 15]]),0)</f>
        <v>0.26646135971704216</v>
      </c>
      <c r="S22" s="18">
        <f>IFERROR(AVERAGE(Table3[[#This Row],[Amount 16]],Table310[[#This Row],[Amount 16]],Table315[[#This Row],[Amount 16]]),0)</f>
        <v>0</v>
      </c>
      <c r="T22" s="18">
        <f>IFERROR(AVERAGE(Table3[[#This Row],[Amount 17]],Table310[[#This Row],[Amount 17]],Table315[[#This Row],[Amount 17]]),0)</f>
        <v>0</v>
      </c>
      <c r="U22" s="18">
        <f>IFERROR(AVERAGE(Table3[[#This Row],[Amount 18]],Table310[[#This Row],[Amount 18]],Table315[[#This Row],[Amount 18]]),0)</f>
        <v>0</v>
      </c>
      <c r="V22" s="18">
        <f>IFERROR(AVERAGE(Table3[[#This Row],[Amount 19]],Table310[[#This Row],[Amount 19]],Table315[[#This Row],[Amount 19]]),0)</f>
        <v>0</v>
      </c>
      <c r="W22" s="123">
        <f>IFERROR(AVERAGE(Table3[[#This Row],[Ret.Time ]],Table310[[#This Row],[Ret.Time ]],Table315[[#This Row],[Ret.Time ]]),0)</f>
        <v>0</v>
      </c>
      <c r="X22" s="123">
        <f>IFERROR(AVERAGE(Table3[[#This Row],[Amount 20]],Table310[[#This Row],[Amount 20]],Table315[[#This Row],[Amount 20]]),0)</f>
        <v>0</v>
      </c>
      <c r="Y22" s="123">
        <f>IFERROR(AVERAGE(Table3[[#This Row],[Ret.Time]],Table310[[#This Row],[Ret.Time]],Table315[[#This Row],[Ret.Time]]),0)</f>
        <v>0</v>
      </c>
      <c r="Z22" s="123">
        <f>IFERROR(AVERAGE(Table3[[#This Row],[Amount 21]],Table310[[#This Row],[Amount 21]],Table315[[#This Row],[Amount 21]]),0)</f>
        <v>0</v>
      </c>
      <c r="AA22" s="123">
        <f>IFERROR(AVERAGE(Table3[[#This Row],[Ret.Time22]],Table310[[#This Row],[Ret.Time22]],Table315[[#This Row],[Ret.Time22]]),0)</f>
        <v>0</v>
      </c>
      <c r="AB22" s="123">
        <f>IFERROR(AVERAGE(Table3[[#This Row],[Amount 23]],Table310[[#This Row],[Amount 23]],Table315[[#This Row],[Amount 23]]),0)</f>
        <v>0</v>
      </c>
      <c r="AC22" s="123">
        <f>IFERROR(AVERAGE(Table3[[#This Row],[Ret.Time24]],Table310[[#This Row],[Ret.Time24]],Table315[[#This Row],[Ret.Time24]]),0)</f>
        <v>0</v>
      </c>
      <c r="AD22" s="123">
        <f>IFERROR(AVERAGE(Table3[[#This Row],[Amount 25]],Table310[[#This Row],[Amount 25]],Table315[[#This Row],[Amount 25]]),0)</f>
        <v>0</v>
      </c>
      <c r="AE22" s="18">
        <f>IFERROR(AVERAGE(Table3[[#This Row],[pH]],Table310[[#This Row],[pH]],Table315[[#This Row],[pH]]),0)</f>
        <v>7.2566666666666668</v>
      </c>
      <c r="AF22" s="18">
        <f>IFERROR(AVERAGE(Table3[[#This Row],[dilution ]],Table310[[#This Row],[dilution ]],Table315[[#This Row],[dilution ]]),0)</f>
        <v>20</v>
      </c>
      <c r="AG22" s="18">
        <f>IFERROR(AVERAGE(Table3[[#This Row],[correction factor]],Table310[[#This Row],[correction]],Table315[[#This Row],[correction]]),0)</f>
        <v>1</v>
      </c>
      <c r="AH22" s="18">
        <f>IFERROR(AVERAGE(Table3[[#This Row],[amount]],Table310[[#This Row],[amount]],Table315[[#This Row],[amount]]),0)</f>
        <v>71.046183693366217</v>
      </c>
      <c r="AI22" s="18">
        <f>IFERROR(AVERAGE(Table3[[#This Row],[pressure]],Table310[[#This Row],[pressure]],Table315[[#This Row],[pressure]]),0)</f>
        <v>0</v>
      </c>
      <c r="AJ22" s="64">
        <f>IF(D22="nd","nd",D22*$C22/constants!$B$3)</f>
        <v>0</v>
      </c>
      <c r="AK22" s="64">
        <f>IF(E22="nd","nd",E22*$C22/constants!$B$6)</f>
        <v>0.14058647743759775</v>
      </c>
      <c r="AL22" s="64">
        <f>IF(F22="nd","nd",F22*$C22/constants!$B$7)</f>
        <v>0</v>
      </c>
      <c r="AM22" s="64">
        <f>IF(G22="nd","nd",G22*$C22/constants!$B$8)</f>
        <v>0</v>
      </c>
      <c r="AN22" s="64">
        <f>IF(H22="nd","nd",H22*$C22/constants!$B$9)</f>
        <v>0</v>
      </c>
      <c r="AO22" s="64">
        <f>IF(I22="nd","nd",I22*$C22/constants!$B$10)</f>
        <v>0</v>
      </c>
      <c r="AP22" s="162">
        <f t="shared" si="11"/>
        <v>1.0109337116595891</v>
      </c>
      <c r="AQ22" s="162">
        <f t="shared" si="1"/>
        <v>1.3729128671382695</v>
      </c>
      <c r="AR22" s="162">
        <f t="shared" si="2"/>
        <v>0.65732424623892893</v>
      </c>
      <c r="AS22" s="162">
        <f t="shared" si="3"/>
        <v>5.471682397253713</v>
      </c>
      <c r="AT22" s="162">
        <f t="shared" si="4"/>
        <v>4.4679678931143489E-2</v>
      </c>
      <c r="AU22" s="162">
        <f t="shared" si="5"/>
        <v>0.25955328904672048</v>
      </c>
      <c r="AV22" s="162">
        <f t="shared" si="6"/>
        <v>0</v>
      </c>
      <c r="AW22" s="162">
        <f t="shared" si="7"/>
        <v>0.18662326255029044</v>
      </c>
      <c r="AX22" s="162">
        <f t="shared" si="8"/>
        <v>5.3292271943408435E-3</v>
      </c>
      <c r="AY22" s="162">
        <f>IF(S22="nd","nd",S22*$C22/constants!$B$15)</f>
        <v>0</v>
      </c>
      <c r="AZ22" s="64">
        <f>IF(AH22="nd","nd",AH22*Table31520253035404550556065[[#This Row],[dilution ]]/constants!$B$3)</f>
        <v>44.345661128123226</v>
      </c>
      <c r="BA22" s="64">
        <f>AVERAGE(Table5[[#This Row],[Concentration172]],Table511[[#This Row],[Concentration172]],Table516[[#This Row],[Concentration172]])</f>
        <v>1.4209236738673241</v>
      </c>
      <c r="BB22" s="64">
        <f>IFERROR(AVERAGE(#REF!,#REF!,#REF!),0)</f>
        <v>0</v>
      </c>
      <c r="BC22" s="64"/>
      <c r="BD22" s="112">
        <f>(Table51621263136414651566166[[#This Row],[Concentration]]*constants!$C$3)/1000</f>
        <v>0</v>
      </c>
      <c r="BE22" s="112">
        <f>(Table51621263136414651566166[[#This Row],[Concentration2]]*constants!$C$6)/1000</f>
        <v>2.8117295487519551E-4</v>
      </c>
      <c r="BF22" s="112">
        <f>(Table51621263136414651566166[[#This Row],[Concentration3]]*constants!$C$7)/1000</f>
        <v>0</v>
      </c>
      <c r="BG22" s="112">
        <f>(Table51621263136414651566166[[#This Row],[Concentration4]]*constants!$C$8)/1000</f>
        <v>0</v>
      </c>
      <c r="BH22" s="112">
        <f>(Table51621263136414651566166[[#This Row],[Concentration5]]*constants!$C$9)/1000</f>
        <v>0</v>
      </c>
      <c r="BI22" s="112">
        <f>(Table51621263136414651566166[[#This Row],[Concentration6]]*constants!$C$10)/1000</f>
        <v>0</v>
      </c>
      <c r="BJ22" s="112">
        <f>Table51621263136414651566166[[#This Row],[Concentration7]]*2</f>
        <v>2.0218674233191782</v>
      </c>
      <c r="BK22" s="112">
        <f>Table51621263136414651566166[[#This Row],[Concentration8]]*3</f>
        <v>4.1187386014148082</v>
      </c>
      <c r="BL22" s="112">
        <f>Table51621263136414651566166[[#This Row],[Concentration9]]*4</f>
        <v>2.6292969849557157</v>
      </c>
      <c r="BM22" s="112">
        <f>Table51621263136414651566166[[#This Row],[Concentration10]]*4</f>
        <v>21.886729589014852</v>
      </c>
      <c r="BN22" s="112">
        <f>Table51621263136414651566166[[#This Row],[Concentration11]]*5</f>
        <v>0.22339839465571745</v>
      </c>
      <c r="BO22" s="112">
        <f>Table51621263136414651566166[[#This Row],[Concentration12]]*5</f>
        <v>1.2977664452336024</v>
      </c>
      <c r="BP22" s="112">
        <f>Table51621263136414651566166[[#This Row],[Concentration13]]*6</f>
        <v>0</v>
      </c>
      <c r="BQ22" s="112">
        <f>Table51621263136414651566166[[#This Row],[Concentration14]]*6</f>
        <v>1.1197395753017427</v>
      </c>
      <c r="BR22" s="112">
        <f>Table51621263136414651566166[[#This Row],[Concentration15]]*7</f>
        <v>3.7304590360385907E-2</v>
      </c>
      <c r="BS22" s="112">
        <f>Table51621263136414651566166[[#This Row],[Concentration16]]*8</f>
        <v>0</v>
      </c>
      <c r="BT22" s="152" t="e">
        <f>($BU$16*1000)-(Table61722273237424752576267[[#This Row],[Concentration17]]*1000)</f>
        <v>#REF!</v>
      </c>
      <c r="BU22" s="112" t="e">
        <f>AVERAGE(#REF!,#REF!,#REF!)</f>
        <v>#REF!</v>
      </c>
      <c r="BV22" s="47">
        <f>Table51621263136414651566166[[#This Row],[Concentration18]]</f>
        <v>0</v>
      </c>
      <c r="BW22" s="47">
        <f>SUM(IFERROR(Table61722273237424752576267[[#This Row],[Concentration7]],0),IFERROR(Table61722273237424752576267[[#This Row],[Concentration8]],0),IFERROR(Table61722273237424752576267[[#This Row],[Concentration9]],0),IFERROR(Table61722273237424752576267[[#This Row],[Concentration10]],0),IFERROR(Table61722273237424752576267[[#This Row],[Concentration11]],0),IFERROR(Table61722273237424752576267[[#This Row],[Concentration12]],0),IFERROR(Table61722273237424752576267[[#This Row],[Concentration13]],0),IFERROR(Table61722273237424752576267[[#This Row],[Concentration14]],0),IFERROR(Table61722273237424752576267[[#This Row],[Concentration15]],0),IFERROR(Table61722273237424752576267[[#This Row],[Concentration16]],0),Table61722273237424752576267[[#This Row],[concentration18]])</f>
        <v>33.334841604256006</v>
      </c>
      <c r="BX22" s="47" t="e">
        <f>IF((Table61722273237424752576267[[#This Row],[Concentration162]]-Table61722273237424752576267[[#This Row],[concentration19]])&lt;0,0,Table61722273237424752576267[[#This Row],[Concentration162]]-Table61722273237424752576267[[#This Row],[concentration19]])</f>
        <v>#REF!</v>
      </c>
      <c r="BY22" s="66" t="e">
        <f>100*Table61722273237424752576267[[#This Row],[TOTAL]]/(Table61722273237424752576267[[#This Row],[TOTAL]]+Table61722273237424752576267[[#This Row],[concentration19]])</f>
        <v>#REF!</v>
      </c>
      <c r="CC22" s="178">
        <f>Table51621263136414651566166[[#This Row],[Concentration172]]</f>
        <v>1.4209236738673241</v>
      </c>
      <c r="CD22" s="66">
        <f t="shared" si="12"/>
        <v>38</v>
      </c>
      <c r="CE22" s="80">
        <v>1.5</v>
      </c>
      <c r="CF22" s="181">
        <f>CC22*(CE22/1000)/constants!$B$23*1000*constants!$C$23</f>
        <v>7.0983087615485774E-2</v>
      </c>
      <c r="CG22" s="181">
        <f>AP22*(CE22/1000)/constants!$B$5*1000*constants!$C$5</f>
        <v>5.0502916388775847E-2</v>
      </c>
      <c r="CH22" s="181">
        <f>AQ22*(CE22/1000)/constants!$B$11*1000*constants!$C$11</f>
        <v>8.339891065109159E-2</v>
      </c>
      <c r="CI22" s="181">
        <f>AS22*(CE22/1000)/constants!$B$4*1000*constants!$C$4</f>
        <v>0.37262041612968788</v>
      </c>
      <c r="CJ22" s="181">
        <f>AR22*(CE22/1000)/constants!$B$19*1000*constants!$C$19</f>
        <v>2.2381821200789808E-2</v>
      </c>
      <c r="CK22" s="181">
        <f>AU22*(CE22/1000)/constants!$B$12*1000*constants!$C$12</f>
        <v>1.9059947987921669E-2</v>
      </c>
      <c r="CL22" s="181">
        <f>AW22*(CE22/1000)/constants!$B$13*1000*constants!$C$13</f>
        <v>1.4459446995115479E-2</v>
      </c>
    </row>
    <row r="23" spans="1:105" s="47" customFormat="1" ht="16" thickBot="1" x14ac:dyDescent="0.4">
      <c r="A23" s="63">
        <f>Table2[[#This Row],[Date]]</f>
        <v>43317</v>
      </c>
      <c r="B23" s="167">
        <f>Table2[[#This Row],[Time]]</f>
        <v>50</v>
      </c>
      <c r="C23" s="41">
        <f>Table3[[#This Row],[Dilution]]</f>
        <v>50</v>
      </c>
      <c r="D23" s="18">
        <f>AVERAGE(Table3[[#This Row],[Amount ]],Table310[[#This Row],[Amount ]],Table315[[#This Row],[Amount ]])</f>
        <v>0</v>
      </c>
      <c r="E23" s="18">
        <f>AVERAGE(Table3[[#This Row],[Amount 2]],Table310[[#This Row],[Amount 2]],Table315[[#This Row],[Amount 2]])</f>
        <v>9.3598147172549537E-2</v>
      </c>
      <c r="F23" s="18">
        <f>AVERAGE(Table3[[#This Row],[Amount 3]],Table310[[#This Row],[Amount 3]],Table315[[#This Row],[Amount 3]])</f>
        <v>0</v>
      </c>
      <c r="G23" s="18">
        <f>AVERAGE(Table3[[#This Row],[Amount 4]],Table310[[#This Row],[Amount 4]],Table315[[#This Row],[Amount 4]])</f>
        <v>0</v>
      </c>
      <c r="H23" s="18">
        <f>AVERAGE(Table3[[#This Row],[Amount 5]],Table310[[#This Row],[Amount 5]],Table315[[#This Row],[Amount 5]])</f>
        <v>0</v>
      </c>
      <c r="I23" s="18">
        <f>AVERAGE(Table3[[#This Row],[Amount 6]],Table310[[#This Row],[Amount 6]],Table315[[#This Row],[Amount 6]])</f>
        <v>0</v>
      </c>
      <c r="J23" s="18">
        <f>IFERROR(AVERAGE(Table3[[#This Row],[Amount 7]],Table310[[#This Row],[Amount 7]],Table315[[#This Row],[Amount 7]]),0)</f>
        <v>21.634102360956167</v>
      </c>
      <c r="K23" s="18">
        <f>IFERROR(AVERAGE(Table3[[#This Row],[Amount 8]],Table310[[#This Row],[Amount 8]],Table315[[#This Row],[Amount 8]]),0)</f>
        <v>32.489183663124059</v>
      </c>
      <c r="L23" s="18">
        <f>IFERROR(AVERAGE(Table3[[#This Row],[Amount 9]],Table310[[#This Row],[Amount 9]],Table315[[#This Row],[Amount 9]]),0)</f>
        <v>12.526758124113096</v>
      </c>
      <c r="M23" s="18">
        <f>IFERROR(AVERAGE(Table3[[#This Row],[Amount 10]],Table310[[#This Row],[Amount 10]],Table315[[#This Row],[Amount 10]]),0)</f>
        <v>104.81693768442695</v>
      </c>
      <c r="N23" s="18">
        <f>IFERROR(AVERAGE(Table3[[#This Row],[Amount 11]],Table310[[#This Row],[Amount 11]],Table315[[#This Row],[Amount 11]]),0)</f>
        <v>0.43468469102038004</v>
      </c>
      <c r="O23" s="18">
        <f>IFERROR(AVERAGE(Table3[[#This Row],[Amount 12]],Table310[[#This Row],[Amount 12]],Table315[[#This Row],[Amount 12]]),0)</f>
        <v>4.8921265881823155</v>
      </c>
      <c r="P23" s="18">
        <f>IFERROR(AVERAGE(Table3[[#This Row],[Amount 13]],Table310[[#This Row],[Amount 13]],Table315[[#This Row],[Amount 13]]),0)</f>
        <v>0</v>
      </c>
      <c r="Q23" s="18">
        <f>IFERROR(AVERAGE(Table3[[#This Row],[Amount 14]],Table310[[#This Row],[Amount 14]],Table315[[#This Row],[Amount 14]]),0)</f>
        <v>3.1178502561676589</v>
      </c>
      <c r="R23" s="18">
        <f>IFERROR(AVERAGE(Table3[[#This Row],[Amount 15]],Table310[[#This Row],[Amount 15]],Table315[[#This Row],[Amount 15]]),0)</f>
        <v>0</v>
      </c>
      <c r="S23" s="18">
        <f>IFERROR(AVERAGE(Table3[[#This Row],[Amount 16]],Table310[[#This Row],[Amount 16]],Table315[[#This Row],[Amount 16]]),0)</f>
        <v>0</v>
      </c>
      <c r="T23" s="18">
        <f>IFERROR(AVERAGE(Table3[[#This Row],[Amount 17]],Table310[[#This Row],[Amount 17]],Table315[[#This Row],[Amount 17]]),0)</f>
        <v>0</v>
      </c>
      <c r="U23" s="18">
        <f>IFERROR(AVERAGE(Table3[[#This Row],[Amount 18]],Table310[[#This Row],[Amount 18]],Table315[[#This Row],[Amount 18]]),0)</f>
        <v>0</v>
      </c>
      <c r="V23" s="18">
        <f>IFERROR(AVERAGE(Table3[[#This Row],[Amount 19]],Table310[[#This Row],[Amount 19]],Table315[[#This Row],[Amount 19]]),0)</f>
        <v>0</v>
      </c>
      <c r="W23" s="123">
        <f>IFERROR(AVERAGE(Table3[[#This Row],[Ret.Time ]],Table310[[#This Row],[Ret.Time ]],Table315[[#This Row],[Ret.Time ]]),0)</f>
        <v>0</v>
      </c>
      <c r="X23" s="123">
        <f>IFERROR(AVERAGE(Table3[[#This Row],[Amount 20]],Table310[[#This Row],[Amount 20]],Table315[[#This Row],[Amount 20]]),0)</f>
        <v>0</v>
      </c>
      <c r="Y23" s="123">
        <f>IFERROR(AVERAGE(Table3[[#This Row],[Ret.Time]],Table310[[#This Row],[Ret.Time]],Table315[[#This Row],[Ret.Time]]),0)</f>
        <v>0</v>
      </c>
      <c r="Z23" s="123">
        <f>IFERROR(AVERAGE(Table3[[#This Row],[Amount 21]],Table310[[#This Row],[Amount 21]],Table315[[#This Row],[Amount 21]]),0)</f>
        <v>0</v>
      </c>
      <c r="AA23" s="123">
        <f>IFERROR(AVERAGE(Table3[[#This Row],[Ret.Time22]],Table310[[#This Row],[Ret.Time22]],Table315[[#This Row],[Ret.Time22]]),0)</f>
        <v>0</v>
      </c>
      <c r="AB23" s="123">
        <f>IFERROR(AVERAGE(Table3[[#This Row],[Amount 23]],Table310[[#This Row],[Amount 23]],Table315[[#This Row],[Amount 23]]),0)</f>
        <v>0</v>
      </c>
      <c r="AC23" s="123">
        <f>IFERROR(AVERAGE(Table3[[#This Row],[Ret.Time24]],Table310[[#This Row],[Ret.Time24]],Table315[[#This Row],[Ret.Time24]]),0)</f>
        <v>0</v>
      </c>
      <c r="AD23" s="123">
        <f>IFERROR(AVERAGE(Table3[[#This Row],[Amount 25]],Table310[[#This Row],[Amount 25]],Table315[[#This Row],[Amount 25]]),0)</f>
        <v>0</v>
      </c>
      <c r="AE23" s="18" t="e">
        <v>#N/A</v>
      </c>
      <c r="AF23" s="18">
        <f>IFERROR(AVERAGE(Table3[[#This Row],[dilution ]],Table310[[#This Row],[dilution ]],Table315[[#This Row],[dilution ]]),0)</f>
        <v>10</v>
      </c>
      <c r="AG23" s="18">
        <f>IFERROR(AVERAGE(Table3[[#This Row],[correction factor]],Table310[[#This Row],[correction]],Table315[[#This Row],[correction]]),0)</f>
        <v>1</v>
      </c>
      <c r="AH23" s="18">
        <f>IFERROR(AVERAGE(Table3[[#This Row],[amount]],Table310[[#This Row],[amount]],Table315[[#This Row],[amount]]),0)</f>
        <v>0</v>
      </c>
      <c r="AI23" s="18">
        <f>IFERROR(AVERAGE(Table3[[#This Row],[pressure]],Table310[[#This Row],[pressure]],Table315[[#This Row],[pressure]]),0)</f>
        <v>0</v>
      </c>
      <c r="AJ23" s="64">
        <f>IF(D23="nd","nd",D23*$C23/constants!$B$3)</f>
        <v>0</v>
      </c>
      <c r="AK23" s="64">
        <f>IF(E23="nd","nd",E23*$C23/constants!$B$6)</f>
        <v>0.10158473938282743</v>
      </c>
      <c r="AL23" s="64">
        <f>IF(F23="nd","nd",F23*$C23/constants!$B$7)</f>
        <v>0</v>
      </c>
      <c r="AM23" s="64">
        <f>IF(G23="nd","nd",G23*$C23/constants!$B$8)</f>
        <v>0</v>
      </c>
      <c r="AN23" s="64">
        <f>IF(H23="nd","nd",H23*$C23/constants!$B$9)</f>
        <v>0</v>
      </c>
      <c r="AO23" s="64">
        <f>IF(I23="nd","nd",I23*$C23/constants!$B$10)</f>
        <v>0</v>
      </c>
      <c r="AP23" s="162">
        <f t="shared" si="11"/>
        <v>1.0817051180478083</v>
      </c>
      <c r="AQ23" s="162">
        <f t="shared" si="1"/>
        <v>1.624459183156203</v>
      </c>
      <c r="AR23" s="162">
        <f t="shared" si="2"/>
        <v>0.62633790620565477</v>
      </c>
      <c r="AS23" s="162">
        <f t="shared" si="3"/>
        <v>5.2408468842213471</v>
      </c>
      <c r="AT23" s="162">
        <f t="shared" si="4"/>
        <v>2.1734234551019003E-2</v>
      </c>
      <c r="AU23" s="162">
        <f t="shared" si="5"/>
        <v>0.24460632940911578</v>
      </c>
      <c r="AV23" s="162">
        <f t="shared" si="6"/>
        <v>0</v>
      </c>
      <c r="AW23" s="162">
        <f t="shared" si="7"/>
        <v>0.15589251280838295</v>
      </c>
      <c r="AX23" s="162">
        <f t="shared" si="8"/>
        <v>0</v>
      </c>
      <c r="AY23" s="162">
        <f>IF(S23="nd","nd",S23*$C23/constants!$B$15)</f>
        <v>0</v>
      </c>
      <c r="AZ23" s="64">
        <f>IF(AH23="nd","nd",AH23*Table31520253035404550556065[[#This Row],[dilution ]]/constants!$B$3)</f>
        <v>0</v>
      </c>
      <c r="BA23" s="64">
        <f>AVERAGE(Table5[[#This Row],[Concentration172]],Table511[[#This Row],[Concentration172]],Table516[[#This Row],[Concentration172]])</f>
        <v>0</v>
      </c>
      <c r="BB23" s="64">
        <f>IFERROR(AVERAGE(#REF!,#REF!,#REF!),0)</f>
        <v>0</v>
      </c>
      <c r="BC23" s="64"/>
      <c r="BD23" s="112">
        <f>(Table51621263136414651566166[[#This Row],[Concentration]]*constants!$C$3)/1000</f>
        <v>0</v>
      </c>
      <c r="BE23" s="112">
        <f>(Table51621263136414651566166[[#This Row],[Concentration2]]*constants!$C$6)/1000</f>
        <v>2.0316947876565487E-4</v>
      </c>
      <c r="BF23" s="112">
        <f>(Table51621263136414651566166[[#This Row],[Concentration3]]*constants!$C$7)/1000</f>
        <v>0</v>
      </c>
      <c r="BG23" s="112">
        <f>(Table51621263136414651566166[[#This Row],[Concentration4]]*constants!$C$8)/1000</f>
        <v>0</v>
      </c>
      <c r="BH23" s="112">
        <f>(Table51621263136414651566166[[#This Row],[Concentration5]]*constants!$C$9)/1000</f>
        <v>0</v>
      </c>
      <c r="BI23" s="112">
        <f>(Table51621263136414651566166[[#This Row],[Concentration6]]*constants!$C$10)/1000</f>
        <v>0</v>
      </c>
      <c r="BJ23" s="112">
        <f>Table51621263136414651566166[[#This Row],[Concentration7]]*2</f>
        <v>2.1634102360956167</v>
      </c>
      <c r="BK23" s="112">
        <f>Table51621263136414651566166[[#This Row],[Concentration8]]*3</f>
        <v>4.8733775494686089</v>
      </c>
      <c r="BL23" s="112">
        <f>Table51621263136414651566166[[#This Row],[Concentration9]]*4</f>
        <v>2.5053516248226191</v>
      </c>
      <c r="BM23" s="112">
        <f>Table51621263136414651566166[[#This Row],[Concentration10]]*4</f>
        <v>20.963387536885389</v>
      </c>
      <c r="BN23" s="112">
        <f>Table51621263136414651566166[[#This Row],[Concentration11]]*5</f>
        <v>0.10867117275509501</v>
      </c>
      <c r="BO23" s="112">
        <f>Table51621263136414651566166[[#This Row],[Concentration12]]*5</f>
        <v>1.2230316470455789</v>
      </c>
      <c r="BP23" s="112">
        <f>Table51621263136414651566166[[#This Row],[Concentration13]]*6</f>
        <v>0</v>
      </c>
      <c r="BQ23" s="112">
        <f>Table51621263136414651566166[[#This Row],[Concentration14]]*6</f>
        <v>0.93535507685029773</v>
      </c>
      <c r="BR23" s="112">
        <f>Table51621263136414651566166[[#This Row],[Concentration15]]*7</f>
        <v>0</v>
      </c>
      <c r="BS23" s="112">
        <f>Table51621263136414651566166[[#This Row],[Concentration16]]*8</f>
        <v>0</v>
      </c>
      <c r="BT23" s="152" t="e">
        <f>($BU$16*1000)-(Table61722273237424752576267[[#This Row],[Concentration17]]*1000)</f>
        <v>#REF!</v>
      </c>
      <c r="BU23" s="112" t="e">
        <f>AVERAGE(#REF!,#REF!,#REF!)</f>
        <v>#REF!</v>
      </c>
      <c r="BV23" s="47">
        <f>Table51621263136414651566166[[#This Row],[Concentration18]]</f>
        <v>0</v>
      </c>
      <c r="BW23" s="47">
        <f>SUM(IFERROR(Table61722273237424752576267[[#This Row],[Concentration7]],0),IFERROR(Table61722273237424752576267[[#This Row],[Concentration8]],0),IFERROR(Table61722273237424752576267[[#This Row],[Concentration9]],0),IFERROR(Table61722273237424752576267[[#This Row],[Concentration10]],0),IFERROR(Table61722273237424752576267[[#This Row],[Concentration11]],0),IFERROR(Table61722273237424752576267[[#This Row],[Concentration12]],0),IFERROR(Table61722273237424752576267[[#This Row],[Concentration13]],0),IFERROR(Table61722273237424752576267[[#This Row],[Concentration14]],0),IFERROR(Table61722273237424752576267[[#This Row],[Concentration15]],0),IFERROR(Table61722273237424752576267[[#This Row],[Concentration16]],0),Table61722273237424752576267[[#This Row],[concentration18]])</f>
        <v>32.772584843923205</v>
      </c>
      <c r="BX23" s="47" t="e">
        <f>IF((Table61722273237424752576267[[#This Row],[Concentration162]]-Table61722273237424752576267[[#This Row],[concentration19]])&lt;0,0,Table61722273237424752576267[[#This Row],[Concentration162]]-Table61722273237424752576267[[#This Row],[concentration19]])</f>
        <v>#REF!</v>
      </c>
      <c r="BY23" s="47" t="e">
        <f>100*Table61722273237424752576267[[#This Row],[TOTAL]]/(Table61722273237424752576267[[#This Row],[TOTAL]]+Table61722273237424752576267[[#This Row],[concentration19]])</f>
        <v>#REF!</v>
      </c>
      <c r="CC23" s="178">
        <f>Table51621263136414651566166[[#This Row],[Concentration172]]</f>
        <v>0</v>
      </c>
      <c r="CD23" s="66">
        <f t="shared" si="12"/>
        <v>36.5</v>
      </c>
      <c r="CE23" s="80">
        <v>1.5</v>
      </c>
      <c r="CF23" s="181">
        <f>CC23*(CE23/1000)/constants!$B$23*1000*constants!$C$23</f>
        <v>0</v>
      </c>
      <c r="CG23" s="181">
        <f>AP23*(CE23/1000)/constants!$B$5*1000*constants!$C$5</f>
        <v>5.4038422602801318E-2</v>
      </c>
      <c r="CH23" s="181">
        <f>AQ23*(CE23/1000)/constants!$B$11*1000*constants!$C$11</f>
        <v>9.8679333201081493E-2</v>
      </c>
      <c r="CI23" s="181">
        <f>AS23*(CE23/1000)/constants!$B$4*1000*constants!$C$4</f>
        <v>0.35690056642371781</v>
      </c>
      <c r="CJ23" s="181">
        <f>AR23*(CE23/1000)/constants!$B$19*1000*constants!$C$19</f>
        <v>2.1326739593409808E-2</v>
      </c>
      <c r="CK23" s="181">
        <f>AU23*(CE23/1000)/constants!$B$12*1000*constants!$C$12</f>
        <v>1.7962338035388842E-2</v>
      </c>
      <c r="CL23" s="181">
        <f>AW23*(CE23/1000)/constants!$B$13*1000*constants!$C$13</f>
        <v>1.2078448822963555E-2</v>
      </c>
    </row>
    <row r="24" spans="1:105" s="66" customFormat="1" ht="16" thickBot="1" x14ac:dyDescent="0.4">
      <c r="A24" s="63" t="str">
        <f>Table2[[#This Row],[Date]]</f>
        <v>16-05-2018</v>
      </c>
      <c r="B24" s="167">
        <f>Table2[[#This Row],[Time]]</f>
        <v>58</v>
      </c>
      <c r="C24" s="41">
        <f>Table3[[#This Row],[Dilution]]</f>
        <v>20</v>
      </c>
      <c r="D24" s="18">
        <f>AVERAGE(Table3[[#This Row],[Amount ]],Table310[[#This Row],[Amount ]],Table315[[#This Row],[Amount ]])</f>
        <v>0</v>
      </c>
      <c r="E24" s="18">
        <f>AVERAGE(Table3[[#This Row],[Amount 2]],Table310[[#This Row],[Amount 2]],Table315[[#This Row],[Amount 2]])</f>
        <v>0</v>
      </c>
      <c r="F24" s="18">
        <f>AVERAGE(Table3[[#This Row],[Amount 3]],Table310[[#This Row],[Amount 3]],Table315[[#This Row],[Amount 3]])</f>
        <v>0</v>
      </c>
      <c r="G24" s="18">
        <f>AVERAGE(Table3[[#This Row],[Amount 4]],Table310[[#This Row],[Amount 4]],Table315[[#This Row],[Amount 4]])</f>
        <v>0</v>
      </c>
      <c r="H24" s="18">
        <f>AVERAGE(Table3[[#This Row],[Amount 5]],Table310[[#This Row],[Amount 5]],Table315[[#This Row],[Amount 5]])</f>
        <v>0</v>
      </c>
      <c r="I24" s="18">
        <f>AVERAGE(Table3[[#This Row],[Amount 6]],Table310[[#This Row],[Amount 6]],Table315[[#This Row],[Amount 6]])</f>
        <v>0</v>
      </c>
      <c r="J24" s="18">
        <f>IFERROR(AVERAGE(Table3[[#This Row],[Amount 7]],Table310[[#This Row],[Amount 7]],Table315[[#This Row],[Amount 7]]),0)</f>
        <v>60.705735218002751</v>
      </c>
      <c r="K24" s="18">
        <f>IFERROR(AVERAGE(Table3[[#This Row],[Amount 8]],Table310[[#This Row],[Amount 8]],Table315[[#This Row],[Amount 8]]),0)</f>
        <v>105.77883147281001</v>
      </c>
      <c r="L24" s="18">
        <f>IFERROR(AVERAGE(Table3[[#This Row],[Amount 9]],Table310[[#This Row],[Amount 9]],Table315[[#This Row],[Amount 9]]),0)</f>
        <v>39.082944061719559</v>
      </c>
      <c r="M24" s="18">
        <f>IFERROR(AVERAGE(Table3[[#This Row],[Amount 10]],Table310[[#This Row],[Amount 10]],Table315[[#This Row],[Amount 10]]),0)</f>
        <v>324.58760893588624</v>
      </c>
      <c r="N24" s="18">
        <f>IFERROR(AVERAGE(Table3[[#This Row],[Amount 11]],Table310[[#This Row],[Amount 11]],Table315[[#This Row],[Amount 11]]),0)</f>
        <v>3.1629588995872262</v>
      </c>
      <c r="O24" s="18">
        <f>IFERROR(AVERAGE(Table3[[#This Row],[Amount 12]],Table310[[#This Row],[Amount 12]],Table315[[#This Row],[Amount 12]]),0)</f>
        <v>15.590560179988083</v>
      </c>
      <c r="P24" s="18">
        <f>IFERROR(AVERAGE(Table3[[#This Row],[Amount 13]],Table310[[#This Row],[Amount 13]],Table315[[#This Row],[Amount 13]]),0)</f>
        <v>0.24915120581834538</v>
      </c>
      <c r="Q24" s="18">
        <f>IFERROR(AVERAGE(Table3[[#This Row],[Amount 14]],Table310[[#This Row],[Amount 14]],Table315[[#This Row],[Amount 14]]),0)</f>
        <v>10.328224825806407</v>
      </c>
      <c r="R24" s="18">
        <f>IFERROR(AVERAGE(Table3[[#This Row],[Amount 15]],Table310[[#This Row],[Amount 15]],Table315[[#This Row],[Amount 15]]),0)</f>
        <v>0.92133813089676575</v>
      </c>
      <c r="S24" s="18">
        <f>IFERROR(AVERAGE(Table3[[#This Row],[Amount 16]],Table310[[#This Row],[Amount 16]],Table315[[#This Row],[Amount 16]]),0)</f>
        <v>0</v>
      </c>
      <c r="T24" s="18">
        <f>IFERROR(AVERAGE(Table3[[#This Row],[Amount 17]],Table310[[#This Row],[Amount 17]],Table315[[#This Row],[Amount 17]]),0)</f>
        <v>0</v>
      </c>
      <c r="U24" s="18">
        <f>IFERROR(AVERAGE(Table3[[#This Row],[Amount 18]],Table310[[#This Row],[Amount 18]],Table315[[#This Row],[Amount 18]]),0)</f>
        <v>0</v>
      </c>
      <c r="V24" s="18">
        <f>IFERROR(AVERAGE(Table3[[#This Row],[Amount 19]],Table310[[#This Row],[Amount 19]],Table315[[#This Row],[Amount 19]]),0)</f>
        <v>0</v>
      </c>
      <c r="W24" s="123">
        <f>IFERROR(AVERAGE(Table3[[#This Row],[Ret.Time ]],Table310[[#This Row],[Ret.Time ]],Table315[[#This Row],[Ret.Time ]]),0)</f>
        <v>0</v>
      </c>
      <c r="X24" s="123">
        <f>IFERROR(AVERAGE(Table3[[#This Row],[Amount 20]],Table310[[#This Row],[Amount 20]],Table315[[#This Row],[Amount 20]]),0)</f>
        <v>0</v>
      </c>
      <c r="Y24" s="123">
        <f>IFERROR(AVERAGE(Table3[[#This Row],[Ret.Time]],Table310[[#This Row],[Ret.Time]],Table315[[#This Row],[Ret.Time]]),0)</f>
        <v>0</v>
      </c>
      <c r="Z24" s="123">
        <f>IFERROR(AVERAGE(Table3[[#This Row],[Amount 21]],Table310[[#This Row],[Amount 21]],Table315[[#This Row],[Amount 21]]),0)</f>
        <v>0</v>
      </c>
      <c r="AA24" s="123">
        <f>IFERROR(AVERAGE(Table3[[#This Row],[Ret.Time22]],Table310[[#This Row],[Ret.Time22]],Table315[[#This Row],[Ret.Time22]]),0)</f>
        <v>0</v>
      </c>
      <c r="AB24" s="123">
        <f>IFERROR(AVERAGE(Table3[[#This Row],[Amount 23]],Table310[[#This Row],[Amount 23]],Table315[[#This Row],[Amount 23]]),0)</f>
        <v>0</v>
      </c>
      <c r="AC24" s="123">
        <f>IFERROR(AVERAGE(Table3[[#This Row],[Ret.Time24]],Table310[[#This Row],[Ret.Time24]],Table315[[#This Row],[Ret.Time24]]),0)</f>
        <v>0</v>
      </c>
      <c r="AD24" s="123">
        <f>IFERROR(AVERAGE(Table3[[#This Row],[Amount 25]],Table310[[#This Row],[Amount 25]],Table315[[#This Row],[Amount 25]]),0)</f>
        <v>0</v>
      </c>
      <c r="AE24" s="18">
        <f>IFERROR(AVERAGE(Table3[[#This Row],[pH]],Table310[[#This Row],[pH]],Table315[[#This Row],[pH]]),0)</f>
        <v>7.62</v>
      </c>
      <c r="AF24" s="18">
        <f>IFERROR(AVERAGE(Table3[[#This Row],[dilution ]],Table310[[#This Row],[dilution ]],Table315[[#This Row],[dilution ]]),0)</f>
        <v>0</v>
      </c>
      <c r="AG24" s="18">
        <f>IFERROR(AVERAGE(Table3[[#This Row],[correction factor]],Table310[[#This Row],[correction]],Table315[[#This Row],[correction]]),0)</f>
        <v>1</v>
      </c>
      <c r="AH24" s="18">
        <f>IFERROR(AVERAGE(Table3[[#This Row],[amount]],Table310[[#This Row],[amount]],Table315[[#This Row],[amount]]),0)</f>
        <v>0</v>
      </c>
      <c r="AI24" s="18">
        <f>IFERROR(AVERAGE(Table3[[#This Row],[pressure]],Table310[[#This Row],[pressure]],Table315[[#This Row],[pressure]]),0)</f>
        <v>0</v>
      </c>
      <c r="AJ24" s="64">
        <f>IF(D24="nd","nd",D24*$C24/constants!$B$3)</f>
        <v>0</v>
      </c>
      <c r="AK24" s="64">
        <f>IF(E24="nd","nd",E24*$C24/constants!$B$6)</f>
        <v>0</v>
      </c>
      <c r="AL24" s="64">
        <f>IF(F24="nd","nd",F24*$C24/constants!$B$7)</f>
        <v>0</v>
      </c>
      <c r="AM24" s="64">
        <f>IF(G24="nd","nd",G24*$C24/constants!$B$8)</f>
        <v>0</v>
      </c>
      <c r="AN24" s="64">
        <f>IF(H24="nd","nd",H24*$C24/constants!$B$9)</f>
        <v>0</v>
      </c>
      <c r="AO24" s="64">
        <f>IF(I24="nd","nd",I24*$C24/constants!$B$10)</f>
        <v>0</v>
      </c>
      <c r="AP24" s="173">
        <f>IF(J24="nd","nd",J24*$C24/1000)</f>
        <v>1.2141147043600549</v>
      </c>
      <c r="AQ24" s="173">
        <f t="shared" si="1"/>
        <v>2.1155766294562004</v>
      </c>
      <c r="AR24" s="173">
        <f t="shared" si="2"/>
        <v>0.7816588812343912</v>
      </c>
      <c r="AS24" s="173">
        <f t="shared" si="3"/>
        <v>6.491752178717725</v>
      </c>
      <c r="AT24" s="173">
        <f t="shared" si="4"/>
        <v>6.325917799174452E-2</v>
      </c>
      <c r="AU24" s="173">
        <f t="shared" si="5"/>
        <v>0.31181120359976167</v>
      </c>
      <c r="AV24" s="173">
        <f t="shared" si="6"/>
        <v>4.9830241163669074E-3</v>
      </c>
      <c r="AW24" s="173">
        <f t="shared" si="7"/>
        <v>0.20656449651612815</v>
      </c>
      <c r="AX24" s="162">
        <f t="shared" si="8"/>
        <v>1.8426762617935313E-2</v>
      </c>
      <c r="AY24" s="162">
        <f>IF(S24="nd","nd",S24*$C24/constants!$B$15)</f>
        <v>0</v>
      </c>
      <c r="AZ24" s="64">
        <f>IF(AH24="nd","nd",AH24*Table31520253035404550556065[[#This Row],[dilution ]]/constants!$B$3)</f>
        <v>0</v>
      </c>
      <c r="BA24" s="64">
        <f>AVERAGE(Table5[[#This Row],[Concentration172]],Table511[[#This Row],[Concentration172]],Table516[[#This Row],[Concentration172]])</f>
        <v>0</v>
      </c>
      <c r="BB24" s="64">
        <f>IFERROR(AVERAGE(#REF!,#REF!,#REF!),0)</f>
        <v>0</v>
      </c>
      <c r="BC24" s="64"/>
      <c r="BD24" s="112">
        <f>(Table51621263136414651566166[[#This Row],[Concentration]]*constants!$C$3)/1000</f>
        <v>0</v>
      </c>
      <c r="BE24" s="112">
        <f>(Table51621263136414651566166[[#This Row],[Concentration2]]*constants!$C$6)/1000</f>
        <v>0</v>
      </c>
      <c r="BF24" s="112">
        <f>(Table51621263136414651566166[[#This Row],[Concentration3]]*constants!$C$7)/1000</f>
        <v>0</v>
      </c>
      <c r="BG24" s="112">
        <f>(Table51621263136414651566166[[#This Row],[Concentration4]]*constants!$C$8)/1000</f>
        <v>0</v>
      </c>
      <c r="BH24" s="112">
        <f>(Table51621263136414651566166[[#This Row],[Concentration5]]*constants!$C$9)/1000</f>
        <v>0</v>
      </c>
      <c r="BI24" s="112">
        <f>(Table51621263136414651566166[[#This Row],[Concentration6]]*constants!$C$10)/1000</f>
        <v>0</v>
      </c>
      <c r="BJ24" s="112">
        <f>Table51621263136414651566166[[#This Row],[Concentration7]]*2</f>
        <v>2.4282294087201097</v>
      </c>
      <c r="BK24" s="112">
        <f>Table51621263136414651566166[[#This Row],[Concentration8]]*3</f>
        <v>6.3467298883686016</v>
      </c>
      <c r="BL24" s="112">
        <f>Table51621263136414651566166[[#This Row],[Concentration9]]*4</f>
        <v>3.1266355249375648</v>
      </c>
      <c r="BM24" s="112">
        <f>Table51621263136414651566166[[#This Row],[Concentration10]]*4</f>
        <v>25.9670087148709</v>
      </c>
      <c r="BN24" s="112">
        <f>Table51621263136414651566166[[#This Row],[Concentration11]]*5</f>
        <v>0.3162958899587226</v>
      </c>
      <c r="BO24" s="112">
        <f>Table51621263136414651566166[[#This Row],[Concentration12]]*5</f>
        <v>1.5590560179988082</v>
      </c>
      <c r="BP24" s="112">
        <f>Table51621263136414651566166[[#This Row],[Concentration13]]*6</f>
        <v>2.9898144698201443E-2</v>
      </c>
      <c r="BQ24" s="112">
        <f>Table51621263136414651566166[[#This Row],[Concentration14]]*6</f>
        <v>1.2393869790967689</v>
      </c>
      <c r="BR24" s="112">
        <f>Table51621263136414651566166[[#This Row],[Concentration15]]*7</f>
        <v>0.12898733832554721</v>
      </c>
      <c r="BS24" s="112">
        <f>Table51621263136414651566166[[#This Row],[Concentration16]]*8</f>
        <v>0</v>
      </c>
      <c r="BT24" s="152" t="e">
        <f>($BU$16*1000)-(Table61722273237424752576267[[#This Row],[Concentration17]]*1000)</f>
        <v>#REF!</v>
      </c>
      <c r="BU24" s="112" t="e">
        <f>AVERAGE(#REF!,#REF!,#REF!)</f>
        <v>#REF!</v>
      </c>
      <c r="BV24" s="47">
        <f>Table51621263136414651566166[[#This Row],[Concentration18]]</f>
        <v>0</v>
      </c>
      <c r="BW24" s="47">
        <f>SUM(IFERROR(Table61722273237424752576267[[#This Row],[Concentration7]],0),IFERROR(Table61722273237424752576267[[#This Row],[Concentration8]],0),IFERROR(Table61722273237424752576267[[#This Row],[Concentration9]],0),IFERROR(Table61722273237424752576267[[#This Row],[Concentration10]],0),IFERROR(Table61722273237424752576267[[#This Row],[Concentration11]],0),IFERROR(Table61722273237424752576267[[#This Row],[Concentration12]],0),IFERROR(Table61722273237424752576267[[#This Row],[Concentration13]],0),IFERROR(Table61722273237424752576267[[#This Row],[Concentration14]],0),IFERROR(Table61722273237424752576267[[#This Row],[Concentration15]],0),IFERROR(Table61722273237424752576267[[#This Row],[Concentration16]],0),Table61722273237424752576267[[#This Row],[concentration18]])</f>
        <v>41.142227906975222</v>
      </c>
      <c r="BX24" s="47" t="e">
        <f>IF((Table61722273237424752576267[[#This Row],[Concentration162]]-Table61722273237424752576267[[#This Row],[concentration19]])&lt;0,0,Table61722273237424752576267[[#This Row],[Concentration162]]-Table61722273237424752576267[[#This Row],[concentration19]])</f>
        <v>#REF!</v>
      </c>
      <c r="BY24" s="66" t="e">
        <f>100*Table61722273237424752576267[[#This Row],[TOTAL]]/(Table61722273237424752576267[[#This Row],[TOTAL]]+Table61722273237424752576267[[#This Row],[concentration19]])</f>
        <v>#REF!</v>
      </c>
      <c r="CC24" s="178">
        <f>Table51621263136414651566166[[#This Row],[Concentration172]]</f>
        <v>0</v>
      </c>
      <c r="CD24" s="66">
        <f t="shared" si="12"/>
        <v>35</v>
      </c>
      <c r="CE24" s="80">
        <v>1.5</v>
      </c>
      <c r="CF24" s="181">
        <f>CC24*(CE24/1000)/constants!$B$23*1000*constants!$C$23</f>
        <v>0</v>
      </c>
      <c r="CG24" s="181">
        <f>AP24*(CE24/1000)/constants!$B$5*1000*constants!$C$5</f>
        <v>6.0653169138083073E-2</v>
      </c>
      <c r="CH24" s="181">
        <f>AQ24*(CE24/1000)/constants!$B$11*1000*constants!$C$11</f>
        <v>0.12851273414264372</v>
      </c>
      <c r="CI24" s="181">
        <f>AS24*(CE24/1000)/constants!$B$4*1000*constants!$C$4</f>
        <v>0.44208695290112315</v>
      </c>
      <c r="CJ24" s="181">
        <f>AR24*(CE24/1000)/constants!$B$19*1000*constants!$C$19</f>
        <v>2.6615402398283586E-2</v>
      </c>
      <c r="CK24" s="181">
        <f>AU24*(CE24/1000)/constants!$B$12*1000*constants!$C$12</f>
        <v>2.2897437919166305E-2</v>
      </c>
      <c r="CL24" s="181">
        <f>AW24*(CE24/1000)/constants!$B$13*1000*constants!$C$13</f>
        <v>1.6004480618501668E-2</v>
      </c>
      <c r="CM24" s="66">
        <f>AP24*(CD24/1000)/constants!$B$5*1000*constants!$C$5</f>
        <v>1.4152406132219386</v>
      </c>
      <c r="CN24" s="66">
        <f>AQ24*(CD24/1000)/constants!$B$11*1000*constants!$C$11</f>
        <v>2.9986304633283534</v>
      </c>
      <c r="CO24" s="66">
        <f>AS24*(CD24/1000)/constants!$B$4*1000*constants!$C$4</f>
        <v>10.31536223435954</v>
      </c>
      <c r="CP24" s="66">
        <f>AR24*(CD24/1000)/constants!$B$19*1000*constants!$C$19</f>
        <v>0.62102605595995042</v>
      </c>
      <c r="CQ24" s="66">
        <f>AU24*(CD24/1000)/constants!$B$12*1000*constants!$C$12</f>
        <v>0.53427355144721389</v>
      </c>
      <c r="CR24" s="66">
        <f>AW24*(CD24/1000)/constants!$B$13*1000*constants!$C$13</f>
        <v>0.37343788109837217</v>
      </c>
    </row>
    <row r="25" spans="1:105" s="47" customFormat="1" ht="16" thickBot="1" x14ac:dyDescent="0.4">
      <c r="A25" s="63">
        <f>Table2[[#This Row],[Date]]</f>
        <v>0</v>
      </c>
      <c r="B25" s="74">
        <f>Table2[[#This Row],[Time]]</f>
        <v>0</v>
      </c>
      <c r="C25" s="41">
        <f>Table3[[#This Row],[Dilution]]</f>
        <v>0</v>
      </c>
      <c r="D25" s="18" t="e">
        <f>AVERAGE(Table3[[#This Row],[Amount ]],Table310[[#This Row],[Amount ]],Table315[[#This Row],[Amount ]])</f>
        <v>#DIV/0!</v>
      </c>
      <c r="E25" s="18" t="e">
        <f>AVERAGE(Table3[[#This Row],[Amount 2]],Table310[[#This Row],[Amount 2]],Table315[[#This Row],[Amount 2]])</f>
        <v>#DIV/0!</v>
      </c>
      <c r="F25" s="18" t="e">
        <f>AVERAGE(Table3[[#This Row],[Amount 3]],Table310[[#This Row],[Amount 3]],Table315[[#This Row],[Amount 3]])</f>
        <v>#DIV/0!</v>
      </c>
      <c r="G25" s="18" t="e">
        <f>AVERAGE(Table3[[#This Row],[Amount 4]],Table310[[#This Row],[Amount 4]],Table315[[#This Row],[Amount 4]])</f>
        <v>#DIV/0!</v>
      </c>
      <c r="H25" s="18" t="e">
        <f>AVERAGE(Table3[[#This Row],[Amount 5]],Table310[[#This Row],[Amount 5]],Table315[[#This Row],[Amount 5]])</f>
        <v>#DIV/0!</v>
      </c>
      <c r="I25" s="18" t="e">
        <f>AVERAGE(Table3[[#This Row],[Amount 6]],Table310[[#This Row],[Amount 6]],Table315[[#This Row],[Amount 6]])</f>
        <v>#DIV/0!</v>
      </c>
      <c r="J25" s="188">
        <f>IFERROR(AVERAGE(Table3[[#This Row],[Amount 7]],Table315[[#This Row],[Amount 7]]),0)</f>
        <v>0</v>
      </c>
      <c r="K25" s="188">
        <f>IFERROR(AVERAGE(Table3[[#This Row],[Amount 8]],Table315[[#This Row],[Amount 8]]),0)</f>
        <v>0</v>
      </c>
      <c r="L25" s="188">
        <f>IFERROR(AVERAGE(Table3[[#This Row],[Amount 9]],Table315[[#This Row],[Amount 9]]),0)</f>
        <v>0</v>
      </c>
      <c r="M25" s="188">
        <f>IFERROR(AVERAGE(Table3[[#This Row],[Amount 10]],Table315[[#This Row],[Amount 10]]),0)</f>
        <v>0</v>
      </c>
      <c r="N25" s="188">
        <f>IFERROR(AVERAGE(Table3[[#This Row],[Amount 11]],Table315[[#This Row],[Amount 11]]),0)</f>
        <v>0</v>
      </c>
      <c r="O25" s="188">
        <f>IFERROR(AVERAGE(Table3[[#This Row],[Amount 12]],Table315[[#This Row],[Amount 12]]),0)</f>
        <v>0</v>
      </c>
      <c r="P25" s="188">
        <f>IFERROR(AVERAGE(Table3[[#This Row],[Amount 13]],Table315[[#This Row],[Amount 13]]),0)</f>
        <v>0</v>
      </c>
      <c r="Q25" s="188">
        <f>IFERROR(AVERAGE(Table3[[#This Row],[Amount 14]],Table315[[#This Row],[Amount 14]]),0)</f>
        <v>0</v>
      </c>
      <c r="R25" s="188">
        <f>IFERROR(AVERAGE(Table3[[#This Row],[Amount 15]],Table315[[#This Row],[Amount 15]]),0)</f>
        <v>0</v>
      </c>
      <c r="S25" s="188">
        <f>IFERROR(AVERAGE(Table3[[#This Row],[Amount 16]],Table315[[#This Row],[Amount 16]]),0)</f>
        <v>0</v>
      </c>
      <c r="T25" s="18">
        <f>IFERROR(AVERAGE(Table3[[#This Row],[Amount 17]],Table310[[#This Row],[Amount 17]],Table315[[#This Row],[Amount 17]]),0)</f>
        <v>0</v>
      </c>
      <c r="U25" s="18">
        <f>IFERROR(AVERAGE(Table3[[#This Row],[Amount 18]],Table310[[#This Row],[Amount 18]],Table315[[#This Row],[Amount 18]]),0)</f>
        <v>0</v>
      </c>
      <c r="V25" s="18">
        <f>IFERROR(AVERAGE(Table3[[#This Row],[Amount 19]],Table310[[#This Row],[Amount 19]],Table315[[#This Row],[Amount 19]]),0)</f>
        <v>0</v>
      </c>
      <c r="W25" s="123">
        <f>IFERROR(AVERAGE(Table3[[#This Row],[Ret.Time ]],Table310[[#This Row],[Ret.Time ]],Table315[[#This Row],[Ret.Time ]]),0)</f>
        <v>0</v>
      </c>
      <c r="X25" s="123">
        <f>IFERROR(AVERAGE(Table3[[#This Row],[Amount 20]],Table310[[#This Row],[Amount 20]],Table315[[#This Row],[Amount 20]]),0)</f>
        <v>0</v>
      </c>
      <c r="Y25" s="123">
        <f>IFERROR(AVERAGE(Table3[[#This Row],[Ret.Time]],Table310[[#This Row],[Ret.Time]],Table315[[#This Row],[Ret.Time]]),0)</f>
        <v>0</v>
      </c>
      <c r="Z25" s="123">
        <f>IFERROR(AVERAGE(Table3[[#This Row],[Amount 21]],Table310[[#This Row],[Amount 21]],Table315[[#This Row],[Amount 21]]),0)</f>
        <v>0</v>
      </c>
      <c r="AA25" s="123">
        <f>IFERROR(AVERAGE(Table3[[#This Row],[Ret.Time22]],Table310[[#This Row],[Ret.Time22]],Table315[[#This Row],[Ret.Time22]]),0)</f>
        <v>0</v>
      </c>
      <c r="AB25" s="123">
        <f>IFERROR(AVERAGE(Table3[[#This Row],[Amount 23]],Table310[[#This Row],[Amount 23]],Table315[[#This Row],[Amount 23]]),0)</f>
        <v>0</v>
      </c>
      <c r="AC25" s="123">
        <f>IFERROR(AVERAGE(Table3[[#This Row],[Ret.Time24]],Table310[[#This Row],[Ret.Time24]],Table315[[#This Row],[Ret.Time24]]),0)</f>
        <v>0</v>
      </c>
      <c r="AD25" s="123">
        <f>IFERROR(AVERAGE(Table3[[#This Row],[Amount 25]],Table310[[#This Row],[Amount 25]],Table315[[#This Row],[Amount 25]]),0)</f>
        <v>0</v>
      </c>
      <c r="AE25" s="18">
        <f>IFERROR(AVERAGE(Table3[[#This Row],[pH]],Table310[[#This Row],[pH]],Table315[[#This Row],[pH]]),0)</f>
        <v>0</v>
      </c>
      <c r="AF25" s="18">
        <f>IFERROR(AVERAGE(Table3[[#This Row],[dilution ]],Table310[[#This Row],[dilution ]],Table315[[#This Row],[dilution ]]),0)</f>
        <v>0</v>
      </c>
      <c r="AG25" s="18">
        <f>IFERROR(AVERAGE(Table3[[#This Row],[correction factor]],Table310[[#This Row],[correction]],Table315[[#This Row],[correction]]),0)</f>
        <v>0</v>
      </c>
      <c r="AH25" s="18">
        <f>IFERROR(AVERAGE(Table3[[#This Row],[amount]],Table310[[#This Row],[amount]],Table315[[#This Row],[amount]]),0)</f>
        <v>0</v>
      </c>
      <c r="AI25" s="18">
        <f>IFERROR(AVERAGE(Table3[[#This Row],[pressure]],Table310[[#This Row],[pressure]],Table315[[#This Row],[pressure]]),0)</f>
        <v>0</v>
      </c>
      <c r="AJ25" s="64" t="e">
        <f>IF(D25="nd","nd",D25*$C25/constants!$B$3)</f>
        <v>#DIV/0!</v>
      </c>
      <c r="AK25" s="64" t="e">
        <f>IF(E25="nd","nd",E25*$C25/constants!$B$6)</f>
        <v>#DIV/0!</v>
      </c>
      <c r="AL25" s="64" t="e">
        <f>IF(F25="nd","nd",F25*$C25/constants!$B$7)</f>
        <v>#DIV/0!</v>
      </c>
      <c r="AM25" s="64" t="e">
        <f>IF(G25="nd","nd",G25*$C25/constants!$B$8)</f>
        <v>#DIV/0!</v>
      </c>
      <c r="AN25" s="64" t="e">
        <f>IF(H25="nd","nd",H25*$C25/constants!$B$9)</f>
        <v>#DIV/0!</v>
      </c>
      <c r="AO25" s="64" t="e">
        <f>IF(I25="nd","nd",I25*$C25/constants!$B$10)</f>
        <v>#DIV/0!</v>
      </c>
      <c r="AP25" s="162">
        <f>IF(J25="nd","nd",J25*$C25/1000)</f>
        <v>0</v>
      </c>
      <c r="AQ25" s="162">
        <f t="shared" si="1"/>
        <v>0</v>
      </c>
      <c r="AR25" s="162">
        <f t="shared" si="2"/>
        <v>0</v>
      </c>
      <c r="AS25" s="162">
        <f t="shared" si="3"/>
        <v>0</v>
      </c>
      <c r="AT25" s="162">
        <f t="shared" si="4"/>
        <v>0</v>
      </c>
      <c r="AU25" s="162">
        <f t="shared" si="5"/>
        <v>0</v>
      </c>
      <c r="AV25" s="162">
        <f t="shared" si="6"/>
        <v>0</v>
      </c>
      <c r="AW25" s="162">
        <f t="shared" si="7"/>
        <v>0</v>
      </c>
      <c r="AX25" s="162">
        <f t="shared" si="8"/>
        <v>0</v>
      </c>
      <c r="AY25" s="162">
        <f>IF(S25="nd","nd",S25*$C25/constants!$B$15)</f>
        <v>0</v>
      </c>
      <c r="AZ25" s="64">
        <f>IF(AH25="nd","nd",AH25*Table31520253035404550556065[[#This Row],[dilution ]]/constants!$B$3)</f>
        <v>0</v>
      </c>
      <c r="BA25" s="64" t="e">
        <f>AVERAGE(Table5[[#This Row],[Concentration172]],Table511[[#This Row],[Concentration172]],Table516[[#This Row],[Concentration172]])</f>
        <v>#DIV/0!</v>
      </c>
      <c r="BB25" s="64">
        <f>IFERROR(AVERAGE(#REF!,#REF!,#REF!),0)</f>
        <v>0</v>
      </c>
      <c r="BC25" s="64"/>
      <c r="BD25" s="112" t="e">
        <f>(Table51621263136414651566166[[#This Row],[Concentration]]*constants!$C$3)/1000</f>
        <v>#DIV/0!</v>
      </c>
      <c r="BE25" s="112" t="e">
        <f>(Table51621263136414651566166[[#This Row],[Concentration2]]*constants!$C$6)/1000</f>
        <v>#DIV/0!</v>
      </c>
      <c r="BF25" s="112" t="e">
        <f>(Table51621263136414651566166[[#This Row],[Concentration3]]*constants!$C$7)/1000</f>
        <v>#DIV/0!</v>
      </c>
      <c r="BG25" s="112" t="e">
        <f>(Table51621263136414651566166[[#This Row],[Concentration4]]*constants!$C$8)/1000</f>
        <v>#DIV/0!</v>
      </c>
      <c r="BH25" s="112" t="e">
        <f>(Table51621263136414651566166[[#This Row],[Concentration5]]*constants!$C$9)/1000</f>
        <v>#DIV/0!</v>
      </c>
      <c r="BI25" s="112" t="e">
        <f>(Table51621263136414651566166[[#This Row],[Concentration6]]*constants!$C$10)/1000</f>
        <v>#DIV/0!</v>
      </c>
      <c r="BJ25" s="112">
        <f>Table51621263136414651566166[[#This Row],[Concentration7]]*2</f>
        <v>0</v>
      </c>
      <c r="BK25" s="112">
        <f>Table51621263136414651566166[[#This Row],[Concentration8]]*3</f>
        <v>0</v>
      </c>
      <c r="BL25" s="112">
        <f>Table51621263136414651566166[[#This Row],[Concentration9]]*4</f>
        <v>0</v>
      </c>
      <c r="BM25" s="112">
        <f>Table51621263136414651566166[[#This Row],[Concentration10]]*4</f>
        <v>0</v>
      </c>
      <c r="BN25" s="112">
        <f>Table51621263136414651566166[[#This Row],[Concentration11]]*5</f>
        <v>0</v>
      </c>
      <c r="BO25" s="112">
        <f>Table51621263136414651566166[[#This Row],[Concentration12]]*5</f>
        <v>0</v>
      </c>
      <c r="BP25" s="112">
        <f>Table51621263136414651566166[[#This Row],[Concentration13]]*6</f>
        <v>0</v>
      </c>
      <c r="BQ25" s="112">
        <f>Table51621263136414651566166[[#This Row],[Concentration14]]*6</f>
        <v>0</v>
      </c>
      <c r="BR25" s="112">
        <f>Table51621263136414651566166[[#This Row],[Concentration15]]*7</f>
        <v>0</v>
      </c>
      <c r="BS25" s="112">
        <f>Table51621263136414651566166[[#This Row],[Concentration16]]*8</f>
        <v>0</v>
      </c>
      <c r="BT25" s="152" t="e">
        <f>($BU$16*1000)-(Table61722273237424752576267[[#This Row],[Concentration17]]*1000)</f>
        <v>#REF!</v>
      </c>
      <c r="BU25" s="112" t="e">
        <f>AVERAGE(#REF!,#REF!,#REF!)</f>
        <v>#REF!</v>
      </c>
      <c r="BV25" s="47">
        <f>Table51621263136414651566166[[#This Row],[Concentration18]]</f>
        <v>0</v>
      </c>
      <c r="BW25" s="47">
        <f>SUM(IFERROR(Table61722273237424752576267[[#This Row],[Concentration7]],0),IFERROR(Table61722273237424752576267[[#This Row],[Concentration8]],0),IFERROR(Table61722273237424752576267[[#This Row],[Concentration9]],0),IFERROR(Table61722273237424752576267[[#This Row],[Concentration10]],0),IFERROR(Table61722273237424752576267[[#This Row],[Concentration11]],0),IFERROR(Table61722273237424752576267[[#This Row],[Concentration12]],0),IFERROR(Table61722273237424752576267[[#This Row],[Concentration13]],0),IFERROR(Table61722273237424752576267[[#This Row],[Concentration14]],0),IFERROR(Table61722273237424752576267[[#This Row],[Concentration15]],0),IFERROR(Table61722273237424752576267[[#This Row],[Concentration16]],0),Table61722273237424752576267[[#This Row],[concentration18]])</f>
        <v>0</v>
      </c>
      <c r="BX25" s="47" t="e">
        <f>IF((Table61722273237424752576267[[#This Row],[Concentration162]]-Table61722273237424752576267[[#This Row],[concentration19]])&lt;0,0,Table61722273237424752576267[[#This Row],[Concentration162]]-Table61722273237424752576267[[#This Row],[concentration19]])</f>
        <v>#REF!</v>
      </c>
      <c r="BY25" s="47" t="e">
        <f>100*Table61722273237424752576267[[#This Row],[TOTAL]]/(Table61722273237424752576267[[#This Row],[TOTAL]]+Table61722273237424752576267[[#This Row],[concentration19]])</f>
        <v>#REF!</v>
      </c>
      <c r="CF25" s="180" t="s">
        <v>196</v>
      </c>
      <c r="CG25" s="183" t="s">
        <v>198</v>
      </c>
      <c r="CH25" s="183" t="s">
        <v>199</v>
      </c>
      <c r="CI25" s="183" t="s">
        <v>200</v>
      </c>
      <c r="CJ25" s="183" t="s">
        <v>201</v>
      </c>
      <c r="CK25" s="183" t="s">
        <v>202</v>
      </c>
      <c r="CL25" s="183" t="s">
        <v>203</v>
      </c>
      <c r="CM25" s="182" t="s">
        <v>198</v>
      </c>
      <c r="CN25" s="182" t="s">
        <v>199</v>
      </c>
      <c r="CO25" s="182" t="s">
        <v>200</v>
      </c>
      <c r="CP25" s="182" t="s">
        <v>201</v>
      </c>
      <c r="CQ25" s="182" t="s">
        <v>202</v>
      </c>
      <c r="CR25" s="182" t="s">
        <v>203</v>
      </c>
    </row>
    <row r="26" spans="1:105" s="66" customFormat="1" ht="16" thickBot="1" x14ac:dyDescent="0.4">
      <c r="A26" s="63">
        <f>Table2[[#This Row],[Date]]</f>
        <v>0</v>
      </c>
      <c r="B26" s="74">
        <f>Table2[[#This Row],[Time]]</f>
        <v>0</v>
      </c>
      <c r="C26" s="41">
        <f>Table3[[#This Row],[Dilution]]</f>
        <v>0</v>
      </c>
      <c r="D26" s="18" t="e">
        <f>D24-D25</f>
        <v>#DIV/0!</v>
      </c>
      <c r="E26" s="18" t="e">
        <f t="shared" ref="E26:S26" si="13">E24-E25</f>
        <v>#DIV/0!</v>
      </c>
      <c r="F26" s="18" t="e">
        <f t="shared" si="13"/>
        <v>#DIV/0!</v>
      </c>
      <c r="G26" s="18" t="e">
        <f t="shared" si="13"/>
        <v>#DIV/0!</v>
      </c>
      <c r="H26" s="18" t="e">
        <f t="shared" si="13"/>
        <v>#DIV/0!</v>
      </c>
      <c r="I26" s="18" t="e">
        <f t="shared" si="13"/>
        <v>#DIV/0!</v>
      </c>
      <c r="J26" s="18">
        <f t="shared" si="13"/>
        <v>60.705735218002751</v>
      </c>
      <c r="K26" s="18">
        <f t="shared" si="13"/>
        <v>105.77883147281001</v>
      </c>
      <c r="L26" s="18">
        <f t="shared" si="13"/>
        <v>39.082944061719559</v>
      </c>
      <c r="M26" s="18">
        <f t="shared" si="13"/>
        <v>324.58760893588624</v>
      </c>
      <c r="N26" s="18">
        <f t="shared" si="13"/>
        <v>3.1629588995872262</v>
      </c>
      <c r="O26" s="18">
        <f t="shared" si="13"/>
        <v>15.590560179988083</v>
      </c>
      <c r="P26" s="18">
        <f t="shared" si="13"/>
        <v>0.24915120581834538</v>
      </c>
      <c r="Q26" s="18">
        <f t="shared" si="13"/>
        <v>10.328224825806407</v>
      </c>
      <c r="R26" s="18">
        <f t="shared" si="13"/>
        <v>0.92133813089676575</v>
      </c>
      <c r="S26" s="18">
        <f t="shared" si="13"/>
        <v>0</v>
      </c>
      <c r="T26" s="18">
        <f>IFERROR(AVERAGE(Table3[[#This Row],[Amount 17]],Table310[[#This Row],[Amount 17]],Table315[[#This Row],[Amount 17]]),0)</f>
        <v>0</v>
      </c>
      <c r="U26" s="18">
        <f>IFERROR(AVERAGE(Table3[[#This Row],[Amount 18]],Table310[[#This Row],[Amount 18]],Table315[[#This Row],[Amount 18]]),0)</f>
        <v>0</v>
      </c>
      <c r="V26" s="18">
        <f>IFERROR(AVERAGE(Table3[[#This Row],[Amount 19]],Table310[[#This Row],[Amount 19]],Table315[[#This Row],[Amount 19]]),0)</f>
        <v>0</v>
      </c>
      <c r="W26" s="123">
        <f>IFERROR(AVERAGE(Table3[[#This Row],[Ret.Time ]],Table310[[#This Row],[Ret.Time ]],Table315[[#This Row],[Ret.Time ]]),0)</f>
        <v>0</v>
      </c>
      <c r="X26" s="123">
        <f>IFERROR(AVERAGE(Table3[[#This Row],[Amount 20]],Table310[[#This Row],[Amount 20]],Table315[[#This Row],[Amount 20]]),0)</f>
        <v>0</v>
      </c>
      <c r="Y26" s="123">
        <f>IFERROR(AVERAGE(Table3[[#This Row],[Ret.Time]],Table310[[#This Row],[Ret.Time]],Table315[[#This Row],[Ret.Time]]),0)</f>
        <v>0</v>
      </c>
      <c r="Z26" s="123">
        <f>IFERROR(AVERAGE(Table3[[#This Row],[Amount 21]],Table310[[#This Row],[Amount 21]],Table315[[#This Row],[Amount 21]]),0)</f>
        <v>0</v>
      </c>
      <c r="AA26" s="123">
        <f>IFERROR(AVERAGE(Table3[[#This Row],[Ret.Time22]],Table310[[#This Row],[Ret.Time22]],Table315[[#This Row],[Ret.Time22]]),0)</f>
        <v>0</v>
      </c>
      <c r="AB26" s="123">
        <f>IFERROR(AVERAGE(Table3[[#This Row],[Amount 23]],Table310[[#This Row],[Amount 23]],Table315[[#This Row],[Amount 23]]),0)</f>
        <v>0</v>
      </c>
      <c r="AC26" s="123">
        <f>IFERROR(AVERAGE(Table3[[#This Row],[Ret.Time24]],Table310[[#This Row],[Ret.Time24]],Table315[[#This Row],[Ret.Time24]]),0)</f>
        <v>0</v>
      </c>
      <c r="AD26" s="123">
        <f>IFERROR(AVERAGE(Table3[[#This Row],[Amount 25]],Table310[[#This Row],[Amount 25]],Table315[[#This Row],[Amount 25]]),0)</f>
        <v>0</v>
      </c>
      <c r="AE26" s="18">
        <f>IFERROR(AVERAGE(Table3[[#This Row],[pH]],Table310[[#This Row],[pH]],Table315[[#This Row],[pH]]),0)</f>
        <v>0</v>
      </c>
      <c r="AF26" s="18">
        <f>IFERROR(AVERAGE(Table3[[#This Row],[dilution ]],Table310[[#This Row],[dilution ]],Table315[[#This Row],[dilution ]]),0)</f>
        <v>0</v>
      </c>
      <c r="AG26" s="18">
        <f>IFERROR(AVERAGE(Table3[[#This Row],[correction factor]],Table310[[#This Row],[correction]],Table315[[#This Row],[correction]]),0)</f>
        <v>0</v>
      </c>
      <c r="AH26" s="18">
        <f>IFERROR(AVERAGE(Table3[[#This Row],[amount]],Table310[[#This Row],[amount]],Table315[[#This Row],[amount]]),0)</f>
        <v>0</v>
      </c>
      <c r="AI26" s="18">
        <f>IFERROR(AVERAGE(Table3[[#This Row],[pressure]],Table310[[#This Row],[pressure]],Table315[[#This Row],[pressure]]),0)</f>
        <v>0</v>
      </c>
      <c r="AJ26" s="64" t="e">
        <f>IF(D26="nd","nd",D26*$C26/constants!$B$3)</f>
        <v>#DIV/0!</v>
      </c>
      <c r="AK26" s="64" t="e">
        <f>IF(E26="nd","nd",E26*$C26/constants!$B$6)</f>
        <v>#DIV/0!</v>
      </c>
      <c r="AL26" s="64" t="e">
        <f>IF(F26="nd","nd",F26*$C26/constants!$B$7)</f>
        <v>#DIV/0!</v>
      </c>
      <c r="AM26" s="64" t="e">
        <f>IF(G26="nd","nd",G26*$C26/constants!$B$8)</f>
        <v>#DIV/0!</v>
      </c>
      <c r="AN26" s="64" t="e">
        <f>IF(H26="nd","nd",H26*$C26/constants!$B$9)</f>
        <v>#DIV/0!</v>
      </c>
      <c r="AO26" s="64" t="e">
        <f>IF(I26="nd","nd",I26*$C26/constants!$B$10)</f>
        <v>#DIV/0!</v>
      </c>
      <c r="AP26" s="154">
        <f>AP24-AP25</f>
        <v>1.2141147043600549</v>
      </c>
      <c r="AQ26" s="154">
        <f t="shared" ref="AQ26:AY26" si="14">AQ24-AQ25</f>
        <v>2.1155766294562004</v>
      </c>
      <c r="AR26" s="154">
        <f t="shared" si="14"/>
        <v>0.7816588812343912</v>
      </c>
      <c r="AS26" s="154">
        <f t="shared" si="14"/>
        <v>6.491752178717725</v>
      </c>
      <c r="AT26" s="154">
        <f t="shared" si="14"/>
        <v>6.325917799174452E-2</v>
      </c>
      <c r="AU26" s="154">
        <f t="shared" si="14"/>
        <v>0.31181120359976167</v>
      </c>
      <c r="AV26" s="154">
        <f t="shared" si="14"/>
        <v>4.9830241163669074E-3</v>
      </c>
      <c r="AW26" s="154">
        <f t="shared" si="14"/>
        <v>0.20656449651612815</v>
      </c>
      <c r="AX26" s="154">
        <f t="shared" si="14"/>
        <v>1.8426762617935313E-2</v>
      </c>
      <c r="AY26" s="154">
        <f t="shared" si="14"/>
        <v>0</v>
      </c>
      <c r="AZ26" s="154">
        <f>IF(AH26="nd","nd",AH26*Table31520253035404550556065[[#This Row],[dilution ]]/constants!$B$3)</f>
        <v>0</v>
      </c>
      <c r="BA26" s="154" t="e">
        <f>AVERAGE(Table5[[#This Row],[Concentration172]],Table511[[#This Row],[Concentration172]],Table516[[#This Row],[Concentration172]])</f>
        <v>#DIV/0!</v>
      </c>
      <c r="BB26" s="154">
        <f>IFERROR(AVERAGE(#REF!,#REF!,#REF!),0)</f>
        <v>0</v>
      </c>
      <c r="BC26" s="64"/>
      <c r="BD26" s="112" t="e">
        <f>(Table51621263136414651566166[[#This Row],[Concentration]]*constants!$C$3)/1000</f>
        <v>#DIV/0!</v>
      </c>
      <c r="BE26" s="112" t="e">
        <f>(Table51621263136414651566166[[#This Row],[Concentration2]]*constants!$C$6)/1000</f>
        <v>#DIV/0!</v>
      </c>
      <c r="BF26" s="112" t="e">
        <f>(Table51621263136414651566166[[#This Row],[Concentration3]]*constants!$C$7)/1000</f>
        <v>#DIV/0!</v>
      </c>
      <c r="BG26" s="112" t="e">
        <f>(Table51621263136414651566166[[#This Row],[Concentration4]]*constants!$C$8)/1000</f>
        <v>#DIV/0!</v>
      </c>
      <c r="BH26" s="112" t="e">
        <f>(Table51621263136414651566166[[#This Row],[Concentration5]]*constants!$C$9)/1000</f>
        <v>#DIV/0!</v>
      </c>
      <c r="BI26" s="112" t="e">
        <f>(Table51621263136414651566166[[#This Row],[Concentration6]]*constants!$C$10)/1000</f>
        <v>#DIV/0!</v>
      </c>
      <c r="BJ26" s="155">
        <f>BJ24-BJ25</f>
        <v>2.4282294087201097</v>
      </c>
      <c r="BK26" s="155">
        <f t="shared" ref="BK26:BS26" si="15">BK24-BK25</f>
        <v>6.3467298883686016</v>
      </c>
      <c r="BL26" s="155">
        <f t="shared" si="15"/>
        <v>3.1266355249375648</v>
      </c>
      <c r="BM26" s="155">
        <f t="shared" si="15"/>
        <v>25.9670087148709</v>
      </c>
      <c r="BN26" s="155">
        <f t="shared" si="15"/>
        <v>0.3162958899587226</v>
      </c>
      <c r="BO26" s="155">
        <f t="shared" si="15"/>
        <v>1.5590560179988082</v>
      </c>
      <c r="BP26" s="155">
        <f t="shared" si="15"/>
        <v>2.9898144698201443E-2</v>
      </c>
      <c r="BQ26" s="155">
        <f t="shared" si="15"/>
        <v>1.2393869790967689</v>
      </c>
      <c r="BR26" s="155">
        <f t="shared" si="15"/>
        <v>0.12898733832554721</v>
      </c>
      <c r="BS26" s="155">
        <f t="shared" si="15"/>
        <v>0</v>
      </c>
      <c r="BT26" s="152" t="e">
        <f>($BU$16*1000)-(Table61722273237424752576267[[#This Row],[Concentration17]]*1000)</f>
        <v>#REF!</v>
      </c>
      <c r="BU26" s="112" t="e">
        <f>AVERAGE(#REF!,#REF!,#REF!)</f>
        <v>#REF!</v>
      </c>
      <c r="BV26" s="47">
        <f>Table51621263136414651566166[[#This Row],[Concentration18]]</f>
        <v>0</v>
      </c>
      <c r="BW26" s="47">
        <f>SUM(IFERROR(Table61722273237424752576267[[#This Row],[Concentration7]],0),IFERROR(Table61722273237424752576267[[#This Row],[Concentration8]],0),IFERROR(Table61722273237424752576267[[#This Row],[Concentration9]],0),IFERROR(Table61722273237424752576267[[#This Row],[Concentration10]],0),IFERROR(Table61722273237424752576267[[#This Row],[Concentration11]],0),IFERROR(Table61722273237424752576267[[#This Row],[Concentration12]],0),IFERROR(Table61722273237424752576267[[#This Row],[Concentration13]],0),IFERROR(Table61722273237424752576267[[#This Row],[Concentration14]],0),IFERROR(Table61722273237424752576267[[#This Row],[Concentration15]],0),IFERROR(Table61722273237424752576267[[#This Row],[Concentration16]],0),Table61722273237424752576267[[#This Row],[concentration18]])</f>
        <v>41.142227906975222</v>
      </c>
      <c r="BX26" s="47" t="e">
        <f>IF((Table61722273237424752576267[[#This Row],[Concentration162]]-Table61722273237424752576267[[#This Row],[concentration19]])&lt;0,0,Table61722273237424752576267[[#This Row],[Concentration162]]-Table61722273237424752576267[[#This Row],[concentration19]])</f>
        <v>#REF!</v>
      </c>
      <c r="BY26" s="66" t="e">
        <f>100*Table61722273237424752576267[[#This Row],[TOTAL]]/(Table61722273237424752576267[[#This Row],[TOTAL]]+Table61722273237424752576267[[#This Row],[concentration19]])</f>
        <v>#REF!</v>
      </c>
      <c r="BZ26" s="160"/>
      <c r="CA26" s="160"/>
      <c r="CB26" s="160"/>
      <c r="CC26" s="160"/>
      <c r="CD26" s="160"/>
      <c r="CE26" s="160"/>
      <c r="CF26" s="179" t="s">
        <v>204</v>
      </c>
      <c r="CG26" s="179"/>
      <c r="CH26" s="179"/>
      <c r="CI26" s="179"/>
      <c r="CJ26" s="179"/>
      <c r="CK26" s="179"/>
      <c r="CL26" s="179"/>
      <c r="CM26" s="160" t="s">
        <v>205</v>
      </c>
      <c r="CN26" s="160"/>
      <c r="CO26" s="160"/>
      <c r="CP26" s="160"/>
      <c r="CQ26" s="160"/>
      <c r="CR26" s="160"/>
      <c r="CS26" s="160"/>
      <c r="CT26" s="160"/>
      <c r="CU26" s="160"/>
      <c r="CV26" s="160"/>
      <c r="CW26" s="160"/>
      <c r="CX26" s="160"/>
      <c r="CY26" s="160"/>
      <c r="CZ26" s="160"/>
      <c r="DA26" s="160"/>
    </row>
    <row r="27" spans="1:105" s="47" customFormat="1" ht="16" thickBot="1" x14ac:dyDescent="0.4">
      <c r="A27" s="63"/>
      <c r="B27" s="74"/>
      <c r="C27" s="41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23"/>
      <c r="X27" s="123"/>
      <c r="Y27" s="123"/>
      <c r="Z27" s="123"/>
      <c r="AA27" s="123"/>
      <c r="AB27" s="123"/>
      <c r="AC27" s="123"/>
      <c r="AD27" s="123"/>
      <c r="AE27" s="18"/>
      <c r="AF27" s="18"/>
      <c r="AG27" s="18"/>
      <c r="AH27" s="18"/>
      <c r="AI27" s="18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112"/>
      <c r="BE27" s="112"/>
      <c r="BF27" s="112"/>
      <c r="BG27" s="112"/>
      <c r="BH27" s="112"/>
      <c r="BI27" s="112"/>
      <c r="BJ27" s="112"/>
      <c r="BK27" s="112"/>
      <c r="BL27" s="112"/>
      <c r="BM27" s="112"/>
      <c r="BN27" s="112"/>
      <c r="BO27" s="112"/>
      <c r="BP27" s="112"/>
      <c r="BQ27" s="112"/>
      <c r="BR27" s="112"/>
      <c r="BS27" s="112"/>
      <c r="BT27" s="152"/>
      <c r="BU27" s="112"/>
      <c r="CE27" s="47" t="s">
        <v>159</v>
      </c>
      <c r="CF27" s="184">
        <f>SUM(CF16:CF23)</f>
        <v>2.967587744655825</v>
      </c>
    </row>
    <row r="28" spans="1:105" s="66" customFormat="1" ht="16" thickBot="1" x14ac:dyDescent="0.4">
      <c r="A28" s="63"/>
      <c r="B28" s="74"/>
      <c r="C28" s="41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23"/>
      <c r="X28" s="123"/>
      <c r="Y28" s="123"/>
      <c r="Z28" s="123"/>
      <c r="AA28" s="123"/>
      <c r="AB28" s="123"/>
      <c r="AC28" s="123"/>
      <c r="AD28" s="123"/>
      <c r="AE28" s="18"/>
      <c r="AF28" s="18"/>
      <c r="AG28" s="18"/>
      <c r="AH28" s="18"/>
      <c r="AI28" s="18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112"/>
      <c r="BE28" s="112"/>
      <c r="BF28" s="112"/>
      <c r="BG28" s="112"/>
      <c r="BH28" s="112"/>
      <c r="BI28" s="112"/>
      <c r="BJ28" s="112"/>
      <c r="BK28" s="112"/>
      <c r="BL28" s="112"/>
      <c r="BM28" s="112"/>
      <c r="BN28" s="112"/>
      <c r="BO28" s="112"/>
      <c r="BP28" s="112"/>
      <c r="BQ28" s="112"/>
      <c r="BR28" s="112"/>
      <c r="BS28" s="112"/>
      <c r="BT28" s="152"/>
      <c r="BU28" s="112"/>
      <c r="BV28" s="47"/>
      <c r="BW28" s="47"/>
      <c r="BX28" s="47"/>
      <c r="CM28" s="66" t="s">
        <v>206</v>
      </c>
    </row>
    <row r="29" spans="1:105" s="47" customFormat="1" ht="16" thickBot="1" x14ac:dyDescent="0.4">
      <c r="A29" s="63"/>
      <c r="B29" s="74"/>
      <c r="C29" s="41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23"/>
      <c r="X29" s="123"/>
      <c r="Y29" s="123"/>
      <c r="Z29" s="123"/>
      <c r="AA29" s="123"/>
      <c r="AB29" s="123"/>
      <c r="AC29" s="123"/>
      <c r="AD29" s="123"/>
      <c r="AE29" s="18"/>
      <c r="AF29" s="18"/>
      <c r="AG29" s="18"/>
      <c r="AH29" s="18"/>
      <c r="AI29" s="18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112"/>
      <c r="BE29" s="112"/>
      <c r="BF29" s="112"/>
      <c r="BG29" s="112"/>
      <c r="BH29" s="112"/>
      <c r="BI29" s="112"/>
      <c r="BJ29" s="112"/>
      <c r="BK29" s="112"/>
      <c r="BL29" s="112"/>
      <c r="BM29" s="112"/>
      <c r="BN29" s="112"/>
      <c r="BO29" s="112"/>
      <c r="BP29" s="112"/>
      <c r="BQ29" s="112"/>
      <c r="BR29" s="112"/>
      <c r="BS29" s="112"/>
      <c r="BT29" s="152"/>
      <c r="BU29" s="112"/>
      <c r="CM29" s="184">
        <f>SUM(CG16:CG23)</f>
        <v>0.19381366824721202</v>
      </c>
      <c r="CN29" s="184">
        <f t="shared" ref="CN29:CR29" si="16">SUM(CH16:CH23)</f>
        <v>0.31783898492133716</v>
      </c>
      <c r="CO29" s="184">
        <f t="shared" si="16"/>
        <v>1.2072678972109929</v>
      </c>
      <c r="CP29" s="184">
        <f t="shared" si="16"/>
        <v>7.5063286953789665E-2</v>
      </c>
      <c r="CQ29" s="184">
        <f t="shared" si="16"/>
        <v>6.4198849050727397E-2</v>
      </c>
      <c r="CR29" s="184">
        <f t="shared" si="16"/>
        <v>4.2065462053606395E-2</v>
      </c>
    </row>
    <row r="30" spans="1:105" s="66" customFormat="1" ht="16" thickBot="1" x14ac:dyDescent="0.4">
      <c r="A30" s="63"/>
      <c r="B30" s="74"/>
      <c r="C30" s="41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23"/>
      <c r="X30" s="123"/>
      <c r="Y30" s="123"/>
      <c r="Z30" s="123"/>
      <c r="AA30" s="123"/>
      <c r="AB30" s="123"/>
      <c r="AC30" s="123"/>
      <c r="AD30" s="123"/>
      <c r="AE30" s="18"/>
      <c r="AF30" s="18"/>
      <c r="AG30" s="18"/>
      <c r="AH30" s="18"/>
      <c r="AI30" s="18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112"/>
      <c r="BE30" s="112"/>
      <c r="BF30" s="112"/>
      <c r="BG30" s="112"/>
      <c r="BH30" s="112"/>
      <c r="BI30" s="112"/>
      <c r="BJ30" s="112"/>
      <c r="BK30" s="112"/>
      <c r="BL30" s="112"/>
      <c r="BM30" s="112"/>
      <c r="BN30" s="112"/>
      <c r="BO30" s="112"/>
      <c r="BP30" s="112"/>
      <c r="BQ30" s="112"/>
      <c r="BR30" s="112"/>
      <c r="BS30" s="112"/>
      <c r="BT30" s="152"/>
      <c r="BU30" s="112"/>
      <c r="BV30" s="47"/>
      <c r="BW30" s="47"/>
      <c r="BX30" s="47"/>
      <c r="CM30" s="66" t="s">
        <v>207</v>
      </c>
      <c r="CT30" s="66" t="s">
        <v>208</v>
      </c>
    </row>
    <row r="31" spans="1:105" s="47" customFormat="1" ht="16" thickBot="1" x14ac:dyDescent="0.4">
      <c r="A31" s="63"/>
      <c r="B31" s="74"/>
      <c r="C31" s="41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23"/>
      <c r="X31" s="123"/>
      <c r="Y31" s="123"/>
      <c r="Z31" s="123"/>
      <c r="AA31" s="123"/>
      <c r="AB31" s="123"/>
      <c r="AC31" s="123"/>
      <c r="AD31" s="123"/>
      <c r="AE31" s="18"/>
      <c r="AF31" s="18"/>
      <c r="AG31" s="18"/>
      <c r="AH31" s="18"/>
      <c r="AI31" s="18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112"/>
      <c r="BE31" s="112"/>
      <c r="BF31" s="112"/>
      <c r="BG31" s="112"/>
      <c r="BH31" s="112"/>
      <c r="BI31" s="112"/>
      <c r="BJ31" s="112"/>
      <c r="BK31" s="112"/>
      <c r="BL31" s="112"/>
      <c r="BM31" s="112"/>
      <c r="BN31" s="112"/>
      <c r="BO31" s="112"/>
      <c r="BP31" s="112"/>
      <c r="BQ31" s="112"/>
      <c r="BR31" s="112"/>
      <c r="BS31" s="112"/>
      <c r="BT31" s="152"/>
      <c r="BU31" s="112"/>
      <c r="CM31" s="184">
        <f>CM24+CM29</f>
        <v>1.6090542814691506</v>
      </c>
      <c r="CN31" s="184">
        <f t="shared" ref="CN31:CR31" si="17">CN24+CN29</f>
        <v>3.3164694482496904</v>
      </c>
      <c r="CO31" s="184">
        <f t="shared" si="17"/>
        <v>11.522630131570534</v>
      </c>
      <c r="CP31" s="184">
        <f t="shared" si="17"/>
        <v>0.69608934291374003</v>
      </c>
      <c r="CQ31" s="184">
        <f t="shared" si="17"/>
        <v>0.59847240049794126</v>
      </c>
      <c r="CR31" s="184">
        <f t="shared" si="17"/>
        <v>0.41550334315197857</v>
      </c>
      <c r="CT31" s="184">
        <f>SUM(CM31:CR31)</f>
        <v>18.158218947853033</v>
      </c>
      <c r="CW31" s="185">
        <f>CT31/BZ16*100</f>
        <v>75.068140262590617</v>
      </c>
      <c r="CX31" s="185" t="s">
        <v>209</v>
      </c>
      <c r="CY31" s="185"/>
      <c r="CZ31" s="185"/>
      <c r="DA31" s="185"/>
    </row>
    <row r="32" spans="1:105" ht="15" thickBot="1" x14ac:dyDescent="0.4">
      <c r="A32" s="60"/>
      <c r="C32" s="41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23"/>
      <c r="X32" s="123"/>
      <c r="Y32" s="123"/>
      <c r="Z32" s="123"/>
      <c r="AA32" s="123"/>
      <c r="AB32" s="123"/>
      <c r="AC32" s="123"/>
      <c r="AD32" s="123"/>
      <c r="AE32" s="18"/>
      <c r="AF32" s="18"/>
      <c r="AG32" s="18"/>
      <c r="AH32" s="18"/>
      <c r="AI32" s="18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112"/>
      <c r="BE32" s="112"/>
      <c r="BF32" s="112"/>
      <c r="BG32" s="112"/>
      <c r="BH32" s="112"/>
      <c r="BI32" s="112"/>
      <c r="BJ32" s="112"/>
      <c r="BK32" s="112"/>
      <c r="BL32" s="112"/>
      <c r="BM32" s="112"/>
      <c r="BN32" s="112"/>
      <c r="BO32" s="112"/>
      <c r="BP32" s="112"/>
      <c r="BQ32" s="112"/>
      <c r="BR32" s="112"/>
      <c r="BS32" s="112"/>
      <c r="BT32" s="152"/>
      <c r="BU32" s="112"/>
      <c r="BV32" s="47"/>
      <c r="BW32" s="47"/>
      <c r="BZ32" s="66"/>
    </row>
    <row r="33" spans="1:76" x14ac:dyDescent="0.35">
      <c r="A33" s="60"/>
      <c r="AE33" s="43"/>
    </row>
    <row r="34" spans="1:76" x14ac:dyDescent="0.35">
      <c r="AE34" s="43"/>
    </row>
    <row r="35" spans="1:76" x14ac:dyDescent="0.35">
      <c r="AE35" s="43"/>
    </row>
    <row r="36" spans="1:76" ht="15" thickBot="1" x14ac:dyDescent="0.4">
      <c r="AE36" s="44"/>
    </row>
    <row r="37" spans="1:76" ht="15" thickBot="1" x14ac:dyDescent="0.4">
      <c r="A37" s="130" t="s">
        <v>147</v>
      </c>
    </row>
    <row r="38" spans="1:76" x14ac:dyDescent="0.35">
      <c r="C38" s="5" t="s">
        <v>3</v>
      </c>
      <c r="D38" s="6" t="s">
        <v>4</v>
      </c>
      <c r="E38" s="6" t="s">
        <v>90</v>
      </c>
      <c r="F38" s="6" t="s">
        <v>91</v>
      </c>
      <c r="G38" s="6" t="s">
        <v>92</v>
      </c>
      <c r="H38" s="6" t="s">
        <v>93</v>
      </c>
      <c r="I38" s="6" t="s">
        <v>94</v>
      </c>
      <c r="J38" s="6" t="s">
        <v>95</v>
      </c>
      <c r="K38" s="6" t="s">
        <v>96</v>
      </c>
      <c r="L38" s="6" t="s">
        <v>97</v>
      </c>
      <c r="M38" s="6" t="s">
        <v>98</v>
      </c>
      <c r="N38" s="6" t="s">
        <v>99</v>
      </c>
      <c r="O38" s="6" t="s">
        <v>100</v>
      </c>
      <c r="P38" s="6" t="s">
        <v>101</v>
      </c>
      <c r="Q38" s="6" t="s">
        <v>102</v>
      </c>
      <c r="R38" s="6" t="s">
        <v>103</v>
      </c>
      <c r="S38" s="7" t="s">
        <v>104</v>
      </c>
      <c r="T38" s="7" t="s">
        <v>105</v>
      </c>
      <c r="U38" s="7" t="s">
        <v>106</v>
      </c>
      <c r="V38" s="8" t="s">
        <v>107</v>
      </c>
      <c r="W38" s="36" t="s">
        <v>61</v>
      </c>
      <c r="X38" s="33" t="s">
        <v>108</v>
      </c>
      <c r="Y38" s="36" t="s">
        <v>62</v>
      </c>
      <c r="Z38" s="35" t="s">
        <v>109</v>
      </c>
      <c r="AA38" s="34" t="s">
        <v>110</v>
      </c>
      <c r="AB38" s="33" t="s">
        <v>111</v>
      </c>
      <c r="AC38" s="36" t="s">
        <v>112</v>
      </c>
      <c r="AD38" s="35" t="s">
        <v>113</v>
      </c>
      <c r="AE38" s="38" t="s">
        <v>68</v>
      </c>
      <c r="AF38" s="39" t="s">
        <v>70</v>
      </c>
      <c r="AG38" s="39" t="s">
        <v>71</v>
      </c>
      <c r="AH38" s="40" t="s">
        <v>32</v>
      </c>
      <c r="AI38" s="127" t="s">
        <v>136</v>
      </c>
      <c r="AJ38" s="69" t="s">
        <v>35</v>
      </c>
      <c r="AK38" s="70" t="s">
        <v>114</v>
      </c>
      <c r="AL38" s="70" t="s">
        <v>115</v>
      </c>
      <c r="AM38" s="70" t="s">
        <v>116</v>
      </c>
      <c r="AN38" s="70" t="s">
        <v>117</v>
      </c>
      <c r="AO38" s="70" t="s">
        <v>118</v>
      </c>
      <c r="AP38" s="70" t="s">
        <v>119</v>
      </c>
      <c r="AQ38" s="70" t="s">
        <v>120</v>
      </c>
      <c r="AR38" s="70" t="s">
        <v>121</v>
      </c>
      <c r="AS38" s="70" t="s">
        <v>122</v>
      </c>
      <c r="AT38" s="70" t="s">
        <v>123</v>
      </c>
      <c r="AU38" s="70" t="s">
        <v>124</v>
      </c>
      <c r="AV38" s="70" t="s">
        <v>125</v>
      </c>
      <c r="AW38" s="70" t="s">
        <v>126</v>
      </c>
      <c r="AX38" s="70" t="s">
        <v>127</v>
      </c>
      <c r="AY38" s="71" t="s">
        <v>128</v>
      </c>
      <c r="AZ38" s="72" t="s">
        <v>129</v>
      </c>
      <c r="BA38" s="85" t="s">
        <v>33</v>
      </c>
      <c r="BB38" s="85" t="s">
        <v>134</v>
      </c>
      <c r="BC38" s="88" t="s">
        <v>135</v>
      </c>
      <c r="BD38" s="69" t="s">
        <v>35</v>
      </c>
      <c r="BE38" s="70" t="s">
        <v>114</v>
      </c>
      <c r="BF38" s="70" t="s">
        <v>115</v>
      </c>
      <c r="BG38" s="70" t="s">
        <v>116</v>
      </c>
      <c r="BH38" s="70" t="s">
        <v>117</v>
      </c>
      <c r="BI38" s="70" t="s">
        <v>118</v>
      </c>
      <c r="BJ38" s="70" t="s">
        <v>119</v>
      </c>
      <c r="BK38" s="70" t="s">
        <v>120</v>
      </c>
      <c r="BL38" s="70" t="s">
        <v>121</v>
      </c>
      <c r="BM38" s="70" t="s">
        <v>122</v>
      </c>
      <c r="BN38" s="70" t="s">
        <v>123</v>
      </c>
      <c r="BO38" s="70" t="s">
        <v>124</v>
      </c>
      <c r="BP38" s="70" t="s">
        <v>125</v>
      </c>
      <c r="BQ38" s="70" t="s">
        <v>126</v>
      </c>
      <c r="BR38" s="70" t="s">
        <v>127</v>
      </c>
      <c r="BS38" s="71" t="s">
        <v>128</v>
      </c>
      <c r="BT38" s="88"/>
      <c r="BU38" s="72" t="s">
        <v>129</v>
      </c>
      <c r="BV38" s="85" t="s">
        <v>130</v>
      </c>
      <c r="BW38" s="85" t="s">
        <v>132</v>
      </c>
      <c r="BX38" s="85" t="s">
        <v>140</v>
      </c>
    </row>
    <row r="39" spans="1:76" x14ac:dyDescent="0.35">
      <c r="C39" s="9" t="s">
        <v>5</v>
      </c>
      <c r="D39" s="10" t="s">
        <v>7</v>
      </c>
      <c r="E39" s="10" t="s">
        <v>7</v>
      </c>
      <c r="F39" s="10" t="s">
        <v>7</v>
      </c>
      <c r="G39" s="10" t="s">
        <v>7</v>
      </c>
      <c r="H39" s="10" t="s">
        <v>7</v>
      </c>
      <c r="I39" s="10" t="s">
        <v>7</v>
      </c>
      <c r="J39" s="10" t="s">
        <v>7</v>
      </c>
      <c r="K39" s="10" t="s">
        <v>7</v>
      </c>
      <c r="L39" s="10" t="s">
        <v>7</v>
      </c>
      <c r="M39" s="10" t="s">
        <v>7</v>
      </c>
      <c r="N39" s="10" t="s">
        <v>7</v>
      </c>
      <c r="O39" s="10" t="s">
        <v>7</v>
      </c>
      <c r="P39" s="10" t="s">
        <v>7</v>
      </c>
      <c r="Q39" s="10" t="s">
        <v>7</v>
      </c>
      <c r="R39" s="10" t="s">
        <v>7</v>
      </c>
      <c r="S39" s="11" t="s">
        <v>7</v>
      </c>
      <c r="T39" s="11" t="s">
        <v>6</v>
      </c>
      <c r="U39" s="11" t="s">
        <v>6</v>
      </c>
      <c r="V39" s="12" t="s">
        <v>6</v>
      </c>
      <c r="W39" s="36" t="s">
        <v>63</v>
      </c>
      <c r="X39" s="33" t="s">
        <v>64</v>
      </c>
      <c r="Y39" s="36" t="s">
        <v>63</v>
      </c>
      <c r="Z39" s="35" t="s">
        <v>64</v>
      </c>
      <c r="AA39" s="34" t="s">
        <v>63</v>
      </c>
      <c r="AB39" s="33" t="s">
        <v>64</v>
      </c>
      <c r="AC39" s="36" t="s">
        <v>63</v>
      </c>
      <c r="AD39" s="35" t="s">
        <v>64</v>
      </c>
      <c r="AE39" s="38"/>
      <c r="AF39" s="39" t="s">
        <v>5</v>
      </c>
      <c r="AG39" s="39" t="s">
        <v>72</v>
      </c>
      <c r="AH39" s="40" t="s">
        <v>7</v>
      </c>
      <c r="AI39" s="39" t="s">
        <v>137</v>
      </c>
      <c r="AJ39" s="9" t="s">
        <v>36</v>
      </c>
      <c r="AK39" s="10" t="s">
        <v>36</v>
      </c>
      <c r="AL39" s="10" t="s">
        <v>36</v>
      </c>
      <c r="AM39" s="10" t="s">
        <v>36</v>
      </c>
      <c r="AN39" s="10" t="s">
        <v>36</v>
      </c>
      <c r="AO39" s="10" t="s">
        <v>36</v>
      </c>
      <c r="AP39" s="10" t="s">
        <v>77</v>
      </c>
      <c r="AQ39" s="10" t="s">
        <v>77</v>
      </c>
      <c r="AR39" s="10" t="s">
        <v>77</v>
      </c>
      <c r="AS39" s="10" t="s">
        <v>77</v>
      </c>
      <c r="AT39" s="10" t="s">
        <v>77</v>
      </c>
      <c r="AU39" s="10" t="s">
        <v>77</v>
      </c>
      <c r="AV39" s="10" t="s">
        <v>77</v>
      </c>
      <c r="AW39" s="10" t="s">
        <v>77</v>
      </c>
      <c r="AX39" s="10" t="s">
        <v>77</v>
      </c>
      <c r="AY39" s="10" t="s">
        <v>77</v>
      </c>
      <c r="AZ39" s="58" t="s">
        <v>36</v>
      </c>
      <c r="BA39" s="86" t="s">
        <v>152</v>
      </c>
      <c r="BB39" s="86" t="s">
        <v>36</v>
      </c>
      <c r="BC39" s="86" t="s">
        <v>36</v>
      </c>
      <c r="BD39" s="9" t="s">
        <v>89</v>
      </c>
      <c r="BE39" s="9" t="s">
        <v>89</v>
      </c>
      <c r="BF39" s="9" t="s">
        <v>89</v>
      </c>
      <c r="BG39" s="9" t="s">
        <v>89</v>
      </c>
      <c r="BH39" s="9" t="s">
        <v>89</v>
      </c>
      <c r="BI39" s="9" t="s">
        <v>89</v>
      </c>
      <c r="BJ39" s="9" t="s">
        <v>139</v>
      </c>
      <c r="BK39" s="9" t="s">
        <v>139</v>
      </c>
      <c r="BL39" s="9" t="s">
        <v>139</v>
      </c>
      <c r="BM39" s="9" t="s">
        <v>139</v>
      </c>
      <c r="BN39" s="9" t="s">
        <v>139</v>
      </c>
      <c r="BO39" s="9" t="s">
        <v>139</v>
      </c>
      <c r="BP39" s="9" t="s">
        <v>139</v>
      </c>
      <c r="BQ39" s="9" t="s">
        <v>139</v>
      </c>
      <c r="BR39" s="9" t="s">
        <v>139</v>
      </c>
      <c r="BS39" s="9" t="s">
        <v>139</v>
      </c>
      <c r="BT39" s="150"/>
      <c r="BU39" s="9" t="s">
        <v>89</v>
      </c>
      <c r="BV39" s="9" t="s">
        <v>89</v>
      </c>
      <c r="BW39" s="9" t="s">
        <v>89</v>
      </c>
      <c r="BX39" t="s">
        <v>139</v>
      </c>
    </row>
    <row r="40" spans="1:76" ht="16" thickBot="1" x14ac:dyDescent="0.4">
      <c r="A40" s="22" t="s">
        <v>0</v>
      </c>
      <c r="B40" s="73" t="s">
        <v>1</v>
      </c>
      <c r="C40" s="13" t="s">
        <v>6</v>
      </c>
      <c r="D40" s="14" t="s">
        <v>8</v>
      </c>
      <c r="E40" s="14" t="s">
        <v>9</v>
      </c>
      <c r="F40" s="14" t="s">
        <v>10</v>
      </c>
      <c r="G40" s="14" t="s">
        <v>11</v>
      </c>
      <c r="H40" s="14" t="s">
        <v>12</v>
      </c>
      <c r="I40" s="14" t="s">
        <v>13</v>
      </c>
      <c r="J40" s="14" t="s">
        <v>14</v>
      </c>
      <c r="K40" s="14" t="s">
        <v>15</v>
      </c>
      <c r="L40" s="14" t="s">
        <v>16</v>
      </c>
      <c r="M40" s="14" t="s">
        <v>17</v>
      </c>
      <c r="N40" s="14" t="s">
        <v>18</v>
      </c>
      <c r="O40" s="14" t="s">
        <v>19</v>
      </c>
      <c r="P40" s="14" t="s">
        <v>20</v>
      </c>
      <c r="Q40" s="14" t="s">
        <v>21</v>
      </c>
      <c r="R40" s="14" t="s">
        <v>22</v>
      </c>
      <c r="S40" s="15" t="s">
        <v>23</v>
      </c>
      <c r="T40" s="15" t="s">
        <v>24</v>
      </c>
      <c r="U40" s="15" t="s">
        <v>25</v>
      </c>
      <c r="V40" s="16" t="s">
        <v>26</v>
      </c>
      <c r="W40" s="36" t="s">
        <v>65</v>
      </c>
      <c r="X40" s="33" t="s">
        <v>65</v>
      </c>
      <c r="Y40" s="36" t="s">
        <v>66</v>
      </c>
      <c r="Z40" s="35" t="s">
        <v>66</v>
      </c>
      <c r="AA40" s="34" t="s">
        <v>55</v>
      </c>
      <c r="AB40" s="33" t="s">
        <v>55</v>
      </c>
      <c r="AC40" s="36" t="s">
        <v>67</v>
      </c>
      <c r="AD40" s="35" t="s">
        <v>67</v>
      </c>
      <c r="AE40" s="38"/>
      <c r="AF40" s="39"/>
      <c r="AG40" s="39" t="s">
        <v>63</v>
      </c>
      <c r="AH40" s="40" t="s">
        <v>73</v>
      </c>
      <c r="AI40" s="39" t="s">
        <v>145</v>
      </c>
      <c r="AJ40" s="13" t="s">
        <v>8</v>
      </c>
      <c r="AK40" s="14" t="s">
        <v>9</v>
      </c>
      <c r="AL40" s="14" t="s">
        <v>10</v>
      </c>
      <c r="AM40" s="14" t="s">
        <v>11</v>
      </c>
      <c r="AN40" s="14" t="s">
        <v>12</v>
      </c>
      <c r="AO40" s="14" t="s">
        <v>13</v>
      </c>
      <c r="AP40" s="14" t="s">
        <v>14</v>
      </c>
      <c r="AQ40" s="14" t="s">
        <v>15</v>
      </c>
      <c r="AR40" s="14" t="s">
        <v>16</v>
      </c>
      <c r="AS40" s="14" t="s">
        <v>17</v>
      </c>
      <c r="AT40" s="14" t="s">
        <v>18</v>
      </c>
      <c r="AU40" s="14" t="s">
        <v>19</v>
      </c>
      <c r="AV40" s="14" t="s">
        <v>20</v>
      </c>
      <c r="AW40" s="14" t="s">
        <v>21</v>
      </c>
      <c r="AX40" s="14" t="s">
        <v>22</v>
      </c>
      <c r="AY40" s="16" t="s">
        <v>23</v>
      </c>
      <c r="AZ40" s="59" t="s">
        <v>78</v>
      </c>
      <c r="BA40" s="87" t="s">
        <v>78</v>
      </c>
      <c r="BB40" s="87" t="s">
        <v>131</v>
      </c>
      <c r="BC40" s="87" t="s">
        <v>133</v>
      </c>
      <c r="BD40" s="13" t="s">
        <v>8</v>
      </c>
      <c r="BE40" s="14" t="s">
        <v>9</v>
      </c>
      <c r="BF40" s="14" t="s">
        <v>10</v>
      </c>
      <c r="BG40" s="14" t="s">
        <v>11</v>
      </c>
      <c r="BH40" s="14" t="s">
        <v>12</v>
      </c>
      <c r="BI40" s="14" t="s">
        <v>13</v>
      </c>
      <c r="BJ40" s="14" t="s">
        <v>14</v>
      </c>
      <c r="BK40" s="14" t="s">
        <v>15</v>
      </c>
      <c r="BL40" s="14" t="s">
        <v>16</v>
      </c>
      <c r="BM40" s="14" t="s">
        <v>17</v>
      </c>
      <c r="BN40" s="14" t="s">
        <v>18</v>
      </c>
      <c r="BO40" s="14" t="s">
        <v>19</v>
      </c>
      <c r="BP40" s="14" t="s">
        <v>20</v>
      </c>
      <c r="BQ40" s="14" t="s">
        <v>21</v>
      </c>
      <c r="BR40" s="14" t="s">
        <v>22</v>
      </c>
      <c r="BS40" s="16" t="s">
        <v>23</v>
      </c>
      <c r="BT40" s="151"/>
      <c r="BU40" s="59" t="s">
        <v>78</v>
      </c>
      <c r="BV40" t="s">
        <v>131</v>
      </c>
      <c r="BW40" t="s">
        <v>133</v>
      </c>
      <c r="BX40" t="s">
        <v>141</v>
      </c>
    </row>
    <row r="41" spans="1:76" s="47" customFormat="1" ht="16" thickBot="1" x14ac:dyDescent="0.4">
      <c r="A41" s="63" t="str">
        <f>A9</f>
        <v>20-03-18</v>
      </c>
      <c r="B41" s="74">
        <f>B9</f>
        <v>0</v>
      </c>
      <c r="C41" s="41">
        <f>C9</f>
        <v>0</v>
      </c>
      <c r="D41" s="123">
        <f>IFERROR(_xlfn.STDEV.S('B1'!D9,'B2'!D9,'B3'!D9),0)</f>
        <v>0</v>
      </c>
      <c r="E41" s="123">
        <f>IFERROR(_xlfn.STDEV.S('B1'!E9,'B2'!E9,'B3'!E9),0)</f>
        <v>0</v>
      </c>
      <c r="F41" s="123">
        <f>IFERROR(_xlfn.STDEV.S('B1'!F9,'B2'!F9,'B3'!F9),0)</f>
        <v>0</v>
      </c>
      <c r="G41" s="123">
        <f>IFERROR(_xlfn.STDEV.S('B1'!G9,'B2'!G9,'B3'!G9),0)</f>
        <v>0</v>
      </c>
      <c r="H41" s="123">
        <f>IFERROR(_xlfn.STDEV.S('B1'!H9,'B2'!H9,'B3'!H9),0)</f>
        <v>0</v>
      </c>
      <c r="I41" s="123">
        <f>IFERROR(_xlfn.STDEV.S('B1'!I9,'B2'!I9,'B3'!I9),0)</f>
        <v>0</v>
      </c>
      <c r="J41" s="123">
        <f>IFERROR(_xlfn.STDEV.S('B1'!J9,'B2'!J9,'B3'!J9),0)</f>
        <v>0</v>
      </c>
      <c r="K41" s="123">
        <f>IFERROR(_xlfn.STDEV.S('B1'!K9,'B2'!K9,'B3'!K9),0)</f>
        <v>0</v>
      </c>
      <c r="L41" s="123">
        <f>IFERROR(_xlfn.STDEV.S('B1'!L9,'B2'!L9,'B3'!L9),0)</f>
        <v>0</v>
      </c>
      <c r="M41" s="123">
        <f>IFERROR(_xlfn.STDEV.S('B1'!M9,'B2'!M9,'B3'!M9),0)</f>
        <v>0</v>
      </c>
      <c r="N41" s="123">
        <f>IFERROR(_xlfn.STDEV.S('B1'!N9,'B2'!N9,'B3'!N9),0)</f>
        <v>0</v>
      </c>
      <c r="O41" s="123">
        <f>IFERROR(_xlfn.STDEV.S('B1'!O9,'B2'!O9,'B3'!O9),0)</f>
        <v>0</v>
      </c>
      <c r="P41" s="123">
        <f>IFERROR(_xlfn.STDEV.S('B1'!P9,'B2'!P9,'B3'!P9),0)</f>
        <v>0</v>
      </c>
      <c r="Q41" s="123">
        <f>IFERROR(_xlfn.STDEV.S('B1'!Q9,'B2'!Q9,'B3'!Q9),0)</f>
        <v>0</v>
      </c>
      <c r="R41" s="123">
        <f>IFERROR(_xlfn.STDEV.S('B1'!R9,'B2'!R9,'B3'!R9),0)</f>
        <v>0</v>
      </c>
      <c r="S41" s="123">
        <f>IFERROR(_xlfn.STDEV.S('B1'!S9,'B2'!S9,'B3'!S9),0)</f>
        <v>0</v>
      </c>
      <c r="T41" s="123">
        <f>IFERROR(_xlfn.STDEV.S('B1'!T9,'B2'!T9,'B3'!T9),0)</f>
        <v>0</v>
      </c>
      <c r="U41" s="123">
        <f>IFERROR(_xlfn.STDEV.S('B1'!U9,'B2'!U9,'B3'!U9),0)</f>
        <v>0</v>
      </c>
      <c r="V41" s="123">
        <f>IFERROR(_xlfn.STDEV.S('B1'!V9,'B2'!V9,'B3'!V9),0)</f>
        <v>0</v>
      </c>
      <c r="W41" s="123">
        <f>IFERROR(_xlfn.STDEV.S('B1'!W9,'B2'!W9,'B3'!W9),0)</f>
        <v>0</v>
      </c>
      <c r="X41" s="123">
        <f>IFERROR(_xlfn.STDEV.S('B1'!X9,'B2'!X9,'B3'!X9),0)</f>
        <v>0</v>
      </c>
      <c r="Y41" s="123">
        <f>IFERROR(_xlfn.STDEV.S('B1'!Y9,'B2'!Y9,'B3'!Y9),0)</f>
        <v>0</v>
      </c>
      <c r="Z41" s="123">
        <f>IFERROR(_xlfn.STDEV.S('B1'!Z9,'B2'!Z9,'B3'!Z9),0)</f>
        <v>0</v>
      </c>
      <c r="AA41" s="123">
        <f>IFERROR(_xlfn.STDEV.S('B1'!AB9,'B2'!AA9,'B3'!AA9),0)</f>
        <v>0</v>
      </c>
      <c r="AB41" s="123">
        <f>IFERROR(_xlfn.STDEV.S('B1'!AC9,'B2'!AB9,'B3'!AB9),0)</f>
        <v>0</v>
      </c>
      <c r="AC41" s="123">
        <f>IFERROR(_xlfn.STDEV.S('B1'!AD9,'B2'!AC9,'B3'!AC9),0)</f>
        <v>0</v>
      </c>
      <c r="AD41" s="123">
        <f>IFERROR(_xlfn.STDEV.S('B1'!AE9,'B2'!AD9,'B3'!AD9),0)</f>
        <v>0</v>
      </c>
      <c r="AE41" s="18">
        <f>IFERROR(_xlfn.STDEV.S('B1'!AF9,'B2'!AE9,'B3'!AE9),0)</f>
        <v>0</v>
      </c>
      <c r="AF41" s="18">
        <f>IFERROR(_xlfn.STDEV.S('B1'!AG9,'B2'!AF9,'B3'!AF9),0)</f>
        <v>0</v>
      </c>
      <c r="AG41" s="18">
        <f>IFERROR(_xlfn.STDEV.S('B1'!AH9,'B2'!AG9,'B3'!AG9),0)</f>
        <v>0</v>
      </c>
      <c r="AH41" s="18">
        <f>IFERROR(_xlfn.STDEV.S('B1'!AI9,'B2'!AH9,'B3'!AH9),0)</f>
        <v>0</v>
      </c>
      <c r="AI41" s="18">
        <f>IFERROR(_xlfn.STDEV.S('B1'!AJ9,'B2'!AI9,'B3'!AI9),0)</f>
        <v>0</v>
      </c>
      <c r="AJ41" s="123">
        <f>IFERROR(_xlfn.STDEV.S('B1'!AK9,'B2'!AJ9,'B3'!AJ9),0)</f>
        <v>0</v>
      </c>
      <c r="AK41" s="123">
        <f>IFERROR(_xlfn.STDEV.S('B1'!AL9,'B2'!AK9,'B3'!AK9),0)</f>
        <v>0</v>
      </c>
      <c r="AL41" s="123">
        <f>IFERROR(_xlfn.STDEV.S('B1'!AM9,'B2'!AL9,'B3'!AL9),0)</f>
        <v>0</v>
      </c>
      <c r="AM41" s="123">
        <f>IFERROR(_xlfn.STDEV.S('B1'!AN9,'B2'!AM9,'B3'!AM9),0)</f>
        <v>0</v>
      </c>
      <c r="AN41" s="123">
        <f>IFERROR(_xlfn.STDEV.S('B1'!AO9,'B2'!AN9,'B3'!AN9),0)</f>
        <v>0</v>
      </c>
      <c r="AO41" s="123">
        <f>IFERROR(_xlfn.STDEV.S('B1'!AP9,'B2'!AO9,'B3'!AO9),0)</f>
        <v>0</v>
      </c>
      <c r="AP41" s="174">
        <f>IFERROR(_xlfn.STDEV.S('B1'!AQ9,'B2'!AP9,'B3'!AP9),0)</f>
        <v>0</v>
      </c>
      <c r="AQ41" s="174">
        <f>IFERROR(_xlfn.STDEV.S('B1'!AR9,'B2'!AQ9,'B3'!AQ9),0)</f>
        <v>0</v>
      </c>
      <c r="AR41" s="174">
        <f>IFERROR(_xlfn.STDEV.S('B1'!AS9,'B2'!AR9,'B3'!AR9),0)</f>
        <v>0</v>
      </c>
      <c r="AS41" s="174">
        <f>IFERROR(_xlfn.STDEV.S('B1'!AT9,'B2'!AS9,'B3'!AS9),0)</f>
        <v>0</v>
      </c>
      <c r="AT41" s="174">
        <f>IFERROR(_xlfn.STDEV.S('B1'!AU9,'B2'!AT9,'B3'!AT9),0)</f>
        <v>0</v>
      </c>
      <c r="AU41" s="174">
        <f>IFERROR(_xlfn.STDEV.S('B1'!AV9,'B2'!AU9,'B3'!AU9),0)</f>
        <v>0</v>
      </c>
      <c r="AV41" s="174">
        <f>IFERROR(_xlfn.STDEV.S('B1'!AW9,'B2'!AV9,'B3'!AV9),0)</f>
        <v>0</v>
      </c>
      <c r="AW41" s="174">
        <f>IFERROR(_xlfn.STDEV.S('B1'!AX9,'B2'!AW9,'B3'!AW9),0)</f>
        <v>0</v>
      </c>
      <c r="AX41" s="174">
        <f>IFERROR(_xlfn.STDEV.S('B1'!AY9,'B2'!AX9,'B3'!AX9),0)</f>
        <v>0</v>
      </c>
      <c r="AY41" s="174">
        <f>IFERROR(_xlfn.STDEV.S('B1'!AZ9,'B2'!AY9,'B3'!AY9),0)</f>
        <v>0</v>
      </c>
      <c r="AZ41" s="131">
        <f>IFERROR(_xlfn.STDEV.S('B1'!BA9,'B2'!AZ9,'B3'!AZ9),0)</f>
        <v>0</v>
      </c>
      <c r="BA41" s="131">
        <f>_xlfn.STDEV.S('B1'!BB9,'B2'!BA9,'B3'!BA9)</f>
        <v>0</v>
      </c>
      <c r="BB41" s="123">
        <f>IFERROR(_xlfn.STDEV.S('B1'!#REF!,'B2'!#REF!,'B3'!#REF!),0)</f>
        <v>0</v>
      </c>
      <c r="BC41" s="123">
        <f>IFERROR(_xlfn.STDEV.S('B1'!#REF!,'B2'!#REF!,'B3'!#REF!),0)</f>
        <v>0</v>
      </c>
      <c r="BD41" s="18">
        <f>IFERROR(_xlfn.STDEV.S('B1'!#REF!,'B2'!#REF!,'B3'!#REF!),0)</f>
        <v>0</v>
      </c>
      <c r="BE41" s="18">
        <f>IFERROR(_xlfn.STDEV.S('B1'!#REF!,'B2'!#REF!,'B3'!#REF!),0)</f>
        <v>0</v>
      </c>
      <c r="BF41" s="18">
        <f>IFERROR(_xlfn.STDEV.S('B1'!#REF!,'B2'!#REF!,'B3'!#REF!),0)</f>
        <v>0</v>
      </c>
      <c r="BG41" s="18">
        <f>IFERROR(_xlfn.STDEV.S('B1'!#REF!,'B2'!#REF!,'B3'!#REF!),0)</f>
        <v>0</v>
      </c>
      <c r="BH41" s="18">
        <f>IFERROR(_xlfn.STDEV.S('B1'!#REF!,'B2'!#REF!,'B3'!#REF!),0)</f>
        <v>0</v>
      </c>
      <c r="BI41" s="18">
        <f>IFERROR(_xlfn.STDEV.S('B1'!#REF!,'B2'!#REF!,'B3'!#REF!),0)</f>
        <v>0</v>
      </c>
      <c r="BJ41" s="123">
        <f>IFERROR(_xlfn.STDEV.S('B1'!#REF!,'B2'!#REF!,'B3'!#REF!),0)</f>
        <v>0</v>
      </c>
      <c r="BK41" s="123">
        <f>IFERROR(_xlfn.STDEV.S('B1'!#REF!,'B2'!#REF!,'B3'!#REF!),0)</f>
        <v>0</v>
      </c>
      <c r="BL41" s="123">
        <f>IFERROR(_xlfn.STDEV.S('B1'!#REF!,'B2'!#REF!,'B3'!#REF!),0)</f>
        <v>0</v>
      </c>
      <c r="BM41" s="123">
        <f>IFERROR(_xlfn.STDEV.S('B1'!#REF!,'B2'!#REF!,'B3'!#REF!),0)</f>
        <v>0</v>
      </c>
      <c r="BN41" s="123">
        <f>IFERROR(_xlfn.STDEV.S('B1'!#REF!,'B2'!#REF!,'B3'!#REF!),0)</f>
        <v>0</v>
      </c>
      <c r="BO41" s="123">
        <f>IFERROR(_xlfn.STDEV.S('B1'!#REF!,'B2'!#REF!,'B3'!#REF!),0)</f>
        <v>0</v>
      </c>
      <c r="BP41" s="123">
        <f>IFERROR(_xlfn.STDEV.S('B1'!#REF!,'B2'!#REF!,'B3'!#REF!),0)</f>
        <v>0</v>
      </c>
      <c r="BQ41" s="123">
        <f>IFERROR(_xlfn.STDEV.S('B1'!#REF!,'B2'!#REF!,'B3'!#REF!),0)</f>
        <v>0</v>
      </c>
      <c r="BR41" s="123">
        <f>IFERROR(_xlfn.STDEV.S('B1'!#REF!,'B2'!#REF!,'B3'!#REF!),0)</f>
        <v>0</v>
      </c>
      <c r="BS41" s="123">
        <f>IFERROR(_xlfn.STDEV.S('B1'!#REF!,'B2'!#REF!,'B3'!#REF!),0)</f>
        <v>0</v>
      </c>
      <c r="BT41" s="123"/>
      <c r="BU41" s="132">
        <f>IFERROR(_xlfn.STDEV.S('B1'!#REF!,'B2'!#REF!,'B3'!#REF!),0)</f>
        <v>0</v>
      </c>
      <c r="BV41" s="132">
        <f>IFERROR(_xlfn.STDEV.S('B1'!#REF!,'B2'!#REF!,'B3'!#REF!),0)</f>
        <v>0</v>
      </c>
      <c r="BW41" s="132">
        <f>IFERROR(_xlfn.STDEV.S('B1'!#REF!,'B2'!#REF!,'B3'!#REF!),0)</f>
        <v>0</v>
      </c>
      <c r="BX41" s="132">
        <f>IFERROR(_xlfn.STDEV.S('B1'!#REF!,'B2'!#REF!,'B3'!#REF!),0)</f>
        <v>0</v>
      </c>
    </row>
    <row r="42" spans="1:76" s="66" customFormat="1" ht="16" thickBot="1" x14ac:dyDescent="0.4">
      <c r="A42" s="63" t="str">
        <f t="shared" ref="A42:C63" si="18">A10</f>
        <v>22-03-18</v>
      </c>
      <c r="B42" s="74">
        <f t="shared" si="18"/>
        <v>2</v>
      </c>
      <c r="C42" s="41">
        <f t="shared" si="18"/>
        <v>0</v>
      </c>
      <c r="D42" s="123">
        <f>IFERROR(_xlfn.STDEV.S('B1'!D10,'B2'!D10,'B3'!D10),0)</f>
        <v>0</v>
      </c>
      <c r="E42" s="123">
        <f>IFERROR(_xlfn.STDEV.S('B1'!E10,'B2'!E10,'B3'!E10),0)</f>
        <v>0</v>
      </c>
      <c r="F42" s="123">
        <f>IFERROR(_xlfn.STDEV.S('B1'!F10,'B2'!F10,'B3'!F10),0)</f>
        <v>0</v>
      </c>
      <c r="G42" s="123">
        <f>IFERROR(_xlfn.STDEV.S('B1'!G10,'B2'!G10,'B3'!G10),0)</f>
        <v>0</v>
      </c>
      <c r="H42" s="123">
        <f>IFERROR(_xlfn.STDEV.S('B1'!H10,'B2'!H10,'B3'!H10),0)</f>
        <v>0</v>
      </c>
      <c r="I42" s="123">
        <f>IFERROR(_xlfn.STDEV.S('B1'!I10,'B2'!I10,'B3'!I10),0)</f>
        <v>0</v>
      </c>
      <c r="J42" s="123">
        <f>IFERROR(_xlfn.STDEV.S('B1'!J10,'B2'!J10,'B3'!J10),0)</f>
        <v>0</v>
      </c>
      <c r="K42" s="123">
        <f>IFERROR(_xlfn.STDEV.S('B1'!K10,'B2'!K10,'B3'!K10),0)</f>
        <v>0</v>
      </c>
      <c r="L42" s="123">
        <f>IFERROR(_xlfn.STDEV.S('B1'!L10,'B2'!L10,'B3'!L10),0)</f>
        <v>0</v>
      </c>
      <c r="M42" s="123">
        <f>IFERROR(_xlfn.STDEV.S('B1'!M10,'B2'!M10,'B3'!M10),0)</f>
        <v>0</v>
      </c>
      <c r="N42" s="123">
        <f>IFERROR(_xlfn.STDEV.S('B1'!N10,'B2'!N10,'B3'!N10),0)</f>
        <v>0</v>
      </c>
      <c r="O42" s="123">
        <f>IFERROR(_xlfn.STDEV.S('B1'!O10,'B2'!O10,'B3'!O10),0)</f>
        <v>0</v>
      </c>
      <c r="P42" s="123">
        <f>IFERROR(_xlfn.STDEV.S('B1'!P10,'B2'!P10,'B3'!P10),0)</f>
        <v>0</v>
      </c>
      <c r="Q42" s="123">
        <f>IFERROR(_xlfn.STDEV.S('B1'!Q10,'B2'!Q10,'B3'!Q10),0)</f>
        <v>0</v>
      </c>
      <c r="R42" s="123">
        <f>IFERROR(_xlfn.STDEV.S('B1'!R10,'B2'!R10,'B3'!R10),0)</f>
        <v>0</v>
      </c>
      <c r="S42" s="123">
        <f>IFERROR(_xlfn.STDEV.S('B1'!S10,'B2'!S10,'B3'!S10),0)</f>
        <v>0</v>
      </c>
      <c r="T42" s="123">
        <f>IFERROR(_xlfn.STDEV.S('B1'!T10,'B2'!T10,'B3'!T10),0)</f>
        <v>0</v>
      </c>
      <c r="U42" s="123">
        <f>IFERROR(_xlfn.STDEV.S('B1'!U10,'B2'!U10,'B3'!U10),0)</f>
        <v>0</v>
      </c>
      <c r="V42" s="123">
        <f>IFERROR(_xlfn.STDEV.S('B1'!V10,'B2'!V10,'B3'!V10),0)</f>
        <v>0</v>
      </c>
      <c r="W42" s="123">
        <f>IFERROR(_xlfn.STDEV.S('B1'!W10,'B2'!W10,'B3'!W10),0)</f>
        <v>0</v>
      </c>
      <c r="X42" s="123">
        <f>IFERROR(_xlfn.STDEV.S('B1'!X10,'B2'!X10,'B3'!X10),0)</f>
        <v>0</v>
      </c>
      <c r="Y42" s="123">
        <f>IFERROR(_xlfn.STDEV.S('B1'!Y10,'B2'!Y10,'B3'!Y10),0)</f>
        <v>0</v>
      </c>
      <c r="Z42" s="123">
        <f>IFERROR(_xlfn.STDEV.S('B1'!Z10,'B2'!Z10,'B3'!Z10),0)</f>
        <v>0</v>
      </c>
      <c r="AA42" s="123">
        <f>IFERROR(_xlfn.STDEV.S('B1'!AB10,'B2'!AA10,'B3'!AA10),0)</f>
        <v>0</v>
      </c>
      <c r="AB42" s="123">
        <f>IFERROR(_xlfn.STDEV.S('B1'!AC10,'B2'!AB10,'B3'!AB10),0)</f>
        <v>0</v>
      </c>
      <c r="AC42" s="123">
        <f>IFERROR(_xlfn.STDEV.S('B1'!AD10,'B2'!AC10,'B3'!AC10),0)</f>
        <v>0</v>
      </c>
      <c r="AD42" s="123">
        <f>IFERROR(_xlfn.STDEV.S('B1'!AE10,'B2'!AD10,'B3'!AD10),0)</f>
        <v>0</v>
      </c>
      <c r="AE42" s="18">
        <f>IFERROR(_xlfn.STDEV.S('B1'!AF10,'B2'!AE10,'B3'!AE10),0)</f>
        <v>2.6457513110646182E-2</v>
      </c>
      <c r="AF42" s="18">
        <f>IFERROR(_xlfn.STDEV.S('B1'!AG10,'B2'!AF10,'B3'!AF10),0)</f>
        <v>0</v>
      </c>
      <c r="AG42" s="18">
        <f>IFERROR(_xlfn.STDEV.S('B1'!AH10,'B2'!AG10,'B3'!AG10),0)</f>
        <v>0</v>
      </c>
      <c r="AH42" s="18">
        <f>IFERROR(_xlfn.STDEV.S('B1'!AI10,'B2'!AH10,'B3'!AH10),0)</f>
        <v>7.2896177083118232</v>
      </c>
      <c r="AI42" s="18">
        <f>IFERROR(_xlfn.STDEV.S('B1'!AJ10,'B2'!AI10,'B3'!AI10),0)</f>
        <v>0</v>
      </c>
      <c r="AJ42" s="123">
        <f>IFERROR(_xlfn.STDEV.S('B1'!AK10,'B2'!AJ10,'B3'!AJ10),0)</f>
        <v>0</v>
      </c>
      <c r="AK42" s="123">
        <f>IFERROR(_xlfn.STDEV.S('B1'!AL10,'B2'!AK10,'B3'!AK10),0)</f>
        <v>0</v>
      </c>
      <c r="AL42" s="123">
        <f>IFERROR(_xlfn.STDEV.S('B1'!AM10,'B2'!AL10,'B3'!AL10),0)</f>
        <v>0</v>
      </c>
      <c r="AM42" s="123">
        <f>IFERROR(_xlfn.STDEV.S('B1'!AN10,'B2'!AM10,'B3'!AM10),0)</f>
        <v>0</v>
      </c>
      <c r="AN42" s="123">
        <f>IFERROR(_xlfn.STDEV.S('B1'!AO10,'B2'!AN10,'B3'!AN10),0)</f>
        <v>0</v>
      </c>
      <c r="AO42" s="123">
        <f>IFERROR(_xlfn.STDEV.S('B1'!AP10,'B2'!AO10,'B3'!AO10),0)</f>
        <v>0</v>
      </c>
      <c r="AP42" s="174">
        <f>IFERROR(_xlfn.STDEV.S('B1'!AQ10,'B2'!AP10,'B3'!AP10),0)</f>
        <v>0</v>
      </c>
      <c r="AQ42" s="174">
        <f>IFERROR(_xlfn.STDEV.S('B1'!AR10,'B2'!AQ10,'B3'!AQ10),0)</f>
        <v>0</v>
      </c>
      <c r="AR42" s="174">
        <f>IFERROR(_xlfn.STDEV.S('B1'!AS10,'B2'!AR10,'B3'!AR10),0)</f>
        <v>0</v>
      </c>
      <c r="AS42" s="174">
        <f>IFERROR(_xlfn.STDEV.S('B1'!AT10,'B2'!AS10,'B3'!AS10),0)</f>
        <v>0</v>
      </c>
      <c r="AT42" s="174">
        <f>IFERROR(_xlfn.STDEV.S('B1'!AU10,'B2'!AT10,'B3'!AT10),0)</f>
        <v>0</v>
      </c>
      <c r="AU42" s="174">
        <f>IFERROR(_xlfn.STDEV.S('B1'!AV10,'B2'!AU10,'B3'!AU10),0)</f>
        <v>0</v>
      </c>
      <c r="AV42" s="174">
        <f>IFERROR(_xlfn.STDEV.S('B1'!AW10,'B2'!AV10,'B3'!AV10),0)</f>
        <v>0</v>
      </c>
      <c r="AW42" s="174">
        <f>IFERROR(_xlfn.STDEV.S('B1'!AX10,'B2'!AW10,'B3'!AW10),0)</f>
        <v>0</v>
      </c>
      <c r="AX42" s="174">
        <f>IFERROR(_xlfn.STDEV.S('B1'!AY10,'B2'!AX10,'B3'!AX10),0)</f>
        <v>0</v>
      </c>
      <c r="AY42" s="174">
        <f>IFERROR(_xlfn.STDEV.S('B1'!AZ10,'B2'!AY10,'B3'!AY10),0)</f>
        <v>0</v>
      </c>
      <c r="AZ42" s="131">
        <f>IFERROR(_xlfn.STDEV.S('B1'!BA10,'B2'!AZ10,'B3'!AZ10),0)</f>
        <v>0.80923820030104621</v>
      </c>
      <c r="BA42" s="131">
        <f>_xlfn.STDEV.S('B1'!BB10,'B2'!BA10,'B3'!BA10)</f>
        <v>7.2896177083118241E-2</v>
      </c>
      <c r="BB42" s="123">
        <f>IFERROR(_xlfn.STDEV.S('B1'!#REF!,'B2'!#REF!,'B3'!#REF!),0)</f>
        <v>0</v>
      </c>
      <c r="BC42" s="123">
        <f>IFERROR(_xlfn.STDEV.S('B1'!#REF!,'B2'!#REF!,'B3'!#REF!),0)</f>
        <v>0</v>
      </c>
      <c r="BD42" s="18">
        <f>IFERROR(_xlfn.STDEV.S('B1'!#REF!,'B2'!#REF!,'B3'!#REF!),0)</f>
        <v>0</v>
      </c>
      <c r="BE42" s="18">
        <f>IFERROR(_xlfn.STDEV.S('B1'!#REF!,'B2'!#REF!,'B3'!#REF!),0)</f>
        <v>0</v>
      </c>
      <c r="BF42" s="18">
        <f>IFERROR(_xlfn.STDEV.S('B1'!#REF!,'B2'!#REF!,'B3'!#REF!),0)</f>
        <v>0</v>
      </c>
      <c r="BG42" s="18">
        <f>IFERROR(_xlfn.STDEV.S('B1'!#REF!,'B2'!#REF!,'B3'!#REF!),0)</f>
        <v>0</v>
      </c>
      <c r="BH42" s="18">
        <f>IFERROR(_xlfn.STDEV.S('B1'!#REF!,'B2'!#REF!,'B3'!#REF!),0)</f>
        <v>0</v>
      </c>
      <c r="BI42" s="18">
        <f>IFERROR(_xlfn.STDEV.S('B1'!#REF!,'B2'!#REF!,'B3'!#REF!),0)</f>
        <v>0</v>
      </c>
      <c r="BJ42" s="123">
        <f>IFERROR(_xlfn.STDEV.S('B1'!#REF!,'B2'!#REF!,'B3'!#REF!),0)</f>
        <v>0</v>
      </c>
      <c r="BK42" s="123">
        <f>IFERROR(_xlfn.STDEV.S('B1'!#REF!,'B2'!#REF!,'B3'!#REF!),0)</f>
        <v>0</v>
      </c>
      <c r="BL42" s="123">
        <f>IFERROR(_xlfn.STDEV.S('B1'!#REF!,'B2'!#REF!,'B3'!#REF!),0)</f>
        <v>0</v>
      </c>
      <c r="BM42" s="123">
        <f>IFERROR(_xlfn.STDEV.S('B1'!#REF!,'B2'!#REF!,'B3'!#REF!),0)</f>
        <v>0</v>
      </c>
      <c r="BN42" s="123">
        <f>IFERROR(_xlfn.STDEV.S('B1'!#REF!,'B2'!#REF!,'B3'!#REF!),0)</f>
        <v>0</v>
      </c>
      <c r="BO42" s="123">
        <f>IFERROR(_xlfn.STDEV.S('B1'!#REF!,'B2'!#REF!,'B3'!#REF!),0)</f>
        <v>0</v>
      </c>
      <c r="BP42" s="123">
        <f>IFERROR(_xlfn.STDEV.S('B1'!#REF!,'B2'!#REF!,'B3'!#REF!),0)</f>
        <v>0</v>
      </c>
      <c r="BQ42" s="123">
        <f>IFERROR(_xlfn.STDEV.S('B1'!#REF!,'B2'!#REF!,'B3'!#REF!),0)</f>
        <v>0</v>
      </c>
      <c r="BR42" s="123">
        <f>IFERROR(_xlfn.STDEV.S('B1'!#REF!,'B2'!#REF!,'B3'!#REF!),0)</f>
        <v>0</v>
      </c>
      <c r="BS42" s="123">
        <f>IFERROR(_xlfn.STDEV.S('B1'!#REF!,'B2'!#REF!,'B3'!#REF!),0)</f>
        <v>0</v>
      </c>
      <c r="BT42" s="123"/>
      <c r="BU42" s="132">
        <f>IFERROR(_xlfn.STDEV.S('B1'!#REF!,'B2'!#REF!,'B3'!#REF!),0)</f>
        <v>0</v>
      </c>
      <c r="BV42" s="132">
        <f>IFERROR(_xlfn.STDEV.S('B1'!#REF!,'B2'!#REF!,'B3'!#REF!),0)</f>
        <v>0</v>
      </c>
      <c r="BW42" s="132">
        <f>IFERROR(_xlfn.STDEV.S('B1'!#REF!,'B2'!#REF!,'B3'!#REF!),0)</f>
        <v>0</v>
      </c>
      <c r="BX42" s="132">
        <f>IFERROR(_xlfn.STDEV.S('B1'!#REF!,'B2'!#REF!,'B3'!#REF!),0)</f>
        <v>0</v>
      </c>
    </row>
    <row r="43" spans="1:76" s="47" customFormat="1" ht="16" thickBot="1" x14ac:dyDescent="0.4">
      <c r="A43" s="63" t="str">
        <f t="shared" si="18"/>
        <v>23-03-18</v>
      </c>
      <c r="B43" s="74">
        <f t="shared" si="18"/>
        <v>3</v>
      </c>
      <c r="C43" s="41">
        <f t="shared" si="18"/>
        <v>0</v>
      </c>
      <c r="D43" s="123">
        <f>IFERROR(_xlfn.STDEV.S('B1'!D11,'B2'!D11,'B3'!D11),0)</f>
        <v>0</v>
      </c>
      <c r="E43" s="123">
        <f>IFERROR(_xlfn.STDEV.S('B1'!E11,'B2'!E11,'B3'!E11),0)</f>
        <v>0</v>
      </c>
      <c r="F43" s="123">
        <f>IFERROR(_xlfn.STDEV.S('B1'!F11,'B2'!F11,'B3'!F11),0)</f>
        <v>0</v>
      </c>
      <c r="G43" s="123">
        <f>IFERROR(_xlfn.STDEV.S('B1'!G11,'B2'!G11,'B3'!G11),0)</f>
        <v>0</v>
      </c>
      <c r="H43" s="123">
        <f>IFERROR(_xlfn.STDEV.S('B1'!H11,'B2'!H11,'B3'!H11),0)</f>
        <v>0</v>
      </c>
      <c r="I43" s="123">
        <f>IFERROR(_xlfn.STDEV.S('B1'!I11,'B2'!I11,'B3'!I11),0)</f>
        <v>0</v>
      </c>
      <c r="J43" s="123">
        <f>IFERROR(_xlfn.STDEV.S('B1'!J11,'B2'!J11,'B3'!J11),0)</f>
        <v>0</v>
      </c>
      <c r="K43" s="123">
        <f>IFERROR(_xlfn.STDEV.S('B1'!K11,'B2'!K11,'B3'!K11),0)</f>
        <v>0</v>
      </c>
      <c r="L43" s="123">
        <f>IFERROR(_xlfn.STDEV.S('B1'!L11,'B2'!L11,'B3'!L11),0)</f>
        <v>0</v>
      </c>
      <c r="M43" s="123">
        <f>IFERROR(_xlfn.STDEV.S('B1'!M11,'B2'!M11,'B3'!M11),0)</f>
        <v>0</v>
      </c>
      <c r="N43" s="123">
        <f>IFERROR(_xlfn.STDEV.S('B1'!N11,'B2'!N11,'B3'!N11),0)</f>
        <v>0</v>
      </c>
      <c r="O43" s="123">
        <f>IFERROR(_xlfn.STDEV.S('B1'!O11,'B2'!O11,'B3'!O11),0)</f>
        <v>0</v>
      </c>
      <c r="P43" s="123">
        <f>IFERROR(_xlfn.STDEV.S('B1'!P11,'B2'!P11,'B3'!P11),0)</f>
        <v>0</v>
      </c>
      <c r="Q43" s="123">
        <f>IFERROR(_xlfn.STDEV.S('B1'!Q11,'B2'!Q11,'B3'!Q11),0)</f>
        <v>0</v>
      </c>
      <c r="R43" s="123">
        <f>IFERROR(_xlfn.STDEV.S('B1'!R11,'B2'!R11,'B3'!R11),0)</f>
        <v>0</v>
      </c>
      <c r="S43" s="123">
        <f>IFERROR(_xlfn.STDEV.S('B1'!S11,'B2'!S11,'B3'!S11),0)</f>
        <v>0</v>
      </c>
      <c r="T43" s="123">
        <f>IFERROR(_xlfn.STDEV.S('B1'!T11,'B2'!T11,'B3'!T11),0)</f>
        <v>0</v>
      </c>
      <c r="U43" s="123">
        <f>IFERROR(_xlfn.STDEV.S('B1'!U11,'B2'!U11,'B3'!U11),0)</f>
        <v>0</v>
      </c>
      <c r="V43" s="123">
        <f>IFERROR(_xlfn.STDEV.S('B1'!V11,'B2'!V11,'B3'!V11),0)</f>
        <v>0</v>
      </c>
      <c r="W43" s="123">
        <f>IFERROR(_xlfn.STDEV.S('B1'!W11,'B2'!W11,'B3'!W11),0)</f>
        <v>0</v>
      </c>
      <c r="X43" s="123">
        <f>IFERROR(_xlfn.STDEV.S('B1'!X11,'B2'!X11,'B3'!X11),0)</f>
        <v>0</v>
      </c>
      <c r="Y43" s="123">
        <f>IFERROR(_xlfn.STDEV.S('B1'!Y11,'B2'!Y11,'B3'!Y11),0)</f>
        <v>0</v>
      </c>
      <c r="Z43" s="123">
        <f>IFERROR(_xlfn.STDEV.S('B1'!Z11,'B2'!Z11,'B3'!Z11),0)</f>
        <v>0</v>
      </c>
      <c r="AA43" s="123">
        <f>IFERROR(_xlfn.STDEV.S('B1'!AB11,'B2'!AA11,'B3'!AA11),0)</f>
        <v>0</v>
      </c>
      <c r="AB43" s="123">
        <f>IFERROR(_xlfn.STDEV.S('B1'!AC11,'B2'!AB11,'B3'!AB11),0)</f>
        <v>0</v>
      </c>
      <c r="AC43" s="123">
        <f>IFERROR(_xlfn.STDEV.S('B1'!AD11,'B2'!AC11,'B3'!AC11),0)</f>
        <v>0</v>
      </c>
      <c r="AD43" s="123">
        <f>IFERROR(_xlfn.STDEV.S('B1'!AE11,'B2'!AD11,'B3'!AD11),0)</f>
        <v>0</v>
      </c>
      <c r="AE43" s="18">
        <f>IFERROR(_xlfn.STDEV.S('B1'!AF11,'B2'!AE11,'B3'!AE11),0)</f>
        <v>0.14106735979665855</v>
      </c>
      <c r="AF43" s="18">
        <f>IFERROR(_xlfn.STDEV.S('B1'!AG11,'B2'!AF11,'B3'!AF11),0)</f>
        <v>0</v>
      </c>
      <c r="AG43" s="18">
        <f>IFERROR(_xlfn.STDEV.S('B1'!AH11,'B2'!AG11,'B3'!AG11),0)</f>
        <v>0</v>
      </c>
      <c r="AH43" s="18">
        <f>IFERROR(_xlfn.STDEV.S('B1'!AI11,'B2'!AH11,'B3'!AH11),0)</f>
        <v>6.0258443391777057</v>
      </c>
      <c r="AI43" s="18">
        <f>IFERROR(_xlfn.STDEV.S('B1'!AJ11,'B2'!AI11,'B3'!AI11),0)</f>
        <v>0</v>
      </c>
      <c r="AJ43" s="123">
        <f>IFERROR(_xlfn.STDEV.S('B1'!AK11,'B2'!AJ11,'B3'!AJ11),0)</f>
        <v>0</v>
      </c>
      <c r="AK43" s="123">
        <f>IFERROR(_xlfn.STDEV.S('B1'!AL11,'B2'!AK11,'B3'!AK11),0)</f>
        <v>0</v>
      </c>
      <c r="AL43" s="123">
        <f>IFERROR(_xlfn.STDEV.S('B1'!AM11,'B2'!AL11,'B3'!AL11),0)</f>
        <v>0</v>
      </c>
      <c r="AM43" s="123">
        <f>IFERROR(_xlfn.STDEV.S('B1'!AN11,'B2'!AM11,'B3'!AM11),0)</f>
        <v>0</v>
      </c>
      <c r="AN43" s="123">
        <f>IFERROR(_xlfn.STDEV.S('B1'!AO11,'B2'!AN11,'B3'!AN11),0)</f>
        <v>0</v>
      </c>
      <c r="AO43" s="123">
        <f>IFERROR(_xlfn.STDEV.S('B1'!AP11,'B2'!AO11,'B3'!AO11),0)</f>
        <v>0</v>
      </c>
      <c r="AP43" s="174">
        <f>IFERROR(_xlfn.STDEV.S('B1'!AQ11,'B2'!AP11,'B3'!AP11),0)</f>
        <v>0</v>
      </c>
      <c r="AQ43" s="174">
        <f>IFERROR(_xlfn.STDEV.S('B1'!AR11,'B2'!AQ11,'B3'!AQ11),0)</f>
        <v>0</v>
      </c>
      <c r="AR43" s="174">
        <f>IFERROR(_xlfn.STDEV.S('B1'!AS11,'B2'!AR11,'B3'!AR11),0)</f>
        <v>0</v>
      </c>
      <c r="AS43" s="174">
        <f>IFERROR(_xlfn.STDEV.S('B1'!AT11,'B2'!AS11,'B3'!AS11),0)</f>
        <v>0</v>
      </c>
      <c r="AT43" s="174">
        <f>IFERROR(_xlfn.STDEV.S('B1'!AU11,'B2'!AT11,'B3'!AT11),0)</f>
        <v>0</v>
      </c>
      <c r="AU43" s="174">
        <f>IFERROR(_xlfn.STDEV.S('B1'!AV11,'B2'!AU11,'B3'!AU11),0)</f>
        <v>0</v>
      </c>
      <c r="AV43" s="174">
        <f>IFERROR(_xlfn.STDEV.S('B1'!AW11,'B2'!AV11,'B3'!AV11),0)</f>
        <v>0</v>
      </c>
      <c r="AW43" s="174">
        <f>IFERROR(_xlfn.STDEV.S('B1'!AX11,'B2'!AW11,'B3'!AW11),0)</f>
        <v>0</v>
      </c>
      <c r="AX43" s="174">
        <f>IFERROR(_xlfn.STDEV.S('B1'!AY11,'B2'!AX11,'B3'!AX11),0)</f>
        <v>0</v>
      </c>
      <c r="AY43" s="174">
        <f>IFERROR(_xlfn.STDEV.S('B1'!AZ11,'B2'!AY11,'B3'!AY11),0)</f>
        <v>0</v>
      </c>
      <c r="AZ43" s="131">
        <f>IFERROR(_xlfn.STDEV.S('B1'!BA11,'B2'!AZ11,'B3'!AZ11),0)</f>
        <v>0.66894364333677914</v>
      </c>
      <c r="BA43" s="131">
        <f>_xlfn.STDEV.S('B1'!BB11,'B2'!BA11,'B3'!BA11)</f>
        <v>6.0258443391777099E-2</v>
      </c>
      <c r="BB43" s="123">
        <f>IFERROR(_xlfn.STDEV.S('B1'!#REF!,'B2'!#REF!,'B3'!#REF!),0)</f>
        <v>0</v>
      </c>
      <c r="BC43" s="123">
        <f>IFERROR(_xlfn.STDEV.S('B1'!#REF!,'B2'!#REF!,'B3'!#REF!),0)</f>
        <v>0</v>
      </c>
      <c r="BD43" s="18">
        <f>IFERROR(_xlfn.STDEV.S('B1'!#REF!,'B2'!#REF!,'B3'!#REF!),0)</f>
        <v>0</v>
      </c>
      <c r="BE43" s="18">
        <f>IFERROR(_xlfn.STDEV.S('B1'!#REF!,'B2'!#REF!,'B3'!#REF!),0)</f>
        <v>0</v>
      </c>
      <c r="BF43" s="18">
        <f>IFERROR(_xlfn.STDEV.S('B1'!#REF!,'B2'!#REF!,'B3'!#REF!),0)</f>
        <v>0</v>
      </c>
      <c r="BG43" s="18">
        <f>IFERROR(_xlfn.STDEV.S('B1'!#REF!,'B2'!#REF!,'B3'!#REF!),0)</f>
        <v>0</v>
      </c>
      <c r="BH43" s="18">
        <f>IFERROR(_xlfn.STDEV.S('B1'!#REF!,'B2'!#REF!,'B3'!#REF!),0)</f>
        <v>0</v>
      </c>
      <c r="BI43" s="18">
        <f>IFERROR(_xlfn.STDEV.S('B1'!#REF!,'B2'!#REF!,'B3'!#REF!),0)</f>
        <v>0</v>
      </c>
      <c r="BJ43" s="123">
        <f>IFERROR(_xlfn.STDEV.S('B1'!#REF!,'B2'!#REF!,'B3'!#REF!),0)</f>
        <v>0</v>
      </c>
      <c r="BK43" s="123">
        <f>IFERROR(_xlfn.STDEV.S('B1'!#REF!,'B2'!#REF!,'B3'!#REF!),0)</f>
        <v>0</v>
      </c>
      <c r="BL43" s="123">
        <f>IFERROR(_xlfn.STDEV.S('B1'!#REF!,'B2'!#REF!,'B3'!#REF!),0)</f>
        <v>0</v>
      </c>
      <c r="BM43" s="123">
        <f>IFERROR(_xlfn.STDEV.S('B1'!#REF!,'B2'!#REF!,'B3'!#REF!),0)</f>
        <v>0</v>
      </c>
      <c r="BN43" s="123">
        <f>IFERROR(_xlfn.STDEV.S('B1'!#REF!,'B2'!#REF!,'B3'!#REF!),0)</f>
        <v>0</v>
      </c>
      <c r="BO43" s="123">
        <f>IFERROR(_xlfn.STDEV.S('B1'!#REF!,'B2'!#REF!,'B3'!#REF!),0)</f>
        <v>0</v>
      </c>
      <c r="BP43" s="123">
        <f>IFERROR(_xlfn.STDEV.S('B1'!#REF!,'B2'!#REF!,'B3'!#REF!),0)</f>
        <v>0</v>
      </c>
      <c r="BQ43" s="123">
        <f>IFERROR(_xlfn.STDEV.S('B1'!#REF!,'B2'!#REF!,'B3'!#REF!),0)</f>
        <v>0</v>
      </c>
      <c r="BR43" s="123">
        <f>IFERROR(_xlfn.STDEV.S('B1'!#REF!,'B2'!#REF!,'B3'!#REF!),0)</f>
        <v>0</v>
      </c>
      <c r="BS43" s="123">
        <f>IFERROR(_xlfn.STDEV.S('B1'!#REF!,'B2'!#REF!,'B3'!#REF!),0)</f>
        <v>0</v>
      </c>
      <c r="BT43" s="123"/>
      <c r="BU43" s="132">
        <f>IFERROR(_xlfn.STDEV.S('B1'!#REF!,'B2'!#REF!,'B3'!#REF!),0)</f>
        <v>0</v>
      </c>
      <c r="BV43" s="132">
        <f>IFERROR(_xlfn.STDEV.S('B1'!#REF!,'B2'!#REF!,'B3'!#REF!),0)</f>
        <v>0</v>
      </c>
      <c r="BW43" s="132">
        <f>IFERROR(_xlfn.STDEV.S('B1'!#REF!,'B2'!#REF!,'B3'!#REF!),0)</f>
        <v>0</v>
      </c>
      <c r="BX43" s="132">
        <f>IFERROR(_xlfn.STDEV.S('B1'!#REF!,'B2'!#REF!,'B3'!#REF!),0)</f>
        <v>0</v>
      </c>
    </row>
    <row r="44" spans="1:76" s="66" customFormat="1" ht="16" thickBot="1" x14ac:dyDescent="0.4">
      <c r="A44" s="63" t="str">
        <f t="shared" si="18"/>
        <v>26-03-18</v>
      </c>
      <c r="B44" s="74">
        <f t="shared" si="18"/>
        <v>6</v>
      </c>
      <c r="C44" s="41">
        <f t="shared" si="18"/>
        <v>0</v>
      </c>
      <c r="D44" s="123">
        <f>IFERROR(_xlfn.STDEV.S('B1'!D12,'B2'!D12,'B3'!D12),0)</f>
        <v>0</v>
      </c>
      <c r="E44" s="123">
        <f>IFERROR(_xlfn.STDEV.S('B1'!E12,'B2'!E12,'B3'!E12),0)</f>
        <v>0</v>
      </c>
      <c r="F44" s="123">
        <f>IFERROR(_xlfn.STDEV.S('B1'!F12,'B2'!F12,'B3'!F12),0)</f>
        <v>0</v>
      </c>
      <c r="G44" s="123">
        <f>IFERROR(_xlfn.STDEV.S('B1'!G12,'B2'!G12,'B3'!G12),0)</f>
        <v>0</v>
      </c>
      <c r="H44" s="123">
        <f>IFERROR(_xlfn.STDEV.S('B1'!H12,'B2'!H12,'B3'!H12),0)</f>
        <v>0</v>
      </c>
      <c r="I44" s="123">
        <f>IFERROR(_xlfn.STDEV.S('B1'!I12,'B2'!I12,'B3'!I12),0)</f>
        <v>0</v>
      </c>
      <c r="J44" s="123">
        <f>IFERROR(_xlfn.STDEV.S('B1'!J12,'B2'!J12,'B3'!J12),0)</f>
        <v>0</v>
      </c>
      <c r="K44" s="123">
        <f>IFERROR(_xlfn.STDEV.S('B1'!K12,'B2'!K12,'B3'!K12),0)</f>
        <v>0</v>
      </c>
      <c r="L44" s="123">
        <f>IFERROR(_xlfn.STDEV.S('B1'!L12,'B2'!L12,'B3'!L12),0)</f>
        <v>0</v>
      </c>
      <c r="M44" s="123">
        <f>IFERROR(_xlfn.STDEV.S('B1'!M12,'B2'!M12,'B3'!M12),0)</f>
        <v>0</v>
      </c>
      <c r="N44" s="123">
        <f>IFERROR(_xlfn.STDEV.S('B1'!N12,'B2'!N12,'B3'!N12),0)</f>
        <v>0</v>
      </c>
      <c r="O44" s="123">
        <f>IFERROR(_xlfn.STDEV.S('B1'!O12,'B2'!O12,'B3'!O12),0)</f>
        <v>0</v>
      </c>
      <c r="P44" s="123">
        <f>IFERROR(_xlfn.STDEV.S('B1'!P12,'B2'!P12,'B3'!P12),0)</f>
        <v>0</v>
      </c>
      <c r="Q44" s="123">
        <f>IFERROR(_xlfn.STDEV.S('B1'!Q12,'B2'!Q12,'B3'!Q12),0)</f>
        <v>0</v>
      </c>
      <c r="R44" s="123">
        <f>IFERROR(_xlfn.STDEV.S('B1'!R12,'B2'!R12,'B3'!R12),0)</f>
        <v>0</v>
      </c>
      <c r="S44" s="123">
        <f>IFERROR(_xlfn.STDEV.S('B1'!S12,'B2'!S12,'B3'!S12),0)</f>
        <v>0</v>
      </c>
      <c r="T44" s="123">
        <f>IFERROR(_xlfn.STDEV.S('B1'!T12,'B2'!T12,'B3'!T12),0)</f>
        <v>0</v>
      </c>
      <c r="U44" s="123">
        <f>IFERROR(_xlfn.STDEV.S('B1'!U12,'B2'!U12,'B3'!U12),0)</f>
        <v>0</v>
      </c>
      <c r="V44" s="123">
        <f>IFERROR(_xlfn.STDEV.S('B1'!V12,'B2'!V12,'B3'!V12),0)</f>
        <v>0</v>
      </c>
      <c r="W44" s="123">
        <f>IFERROR(_xlfn.STDEV.S('B1'!W12,'B2'!W12,'B3'!W12),0)</f>
        <v>0</v>
      </c>
      <c r="X44" s="123">
        <f>IFERROR(_xlfn.STDEV.S('B1'!X12,'B2'!X12,'B3'!X12),0)</f>
        <v>0</v>
      </c>
      <c r="Y44" s="123">
        <f>IFERROR(_xlfn.STDEV.S('B1'!Y12,'B2'!Y12,'B3'!Y12),0)</f>
        <v>0</v>
      </c>
      <c r="Z44" s="123">
        <f>IFERROR(_xlfn.STDEV.S('B1'!Z12,'B2'!Z12,'B3'!Z12),0)</f>
        <v>0</v>
      </c>
      <c r="AA44" s="123">
        <f>IFERROR(_xlfn.STDEV.S('B1'!AB12,'B2'!AA12,'B3'!AA12),0)</f>
        <v>0</v>
      </c>
      <c r="AB44" s="123">
        <f>IFERROR(_xlfn.STDEV.S('B1'!AC12,'B2'!AB12,'B3'!AB12),0)</f>
        <v>0</v>
      </c>
      <c r="AC44" s="123">
        <f>IFERROR(_xlfn.STDEV.S('B1'!AD12,'B2'!AC12,'B3'!AC12),0)</f>
        <v>0</v>
      </c>
      <c r="AD44" s="123">
        <f>IFERROR(_xlfn.STDEV.S('B1'!AE12,'B2'!AD12,'B3'!AD12),0)</f>
        <v>0</v>
      </c>
      <c r="AE44" s="18">
        <f>IFERROR(_xlfn.STDEV.S('B1'!AF12,'B2'!AE12,'B3'!AE12),0)</f>
        <v>0.10115993936995682</v>
      </c>
      <c r="AF44" s="18">
        <f>IFERROR(_xlfn.STDEV.S('B1'!AG12,'B2'!AF12,'B3'!AF12),0)</f>
        <v>0</v>
      </c>
      <c r="AG44" s="18">
        <f>IFERROR(_xlfn.STDEV.S('B1'!AH12,'B2'!AG12,'B3'!AG12),0)</f>
        <v>0</v>
      </c>
      <c r="AH44" s="18">
        <f>IFERROR(_xlfn.STDEV.S('B1'!AI12,'B2'!AH12,'B3'!AH12),0)</f>
        <v>0.54606227972030208</v>
      </c>
      <c r="AI44" s="18">
        <f>IFERROR(_xlfn.STDEV.S('B1'!AJ12,'B2'!AI12,'B3'!AI12),0)</f>
        <v>0</v>
      </c>
      <c r="AJ44" s="123">
        <f>IFERROR(_xlfn.STDEV.S('B1'!AK12,'B2'!AJ12,'B3'!AJ12),0)</f>
        <v>0</v>
      </c>
      <c r="AK44" s="123">
        <f>IFERROR(_xlfn.STDEV.S('B1'!AL12,'B2'!AK12,'B3'!AK12),0)</f>
        <v>0</v>
      </c>
      <c r="AL44" s="123">
        <f>IFERROR(_xlfn.STDEV.S('B1'!AM12,'B2'!AL12,'B3'!AL12),0)</f>
        <v>0</v>
      </c>
      <c r="AM44" s="123">
        <f>IFERROR(_xlfn.STDEV.S('B1'!AN12,'B2'!AM12,'B3'!AM12),0)</f>
        <v>0</v>
      </c>
      <c r="AN44" s="123">
        <f>IFERROR(_xlfn.STDEV.S('B1'!AO12,'B2'!AN12,'B3'!AN12),0)</f>
        <v>0</v>
      </c>
      <c r="AO44" s="123">
        <f>IFERROR(_xlfn.STDEV.S('B1'!AP12,'B2'!AO12,'B3'!AO12),0)</f>
        <v>0</v>
      </c>
      <c r="AP44" s="174">
        <f>IFERROR(_xlfn.STDEV.S('B1'!AQ12,'B2'!AP12,'B3'!AP12),0)</f>
        <v>0</v>
      </c>
      <c r="AQ44" s="174">
        <f>IFERROR(_xlfn.STDEV.S('B1'!AR12,'B2'!AQ12,'B3'!AQ12),0)</f>
        <v>0</v>
      </c>
      <c r="AR44" s="174">
        <f>IFERROR(_xlfn.STDEV.S('B1'!AS12,'B2'!AR12,'B3'!AR12),0)</f>
        <v>0</v>
      </c>
      <c r="AS44" s="174">
        <f>IFERROR(_xlfn.STDEV.S('B1'!AT12,'B2'!AS12,'B3'!AS12),0)</f>
        <v>0</v>
      </c>
      <c r="AT44" s="174">
        <f>IFERROR(_xlfn.STDEV.S('B1'!AU12,'B2'!AT12,'B3'!AT12),0)</f>
        <v>0</v>
      </c>
      <c r="AU44" s="174">
        <f>IFERROR(_xlfn.STDEV.S('B1'!AV12,'B2'!AU12,'B3'!AU12),0)</f>
        <v>0</v>
      </c>
      <c r="AV44" s="174">
        <f>IFERROR(_xlfn.STDEV.S('B1'!AW12,'B2'!AV12,'B3'!AV12),0)</f>
        <v>0</v>
      </c>
      <c r="AW44" s="174">
        <f>IFERROR(_xlfn.STDEV.S('B1'!AX12,'B2'!AW12,'B3'!AW12),0)</f>
        <v>0</v>
      </c>
      <c r="AX44" s="174">
        <f>IFERROR(_xlfn.STDEV.S('B1'!AY12,'B2'!AX12,'B3'!AX12),0)</f>
        <v>0</v>
      </c>
      <c r="AY44" s="174">
        <f>IFERROR(_xlfn.STDEV.S('B1'!AZ12,'B2'!AY12,'B3'!AY12),0)</f>
        <v>0</v>
      </c>
      <c r="AZ44" s="131">
        <f>IFERROR(_xlfn.STDEV.S('B1'!BA12,'B2'!AZ12,'B3'!AZ12),0)</f>
        <v>0.60619702455628566</v>
      </c>
      <c r="BA44" s="131">
        <f>_xlfn.STDEV.S('B1'!BB12,'B2'!BA12,'B3'!BA12)</f>
        <v>5.4606227972030276E-2</v>
      </c>
      <c r="BB44" s="123">
        <f>IFERROR(_xlfn.STDEV.S('B1'!#REF!,'B2'!#REF!,'B3'!#REF!),0)</f>
        <v>0</v>
      </c>
      <c r="BC44" s="123">
        <f>IFERROR(_xlfn.STDEV.S('B1'!#REF!,'B2'!#REF!,'B3'!#REF!),0)</f>
        <v>0</v>
      </c>
      <c r="BD44" s="18">
        <f>IFERROR(_xlfn.STDEV.S('B1'!#REF!,'B2'!#REF!,'B3'!#REF!),0)</f>
        <v>0</v>
      </c>
      <c r="BE44" s="18">
        <f>IFERROR(_xlfn.STDEV.S('B1'!#REF!,'B2'!#REF!,'B3'!#REF!),0)</f>
        <v>0</v>
      </c>
      <c r="BF44" s="18">
        <f>IFERROR(_xlfn.STDEV.S('B1'!#REF!,'B2'!#REF!,'B3'!#REF!),0)</f>
        <v>0</v>
      </c>
      <c r="BG44" s="18">
        <f>IFERROR(_xlfn.STDEV.S('B1'!#REF!,'B2'!#REF!,'B3'!#REF!),0)</f>
        <v>0</v>
      </c>
      <c r="BH44" s="18">
        <f>IFERROR(_xlfn.STDEV.S('B1'!#REF!,'B2'!#REF!,'B3'!#REF!),0)</f>
        <v>0</v>
      </c>
      <c r="BI44" s="18">
        <f>IFERROR(_xlfn.STDEV.S('B1'!#REF!,'B2'!#REF!,'B3'!#REF!),0)</f>
        <v>0</v>
      </c>
      <c r="BJ44" s="123">
        <f>IFERROR(_xlfn.STDEV.S('B1'!#REF!,'B2'!#REF!,'B3'!#REF!),0)</f>
        <v>0</v>
      </c>
      <c r="BK44" s="123">
        <f>IFERROR(_xlfn.STDEV.S('B1'!#REF!,'B2'!#REF!,'B3'!#REF!),0)</f>
        <v>0</v>
      </c>
      <c r="BL44" s="123">
        <f>IFERROR(_xlfn.STDEV.S('B1'!#REF!,'B2'!#REF!,'B3'!#REF!),0)</f>
        <v>0</v>
      </c>
      <c r="BM44" s="123">
        <f>IFERROR(_xlfn.STDEV.S('B1'!#REF!,'B2'!#REF!,'B3'!#REF!),0)</f>
        <v>0</v>
      </c>
      <c r="BN44" s="123">
        <f>IFERROR(_xlfn.STDEV.S('B1'!#REF!,'B2'!#REF!,'B3'!#REF!),0)</f>
        <v>0</v>
      </c>
      <c r="BO44" s="123">
        <f>IFERROR(_xlfn.STDEV.S('B1'!#REF!,'B2'!#REF!,'B3'!#REF!),0)</f>
        <v>0</v>
      </c>
      <c r="BP44" s="123">
        <f>IFERROR(_xlfn.STDEV.S('B1'!#REF!,'B2'!#REF!,'B3'!#REF!),0)</f>
        <v>0</v>
      </c>
      <c r="BQ44" s="123">
        <f>IFERROR(_xlfn.STDEV.S('B1'!#REF!,'B2'!#REF!,'B3'!#REF!),0)</f>
        <v>0</v>
      </c>
      <c r="BR44" s="123">
        <f>IFERROR(_xlfn.STDEV.S('B1'!#REF!,'B2'!#REF!,'B3'!#REF!),0)</f>
        <v>0</v>
      </c>
      <c r="BS44" s="123">
        <f>IFERROR(_xlfn.STDEV.S('B1'!#REF!,'B2'!#REF!,'B3'!#REF!),0)</f>
        <v>0</v>
      </c>
      <c r="BT44" s="123"/>
      <c r="BU44" s="132">
        <f>IFERROR(_xlfn.STDEV.S('B1'!#REF!,'B2'!#REF!,'B3'!#REF!),0)</f>
        <v>0</v>
      </c>
      <c r="BV44" s="132">
        <f>IFERROR(_xlfn.STDEV.S('B1'!#REF!,'B2'!#REF!,'B3'!#REF!),0)</f>
        <v>0</v>
      </c>
      <c r="BW44" s="132">
        <f>IFERROR(_xlfn.STDEV.S('B1'!#REF!,'B2'!#REF!,'B3'!#REF!),0)</f>
        <v>0</v>
      </c>
      <c r="BX44" s="132">
        <f>IFERROR(_xlfn.STDEV.S('B1'!#REF!,'B2'!#REF!,'B3'!#REF!),0)</f>
        <v>0</v>
      </c>
    </row>
    <row r="45" spans="1:76" s="47" customFormat="1" ht="16" thickBot="1" x14ac:dyDescent="0.4">
      <c r="A45" s="63" t="str">
        <f t="shared" si="18"/>
        <v>29-03-18</v>
      </c>
      <c r="B45" s="74">
        <f t="shared" si="18"/>
        <v>9</v>
      </c>
      <c r="C45" s="41">
        <f t="shared" si="18"/>
        <v>0</v>
      </c>
      <c r="D45" s="123">
        <f>IFERROR(_xlfn.STDEV.S('B1'!D13,'B2'!D13,'B3'!D13),0)</f>
        <v>0</v>
      </c>
      <c r="E45" s="123">
        <f>IFERROR(_xlfn.STDEV.S('B1'!E13,'B2'!E13,'B3'!E13),0)</f>
        <v>0</v>
      </c>
      <c r="F45" s="123">
        <f>IFERROR(_xlfn.STDEV.S('B1'!F13,'B2'!F13,'B3'!F13),0)</f>
        <v>0</v>
      </c>
      <c r="G45" s="123">
        <f>IFERROR(_xlfn.STDEV.S('B1'!G13,'B2'!G13,'B3'!G13),0)</f>
        <v>0</v>
      </c>
      <c r="H45" s="123">
        <f>IFERROR(_xlfn.STDEV.S('B1'!H13,'B2'!H13,'B3'!H13),0)</f>
        <v>0</v>
      </c>
      <c r="I45" s="123">
        <f>IFERROR(_xlfn.STDEV.S('B1'!I13,'B2'!I13,'B3'!I13),0)</f>
        <v>0</v>
      </c>
      <c r="J45" s="123">
        <f>IFERROR(_xlfn.STDEV.S('B1'!J13,'B2'!J13,'B3'!J13),0)</f>
        <v>0</v>
      </c>
      <c r="K45" s="123">
        <f>IFERROR(_xlfn.STDEV.S('B1'!K13,'B2'!K13,'B3'!K13),0)</f>
        <v>0</v>
      </c>
      <c r="L45" s="123">
        <f>IFERROR(_xlfn.STDEV.S('B1'!L13,'B2'!L13,'B3'!L13),0)</f>
        <v>0</v>
      </c>
      <c r="M45" s="123">
        <f>IFERROR(_xlfn.STDEV.S('B1'!M13,'B2'!M13,'B3'!M13),0)</f>
        <v>0</v>
      </c>
      <c r="N45" s="123">
        <f>IFERROR(_xlfn.STDEV.S('B1'!N13,'B2'!N13,'B3'!N13),0)</f>
        <v>0</v>
      </c>
      <c r="O45" s="123">
        <f>IFERROR(_xlfn.STDEV.S('B1'!O13,'B2'!O13,'B3'!O13),0)</f>
        <v>0</v>
      </c>
      <c r="P45" s="123">
        <f>IFERROR(_xlfn.STDEV.S('B1'!P13,'B2'!P13,'B3'!P13),0)</f>
        <v>0</v>
      </c>
      <c r="Q45" s="123">
        <f>IFERROR(_xlfn.STDEV.S('B1'!Q13,'B2'!Q13,'B3'!Q13),0)</f>
        <v>0</v>
      </c>
      <c r="R45" s="123">
        <f>IFERROR(_xlfn.STDEV.S('B1'!R13,'B2'!R13,'B3'!R13),0)</f>
        <v>0</v>
      </c>
      <c r="S45" s="123">
        <f>IFERROR(_xlfn.STDEV.S('B1'!S13,'B2'!S13,'B3'!S13),0)</f>
        <v>0</v>
      </c>
      <c r="T45" s="123">
        <f>IFERROR(_xlfn.STDEV.S('B1'!T13,'B2'!T13,'B3'!T13),0)</f>
        <v>0</v>
      </c>
      <c r="U45" s="123">
        <f>IFERROR(_xlfn.STDEV.S('B1'!U13,'B2'!U13,'B3'!U13),0)</f>
        <v>0</v>
      </c>
      <c r="V45" s="123">
        <f>IFERROR(_xlfn.STDEV.S('B1'!V13,'B2'!V13,'B3'!V13),0)</f>
        <v>0</v>
      </c>
      <c r="W45" s="123">
        <f>IFERROR(_xlfn.STDEV.S('B1'!W13,'B2'!W13,'B3'!W13),0)</f>
        <v>0</v>
      </c>
      <c r="X45" s="123">
        <f>IFERROR(_xlfn.STDEV.S('B1'!X13,'B2'!X13,'B3'!X13),0)</f>
        <v>0</v>
      </c>
      <c r="Y45" s="123">
        <f>IFERROR(_xlfn.STDEV.S('B1'!Y13,'B2'!Y13,'B3'!Y13),0)</f>
        <v>0</v>
      </c>
      <c r="Z45" s="123">
        <f>IFERROR(_xlfn.STDEV.S('B1'!Z13,'B2'!Z13,'B3'!Z13),0)</f>
        <v>0</v>
      </c>
      <c r="AA45" s="123">
        <f>IFERROR(_xlfn.STDEV.S('B1'!AB13,'B2'!AA13,'B3'!AA13),0)</f>
        <v>0</v>
      </c>
      <c r="AB45" s="123">
        <f>IFERROR(_xlfn.STDEV.S('B1'!AC13,'B2'!AB13,'B3'!AB13),0)</f>
        <v>0</v>
      </c>
      <c r="AC45" s="123">
        <f>IFERROR(_xlfn.STDEV.S('B1'!AD13,'B2'!AC13,'B3'!AC13),0)</f>
        <v>0</v>
      </c>
      <c r="AD45" s="123">
        <f>IFERROR(_xlfn.STDEV.S('B1'!AE13,'B2'!AD13,'B3'!AD13),0)</f>
        <v>0</v>
      </c>
      <c r="AE45" s="18">
        <f>IFERROR(_xlfn.STDEV.S('B1'!AF13,'B2'!AE13,'B3'!AE13),0)</f>
        <v>7.0945988845975957E-2</v>
      </c>
      <c r="AF45" s="18">
        <f>IFERROR(_xlfn.STDEV.S('B1'!AG13,'B2'!AF13,'B3'!AF13),0)</f>
        <v>0</v>
      </c>
      <c r="AG45" s="18">
        <f>IFERROR(_xlfn.STDEV.S('B1'!AH13,'B2'!AG13,'B3'!AG13),0)</f>
        <v>0</v>
      </c>
      <c r="AH45" s="18">
        <f>IFERROR(_xlfn.STDEV.S('B1'!AI13,'B2'!AH13,'B3'!AH13),0)</f>
        <v>5.9058498092992497</v>
      </c>
      <c r="AI45" s="18">
        <f>IFERROR(_xlfn.STDEV.S('B1'!AJ13,'B2'!AI13,'B3'!AI13),0)</f>
        <v>0</v>
      </c>
      <c r="AJ45" s="123">
        <f>IFERROR(_xlfn.STDEV.S('B1'!AK13,'B2'!AJ13,'B3'!AJ13),0)</f>
        <v>0</v>
      </c>
      <c r="AK45" s="123">
        <f>IFERROR(_xlfn.STDEV.S('B1'!AL13,'B2'!AK13,'B3'!AK13),0)</f>
        <v>0</v>
      </c>
      <c r="AL45" s="123">
        <f>IFERROR(_xlfn.STDEV.S('B1'!AM13,'B2'!AL13,'B3'!AL13),0)</f>
        <v>0</v>
      </c>
      <c r="AM45" s="123">
        <f>IFERROR(_xlfn.STDEV.S('B1'!AN13,'B2'!AM13,'B3'!AM13),0)</f>
        <v>0</v>
      </c>
      <c r="AN45" s="123">
        <f>IFERROR(_xlfn.STDEV.S('B1'!AO13,'B2'!AN13,'B3'!AN13),0)</f>
        <v>0</v>
      </c>
      <c r="AO45" s="123">
        <f>IFERROR(_xlfn.STDEV.S('B1'!AP13,'B2'!AO13,'B3'!AO13),0)</f>
        <v>0</v>
      </c>
      <c r="AP45" s="174">
        <f>IFERROR(_xlfn.STDEV.S('B1'!AQ13,'B2'!AP13,'B3'!AP13),0)</f>
        <v>0</v>
      </c>
      <c r="AQ45" s="174">
        <f>IFERROR(_xlfn.STDEV.S('B1'!AR13,'B2'!AQ13,'B3'!AQ13),0)</f>
        <v>0</v>
      </c>
      <c r="AR45" s="174">
        <f>IFERROR(_xlfn.STDEV.S('B1'!AS13,'B2'!AR13,'B3'!AR13),0)</f>
        <v>0</v>
      </c>
      <c r="AS45" s="174">
        <f>IFERROR(_xlfn.STDEV.S('B1'!AT13,'B2'!AS13,'B3'!AS13),0)</f>
        <v>0</v>
      </c>
      <c r="AT45" s="174">
        <f>IFERROR(_xlfn.STDEV.S('B1'!AU13,'B2'!AT13,'B3'!AT13),0)</f>
        <v>0</v>
      </c>
      <c r="AU45" s="174">
        <f>IFERROR(_xlfn.STDEV.S('B1'!AV13,'B2'!AU13,'B3'!AU13),0)</f>
        <v>0</v>
      </c>
      <c r="AV45" s="174">
        <f>IFERROR(_xlfn.STDEV.S('B1'!AW13,'B2'!AV13,'B3'!AV13),0)</f>
        <v>0</v>
      </c>
      <c r="AW45" s="174">
        <f>IFERROR(_xlfn.STDEV.S('B1'!AX13,'B2'!AW13,'B3'!AW13),0)</f>
        <v>0</v>
      </c>
      <c r="AX45" s="174">
        <f>IFERROR(_xlfn.STDEV.S('B1'!AY13,'B2'!AX13,'B3'!AX13),0)</f>
        <v>0</v>
      </c>
      <c r="AY45" s="174">
        <f>IFERROR(_xlfn.STDEV.S('B1'!AZ13,'B2'!AY13,'B3'!AY13),0)</f>
        <v>0</v>
      </c>
      <c r="AZ45" s="131">
        <f>IFERROR(_xlfn.STDEV.S('B1'!BA13,'B2'!AZ13,'B3'!AZ13),0)</f>
        <v>6.5562275858117767</v>
      </c>
      <c r="BA45" s="131">
        <f>_xlfn.STDEV.S('B1'!BB13,'B2'!BA13,'B3'!BA13)</f>
        <v>0.59058498092992517</v>
      </c>
      <c r="BB45" s="123">
        <f>IFERROR(_xlfn.STDEV.S('B1'!#REF!,'B2'!#REF!,'B3'!#REF!),0)</f>
        <v>0</v>
      </c>
      <c r="BC45" s="123">
        <f>IFERROR(_xlfn.STDEV.S('B1'!#REF!,'B2'!#REF!,'B3'!#REF!),0)</f>
        <v>0</v>
      </c>
      <c r="BD45" s="18">
        <f>IFERROR(_xlfn.STDEV.S('B1'!#REF!,'B2'!#REF!,'B3'!#REF!),0)</f>
        <v>0</v>
      </c>
      <c r="BE45" s="18">
        <f>IFERROR(_xlfn.STDEV.S('B1'!#REF!,'B2'!#REF!,'B3'!#REF!),0)</f>
        <v>0</v>
      </c>
      <c r="BF45" s="18">
        <f>IFERROR(_xlfn.STDEV.S('B1'!#REF!,'B2'!#REF!,'B3'!#REF!),0)</f>
        <v>0</v>
      </c>
      <c r="BG45" s="18">
        <f>IFERROR(_xlfn.STDEV.S('B1'!#REF!,'B2'!#REF!,'B3'!#REF!),0)</f>
        <v>0</v>
      </c>
      <c r="BH45" s="18">
        <f>IFERROR(_xlfn.STDEV.S('B1'!#REF!,'B2'!#REF!,'B3'!#REF!),0)</f>
        <v>0</v>
      </c>
      <c r="BI45" s="18">
        <f>IFERROR(_xlfn.STDEV.S('B1'!#REF!,'B2'!#REF!,'B3'!#REF!),0)</f>
        <v>0</v>
      </c>
      <c r="BJ45" s="123">
        <f>IFERROR(_xlfn.STDEV.S('B1'!#REF!,'B2'!#REF!,'B3'!#REF!),0)</f>
        <v>0</v>
      </c>
      <c r="BK45" s="123">
        <f>IFERROR(_xlfn.STDEV.S('B1'!#REF!,'B2'!#REF!,'B3'!#REF!),0)</f>
        <v>0</v>
      </c>
      <c r="BL45" s="123">
        <f>IFERROR(_xlfn.STDEV.S('B1'!#REF!,'B2'!#REF!,'B3'!#REF!),0)</f>
        <v>0</v>
      </c>
      <c r="BM45" s="123">
        <f>IFERROR(_xlfn.STDEV.S('B1'!#REF!,'B2'!#REF!,'B3'!#REF!),0)</f>
        <v>0</v>
      </c>
      <c r="BN45" s="123">
        <f>IFERROR(_xlfn.STDEV.S('B1'!#REF!,'B2'!#REF!,'B3'!#REF!),0)</f>
        <v>0</v>
      </c>
      <c r="BO45" s="123">
        <f>IFERROR(_xlfn.STDEV.S('B1'!#REF!,'B2'!#REF!,'B3'!#REF!),0)</f>
        <v>0</v>
      </c>
      <c r="BP45" s="123">
        <f>IFERROR(_xlfn.STDEV.S('B1'!#REF!,'B2'!#REF!,'B3'!#REF!),0)</f>
        <v>0</v>
      </c>
      <c r="BQ45" s="123">
        <f>IFERROR(_xlfn.STDEV.S('B1'!#REF!,'B2'!#REF!,'B3'!#REF!),0)</f>
        <v>0</v>
      </c>
      <c r="BR45" s="123">
        <f>IFERROR(_xlfn.STDEV.S('B1'!#REF!,'B2'!#REF!,'B3'!#REF!),0)</f>
        <v>0</v>
      </c>
      <c r="BS45" s="123">
        <f>IFERROR(_xlfn.STDEV.S('B1'!#REF!,'B2'!#REF!,'B3'!#REF!),0)</f>
        <v>0</v>
      </c>
      <c r="BT45" s="123"/>
      <c r="BU45" s="132">
        <f>IFERROR(_xlfn.STDEV.S('B1'!#REF!,'B2'!#REF!,'B3'!#REF!),0)</f>
        <v>0</v>
      </c>
      <c r="BV45" s="132">
        <f>IFERROR(_xlfn.STDEV.S('B1'!#REF!,'B2'!#REF!,'B3'!#REF!),0)</f>
        <v>0</v>
      </c>
      <c r="BW45" s="132">
        <f>IFERROR(_xlfn.STDEV.S('B1'!#REF!,'B2'!#REF!,'B3'!#REF!),0)</f>
        <v>0</v>
      </c>
      <c r="BX45" s="132">
        <f>IFERROR(_xlfn.STDEV.S('B1'!#REF!,'B2'!#REF!,'B3'!#REF!),0)</f>
        <v>0</v>
      </c>
    </row>
    <row r="46" spans="1:76" s="66" customFormat="1" ht="16" thickBot="1" x14ac:dyDescent="0.4">
      <c r="A46" s="63">
        <f t="shared" si="18"/>
        <v>43163</v>
      </c>
      <c r="B46" s="74">
        <f t="shared" si="18"/>
        <v>15</v>
      </c>
      <c r="C46" s="41">
        <f t="shared" si="18"/>
        <v>0</v>
      </c>
      <c r="D46" s="123">
        <f>IFERROR(_xlfn.STDEV.S('B1'!D14,'B2'!D14,'B3'!D14),0)</f>
        <v>0</v>
      </c>
      <c r="E46" s="123">
        <f>IFERROR(_xlfn.STDEV.S('B1'!E14,'B2'!E14,'B3'!E14),0)</f>
        <v>0</v>
      </c>
      <c r="F46" s="123">
        <f>IFERROR(_xlfn.STDEV.S('B1'!F14,'B2'!F14,'B3'!F14),0)</f>
        <v>0</v>
      </c>
      <c r="G46" s="123">
        <f>IFERROR(_xlfn.STDEV.S('B1'!G14,'B2'!G14,'B3'!G14),0)</f>
        <v>0</v>
      </c>
      <c r="H46" s="123">
        <f>IFERROR(_xlfn.STDEV.S('B1'!H14,'B2'!H14,'B3'!H14),0)</f>
        <v>0</v>
      </c>
      <c r="I46" s="123">
        <f>IFERROR(_xlfn.STDEV.S('B1'!I14,'B2'!I14,'B3'!I14),0)</f>
        <v>0</v>
      </c>
      <c r="J46" s="123">
        <f>IFERROR(_xlfn.STDEV.S('B1'!J14,'B2'!J14,'B3'!J14),0)</f>
        <v>0</v>
      </c>
      <c r="K46" s="123">
        <f>IFERROR(_xlfn.STDEV.S('B1'!K14,'B2'!K14,'B3'!K14),0)</f>
        <v>0</v>
      </c>
      <c r="L46" s="123">
        <f>IFERROR(_xlfn.STDEV.S('B1'!L14,'B2'!L14,'B3'!L14),0)</f>
        <v>0</v>
      </c>
      <c r="M46" s="123">
        <f>IFERROR(_xlfn.STDEV.S('B1'!M14,'B2'!M14,'B3'!M14),0)</f>
        <v>0</v>
      </c>
      <c r="N46" s="123">
        <f>IFERROR(_xlfn.STDEV.S('B1'!N14,'B2'!N14,'B3'!N14),0)</f>
        <v>0</v>
      </c>
      <c r="O46" s="123">
        <f>IFERROR(_xlfn.STDEV.S('B1'!O14,'B2'!O14,'B3'!O14),0)</f>
        <v>0</v>
      </c>
      <c r="P46" s="123">
        <f>IFERROR(_xlfn.STDEV.S('B1'!P14,'B2'!P14,'B3'!P14),0)</f>
        <v>0</v>
      </c>
      <c r="Q46" s="123">
        <f>IFERROR(_xlfn.STDEV.S('B1'!Q14,'B2'!Q14,'B3'!Q14),0)</f>
        <v>0</v>
      </c>
      <c r="R46" s="123">
        <f>IFERROR(_xlfn.STDEV.S('B1'!R14,'B2'!R14,'B3'!R14),0)</f>
        <v>0</v>
      </c>
      <c r="S46" s="123">
        <f>IFERROR(_xlfn.STDEV.S('B1'!S14,'B2'!S14,'B3'!S14),0)</f>
        <v>0</v>
      </c>
      <c r="T46" s="123">
        <f>IFERROR(_xlfn.STDEV.S('B1'!T14,'B2'!T14,'B3'!T14),0)</f>
        <v>0</v>
      </c>
      <c r="U46" s="123">
        <f>IFERROR(_xlfn.STDEV.S('B1'!U14,'B2'!U14,'B3'!U14),0)</f>
        <v>0</v>
      </c>
      <c r="V46" s="123">
        <f>IFERROR(_xlfn.STDEV.S('B1'!V14,'B2'!V14,'B3'!V14),0)</f>
        <v>0</v>
      </c>
      <c r="W46" s="123">
        <f>IFERROR(_xlfn.STDEV.S('B1'!W14,'B2'!W14,'B3'!W14),0)</f>
        <v>0</v>
      </c>
      <c r="X46" s="123">
        <f>IFERROR(_xlfn.STDEV.S('B1'!X14,'B2'!X14,'B3'!X14),0)</f>
        <v>0</v>
      </c>
      <c r="Y46" s="123">
        <f>IFERROR(_xlfn.STDEV.S('B1'!Y14,'B2'!Y14,'B3'!Y14),0)</f>
        <v>0</v>
      </c>
      <c r="Z46" s="123">
        <f>IFERROR(_xlfn.STDEV.S('B1'!Z14,'B2'!Z14,'B3'!Z14),0)</f>
        <v>0</v>
      </c>
      <c r="AA46" s="123">
        <f>IFERROR(_xlfn.STDEV.S('B1'!AB14,'B2'!AA14,'B3'!AA14),0)</f>
        <v>0</v>
      </c>
      <c r="AB46" s="123">
        <f>IFERROR(_xlfn.STDEV.S('B1'!AC14,'B2'!AB14,'B3'!AB14),0)</f>
        <v>0</v>
      </c>
      <c r="AC46" s="123">
        <f>IFERROR(_xlfn.STDEV.S('B1'!AD14,'B2'!AC14,'B3'!AC14),0)</f>
        <v>0</v>
      </c>
      <c r="AD46" s="123">
        <f>IFERROR(_xlfn.STDEV.S('B1'!AE14,'B2'!AD14,'B3'!AD14),0)</f>
        <v>0</v>
      </c>
      <c r="AE46" s="18">
        <f>IFERROR(_xlfn.STDEV.S('B1'!AF14,'B2'!AE14,'B3'!AE14),0)</f>
        <v>6.5574385243019964E-2</v>
      </c>
      <c r="AF46" s="18">
        <f>IFERROR(_xlfn.STDEV.S('B1'!AG14,'B2'!AF14,'B3'!AF14),0)</f>
        <v>0</v>
      </c>
      <c r="AG46" s="18">
        <f>IFERROR(_xlfn.STDEV.S('B1'!AH14,'B2'!AG14,'B3'!AG14),0)</f>
        <v>0</v>
      </c>
      <c r="AH46" s="18">
        <f>IFERROR(_xlfn.STDEV.S('B1'!AI14,'B2'!AH14,'B3'!AH14),0)</f>
        <v>6.0929918105421192</v>
      </c>
      <c r="AI46" s="18">
        <f>IFERROR(_xlfn.STDEV.S('B1'!AJ14,'B2'!AI14,'B3'!AI14),0)</f>
        <v>0</v>
      </c>
      <c r="AJ46" s="123">
        <f>IFERROR(_xlfn.STDEV.S('B1'!AK14,'B2'!AJ14,'B3'!AJ14),0)</f>
        <v>0</v>
      </c>
      <c r="AK46" s="123">
        <f>IFERROR(_xlfn.STDEV.S('B1'!AL14,'B2'!AK14,'B3'!AK14),0)</f>
        <v>0</v>
      </c>
      <c r="AL46" s="123">
        <f>IFERROR(_xlfn.STDEV.S('B1'!AM14,'B2'!AL14,'B3'!AL14),0)</f>
        <v>0</v>
      </c>
      <c r="AM46" s="123">
        <f>IFERROR(_xlfn.STDEV.S('B1'!AN14,'B2'!AM14,'B3'!AM14),0)</f>
        <v>0</v>
      </c>
      <c r="AN46" s="123">
        <f>IFERROR(_xlfn.STDEV.S('B1'!AO14,'B2'!AN14,'B3'!AN14),0)</f>
        <v>0</v>
      </c>
      <c r="AO46" s="123">
        <f>IFERROR(_xlfn.STDEV.S('B1'!AP14,'B2'!AO14,'B3'!AO14),0)</f>
        <v>0</v>
      </c>
      <c r="AP46" s="174">
        <f>IFERROR(_xlfn.STDEV.S('B1'!AQ14,'B2'!AP14,'B3'!AP14),0)</f>
        <v>0</v>
      </c>
      <c r="AQ46" s="174">
        <f>IFERROR(_xlfn.STDEV.S('B1'!AR14,'B2'!AQ14,'B3'!AQ14),0)</f>
        <v>0</v>
      </c>
      <c r="AR46" s="174">
        <f>IFERROR(_xlfn.STDEV.S('B1'!AS14,'B2'!AR14,'B3'!AR14),0)</f>
        <v>0</v>
      </c>
      <c r="AS46" s="174">
        <f>IFERROR(_xlfn.STDEV.S('B1'!AT14,'B2'!AS14,'B3'!AS14),0)</f>
        <v>0</v>
      </c>
      <c r="AT46" s="174">
        <f>IFERROR(_xlfn.STDEV.S('B1'!AU14,'B2'!AT14,'B3'!AT14),0)</f>
        <v>0</v>
      </c>
      <c r="AU46" s="174">
        <f>IFERROR(_xlfn.STDEV.S('B1'!AV14,'B2'!AU14,'B3'!AU14),0)</f>
        <v>0</v>
      </c>
      <c r="AV46" s="174">
        <f>IFERROR(_xlfn.STDEV.S('B1'!AW14,'B2'!AV14,'B3'!AV14),0)</f>
        <v>0</v>
      </c>
      <c r="AW46" s="174">
        <f>IFERROR(_xlfn.STDEV.S('B1'!AX14,'B2'!AW14,'B3'!AW14),0)</f>
        <v>0</v>
      </c>
      <c r="AX46" s="174">
        <f>IFERROR(_xlfn.STDEV.S('B1'!AY14,'B2'!AX14,'B3'!AX14),0)</f>
        <v>0</v>
      </c>
      <c r="AY46" s="174">
        <f>IFERROR(_xlfn.STDEV.S('B1'!AZ14,'B2'!AY14,'B3'!AY14),0)</f>
        <v>0</v>
      </c>
      <c r="AZ46" s="131">
        <f>IFERROR(_xlfn.STDEV.S('B1'!BA14,'B2'!AZ14,'B3'!AZ14),0)</f>
        <v>13.52795695058197</v>
      </c>
      <c r="BA46" s="131">
        <f>_xlfn.STDEV.S('B1'!BB14,'B2'!BA14,'B3'!BA14)</f>
        <v>1.2185983621084238</v>
      </c>
      <c r="BB46" s="123">
        <f>IFERROR(_xlfn.STDEV.S('B1'!#REF!,'B2'!#REF!,'B3'!#REF!),0)</f>
        <v>0</v>
      </c>
      <c r="BC46" s="123">
        <f>IFERROR(_xlfn.STDEV.S('B1'!#REF!,'B2'!#REF!,'B3'!#REF!),0)</f>
        <v>0</v>
      </c>
      <c r="BD46" s="18">
        <f>IFERROR(_xlfn.STDEV.S('B1'!#REF!,'B2'!#REF!,'B3'!#REF!),0)</f>
        <v>0</v>
      </c>
      <c r="BE46" s="18">
        <f>IFERROR(_xlfn.STDEV.S('B1'!#REF!,'B2'!#REF!,'B3'!#REF!),0)</f>
        <v>0</v>
      </c>
      <c r="BF46" s="18">
        <f>IFERROR(_xlfn.STDEV.S('B1'!#REF!,'B2'!#REF!,'B3'!#REF!),0)</f>
        <v>0</v>
      </c>
      <c r="BG46" s="18">
        <f>IFERROR(_xlfn.STDEV.S('B1'!#REF!,'B2'!#REF!,'B3'!#REF!),0)</f>
        <v>0</v>
      </c>
      <c r="BH46" s="18">
        <f>IFERROR(_xlfn.STDEV.S('B1'!#REF!,'B2'!#REF!,'B3'!#REF!),0)</f>
        <v>0</v>
      </c>
      <c r="BI46" s="18">
        <f>IFERROR(_xlfn.STDEV.S('B1'!#REF!,'B2'!#REF!,'B3'!#REF!),0)</f>
        <v>0</v>
      </c>
      <c r="BJ46" s="123">
        <f>IFERROR(_xlfn.STDEV.S('B1'!#REF!,'B2'!#REF!,'B3'!#REF!),0)</f>
        <v>0</v>
      </c>
      <c r="BK46" s="123">
        <f>IFERROR(_xlfn.STDEV.S('B1'!#REF!,'B2'!#REF!,'B3'!#REF!),0)</f>
        <v>0</v>
      </c>
      <c r="BL46" s="123">
        <f>IFERROR(_xlfn.STDEV.S('B1'!#REF!,'B2'!#REF!,'B3'!#REF!),0)</f>
        <v>0</v>
      </c>
      <c r="BM46" s="123">
        <f>IFERROR(_xlfn.STDEV.S('B1'!#REF!,'B2'!#REF!,'B3'!#REF!),0)</f>
        <v>0</v>
      </c>
      <c r="BN46" s="123">
        <f>IFERROR(_xlfn.STDEV.S('B1'!#REF!,'B2'!#REF!,'B3'!#REF!),0)</f>
        <v>0</v>
      </c>
      <c r="BO46" s="123">
        <f>IFERROR(_xlfn.STDEV.S('B1'!#REF!,'B2'!#REF!,'B3'!#REF!),0)</f>
        <v>0</v>
      </c>
      <c r="BP46" s="123">
        <f>IFERROR(_xlfn.STDEV.S('B1'!#REF!,'B2'!#REF!,'B3'!#REF!),0)</f>
        <v>0</v>
      </c>
      <c r="BQ46" s="123">
        <f>IFERROR(_xlfn.STDEV.S('B1'!#REF!,'B2'!#REF!,'B3'!#REF!),0)</f>
        <v>0</v>
      </c>
      <c r="BR46" s="123">
        <f>IFERROR(_xlfn.STDEV.S('B1'!#REF!,'B2'!#REF!,'B3'!#REF!),0)</f>
        <v>0</v>
      </c>
      <c r="BS46" s="123">
        <f>IFERROR(_xlfn.STDEV.S('B1'!#REF!,'B2'!#REF!,'B3'!#REF!),0)</f>
        <v>0</v>
      </c>
      <c r="BT46" s="123"/>
      <c r="BU46" s="132">
        <f>IFERROR(_xlfn.STDEV.S('B1'!#REF!,'B2'!#REF!,'B3'!#REF!),0)</f>
        <v>0</v>
      </c>
      <c r="BV46" s="132">
        <f>IFERROR(_xlfn.STDEV.S('B1'!#REF!,'B2'!#REF!,'B3'!#REF!),0)</f>
        <v>0</v>
      </c>
      <c r="BW46" s="132">
        <f>IFERROR(_xlfn.STDEV.S('B1'!#REF!,'B2'!#REF!,'B3'!#REF!),0)</f>
        <v>0</v>
      </c>
      <c r="BX46" s="132">
        <f>IFERROR(_xlfn.STDEV.S('B1'!#REF!,'B2'!#REF!,'B3'!#REF!),0)</f>
        <v>0</v>
      </c>
    </row>
    <row r="47" spans="1:76" s="47" customFormat="1" ht="16" thickBot="1" x14ac:dyDescent="0.4">
      <c r="A47" s="63">
        <f t="shared" si="18"/>
        <v>43347</v>
      </c>
      <c r="B47" s="74">
        <f t="shared" si="18"/>
        <v>21</v>
      </c>
      <c r="C47" s="41">
        <f t="shared" si="18"/>
        <v>0</v>
      </c>
      <c r="D47" s="123">
        <f>IFERROR(_xlfn.STDEV.S('B1'!D15,'B2'!D15,'B3'!D15),0)</f>
        <v>0</v>
      </c>
      <c r="E47" s="123">
        <f>IFERROR(_xlfn.STDEV.S('B1'!E15,'B2'!E15,'B3'!E15),0)</f>
        <v>0</v>
      </c>
      <c r="F47" s="123">
        <f>IFERROR(_xlfn.STDEV.S('B1'!F15,'B2'!F15,'B3'!F15),0)</f>
        <v>0</v>
      </c>
      <c r="G47" s="123">
        <f>IFERROR(_xlfn.STDEV.S('B1'!G15,'B2'!G15,'B3'!G15),0)</f>
        <v>0</v>
      </c>
      <c r="H47" s="123">
        <f>IFERROR(_xlfn.STDEV.S('B1'!H15,'B2'!H15,'B3'!H15),0)</f>
        <v>0</v>
      </c>
      <c r="I47" s="123">
        <f>IFERROR(_xlfn.STDEV.S('B1'!I15,'B2'!I15,'B3'!I15),0)</f>
        <v>0</v>
      </c>
      <c r="J47" s="123">
        <f>IFERROR(_xlfn.STDEV.S('B1'!J15,'B2'!J15,'B3'!J15),0)</f>
        <v>0</v>
      </c>
      <c r="K47" s="123">
        <f>IFERROR(_xlfn.STDEV.S('B1'!K15,'B2'!K15,'B3'!K15),0)</f>
        <v>0</v>
      </c>
      <c r="L47" s="123">
        <f>IFERROR(_xlfn.STDEV.S('B1'!L15,'B2'!L15,'B3'!L15),0)</f>
        <v>0</v>
      </c>
      <c r="M47" s="123">
        <f>IFERROR(_xlfn.STDEV.S('B1'!M15,'B2'!M15,'B3'!M15),0)</f>
        <v>0</v>
      </c>
      <c r="N47" s="123">
        <f>IFERROR(_xlfn.STDEV.S('B1'!N15,'B2'!N15,'B3'!N15),0)</f>
        <v>0</v>
      </c>
      <c r="O47" s="123">
        <f>IFERROR(_xlfn.STDEV.S('B1'!O15,'B2'!O15,'B3'!O15),0)</f>
        <v>0</v>
      </c>
      <c r="P47" s="123">
        <f>IFERROR(_xlfn.STDEV.S('B1'!P15,'B2'!P15,'B3'!P15),0)</f>
        <v>0</v>
      </c>
      <c r="Q47" s="123">
        <f>IFERROR(_xlfn.STDEV.S('B1'!Q15,'B2'!Q15,'B3'!Q15),0)</f>
        <v>0</v>
      </c>
      <c r="R47" s="123">
        <f>IFERROR(_xlfn.STDEV.S('B1'!R15,'B2'!R15,'B3'!R15),0)</f>
        <v>0</v>
      </c>
      <c r="S47" s="123">
        <f>IFERROR(_xlfn.STDEV.S('B1'!S15,'B2'!S15,'B3'!S15),0)</f>
        <v>0</v>
      </c>
      <c r="T47" s="123">
        <f>IFERROR(_xlfn.STDEV.S('B1'!T15,'B2'!T15,'B3'!T15),0)</f>
        <v>0</v>
      </c>
      <c r="U47" s="123">
        <f>IFERROR(_xlfn.STDEV.S('B1'!U15,'B2'!U15,'B3'!U15),0)</f>
        <v>0</v>
      </c>
      <c r="V47" s="123">
        <f>IFERROR(_xlfn.STDEV.S('B1'!V15,'B2'!V15,'B3'!V15),0)</f>
        <v>0</v>
      </c>
      <c r="W47" s="123">
        <f>IFERROR(_xlfn.STDEV.S('B1'!W15,'B2'!W15,'B3'!W15),0)</f>
        <v>0</v>
      </c>
      <c r="X47" s="123">
        <f>IFERROR(_xlfn.STDEV.S('B1'!X15,'B2'!X15,'B3'!X15),0)</f>
        <v>0</v>
      </c>
      <c r="Y47" s="123">
        <f>IFERROR(_xlfn.STDEV.S('B1'!Y15,'B2'!Y15,'B3'!Y15),0)</f>
        <v>0</v>
      </c>
      <c r="Z47" s="123">
        <f>IFERROR(_xlfn.STDEV.S('B1'!Z15,'B2'!Z15,'B3'!Z15),0)</f>
        <v>0</v>
      </c>
      <c r="AA47" s="123">
        <f>IFERROR(_xlfn.STDEV.S('B1'!AB15,'B2'!AA15,'B3'!AA15),0)</f>
        <v>0</v>
      </c>
      <c r="AB47" s="123">
        <f>IFERROR(_xlfn.STDEV.S('B1'!AC15,'B2'!AB15,'B3'!AB15),0)</f>
        <v>0</v>
      </c>
      <c r="AC47" s="123">
        <f>IFERROR(_xlfn.STDEV.S('B1'!AD15,'B2'!AC15,'B3'!AC15),0)</f>
        <v>0</v>
      </c>
      <c r="AD47" s="123">
        <f>IFERROR(_xlfn.STDEV.S('B1'!AE15,'B2'!AD15,'B3'!AD15),0)</f>
        <v>0</v>
      </c>
      <c r="AE47" s="18">
        <f>IFERROR(_xlfn.STDEV.S('B1'!AF15,'B2'!AE15,'B3'!AE15),0)</f>
        <v>3.5118845842842389E-2</v>
      </c>
      <c r="AF47" s="18">
        <f>IFERROR(_xlfn.STDEV.S('B1'!AG15,'B2'!AF15,'B3'!AF15),0)</f>
        <v>115.47005383792516</v>
      </c>
      <c r="AG47" s="18">
        <f>IFERROR(_xlfn.STDEV.S('B1'!AH15,'B2'!AG15,'B3'!AG15),0)</f>
        <v>0</v>
      </c>
      <c r="AH47" s="18">
        <f>IFERROR(_xlfn.STDEV.S('B1'!AI15,'B2'!AH15,'B3'!AH15),0)</f>
        <v>102.57656181279106</v>
      </c>
      <c r="AI47" s="18">
        <f>IFERROR(_xlfn.STDEV.S('B1'!AJ15,'B2'!AI15,'B3'!AI15),0)</f>
        <v>0</v>
      </c>
      <c r="AJ47" s="123">
        <f>IFERROR(_xlfn.STDEV.S('B1'!AK15,'B2'!AJ15,'B3'!AJ15),0)</f>
        <v>0</v>
      </c>
      <c r="AK47" s="123">
        <f>IFERROR(_xlfn.STDEV.S('B1'!AL15,'B2'!AK15,'B3'!AK15),0)</f>
        <v>0</v>
      </c>
      <c r="AL47" s="123">
        <f>IFERROR(_xlfn.STDEV.S('B1'!AM15,'B2'!AL15,'B3'!AL15),0)</f>
        <v>0</v>
      </c>
      <c r="AM47" s="123">
        <f>IFERROR(_xlfn.STDEV.S('B1'!AN15,'B2'!AM15,'B3'!AM15),0)</f>
        <v>0</v>
      </c>
      <c r="AN47" s="123">
        <f>IFERROR(_xlfn.STDEV.S('B1'!AO15,'B2'!AN15,'B3'!AN15),0)</f>
        <v>0</v>
      </c>
      <c r="AO47" s="123">
        <f>IFERROR(_xlfn.STDEV.S('B1'!AP15,'B2'!AO15,'B3'!AO15),0)</f>
        <v>0</v>
      </c>
      <c r="AP47" s="174">
        <f>IFERROR(_xlfn.STDEV.S('B1'!AQ15,'B2'!AP15,'B3'!AP15),0)</f>
        <v>0</v>
      </c>
      <c r="AQ47" s="174">
        <f>IFERROR(_xlfn.STDEV.S('B1'!AR15,'B2'!AQ15,'B3'!AQ15),0)</f>
        <v>0</v>
      </c>
      <c r="AR47" s="174">
        <f>IFERROR(_xlfn.STDEV.S('B1'!AS15,'B2'!AR15,'B3'!AR15),0)</f>
        <v>0</v>
      </c>
      <c r="AS47" s="174">
        <f>IFERROR(_xlfn.STDEV.S('B1'!AT15,'B2'!AS15,'B3'!AS15),0)</f>
        <v>0</v>
      </c>
      <c r="AT47" s="174">
        <f>IFERROR(_xlfn.STDEV.S('B1'!AU15,'B2'!AT15,'B3'!AT15),0)</f>
        <v>0</v>
      </c>
      <c r="AU47" s="174">
        <f>IFERROR(_xlfn.STDEV.S('B1'!AV15,'B2'!AU15,'B3'!AU15),0)</f>
        <v>0</v>
      </c>
      <c r="AV47" s="174">
        <f>IFERROR(_xlfn.STDEV.S('B1'!AW15,'B2'!AV15,'B3'!AV15),0)</f>
        <v>0</v>
      </c>
      <c r="AW47" s="174">
        <f>IFERROR(_xlfn.STDEV.S('B1'!AX15,'B2'!AW15,'B3'!AW15),0)</f>
        <v>0</v>
      </c>
      <c r="AX47" s="174">
        <f>IFERROR(_xlfn.STDEV.S('B1'!AY15,'B2'!AX15,'B3'!AX15),0)</f>
        <v>0</v>
      </c>
      <c r="AY47" s="174">
        <f>IFERROR(_xlfn.STDEV.S('B1'!AZ15,'B2'!AY15,'B3'!AY15),0)</f>
        <v>0</v>
      </c>
      <c r="AZ47" s="131">
        <f>IFERROR(_xlfn.STDEV.S('B1'!BA15,'B2'!AZ15,'B3'!AZ15),0)</f>
        <v>26.832847248795442</v>
      </c>
      <c r="BA47" s="131">
        <f>_xlfn.STDEV.S('B1'!BB15,'B2'!BA15,'B3'!BA15)</f>
        <v>2.4171028801714924</v>
      </c>
      <c r="BB47" s="123">
        <f>IFERROR(_xlfn.STDEV.S('B1'!#REF!,'B2'!#REF!,'B3'!#REF!),0)</f>
        <v>0</v>
      </c>
      <c r="BC47" s="123">
        <f>IFERROR(_xlfn.STDEV.S('B1'!#REF!,'B2'!#REF!,'B3'!#REF!),0)</f>
        <v>0</v>
      </c>
      <c r="BD47" s="18">
        <f>IFERROR(_xlfn.STDEV.S('B1'!#REF!,'B2'!#REF!,'B3'!#REF!),0)</f>
        <v>0</v>
      </c>
      <c r="BE47" s="18">
        <f>IFERROR(_xlfn.STDEV.S('B1'!#REF!,'B2'!#REF!,'B3'!#REF!),0)</f>
        <v>0</v>
      </c>
      <c r="BF47" s="18">
        <f>IFERROR(_xlfn.STDEV.S('B1'!#REF!,'B2'!#REF!,'B3'!#REF!),0)</f>
        <v>0</v>
      </c>
      <c r="BG47" s="18">
        <f>IFERROR(_xlfn.STDEV.S('B1'!#REF!,'B2'!#REF!,'B3'!#REF!),0)</f>
        <v>0</v>
      </c>
      <c r="BH47" s="18">
        <f>IFERROR(_xlfn.STDEV.S('B1'!#REF!,'B2'!#REF!,'B3'!#REF!),0)</f>
        <v>0</v>
      </c>
      <c r="BI47" s="18">
        <f>IFERROR(_xlfn.STDEV.S('B1'!#REF!,'B2'!#REF!,'B3'!#REF!),0)</f>
        <v>0</v>
      </c>
      <c r="BJ47" s="123">
        <f>IFERROR(_xlfn.STDEV.S('B1'!#REF!,'B2'!#REF!,'B3'!#REF!),0)</f>
        <v>0</v>
      </c>
      <c r="BK47" s="123">
        <f>IFERROR(_xlfn.STDEV.S('B1'!#REF!,'B2'!#REF!,'B3'!#REF!),0)</f>
        <v>0</v>
      </c>
      <c r="BL47" s="123">
        <f>IFERROR(_xlfn.STDEV.S('B1'!#REF!,'B2'!#REF!,'B3'!#REF!),0)</f>
        <v>0</v>
      </c>
      <c r="BM47" s="123">
        <f>IFERROR(_xlfn.STDEV.S('B1'!#REF!,'B2'!#REF!,'B3'!#REF!),0)</f>
        <v>0</v>
      </c>
      <c r="BN47" s="123">
        <f>IFERROR(_xlfn.STDEV.S('B1'!#REF!,'B2'!#REF!,'B3'!#REF!),0)</f>
        <v>0</v>
      </c>
      <c r="BO47" s="123">
        <f>IFERROR(_xlfn.STDEV.S('B1'!#REF!,'B2'!#REF!,'B3'!#REF!),0)</f>
        <v>0</v>
      </c>
      <c r="BP47" s="123">
        <f>IFERROR(_xlfn.STDEV.S('B1'!#REF!,'B2'!#REF!,'B3'!#REF!),0)</f>
        <v>0</v>
      </c>
      <c r="BQ47" s="123">
        <f>IFERROR(_xlfn.STDEV.S('B1'!#REF!,'B2'!#REF!,'B3'!#REF!),0)</f>
        <v>0</v>
      </c>
      <c r="BR47" s="123">
        <f>IFERROR(_xlfn.STDEV.S('B1'!#REF!,'B2'!#REF!,'B3'!#REF!),0)</f>
        <v>0</v>
      </c>
      <c r="BS47" s="123">
        <f>IFERROR(_xlfn.STDEV.S('B1'!#REF!,'B2'!#REF!,'B3'!#REF!),0)</f>
        <v>0</v>
      </c>
      <c r="BT47" s="123"/>
      <c r="BU47" s="132">
        <f>IFERROR(_xlfn.STDEV.S('B1'!#REF!,'B2'!#REF!,'B3'!#REF!),0)</f>
        <v>0</v>
      </c>
      <c r="BV47" s="132">
        <f>IFERROR(_xlfn.STDEV.S('B1'!#REF!,'B2'!#REF!,'B3'!#REF!),0)</f>
        <v>0</v>
      </c>
      <c r="BW47" s="132">
        <f>IFERROR(_xlfn.STDEV.S('B1'!#REF!,'B2'!#REF!,'B3'!#REF!),0)</f>
        <v>0</v>
      </c>
      <c r="BX47" s="132">
        <f>IFERROR(_xlfn.STDEV.S('B1'!#REF!,'B2'!#REF!,'B3'!#REF!),0)</f>
        <v>0</v>
      </c>
    </row>
    <row r="48" spans="1:76" s="66" customFormat="1" ht="16" thickBot="1" x14ac:dyDescent="0.4">
      <c r="A48" s="63">
        <f t="shared" si="18"/>
        <v>43347</v>
      </c>
      <c r="B48" s="169">
        <f t="shared" si="18"/>
        <v>21</v>
      </c>
      <c r="C48" s="41">
        <f t="shared" si="18"/>
        <v>10</v>
      </c>
      <c r="D48" s="18">
        <f>IFERROR(_xlfn.STDEV.S('B1'!D16,'B2'!D16,'B3'!D16),0)</f>
        <v>0</v>
      </c>
      <c r="E48" s="18">
        <f>IFERROR(_xlfn.STDEV.S('B1'!E16,'B2'!E16,'B3'!E16),0)</f>
        <v>0</v>
      </c>
      <c r="F48" s="18">
        <f>IFERROR(_xlfn.STDEV.S('B1'!F16,'B2'!F16,'B3'!F16),0)</f>
        <v>0</v>
      </c>
      <c r="G48" s="18">
        <f>IFERROR(_xlfn.STDEV.S('B1'!G16,'B2'!G16,'B3'!G16),0)</f>
        <v>0</v>
      </c>
      <c r="H48" s="18">
        <f>IFERROR(_xlfn.STDEV.S('B1'!H16,'B2'!H16,'B3'!H16),0)</f>
        <v>0</v>
      </c>
      <c r="I48" s="18">
        <f>IFERROR(_xlfn.STDEV.S('B1'!I16,'B2'!I16,'B3'!I16),0)</f>
        <v>2.5409523778767209</v>
      </c>
      <c r="J48" s="18">
        <f>IFERROR(_xlfn.STDEV.S('B1'!J16,'B2'!J16,'B3'!J16),0)</f>
        <v>3.878006908627138</v>
      </c>
      <c r="K48" s="18">
        <f>IFERROR(_xlfn.STDEV.S('B1'!K16,'B2'!K16,'B3'!K16),0)</f>
        <v>17.806650140672748</v>
      </c>
      <c r="L48" s="18">
        <f>IFERROR(_xlfn.STDEV.S('B1'!L16,'B2'!L16,'B3'!L16),0)</f>
        <v>0.11100384161162101</v>
      </c>
      <c r="M48" s="18">
        <f>IFERROR(_xlfn.STDEV.S('B1'!M16,'B2'!M16,'B3'!M16),0)</f>
        <v>0.20918197767266633</v>
      </c>
      <c r="N48" s="18">
        <f>IFERROR(_xlfn.STDEV.S('B1'!N16,'B2'!N16,'B3'!N16),0)</f>
        <v>0.14508080986229091</v>
      </c>
      <c r="O48" s="18">
        <f>IFERROR(_xlfn.STDEV.S('B1'!O16,'B2'!O16,'B3'!O16),0)</f>
        <v>0</v>
      </c>
      <c r="P48" s="18">
        <f>IFERROR(_xlfn.STDEV.S('B1'!P16,'B2'!P16,'B3'!P16),0)</f>
        <v>0</v>
      </c>
      <c r="Q48" s="18">
        <f>IFERROR(_xlfn.STDEV.S('B1'!Q16,'B2'!Q16,'B3'!Q16),0)</f>
        <v>1.3758868614655453</v>
      </c>
      <c r="R48" s="18">
        <f>IFERROR(_xlfn.STDEV.S('B1'!R16,'B2'!R16,'B3'!R16),0)</f>
        <v>0</v>
      </c>
      <c r="S48" s="18">
        <f>IFERROR(_xlfn.STDEV.S('B1'!S16,'B2'!S16,'B3'!S16),0)</f>
        <v>3.6625535090917438</v>
      </c>
      <c r="T48" s="18">
        <f>IFERROR(_xlfn.STDEV.S('B1'!T16,'B2'!T16,'B3'!T16),0)</f>
        <v>0</v>
      </c>
      <c r="U48" s="18">
        <f>IFERROR(_xlfn.STDEV.S('B1'!U16,'B2'!U16,'B3'!U16),0)</f>
        <v>0</v>
      </c>
      <c r="V48" s="18">
        <f>IFERROR(_xlfn.STDEV.S('B1'!V16,'B2'!V16,'B3'!V16),0)</f>
        <v>0</v>
      </c>
      <c r="W48" s="123">
        <f>IFERROR(_xlfn.STDEV.S('B1'!W16,'B2'!W16,'B3'!W16),0)</f>
        <v>0</v>
      </c>
      <c r="X48" s="123">
        <f>IFERROR(_xlfn.STDEV.S('B1'!X16,'B2'!X16,'B3'!X16),0)</f>
        <v>0</v>
      </c>
      <c r="Y48" s="123">
        <f>IFERROR(_xlfn.STDEV.S('B1'!Y16,'B2'!Y16,'B3'!Y16),0)</f>
        <v>0</v>
      </c>
      <c r="Z48" s="123">
        <f>IFERROR(_xlfn.STDEV.S('B1'!Z16,'B2'!Z16,'B3'!Z16),0)</f>
        <v>0</v>
      </c>
      <c r="AA48" s="123">
        <f>IFERROR(_xlfn.STDEV.S('B1'!AB16,'B2'!AA16,'B3'!AA16),0)</f>
        <v>0</v>
      </c>
      <c r="AB48" s="123">
        <f>IFERROR(_xlfn.STDEV.S('B1'!AC16,'B2'!AB16,'B3'!AB16),0)</f>
        <v>0</v>
      </c>
      <c r="AC48" s="123">
        <f>IFERROR(_xlfn.STDEV.S('B1'!AD16,'B2'!AC16,'B3'!AC16),0)</f>
        <v>0</v>
      </c>
      <c r="AD48" s="123">
        <f>IFERROR(_xlfn.STDEV.S('B1'!AE16,'B2'!AD16,'B3'!AD16),0)</f>
        <v>0</v>
      </c>
      <c r="AE48" s="18">
        <f>IFERROR(_xlfn.STDEV.S('B1'!AF16,'B2'!AE16,'B3'!AE16),0)</f>
        <v>0.68022055246809465</v>
      </c>
      <c r="AF48" s="18">
        <f>IFERROR(_xlfn.STDEV.S('B1'!AG16,'B2'!AF16,'B3'!AF16),0)</f>
        <v>0</v>
      </c>
      <c r="AG48" s="18">
        <f>IFERROR(_xlfn.STDEV.S('B1'!AH16,'B2'!AG16,'B3'!AG16),0)</f>
        <v>0</v>
      </c>
      <c r="AH48" s="18">
        <f>IFERROR(_xlfn.STDEV.S('B1'!AI16,'B2'!AH16,'B3'!AH16),0)</f>
        <v>15.693602796999803</v>
      </c>
      <c r="AI48" s="18">
        <f>IFERROR(_xlfn.STDEV.S('B1'!AJ16,'B2'!AI16,'B3'!AI16),0)</f>
        <v>0</v>
      </c>
      <c r="AJ48" s="131">
        <f>IFERROR(_xlfn.STDEV.S('B1'!AK16,'B2'!AJ16,'B3'!AJ16),0)</f>
        <v>0</v>
      </c>
      <c r="AK48" s="131">
        <f>IFERROR(_xlfn.STDEV.S('B1'!AL16,'B2'!AK16,'B3'!AK16),0)</f>
        <v>0</v>
      </c>
      <c r="AL48" s="131">
        <f>IFERROR(_xlfn.STDEV.S('B1'!AM16,'B2'!AL16,'B3'!AL16),0)</f>
        <v>0</v>
      </c>
      <c r="AM48" s="131">
        <f>IFERROR(_xlfn.STDEV.S('B1'!AN16,'B2'!AM16,'B3'!AM16),0)</f>
        <v>0</v>
      </c>
      <c r="AN48" s="131">
        <f>IFERROR(_xlfn.STDEV.S('B1'!AO16,'B2'!AN16,'B3'!AN16),0)</f>
        <v>0</v>
      </c>
      <c r="AO48" s="131">
        <f>IFERROR(_xlfn.STDEV.S('B1'!AP16,'B2'!AO16,'B3'!AO16),0)</f>
        <v>0</v>
      </c>
      <c r="AP48" s="174">
        <f>IFERROR(_xlfn.STDEV.S('B1'!AQ16,'B2'!AP16,'B3'!AP16),0)</f>
        <v>5.6063522099685348E-2</v>
      </c>
      <c r="AQ48" s="174">
        <f>IFERROR(_xlfn.STDEV.S('B1'!AR16,'B2'!AQ16,'B3'!AQ16),0)</f>
        <v>0.11645669443909232</v>
      </c>
      <c r="AR48" s="174">
        <f>IFERROR(_xlfn.STDEV.S('B1'!AS16,'B2'!AR16,'B3'!AR16),0)</f>
        <v>0</v>
      </c>
      <c r="AS48" s="174">
        <f>IFERROR(_xlfn.STDEV.S('B1'!AT16,'B2'!AS16,'B3'!AS16),0)</f>
        <v>0</v>
      </c>
      <c r="AT48" s="174">
        <f>IFERROR(_xlfn.STDEV.S('B1'!AU16,'B2'!AT16,'B3'!AT16),0)</f>
        <v>0</v>
      </c>
      <c r="AU48" s="174">
        <f>IFERROR(_xlfn.STDEV.S('B1'!AV16,'B2'!AU16,'B3'!AU16),0)</f>
        <v>0</v>
      </c>
      <c r="AV48" s="174">
        <f>IFERROR(_xlfn.STDEV.S('B1'!AW16,'B2'!AV16,'B3'!AV16),0)</f>
        <v>0</v>
      </c>
      <c r="AW48" s="174">
        <f>IFERROR(_xlfn.STDEV.S('B1'!AX16,'B2'!AW16,'B3'!AW16),0)</f>
        <v>0</v>
      </c>
      <c r="AX48" s="174">
        <f>IFERROR(_xlfn.STDEV.S('B1'!AY16,'B2'!AX16,'B3'!AX16),0)</f>
        <v>0</v>
      </c>
      <c r="AY48" s="174">
        <f>IFERROR(_xlfn.STDEV.S('B1'!AZ16,'B2'!AY16,'B3'!AY16),0)</f>
        <v>4.276115087212333E-2</v>
      </c>
      <c r="AZ48" s="131">
        <f>IFERROR(_xlfn.STDEV.S('B1'!BA16,'B2'!AZ16,'B3'!AZ16),0)</f>
        <v>17.421850351909193</v>
      </c>
      <c r="BA48" s="131">
        <f>_xlfn.STDEV.S('B1'!BB16,'B2'!BA16,'B3'!BA16)</f>
        <v>1.5693602796999806</v>
      </c>
      <c r="BB48" s="123">
        <f>IFERROR(_xlfn.STDEV.S('B1'!#REF!,'B2'!#REF!,'B3'!#REF!),0)</f>
        <v>0</v>
      </c>
      <c r="BC48" s="123">
        <f>IFERROR(_xlfn.STDEV.S('B1'!#REF!,'B2'!#REF!,'B3'!#REF!),0)</f>
        <v>0</v>
      </c>
      <c r="BD48" s="18">
        <f>IFERROR(_xlfn.STDEV.S('B1'!#REF!,'B2'!#REF!,'B3'!#REF!),0)</f>
        <v>0</v>
      </c>
      <c r="BE48" s="18">
        <f>IFERROR(_xlfn.STDEV.S('B1'!#REF!,'B2'!#REF!,'B3'!#REF!),0)</f>
        <v>0</v>
      </c>
      <c r="BF48" s="18">
        <f>IFERROR(_xlfn.STDEV.S('B1'!#REF!,'B2'!#REF!,'B3'!#REF!),0)</f>
        <v>0</v>
      </c>
      <c r="BG48" s="18">
        <f>IFERROR(_xlfn.STDEV.S('B1'!#REF!,'B2'!#REF!,'B3'!#REF!),0)</f>
        <v>0</v>
      </c>
      <c r="BH48" s="18">
        <f>IFERROR(_xlfn.STDEV.S('B1'!#REF!,'B2'!#REF!,'B3'!#REF!),0)</f>
        <v>0</v>
      </c>
      <c r="BI48" s="18">
        <f>IFERROR(_xlfn.STDEV.S('B1'!#REF!,'B2'!#REF!,'B3'!#REF!),0)</f>
        <v>0</v>
      </c>
      <c r="BJ48" s="132">
        <f>IFERROR(_xlfn.STDEV.S('B1'!#REF!,'B2'!#REF!,'B3'!#REF!),0)</f>
        <v>0</v>
      </c>
      <c r="BK48" s="132">
        <f>IFERROR(_xlfn.STDEV.S('B1'!#REF!,'B2'!#REF!,'B3'!#REF!),0)</f>
        <v>0</v>
      </c>
      <c r="BL48" s="132">
        <f>IFERROR(_xlfn.STDEV.S('B1'!#REF!,'B2'!#REF!,'B3'!#REF!),0)</f>
        <v>0</v>
      </c>
      <c r="BM48" s="132">
        <f>IFERROR(_xlfn.STDEV.S('B1'!#REF!,'B2'!#REF!,'B3'!#REF!),0)</f>
        <v>0</v>
      </c>
      <c r="BN48" s="132">
        <f>IFERROR(_xlfn.STDEV.S('B1'!#REF!,'B2'!#REF!,'B3'!#REF!),0)</f>
        <v>0</v>
      </c>
      <c r="BO48" s="132">
        <f>IFERROR(_xlfn.STDEV.S('B1'!#REF!,'B2'!#REF!,'B3'!#REF!),0)</f>
        <v>0</v>
      </c>
      <c r="BP48" s="132">
        <f>IFERROR(_xlfn.STDEV.S('B1'!#REF!,'B2'!#REF!,'B3'!#REF!),0)</f>
        <v>0</v>
      </c>
      <c r="BQ48" s="132">
        <f>IFERROR(_xlfn.STDEV.S('B1'!#REF!,'B2'!#REF!,'B3'!#REF!),0)</f>
        <v>0</v>
      </c>
      <c r="BR48" s="132">
        <f>IFERROR(_xlfn.STDEV.S('B1'!#REF!,'B2'!#REF!,'B3'!#REF!),0)</f>
        <v>0</v>
      </c>
      <c r="BS48" s="132">
        <f>IFERROR(_xlfn.STDEV.S('B1'!#REF!,'B2'!#REF!,'B3'!#REF!),0)</f>
        <v>0</v>
      </c>
      <c r="BT48" s="132"/>
      <c r="BU48" s="132">
        <f>IFERROR(_xlfn.STDEV.S('B1'!#REF!,'B2'!#REF!,'B3'!#REF!),0)</f>
        <v>0</v>
      </c>
      <c r="BV48" s="132">
        <f>IFERROR(_xlfn.STDEV.S('B1'!#REF!,'B2'!#REF!,'B3'!#REF!),0)</f>
        <v>0</v>
      </c>
      <c r="BW48" s="132">
        <f>IFERROR(_xlfn.STDEV.S('B1'!#REF!,'B2'!#REF!,'B3'!#REF!),0)</f>
        <v>0</v>
      </c>
      <c r="BX48" s="132">
        <f>IFERROR(_xlfn.STDEV.S('B1'!#REF!,'B2'!#REF!,'B3'!#REF!),0)</f>
        <v>0</v>
      </c>
    </row>
    <row r="49" spans="1:76" s="47" customFormat="1" ht="16" thickBot="1" x14ac:dyDescent="0.4">
      <c r="A49" s="63" t="str">
        <f t="shared" si="18"/>
        <v>13-04</v>
      </c>
      <c r="B49" s="169">
        <f t="shared" si="18"/>
        <v>26</v>
      </c>
      <c r="C49" s="41">
        <f t="shared" si="18"/>
        <v>10</v>
      </c>
      <c r="D49" s="18">
        <f>IFERROR(_xlfn.STDEV.S('B1'!D17,'B2'!D17,'B3'!D17),0)</f>
        <v>0</v>
      </c>
      <c r="E49" s="18">
        <f>IFERROR(_xlfn.STDEV.S('B1'!E17,'B2'!E17,'B3'!E17),0)</f>
        <v>0</v>
      </c>
      <c r="F49" s="18">
        <f>IFERROR(_xlfn.STDEV.S('B1'!F17,'B2'!F17,'B3'!F17),0)</f>
        <v>0</v>
      </c>
      <c r="G49" s="18">
        <f>IFERROR(_xlfn.STDEV.S('B1'!G17,'B2'!G17,'B3'!G17),0)</f>
        <v>0</v>
      </c>
      <c r="H49" s="18">
        <f>IFERROR(_xlfn.STDEV.S('B1'!H17,'B2'!H17,'B3'!H17),0)</f>
        <v>0</v>
      </c>
      <c r="I49" s="18">
        <f>IFERROR(_xlfn.STDEV.S('B1'!I17,'B2'!I17,'B3'!I17),0)</f>
        <v>2.3747574226785733</v>
      </c>
      <c r="J49" s="18">
        <f>IFERROR(_xlfn.STDEV.S('B1'!J17,'B2'!J17,'B3'!J17),0)</f>
        <v>2.5623200331572167</v>
      </c>
      <c r="K49" s="18">
        <f>IFERROR(_xlfn.STDEV.S('B1'!K17,'B2'!K17,'B3'!K17),0)</f>
        <v>7.4925609030203946</v>
      </c>
      <c r="L49" s="18">
        <f>IFERROR(_xlfn.STDEV.S('B1'!L17,'B2'!L17,'B3'!L17),0)</f>
        <v>0</v>
      </c>
      <c r="M49" s="18">
        <f>IFERROR(_xlfn.STDEV.S('B1'!M17,'B2'!M17,'B3'!M17),0)</f>
        <v>4.0665184023583976</v>
      </c>
      <c r="N49" s="18">
        <f>IFERROR(_xlfn.STDEV.S('B1'!N17,'B2'!N17,'B3'!N17),0)</f>
        <v>0</v>
      </c>
      <c r="O49" s="18">
        <f>IFERROR(_xlfn.STDEV.S('B1'!O17,'B2'!O17,'B3'!O17),0)</f>
        <v>0</v>
      </c>
      <c r="P49" s="18">
        <f>IFERROR(_xlfn.STDEV.S('B1'!P17,'B2'!P17,'B3'!P17),0)</f>
        <v>0</v>
      </c>
      <c r="Q49" s="18">
        <f>IFERROR(_xlfn.STDEV.S('B1'!Q17,'B2'!Q17,'B3'!Q17),0)</f>
        <v>7.5003416887743132E-2</v>
      </c>
      <c r="R49" s="18">
        <f>IFERROR(_xlfn.STDEV.S('B1'!R17,'B2'!R17,'B3'!R17),0)</f>
        <v>0</v>
      </c>
      <c r="S49" s="18">
        <f>IFERROR(_xlfn.STDEV.S('B1'!S17,'B2'!S17,'B3'!S17),0)</f>
        <v>0.9703099156377466</v>
      </c>
      <c r="T49" s="18">
        <f>IFERROR(_xlfn.STDEV.S('B1'!T17,'B2'!T17,'B3'!T17),0)</f>
        <v>0</v>
      </c>
      <c r="U49" s="18">
        <f>IFERROR(_xlfn.STDEV.S('B1'!U17,'B2'!U17,'B3'!U17),0)</f>
        <v>0</v>
      </c>
      <c r="V49" s="18">
        <f>IFERROR(_xlfn.STDEV.S('B1'!V17,'B2'!V17,'B3'!V17),0)</f>
        <v>0</v>
      </c>
      <c r="W49" s="123">
        <f>IFERROR(_xlfn.STDEV.S('B1'!W17,'B2'!W17,'B3'!W17),0)</f>
        <v>0</v>
      </c>
      <c r="X49" s="123">
        <f>IFERROR(_xlfn.STDEV.S('B1'!X17,'B2'!X17,'B3'!X17),0)</f>
        <v>0</v>
      </c>
      <c r="Y49" s="123">
        <f>IFERROR(_xlfn.STDEV.S('B1'!Y17,'B2'!Y17,'B3'!Y17),0)</f>
        <v>0</v>
      </c>
      <c r="Z49" s="123">
        <f>IFERROR(_xlfn.STDEV.S('B1'!Z17,'B2'!Z17,'B3'!Z17),0)</f>
        <v>0</v>
      </c>
      <c r="AA49" s="123">
        <f>IFERROR(_xlfn.STDEV.S('B1'!AB17,'B2'!AA17,'B3'!AA17),0)</f>
        <v>0</v>
      </c>
      <c r="AB49" s="123">
        <f>IFERROR(_xlfn.STDEV.S('B1'!AC17,'B2'!AB17,'B3'!AB17),0)</f>
        <v>0</v>
      </c>
      <c r="AC49" s="123">
        <f>IFERROR(_xlfn.STDEV.S('B1'!AD17,'B2'!AC17,'B3'!AC17),0)</f>
        <v>0</v>
      </c>
      <c r="AD49" s="123">
        <f>IFERROR(_xlfn.STDEV.S('B1'!AE17,'B2'!AD17,'B3'!AD17),0)</f>
        <v>0</v>
      </c>
      <c r="AE49" s="18">
        <f>IFERROR(_xlfn.STDEV.S('B1'!AF17,'B2'!AE17,'B3'!AE17),0)</f>
        <v>0.58045958802774</v>
      </c>
      <c r="AF49" s="18">
        <f>IFERROR(_xlfn.STDEV.S('B1'!AG17,'B2'!AF17,'B3'!AF17),0)</f>
        <v>0</v>
      </c>
      <c r="AG49" s="18">
        <f>IFERROR(_xlfn.STDEV.S('B1'!AH17,'B2'!AG17,'B3'!AG17),0)</f>
        <v>0</v>
      </c>
      <c r="AH49" s="18">
        <f>IFERROR(_xlfn.STDEV.S('B1'!AI17,'B2'!AH17,'B3'!AH17),0)</f>
        <v>22.294075842324929</v>
      </c>
      <c r="AI49" s="18">
        <f>IFERROR(_xlfn.STDEV.S('B1'!AJ17,'B2'!AI17,'B3'!AI17),0)</f>
        <v>0</v>
      </c>
      <c r="AJ49" s="131">
        <f>IFERROR(_xlfn.STDEV.S('B1'!AK17,'B2'!AJ17,'B3'!AJ17),0)</f>
        <v>0</v>
      </c>
      <c r="AK49" s="131">
        <f>IFERROR(_xlfn.STDEV.S('B1'!AL17,'B2'!AK17,'B3'!AK17),0)</f>
        <v>0</v>
      </c>
      <c r="AL49" s="131">
        <f>IFERROR(_xlfn.STDEV.S('B1'!AM17,'B2'!AL17,'B3'!AL17),0)</f>
        <v>0</v>
      </c>
      <c r="AM49" s="131">
        <f>IFERROR(_xlfn.STDEV.S('B1'!AN17,'B2'!AM17,'B3'!AM17),0)</f>
        <v>0</v>
      </c>
      <c r="AN49" s="131">
        <f>IFERROR(_xlfn.STDEV.S('B1'!AO17,'B2'!AN17,'B3'!AN17),0)</f>
        <v>0</v>
      </c>
      <c r="AO49" s="131">
        <f>IFERROR(_xlfn.STDEV.S('B1'!AP17,'B2'!AO17,'B3'!AO17),0)</f>
        <v>0</v>
      </c>
      <c r="AP49" s="174">
        <f>IFERROR(_xlfn.STDEV.S('B1'!AQ17,'B2'!AP17,'B3'!AP17),0)</f>
        <v>2.5623200331572133E-2</v>
      </c>
      <c r="AQ49" s="174">
        <f>IFERROR(_xlfn.STDEV.S('B1'!AR17,'B2'!AQ17,'B3'!AQ17),0)</f>
        <v>9.7852511639535344E-2</v>
      </c>
      <c r="AR49" s="174">
        <f>IFERROR(_xlfn.STDEV.S('B1'!AS17,'B2'!AR17,'B3'!AR17),0)</f>
        <v>0</v>
      </c>
      <c r="AS49" s="174">
        <f>IFERROR(_xlfn.STDEV.S('B1'!AT17,'B2'!AS17,'B3'!AS17),0)</f>
        <v>4.2836480885645151E-2</v>
      </c>
      <c r="AT49" s="174">
        <f>IFERROR(_xlfn.STDEV.S('B1'!AU17,'B2'!AT17,'B3'!AT17),0)</f>
        <v>0</v>
      </c>
      <c r="AU49" s="174">
        <f>IFERROR(_xlfn.STDEV.S('B1'!AV17,'B2'!AU17,'B3'!AU17),0)</f>
        <v>0</v>
      </c>
      <c r="AV49" s="174">
        <f>IFERROR(_xlfn.STDEV.S('B1'!AW17,'B2'!AV17,'B3'!AV17),0)</f>
        <v>0</v>
      </c>
      <c r="AW49" s="174">
        <f>IFERROR(_xlfn.STDEV.S('B1'!AX17,'B2'!AW17,'B3'!AW17),0)</f>
        <v>0</v>
      </c>
      <c r="AX49" s="174">
        <f>IFERROR(_xlfn.STDEV.S('B1'!AY17,'B2'!AX17,'B3'!AX17),0)</f>
        <v>0</v>
      </c>
      <c r="AY49" s="174">
        <f>IFERROR(_xlfn.STDEV.S('B1'!AZ17,'B2'!AY17,'B3'!AY17),0)</f>
        <v>9.703099156377553E-3</v>
      </c>
      <c r="AZ49" s="131">
        <f>IFERROR(_xlfn.STDEV.S('B1'!BA17,'B2'!AZ17,'B3'!AZ17),0)</f>
        <v>24.74919609494324</v>
      </c>
      <c r="BA49" s="131">
        <f>_xlfn.STDEV.S('B1'!BB17,'B2'!BA17,'B3'!BA17)</f>
        <v>2.2294075842324688</v>
      </c>
      <c r="BB49" s="123">
        <f>IFERROR(_xlfn.STDEV.S('B1'!#REF!,'B2'!#REF!,'B3'!#REF!),0)</f>
        <v>0</v>
      </c>
      <c r="BC49" s="123">
        <f>IFERROR(_xlfn.STDEV.S('B1'!#REF!,'B2'!#REF!,'B3'!#REF!),0)</f>
        <v>0</v>
      </c>
      <c r="BD49" s="18">
        <f>IFERROR(_xlfn.STDEV.S('B1'!#REF!,'B2'!#REF!,'B3'!#REF!),0)</f>
        <v>0</v>
      </c>
      <c r="BE49" s="18">
        <f>IFERROR(_xlfn.STDEV.S('B1'!#REF!,'B2'!#REF!,'B3'!#REF!),0)</f>
        <v>0</v>
      </c>
      <c r="BF49" s="18">
        <f>IFERROR(_xlfn.STDEV.S('B1'!#REF!,'B2'!#REF!,'B3'!#REF!),0)</f>
        <v>0</v>
      </c>
      <c r="BG49" s="18">
        <f>IFERROR(_xlfn.STDEV.S('B1'!#REF!,'B2'!#REF!,'B3'!#REF!),0)</f>
        <v>0</v>
      </c>
      <c r="BH49" s="18">
        <f>IFERROR(_xlfn.STDEV.S('B1'!#REF!,'B2'!#REF!,'B3'!#REF!),0)</f>
        <v>0</v>
      </c>
      <c r="BI49" s="18">
        <f>IFERROR(_xlfn.STDEV.S('B1'!#REF!,'B2'!#REF!,'B3'!#REF!),0)</f>
        <v>0</v>
      </c>
      <c r="BJ49" s="132">
        <f>IFERROR(_xlfn.STDEV.S('B1'!#REF!,'B2'!#REF!,'B3'!#REF!),0)</f>
        <v>0</v>
      </c>
      <c r="BK49" s="132">
        <f>IFERROR(_xlfn.STDEV.S('B1'!#REF!,'B2'!#REF!,'B3'!#REF!),0)</f>
        <v>0</v>
      </c>
      <c r="BL49" s="132">
        <f>IFERROR(_xlfn.STDEV.S('B1'!#REF!,'B2'!#REF!,'B3'!#REF!),0)</f>
        <v>0</v>
      </c>
      <c r="BM49" s="132">
        <f>IFERROR(_xlfn.STDEV.S('B1'!#REF!,'B2'!#REF!,'B3'!#REF!),0)</f>
        <v>0</v>
      </c>
      <c r="BN49" s="132">
        <f>IFERROR(_xlfn.STDEV.S('B1'!#REF!,'B2'!#REF!,'B3'!#REF!),0)</f>
        <v>0</v>
      </c>
      <c r="BO49" s="132">
        <f>IFERROR(_xlfn.STDEV.S('B1'!#REF!,'B2'!#REF!,'B3'!#REF!),0)</f>
        <v>0</v>
      </c>
      <c r="BP49" s="132">
        <f>IFERROR(_xlfn.STDEV.S('B1'!#REF!,'B2'!#REF!,'B3'!#REF!),0)</f>
        <v>0</v>
      </c>
      <c r="BQ49" s="132">
        <f>IFERROR(_xlfn.STDEV.S('B1'!#REF!,'B2'!#REF!,'B3'!#REF!),0)</f>
        <v>0</v>
      </c>
      <c r="BR49" s="132">
        <f>IFERROR(_xlfn.STDEV.S('B1'!#REF!,'B2'!#REF!,'B3'!#REF!),0)</f>
        <v>0</v>
      </c>
      <c r="BS49" s="132">
        <f>IFERROR(_xlfn.STDEV.S('B1'!#REF!,'B2'!#REF!,'B3'!#REF!),0)</f>
        <v>0</v>
      </c>
      <c r="BT49" s="132"/>
      <c r="BU49" s="132">
        <f>IFERROR(_xlfn.STDEV.S('B1'!#REF!,'B2'!#REF!,'B3'!#REF!),0)</f>
        <v>0</v>
      </c>
      <c r="BV49" s="132">
        <f>IFERROR(_xlfn.STDEV.S('B1'!#REF!,'B2'!#REF!,'B3'!#REF!),0)</f>
        <v>0</v>
      </c>
      <c r="BW49" s="132">
        <f>IFERROR(_xlfn.STDEV.S('B1'!#REF!,'B2'!#REF!,'B3'!#REF!),0)</f>
        <v>0</v>
      </c>
      <c r="BX49" s="132">
        <f>IFERROR(_xlfn.STDEV.S('B1'!#REF!,'B2'!#REF!,'B3'!#REF!),0)</f>
        <v>0</v>
      </c>
    </row>
    <row r="50" spans="1:76" s="126" customFormat="1" ht="16" thickBot="1" x14ac:dyDescent="0.4">
      <c r="A50" s="63" t="str">
        <f t="shared" si="18"/>
        <v>16-04</v>
      </c>
      <c r="B50" s="169">
        <f t="shared" si="18"/>
        <v>29</v>
      </c>
      <c r="C50" s="41">
        <f t="shared" si="18"/>
        <v>10</v>
      </c>
      <c r="D50" s="18">
        <f>IFERROR(_xlfn.STDEV.S('B1'!D18,'B2'!D18,'B3'!D18),0)</f>
        <v>0</v>
      </c>
      <c r="E50" s="18">
        <f>IFERROR(_xlfn.STDEV.S('B1'!E18,'B2'!E18,'B3'!E18),0)</f>
        <v>0</v>
      </c>
      <c r="F50" s="18">
        <f>IFERROR(_xlfn.STDEV.S('B1'!F18,'B2'!F18,'B3'!F18),0)</f>
        <v>0</v>
      </c>
      <c r="G50" s="18">
        <f>IFERROR(_xlfn.STDEV.S('B1'!G18,'B2'!G18,'B3'!G18),0)</f>
        <v>0</v>
      </c>
      <c r="H50" s="18">
        <f>IFERROR(_xlfn.STDEV.S('B1'!H18,'B2'!H18,'B3'!H18),0)</f>
        <v>0</v>
      </c>
      <c r="I50" s="18">
        <f>IFERROR(_xlfn.STDEV.S('B1'!I18,'B2'!I18,'B3'!I18),0)</f>
        <v>0</v>
      </c>
      <c r="J50" s="18">
        <f>IFERROR(_xlfn.STDEV.S('B1'!J18,'B2'!J18,'B3'!J18),0)</f>
        <v>2.0715299623391457</v>
      </c>
      <c r="K50" s="18">
        <f>IFERROR(_xlfn.STDEV.S('B1'!K18,'B2'!K18,'B3'!K18),0)</f>
        <v>7.4276366587459453E-2</v>
      </c>
      <c r="L50" s="18">
        <f>IFERROR(_xlfn.STDEV.S('B1'!L18,'B2'!L18,'B3'!L18),0)</f>
        <v>0</v>
      </c>
      <c r="M50" s="18">
        <f>IFERROR(_xlfn.STDEV.S('B1'!M18,'B2'!M18,'B3'!M18),0)</f>
        <v>0.47841174079639193</v>
      </c>
      <c r="N50" s="18">
        <f>IFERROR(_xlfn.STDEV.S('B1'!N18,'B2'!N18,'B3'!N18),0)</f>
        <v>0</v>
      </c>
      <c r="O50" s="18">
        <f>IFERROR(_xlfn.STDEV.S('B1'!O18,'B2'!O18,'B3'!O18),0)</f>
        <v>0</v>
      </c>
      <c r="P50" s="18">
        <f>IFERROR(_xlfn.STDEV.S('B1'!P18,'B2'!P18,'B3'!P18),0)</f>
        <v>0</v>
      </c>
      <c r="Q50" s="18">
        <f>IFERROR(_xlfn.STDEV.S('B1'!Q18,'B2'!Q18,'B3'!Q18),0)</f>
        <v>4.6920359278966369E-3</v>
      </c>
      <c r="R50" s="18">
        <f>IFERROR(_xlfn.STDEV.S('B1'!R18,'B2'!R18,'B3'!R18),0)</f>
        <v>3.1318808889507425E-3</v>
      </c>
      <c r="S50" s="18">
        <f>IFERROR(_xlfn.STDEV.S('B1'!S18,'B2'!S18,'B3'!S18),0)</f>
        <v>2.1218074958656279E-2</v>
      </c>
      <c r="T50" s="18">
        <f>IFERROR(_xlfn.STDEV.S('B1'!T18,'B2'!T18,'B3'!T18),0)</f>
        <v>0</v>
      </c>
      <c r="U50" s="18">
        <f>IFERROR(_xlfn.STDEV.S('B1'!U18,'B2'!U18,'B3'!U18),0)</f>
        <v>0</v>
      </c>
      <c r="V50" s="18">
        <f>IFERROR(_xlfn.STDEV.S('B1'!V18,'B2'!V18,'B3'!V18),0)</f>
        <v>0</v>
      </c>
      <c r="W50" s="123">
        <f>IFERROR(_xlfn.STDEV.S('B1'!W18,'B2'!W18,'B3'!W18),0)</f>
        <v>0</v>
      </c>
      <c r="X50" s="123">
        <f>IFERROR(_xlfn.STDEV.S('B1'!X18,'B2'!X18,'B3'!X18),0)</f>
        <v>0</v>
      </c>
      <c r="Y50" s="123">
        <f>IFERROR(_xlfn.STDEV.S('B1'!Y18,'B2'!Y18,'B3'!Y18),0)</f>
        <v>0</v>
      </c>
      <c r="Z50" s="123">
        <f>IFERROR(_xlfn.STDEV.S('B1'!Z18,'B2'!Z18,'B3'!Z18),0)</f>
        <v>0</v>
      </c>
      <c r="AA50" s="123">
        <f>IFERROR(_xlfn.STDEV.S('B1'!AB18,'B2'!AA18,'B3'!AA18),0)</f>
        <v>0</v>
      </c>
      <c r="AB50" s="123">
        <f>IFERROR(_xlfn.STDEV.S('B1'!AC18,'B2'!AB18,'B3'!AB18),0)</f>
        <v>0</v>
      </c>
      <c r="AC50" s="123">
        <f>IFERROR(_xlfn.STDEV.S('B1'!AD18,'B2'!AC18,'B3'!AC18),0)</f>
        <v>0</v>
      </c>
      <c r="AD50" s="123">
        <f>IFERROR(_xlfn.STDEV.S('B1'!AE18,'B2'!AD18,'B3'!AD18),0)</f>
        <v>0</v>
      </c>
      <c r="AE50" s="18">
        <f>IFERROR(_xlfn.STDEV.S('B1'!AF18,'B2'!AE18,'B3'!AE18),0)</f>
        <v>0.75425459892532731</v>
      </c>
      <c r="AF50" s="18">
        <f>IFERROR(_xlfn.STDEV.S('B1'!AG18,'B2'!AF18,'B3'!AF18),0)</f>
        <v>0</v>
      </c>
      <c r="AG50" s="18">
        <f>IFERROR(_xlfn.STDEV.S('B1'!AH18,'B2'!AG18,'B3'!AG18),0)</f>
        <v>0</v>
      </c>
      <c r="AH50" s="18">
        <f>IFERROR(_xlfn.STDEV.S('B1'!AI18,'B2'!AH18,'B3'!AH18),0)</f>
        <v>12.011983479425869</v>
      </c>
      <c r="AI50" s="18">
        <f>IFERROR(_xlfn.STDEV.S('B1'!AJ18,'B2'!AI18,'B3'!AI18),0)</f>
        <v>0</v>
      </c>
      <c r="AJ50" s="131">
        <f>IFERROR(_xlfn.STDEV.S('B1'!AK18,'B2'!AJ18,'B3'!AJ18),0)</f>
        <v>0</v>
      </c>
      <c r="AK50" s="131">
        <f>IFERROR(_xlfn.STDEV.S('B1'!AL18,'B2'!AK18,'B3'!AK18),0)</f>
        <v>0</v>
      </c>
      <c r="AL50" s="131">
        <f>IFERROR(_xlfn.STDEV.S('B1'!AM18,'B2'!AL18,'B3'!AL18),0)</f>
        <v>0</v>
      </c>
      <c r="AM50" s="131">
        <f>IFERROR(_xlfn.STDEV.S('B1'!AN18,'B2'!AM18,'B3'!AM18),0)</f>
        <v>0</v>
      </c>
      <c r="AN50" s="131">
        <f>IFERROR(_xlfn.STDEV.S('B1'!AO18,'B2'!AN18,'B3'!AN18),0)</f>
        <v>0</v>
      </c>
      <c r="AO50" s="131">
        <f>IFERROR(_xlfn.STDEV.S('B1'!AP18,'B2'!AO18,'B3'!AO18),0)</f>
        <v>0</v>
      </c>
      <c r="AP50" s="174">
        <f>IFERROR(_xlfn.STDEV.S('B1'!AQ18,'B2'!AP18,'B3'!AP18),0)</f>
        <v>0</v>
      </c>
      <c r="AQ50" s="174">
        <f>IFERROR(_xlfn.STDEV.S('B1'!AR18,'B2'!AQ18,'B3'!AQ18),0)</f>
        <v>0</v>
      </c>
      <c r="AR50" s="174">
        <f>IFERROR(_xlfn.STDEV.S('B1'!AS18,'B2'!AR18,'B3'!AR18),0)</f>
        <v>0</v>
      </c>
      <c r="AS50" s="174">
        <f>IFERROR(_xlfn.STDEV.S('B1'!AT18,'B2'!AS18,'B3'!AS18),0)</f>
        <v>0</v>
      </c>
      <c r="AT50" s="174">
        <f>IFERROR(_xlfn.STDEV.S('B1'!AU18,'B2'!AT18,'B3'!AT18),0)</f>
        <v>0</v>
      </c>
      <c r="AU50" s="174">
        <f>IFERROR(_xlfn.STDEV.S('B1'!AV18,'B2'!AU18,'B3'!AU18),0)</f>
        <v>0</v>
      </c>
      <c r="AV50" s="174">
        <f>IFERROR(_xlfn.STDEV.S('B1'!AW18,'B2'!AV18,'B3'!AV18),0)</f>
        <v>0</v>
      </c>
      <c r="AW50" s="174">
        <f>IFERROR(_xlfn.STDEV.S('B1'!AX18,'B2'!AW18,'B3'!AW18),0)</f>
        <v>0</v>
      </c>
      <c r="AX50" s="174">
        <f>IFERROR(_xlfn.STDEV.S('B1'!AY18,'B2'!AX18,'B3'!AX18),0)</f>
        <v>0</v>
      </c>
      <c r="AY50" s="174">
        <f>IFERROR(_xlfn.STDEV.S('B1'!AZ18,'B2'!AY18,'B3'!AY18),0)</f>
        <v>0</v>
      </c>
      <c r="AZ50" s="131">
        <f>IFERROR(_xlfn.STDEV.S('B1'!BA18,'B2'!AZ18,'B3'!AZ18),0)</f>
        <v>13.334795159220539</v>
      </c>
      <c r="BA50" s="131">
        <f>_xlfn.STDEV.S('B1'!BB18,'B2'!BA18,'B3'!BA18)</f>
        <v>1.2011983479425863</v>
      </c>
      <c r="BB50" s="123">
        <f>IFERROR(_xlfn.STDEV.S('B1'!#REF!,'B2'!#REF!,'B3'!#REF!),0)</f>
        <v>0</v>
      </c>
      <c r="BC50" s="123">
        <f>IFERROR(_xlfn.STDEV.S('B1'!#REF!,'B2'!#REF!,'B3'!#REF!),0)</f>
        <v>0</v>
      </c>
      <c r="BD50" s="18">
        <f>IFERROR(_xlfn.STDEV.S('B1'!#REF!,'B2'!#REF!,'B3'!#REF!),0)</f>
        <v>0</v>
      </c>
      <c r="BE50" s="18">
        <f>IFERROR(_xlfn.STDEV.S('B1'!#REF!,'B2'!#REF!,'B3'!#REF!),0)</f>
        <v>0</v>
      </c>
      <c r="BF50" s="18">
        <f>IFERROR(_xlfn.STDEV.S('B1'!#REF!,'B2'!#REF!,'B3'!#REF!),0)</f>
        <v>0</v>
      </c>
      <c r="BG50" s="18">
        <f>IFERROR(_xlfn.STDEV.S('B1'!#REF!,'B2'!#REF!,'B3'!#REF!),0)</f>
        <v>0</v>
      </c>
      <c r="BH50" s="18">
        <f>IFERROR(_xlfn.STDEV.S('B1'!#REF!,'B2'!#REF!,'B3'!#REF!),0)</f>
        <v>0</v>
      </c>
      <c r="BI50" s="18">
        <f>IFERROR(_xlfn.STDEV.S('B1'!#REF!,'B2'!#REF!,'B3'!#REF!),0)</f>
        <v>0</v>
      </c>
      <c r="BJ50" s="132">
        <f>IFERROR(_xlfn.STDEV.S('B1'!#REF!,'B2'!#REF!,'B3'!#REF!),0)</f>
        <v>0</v>
      </c>
      <c r="BK50" s="132">
        <f>IFERROR(_xlfn.STDEV.S('B1'!#REF!,'B2'!#REF!,'B3'!#REF!),0)</f>
        <v>0</v>
      </c>
      <c r="BL50" s="132">
        <f>IFERROR(_xlfn.STDEV.S('B1'!#REF!,'B2'!#REF!,'B3'!#REF!),0)</f>
        <v>0</v>
      </c>
      <c r="BM50" s="132">
        <f>IFERROR(_xlfn.STDEV.S('B1'!#REF!,'B2'!#REF!,'B3'!#REF!),0)</f>
        <v>0</v>
      </c>
      <c r="BN50" s="132">
        <f>IFERROR(_xlfn.STDEV.S('B1'!#REF!,'B2'!#REF!,'B3'!#REF!),0)</f>
        <v>0</v>
      </c>
      <c r="BO50" s="132">
        <f>IFERROR(_xlfn.STDEV.S('B1'!#REF!,'B2'!#REF!,'B3'!#REF!),0)</f>
        <v>0</v>
      </c>
      <c r="BP50" s="132">
        <f>IFERROR(_xlfn.STDEV.S('B1'!#REF!,'B2'!#REF!,'B3'!#REF!),0)</f>
        <v>0</v>
      </c>
      <c r="BQ50" s="132">
        <f>IFERROR(_xlfn.STDEV.S('B1'!#REF!,'B2'!#REF!,'B3'!#REF!),0)</f>
        <v>0</v>
      </c>
      <c r="BR50" s="132">
        <f>IFERROR(_xlfn.STDEV.S('B1'!#REF!,'B2'!#REF!,'B3'!#REF!),0)</f>
        <v>0</v>
      </c>
      <c r="BS50" s="132">
        <f>IFERROR(_xlfn.STDEV.S('B1'!#REF!,'B2'!#REF!,'B3'!#REF!),0)</f>
        <v>0</v>
      </c>
      <c r="BT50" s="132"/>
      <c r="BU50" s="132">
        <f>IFERROR(_xlfn.STDEV.S('B1'!#REF!,'B2'!#REF!,'B3'!#REF!),0)</f>
        <v>0</v>
      </c>
      <c r="BV50" s="132">
        <f>IFERROR(_xlfn.STDEV.S('B1'!#REF!,'B2'!#REF!,'B3'!#REF!),0)</f>
        <v>0</v>
      </c>
      <c r="BW50" s="132">
        <f>IFERROR(_xlfn.STDEV.S('B1'!#REF!,'B2'!#REF!,'B3'!#REF!),0)</f>
        <v>0</v>
      </c>
      <c r="BX50" s="132">
        <f>IFERROR(_xlfn.STDEV.S('B1'!#REF!,'B2'!#REF!,'B3'!#REF!),0)</f>
        <v>0</v>
      </c>
    </row>
    <row r="51" spans="1:76" s="116" customFormat="1" ht="16" thickBot="1" x14ac:dyDescent="0.4">
      <c r="A51" s="63" t="str">
        <f t="shared" si="18"/>
        <v>19-04</v>
      </c>
      <c r="B51" s="169">
        <f t="shared" si="18"/>
        <v>32</v>
      </c>
      <c r="C51" s="41">
        <f t="shared" si="18"/>
        <v>10</v>
      </c>
      <c r="D51" s="18">
        <f>IFERROR(_xlfn.STDEV.S('B1'!D19,'B2'!D19,'B3'!D19),0)</f>
        <v>0</v>
      </c>
      <c r="E51" s="18">
        <f>IFERROR(_xlfn.STDEV.S('B1'!E19,'B2'!E19,'B3'!E19),0)</f>
        <v>0</v>
      </c>
      <c r="F51" s="18">
        <f>IFERROR(_xlfn.STDEV.S('B1'!F19,'B2'!F19,'B3'!F19),0)</f>
        <v>0</v>
      </c>
      <c r="G51" s="18">
        <f>IFERROR(_xlfn.STDEV.S('B1'!G19,'B2'!G19,'B3'!G19),0)</f>
        <v>0</v>
      </c>
      <c r="H51" s="18">
        <f>IFERROR(_xlfn.STDEV.S('B1'!H19,'B2'!H19,'B3'!H19),0)</f>
        <v>0</v>
      </c>
      <c r="I51" s="18">
        <f>IFERROR(_xlfn.STDEV.S('B1'!I19,'B2'!I19,'B3'!I19),0)</f>
        <v>0.45694526655164319</v>
      </c>
      <c r="J51" s="18">
        <f>IFERROR(_xlfn.STDEV.S('B1'!J19,'B2'!J19,'B3'!J19),0)</f>
        <v>11.806683209910915</v>
      </c>
      <c r="K51" s="18">
        <f>IFERROR(_xlfn.STDEV.S('B1'!K19,'B2'!K19,'B3'!K19),0)</f>
        <v>39.73740613661316</v>
      </c>
      <c r="L51" s="18">
        <f>IFERROR(_xlfn.STDEV.S('B1'!L19,'B2'!L19,'B3'!L19),0)</f>
        <v>3.1164077028981834</v>
      </c>
      <c r="M51" s="18">
        <f>IFERROR(_xlfn.STDEV.S('B1'!M19,'B2'!M19,'B3'!M19),0)</f>
        <v>83.534667198679543</v>
      </c>
      <c r="N51" s="18">
        <f>IFERROR(_xlfn.STDEV.S('B1'!N19,'B2'!N19,'B3'!N19),0)</f>
        <v>0</v>
      </c>
      <c r="O51" s="18">
        <f>IFERROR(_xlfn.STDEV.S('B1'!O19,'B2'!O19,'B3'!O19),0)</f>
        <v>2.7806904032096438</v>
      </c>
      <c r="P51" s="18">
        <f>IFERROR(_xlfn.STDEV.S('B1'!P19,'B2'!P19,'B3'!P19),0)</f>
        <v>0.52304846513745651</v>
      </c>
      <c r="Q51" s="18">
        <f>IFERROR(_xlfn.STDEV.S('B1'!Q19,'B2'!Q19,'B3'!Q19),0)</f>
        <v>0.64422036444047126</v>
      </c>
      <c r="R51" s="18">
        <f>IFERROR(_xlfn.STDEV.S('B1'!R19,'B2'!R19,'B3'!R19),0)</f>
        <v>0</v>
      </c>
      <c r="S51" s="18">
        <f>IFERROR(_xlfn.STDEV.S('B1'!S19,'B2'!S19,'B3'!S19),0)</f>
        <v>3.9826666012416907</v>
      </c>
      <c r="T51" s="18">
        <f>IFERROR(_xlfn.STDEV.S('B1'!T19,'B2'!T19,'B3'!T19),0)</f>
        <v>0</v>
      </c>
      <c r="U51" s="18">
        <f>IFERROR(_xlfn.STDEV.S('B1'!U19,'B2'!U19,'B3'!U19),0)</f>
        <v>0</v>
      </c>
      <c r="V51" s="18">
        <f>IFERROR(_xlfn.STDEV.S('B1'!V19,'B2'!V19,'B3'!V19),0)</f>
        <v>0</v>
      </c>
      <c r="W51" s="123">
        <f>IFERROR(_xlfn.STDEV.S('B1'!W19,'B2'!W19,'B3'!#REF!),0)</f>
        <v>0</v>
      </c>
      <c r="X51" s="123">
        <f>IFERROR(_xlfn.STDEV.S('B1'!X19,'B2'!X19,'B3'!#REF!),0)</f>
        <v>0</v>
      </c>
      <c r="Y51" s="123">
        <f>IFERROR(_xlfn.STDEV.S('B1'!Y19,'B2'!Y19,'B3'!#REF!),0)</f>
        <v>0</v>
      </c>
      <c r="Z51" s="123">
        <f>IFERROR(_xlfn.STDEV.S('B1'!Z19,'B2'!Z19,'B3'!#REF!),0)</f>
        <v>0</v>
      </c>
      <c r="AA51" s="123">
        <f>IFERROR(_xlfn.STDEV.S('B1'!AB19,'B2'!AA19,'B3'!#REF!),0)</f>
        <v>0</v>
      </c>
      <c r="AB51" s="123">
        <f>IFERROR(_xlfn.STDEV.S('B1'!AC19,'B2'!AB19,'B3'!#REF!),0)</f>
        <v>0</v>
      </c>
      <c r="AC51" s="123">
        <f>IFERROR(_xlfn.STDEV.S('B1'!AD19,'B2'!AC19,'B3'!#REF!),0)</f>
        <v>0</v>
      </c>
      <c r="AD51" s="123">
        <f>IFERROR(_xlfn.STDEV.S('B1'!AE19,'B2'!AD19,'B3'!#REF!),0)</f>
        <v>0</v>
      </c>
      <c r="AE51" s="18">
        <f>IFERROR(_xlfn.STDEV.S('B1'!AF19,'B2'!AE19,'B3'!AE19),0)</f>
        <v>0.91620594482535311</v>
      </c>
      <c r="AF51" s="18">
        <f>IFERROR(_xlfn.STDEV.S('B1'!AG19,'B2'!AF19,'B3'!AF19),0)</f>
        <v>0</v>
      </c>
      <c r="AG51" s="18">
        <f>IFERROR(_xlfn.STDEV.S('B1'!AH19,'B2'!AG19,'B3'!AG19),0)</f>
        <v>0</v>
      </c>
      <c r="AH51" s="18">
        <f>IFERROR(_xlfn.STDEV.S('B1'!AI19,'B2'!AH19,'B3'!AH19),0)</f>
        <v>71.076523277692175</v>
      </c>
      <c r="AI51" s="18">
        <f>IFERROR(_xlfn.STDEV.S('B1'!AJ19,'B2'!AI19,'B3'!AI19),0)</f>
        <v>0</v>
      </c>
      <c r="AJ51" s="131">
        <f>IFERROR(_xlfn.STDEV.S('B1'!AK19,'B2'!AJ19,'B3'!AJ19),0)</f>
        <v>0</v>
      </c>
      <c r="AK51" s="131">
        <f>IFERROR(_xlfn.STDEV.S('B1'!AL19,'B2'!AK19,'B3'!AK19),0)</f>
        <v>0</v>
      </c>
      <c r="AL51" s="131">
        <f>IFERROR(_xlfn.STDEV.S('B1'!AM19,'B2'!AL19,'B3'!AL19),0)</f>
        <v>0</v>
      </c>
      <c r="AM51" s="131">
        <f>IFERROR(_xlfn.STDEV.S('B1'!AN19,'B2'!AM19,'B3'!AM19),0)</f>
        <v>0</v>
      </c>
      <c r="AN51" s="131">
        <f>IFERROR(_xlfn.STDEV.S('B1'!AO19,'B2'!AN19,'B3'!AN19),0)</f>
        <v>0</v>
      </c>
      <c r="AO51" s="131">
        <f>IFERROR(_xlfn.STDEV.S('B1'!AP19,'B2'!AO19,'B3'!AO19),0)</f>
        <v>0</v>
      </c>
      <c r="AP51" s="174">
        <f>IFERROR(_xlfn.STDEV.S('B1'!AQ19,'B2'!AP19,'B3'!AP19),0)</f>
        <v>0.11806683209910913</v>
      </c>
      <c r="AQ51" s="174">
        <f>IFERROR(_xlfn.STDEV.S('B1'!AR19,'B2'!AQ19,'B3'!AQ19),0)</f>
        <v>0.40643037494486267</v>
      </c>
      <c r="AR51" s="174">
        <f>IFERROR(_xlfn.STDEV.S('B1'!AS19,'B2'!AR19,'B3'!AR19),0)</f>
        <v>3.1164077028981836E-2</v>
      </c>
      <c r="AS51" s="174">
        <f>IFERROR(_xlfn.STDEV.S('B1'!AT19,'B2'!AS19,'B3'!AS19),0)</f>
        <v>0.83534667198679557</v>
      </c>
      <c r="AT51" s="174">
        <f>IFERROR(_xlfn.STDEV.S('B1'!AU19,'B2'!AT19,'B3'!AT19),0)</f>
        <v>0</v>
      </c>
      <c r="AU51" s="174">
        <f>IFERROR(_xlfn.STDEV.S('B1'!AV19,'B2'!AU19,'B3'!AU19),0)</f>
        <v>2.7806904032096444E-2</v>
      </c>
      <c r="AV51" s="174">
        <f>IFERROR(_xlfn.STDEV.S('B1'!AW19,'B2'!AV19,'B3'!AV19),0)</f>
        <v>0</v>
      </c>
      <c r="AW51" s="174">
        <f>IFERROR(_xlfn.STDEV.S('B1'!AX19,'B2'!AW19,'B3'!AW19),0)</f>
        <v>0</v>
      </c>
      <c r="AX51" s="174">
        <f>IFERROR(_xlfn.STDEV.S('B1'!AY19,'B2'!AX19,'B3'!AX19),0)</f>
        <v>0</v>
      </c>
      <c r="AY51" s="174">
        <f>IFERROR(_xlfn.STDEV.S('B1'!AZ19,'B2'!AY19,'B3'!AY19),0)</f>
        <v>3.9826666012416911E-2</v>
      </c>
      <c r="AZ51" s="131">
        <f>IFERROR(_xlfn.STDEV.S('B1'!BA19,'B2'!AZ19,'B3'!AZ19),0)</f>
        <v>78.903778061381189</v>
      </c>
      <c r="BA51" s="131">
        <f>_xlfn.STDEV.S('B1'!BB19,'B2'!BA19,'B3'!BA19)</f>
        <v>7.107652327769217</v>
      </c>
      <c r="BB51" s="123">
        <f>IFERROR(_xlfn.STDEV.S('B1'!#REF!,'B2'!#REF!,'B3'!#REF!),0)</f>
        <v>0</v>
      </c>
      <c r="BC51" s="123">
        <f>IFERROR(_xlfn.STDEV.S('B1'!#REF!,'B2'!#REF!,'B3'!#REF!),0)</f>
        <v>0</v>
      </c>
      <c r="BD51" s="18">
        <f>IFERROR(_xlfn.STDEV.S('B1'!#REF!,'B2'!#REF!,'B3'!#REF!),0)</f>
        <v>0</v>
      </c>
      <c r="BE51" s="18">
        <f>IFERROR(_xlfn.STDEV.S('B1'!#REF!,'B2'!#REF!,'B3'!#REF!),0)</f>
        <v>0</v>
      </c>
      <c r="BF51" s="18">
        <f>IFERROR(_xlfn.STDEV.S('B1'!#REF!,'B2'!#REF!,'B3'!#REF!),0)</f>
        <v>0</v>
      </c>
      <c r="BG51" s="18">
        <f>IFERROR(_xlfn.STDEV.S('B1'!#REF!,'B2'!#REF!,'B3'!#REF!),0)</f>
        <v>0</v>
      </c>
      <c r="BH51" s="18">
        <f>IFERROR(_xlfn.STDEV.S('B1'!#REF!,'B2'!#REF!,'B3'!#REF!),0)</f>
        <v>0</v>
      </c>
      <c r="BI51" s="18">
        <f>IFERROR(_xlfn.STDEV.S('B1'!#REF!,'B2'!#REF!,'B3'!#REF!),0)</f>
        <v>0</v>
      </c>
      <c r="BJ51" s="132">
        <f>IFERROR(_xlfn.STDEV.S('B1'!#REF!,'B2'!#REF!,'B3'!#REF!),0)</f>
        <v>0</v>
      </c>
      <c r="BK51" s="132">
        <f>IFERROR(_xlfn.STDEV.S('B1'!#REF!,'B2'!#REF!,'B3'!#REF!),0)</f>
        <v>0</v>
      </c>
      <c r="BL51" s="132">
        <f>IFERROR(_xlfn.STDEV.S('B1'!#REF!,'B2'!#REF!,'B3'!#REF!),0)</f>
        <v>0</v>
      </c>
      <c r="BM51" s="132">
        <f>IFERROR(_xlfn.STDEV.S('B1'!#REF!,'B2'!#REF!,'B3'!#REF!),0)</f>
        <v>0</v>
      </c>
      <c r="BN51" s="132">
        <f>IFERROR(_xlfn.STDEV.S('B1'!#REF!,'B2'!#REF!,'B3'!#REF!),0)</f>
        <v>0</v>
      </c>
      <c r="BO51" s="132">
        <f>IFERROR(_xlfn.STDEV.S('B1'!#REF!,'B2'!#REF!,'B3'!#REF!),0)</f>
        <v>0</v>
      </c>
      <c r="BP51" s="132">
        <f>IFERROR(_xlfn.STDEV.S('B1'!#REF!,'B2'!#REF!,'B3'!#REF!),0)</f>
        <v>0</v>
      </c>
      <c r="BQ51" s="132">
        <f>IFERROR(_xlfn.STDEV.S('B1'!#REF!,'B2'!#REF!,'B3'!#REF!),0)</f>
        <v>0</v>
      </c>
      <c r="BR51" s="132">
        <f>IFERROR(_xlfn.STDEV.S('B1'!#REF!,'B2'!#REF!,'B3'!#REF!),0)</f>
        <v>0</v>
      </c>
      <c r="BS51" s="132">
        <f>IFERROR(_xlfn.STDEV.S('B1'!#REF!,'B2'!#REF!,'B3'!#REF!),0)</f>
        <v>0</v>
      </c>
      <c r="BT51" s="132"/>
      <c r="BU51" s="132">
        <f>IFERROR(_xlfn.STDEV.S('B1'!#REF!,'B2'!#REF!,'B3'!#REF!),0)</f>
        <v>0</v>
      </c>
      <c r="BV51" s="132">
        <f>IFERROR(_xlfn.STDEV.S('B1'!#REF!,'B2'!#REF!,'B3'!#REF!),0)</f>
        <v>0</v>
      </c>
      <c r="BW51" s="132">
        <f>IFERROR(_xlfn.STDEV.S('B1'!#REF!,'B2'!#REF!,'B3'!#REF!),0)</f>
        <v>0</v>
      </c>
      <c r="BX51" s="132">
        <f>IFERROR(_xlfn.STDEV.S('B1'!#REF!,'B2'!#REF!,'B3'!#REF!),0)</f>
        <v>0</v>
      </c>
    </row>
    <row r="52" spans="1:76" s="66" customFormat="1" ht="16" thickBot="1" x14ac:dyDescent="0.4">
      <c r="A52" s="63" t="str">
        <f t="shared" si="18"/>
        <v>26-04</v>
      </c>
      <c r="B52" s="169">
        <f t="shared" si="18"/>
        <v>38</v>
      </c>
      <c r="C52" s="41">
        <f t="shared" si="18"/>
        <v>10</v>
      </c>
      <c r="D52" s="18">
        <f>IFERROR(_xlfn.STDEV.S('B1'!D20,'B2'!D20,'B3'!D20),0)</f>
        <v>0</v>
      </c>
      <c r="E52" s="18">
        <f>IFERROR(_xlfn.STDEV.S('B1'!E20,'B2'!E20,'B3'!E20),0)</f>
        <v>0</v>
      </c>
      <c r="F52" s="18">
        <f>IFERROR(_xlfn.STDEV.S('B1'!F20,'B2'!F20,'B3'!F20),0)</f>
        <v>0</v>
      </c>
      <c r="G52" s="18">
        <f>IFERROR(_xlfn.STDEV.S('B1'!G20,'B2'!G20,'B3'!G20),0)</f>
        <v>0</v>
      </c>
      <c r="H52" s="18">
        <f>IFERROR(_xlfn.STDEV.S('B1'!H20,'B2'!H20,'B3'!H20),0)</f>
        <v>0</v>
      </c>
      <c r="I52" s="18">
        <f>IFERROR(_xlfn.STDEV.S('B1'!I20,'B2'!I20,'B3'!I20),0)</f>
        <v>0.50178270999025254</v>
      </c>
      <c r="J52" s="18">
        <f>IFERROR(_xlfn.STDEV.S('B1'!J20,'B2'!J20,'B3'!J20),0)</f>
        <v>62.443587651013054</v>
      </c>
      <c r="K52" s="18">
        <f>IFERROR(_xlfn.STDEV.S('B1'!K20,'B2'!K20,'B3'!K20),0)</f>
        <v>66.403682680931666</v>
      </c>
      <c r="L52" s="18">
        <f>IFERROR(_xlfn.STDEV.S('B1'!L20,'B2'!L20,'B3'!L20),0)</f>
        <v>52.150280071055256</v>
      </c>
      <c r="M52" s="18">
        <f>IFERROR(_xlfn.STDEV.S('B1'!M20,'B2'!M20,'B3'!M20),0)</f>
        <v>278.09400374326469</v>
      </c>
      <c r="N52" s="18">
        <f>IFERROR(_xlfn.STDEV.S('B1'!N20,'B2'!N20,'B3'!N20),0)</f>
        <v>3.5798181088341727</v>
      </c>
      <c r="O52" s="18">
        <f>IFERROR(_xlfn.STDEV.S('B1'!O20,'B2'!O20,'B3'!O20),0)</f>
        <v>18.083776127932392</v>
      </c>
      <c r="P52" s="18">
        <f>IFERROR(_xlfn.STDEV.S('B1'!P20,'B2'!P20,'B3'!P20),0)</f>
        <v>0.60989878697352962</v>
      </c>
      <c r="Q52" s="18">
        <f>IFERROR(_xlfn.STDEV.S('B1'!Q20,'B2'!Q20,'B3'!Q20),0)</f>
        <v>2.8109433551522742</v>
      </c>
      <c r="R52" s="18">
        <f>IFERROR(_xlfn.STDEV.S('B1'!R20,'B2'!R20,'B3'!R20),0)</f>
        <v>2.1396512602234452</v>
      </c>
      <c r="S52" s="18">
        <f>IFERROR(_xlfn.STDEV.S('B1'!S20,'B2'!S20,'B3'!S20),0)</f>
        <v>0.58828325328939612</v>
      </c>
      <c r="T52" s="18">
        <f>IFERROR(_xlfn.STDEV.S('B1'!T20,'B2'!T20,'B3'!T20),0)</f>
        <v>0</v>
      </c>
      <c r="U52" s="18">
        <f>IFERROR(_xlfn.STDEV.S('B1'!U20,'B2'!U20,'B3'!U20),0)</f>
        <v>0</v>
      </c>
      <c r="V52" s="18">
        <f>IFERROR(_xlfn.STDEV.S('B1'!V20,'B2'!V20,'B3'!V20),0)</f>
        <v>0</v>
      </c>
      <c r="W52" s="123">
        <f>IFERROR(_xlfn.STDEV.S('B1'!W20,'B2'!W20,'B3'!W20),0)</f>
        <v>0</v>
      </c>
      <c r="X52" s="123">
        <f>IFERROR(_xlfn.STDEV.S('B1'!X20,'B2'!X20,'B3'!X20),0)</f>
        <v>0</v>
      </c>
      <c r="Y52" s="123">
        <f>IFERROR(_xlfn.STDEV.S('B1'!Y20,'B2'!Y20,'B3'!Y20),0)</f>
        <v>0</v>
      </c>
      <c r="Z52" s="123">
        <f>IFERROR(_xlfn.STDEV.S('B1'!Z20,'B2'!Z20,'B3'!Z20),0)</f>
        <v>0</v>
      </c>
      <c r="AA52" s="123">
        <f>IFERROR(_xlfn.STDEV.S('B1'!AB20,'B2'!AA20,'B3'!AA20),0)</f>
        <v>0</v>
      </c>
      <c r="AB52" s="123">
        <f>IFERROR(_xlfn.STDEV.S('B1'!AC20,'B2'!AB20,'B3'!AB20),0)</f>
        <v>0</v>
      </c>
      <c r="AC52" s="123">
        <f>IFERROR(_xlfn.STDEV.S('B1'!AD20,'B2'!AC20,'B3'!AC20),0)</f>
        <v>0</v>
      </c>
      <c r="AD52" s="123">
        <f>IFERROR(_xlfn.STDEV.S('B1'!AE20,'B2'!AD20,'B3'!AD20),0)</f>
        <v>0</v>
      </c>
      <c r="AE52" s="18">
        <f>IFERROR(_xlfn.STDEV.S('B1'!AF20,'B2'!AE20,'B3'!AE20),0)</f>
        <v>0</v>
      </c>
      <c r="AF52" s="18">
        <f>IFERROR(_xlfn.STDEV.S('B1'!AG20,'B2'!AF20,'B3'!AF20),0)</f>
        <v>0</v>
      </c>
      <c r="AG52" s="18">
        <f>IFERROR(_xlfn.STDEV.S('B1'!AH20,'B2'!AG20,'B3'!AG20),0)</f>
        <v>0</v>
      </c>
      <c r="AH52" s="18">
        <f>IFERROR(_xlfn.STDEV.S('B1'!AI20,'B2'!AH20,'B3'!AH20),0)</f>
        <v>126.78947446421738</v>
      </c>
      <c r="AI52" s="18">
        <f>IFERROR(_xlfn.STDEV.S('B1'!AJ20,'B2'!AI20,'B3'!AI20),0)</f>
        <v>0</v>
      </c>
      <c r="AJ52" s="131">
        <f>IFERROR(_xlfn.STDEV.S('B1'!AK20,'B2'!AJ20,'B3'!AJ20),0)</f>
        <v>0</v>
      </c>
      <c r="AK52" s="131">
        <f>IFERROR(_xlfn.STDEV.S('B1'!AL20,'B2'!AK20,'B3'!AK20),0)</f>
        <v>0</v>
      </c>
      <c r="AL52" s="131">
        <f>IFERROR(_xlfn.STDEV.S('B1'!AM20,'B2'!AL20,'B3'!AL20),0)</f>
        <v>0</v>
      </c>
      <c r="AM52" s="131">
        <f>IFERROR(_xlfn.STDEV.S('B1'!AN20,'B2'!AM20,'B3'!AM20),0)</f>
        <v>0</v>
      </c>
      <c r="AN52" s="131">
        <f>IFERROR(_xlfn.STDEV.S('B1'!AO20,'B2'!AN20,'B3'!AN20),0)</f>
        <v>0</v>
      </c>
      <c r="AO52" s="131">
        <f>IFERROR(_xlfn.STDEV.S('B1'!AP20,'B2'!AO20,'B3'!AO20),0)</f>
        <v>0</v>
      </c>
      <c r="AP52" s="174">
        <f>IFERROR(_xlfn.STDEV.S('B1'!AQ20,'B2'!AP20,'B3'!AP20),0)</f>
        <v>0.62443587651013033</v>
      </c>
      <c r="AQ52" s="174">
        <f>IFERROR(_xlfn.STDEV.S('B1'!AR20,'B2'!AQ20,'B3'!AQ20),0)</f>
        <v>0.66403682680931664</v>
      </c>
      <c r="AR52" s="174">
        <f>IFERROR(_xlfn.STDEV.S('B1'!AS20,'B2'!AR20,'B3'!AR20),0)</f>
        <v>0.52494612584537581</v>
      </c>
      <c r="AS52" s="174">
        <f>IFERROR(_xlfn.STDEV.S('B1'!AT20,'B2'!AS20,'B3'!AS20),0)</f>
        <v>2.7809400374326461</v>
      </c>
      <c r="AT52" s="174">
        <f>IFERROR(_xlfn.STDEV.S('B1'!AU20,'B2'!AT20,'B3'!AT20),0)</f>
        <v>3.5798181088341728E-2</v>
      </c>
      <c r="AU52" s="174">
        <f>IFERROR(_xlfn.STDEV.S('B1'!AV20,'B2'!AU20,'B3'!AU20),0)</f>
        <v>0.19295525751522047</v>
      </c>
      <c r="AV52" s="174">
        <f>IFERROR(_xlfn.STDEV.S('B1'!AW20,'B2'!AV20,'B3'!AV20),0)</f>
        <v>0</v>
      </c>
      <c r="AW52" s="174">
        <f>IFERROR(_xlfn.STDEV.S('B1'!AX20,'B2'!AW20,'B3'!AW20),0)</f>
        <v>2.810943355152273E-2</v>
      </c>
      <c r="AX52" s="174">
        <f>IFERROR(_xlfn.STDEV.S('B1'!AY20,'B2'!AX20,'B3'!AX20),0)</f>
        <v>2.1396512602234449E-2</v>
      </c>
      <c r="AY52" s="174">
        <f>IFERROR(_xlfn.STDEV.S('B1'!AZ20,'B2'!AY20,'B3'!AY20),0)</f>
        <v>5.8828325328939618E-3</v>
      </c>
      <c r="AZ52" s="131">
        <f>IFERROR(_xlfn.STDEV.S('B1'!BA20,'B2'!AZ20,'B3'!AZ20),0)</f>
        <v>70.376040444170428</v>
      </c>
      <c r="BA52" s="131">
        <f>_xlfn.STDEV.S('B1'!BB20,'B2'!BA20,'B3'!BA20)</f>
        <v>6.3394737232108689</v>
      </c>
      <c r="BB52" s="123">
        <f>IFERROR(_xlfn.STDEV.S('B1'!#REF!,'B2'!#REF!,'B3'!#REF!),0)</f>
        <v>0</v>
      </c>
      <c r="BC52" s="123">
        <f>IFERROR(_xlfn.STDEV.S('B1'!#REF!,'B2'!#REF!,'B3'!#REF!),0)</f>
        <v>0</v>
      </c>
      <c r="BD52" s="18">
        <f>IFERROR(_xlfn.STDEV.S('B1'!#REF!,'B2'!#REF!,'B3'!#REF!),0)</f>
        <v>0</v>
      </c>
      <c r="BE52" s="18">
        <f>IFERROR(_xlfn.STDEV.S('B1'!#REF!,'B2'!#REF!,'B3'!#REF!),0)</f>
        <v>0</v>
      </c>
      <c r="BF52" s="18">
        <f>IFERROR(_xlfn.STDEV.S('B1'!#REF!,'B2'!#REF!,'B3'!#REF!),0)</f>
        <v>0</v>
      </c>
      <c r="BG52" s="18">
        <f>IFERROR(_xlfn.STDEV.S('B1'!#REF!,'B2'!#REF!,'B3'!#REF!),0)</f>
        <v>0</v>
      </c>
      <c r="BH52" s="18">
        <f>IFERROR(_xlfn.STDEV.S('B1'!#REF!,'B2'!#REF!,'B3'!#REF!),0)</f>
        <v>0</v>
      </c>
      <c r="BI52" s="18">
        <f>IFERROR(_xlfn.STDEV.S('B1'!#REF!,'B2'!#REF!,'B3'!#REF!),0)</f>
        <v>0</v>
      </c>
      <c r="BJ52" s="132">
        <f>IFERROR(_xlfn.STDEV.S('B1'!#REF!,'B2'!#REF!,'B3'!#REF!),0)</f>
        <v>0</v>
      </c>
      <c r="BK52" s="132">
        <f>IFERROR(_xlfn.STDEV.S('B1'!#REF!,'B2'!#REF!,'B3'!#REF!),0)</f>
        <v>0</v>
      </c>
      <c r="BL52" s="132">
        <f>IFERROR(_xlfn.STDEV.S('B1'!#REF!,'B2'!#REF!,'B3'!#REF!),0)</f>
        <v>0</v>
      </c>
      <c r="BM52" s="132">
        <f>IFERROR(_xlfn.STDEV.S('B1'!#REF!,'B2'!#REF!,'B3'!#REF!),0)</f>
        <v>0</v>
      </c>
      <c r="BN52" s="132">
        <f>IFERROR(_xlfn.STDEV.S('B1'!#REF!,'B2'!#REF!,'B3'!#REF!),0)</f>
        <v>0</v>
      </c>
      <c r="BO52" s="132">
        <f>IFERROR(_xlfn.STDEV.S('B1'!#REF!,'B2'!#REF!,'B3'!#REF!),0)</f>
        <v>0</v>
      </c>
      <c r="BP52" s="132">
        <f>IFERROR(_xlfn.STDEV.S('B1'!#REF!,'B2'!#REF!,'B3'!#REF!),0)</f>
        <v>0</v>
      </c>
      <c r="BQ52" s="132">
        <f>IFERROR(_xlfn.STDEV.S('B1'!#REF!,'B2'!#REF!,'B3'!#REF!),0)</f>
        <v>0</v>
      </c>
      <c r="BR52" s="132">
        <f>IFERROR(_xlfn.STDEV.S('B1'!#REF!,'B2'!#REF!,'B3'!#REF!),0)</f>
        <v>0</v>
      </c>
      <c r="BS52" s="132">
        <f>IFERROR(_xlfn.STDEV.S('B1'!#REF!,'B2'!#REF!,'B3'!#REF!),0)</f>
        <v>0</v>
      </c>
      <c r="BT52" s="132"/>
      <c r="BU52" s="132">
        <f>IFERROR(_xlfn.STDEV.S('B1'!#REF!,'B2'!#REF!,'B3'!#REF!),0)</f>
        <v>0</v>
      </c>
      <c r="BV52" s="132">
        <f>IFERROR(_xlfn.STDEV.S('B1'!#REF!,'B2'!#REF!,'B3'!#REF!),0)</f>
        <v>0</v>
      </c>
      <c r="BW52" s="132">
        <f>IFERROR(_xlfn.STDEV.S('B1'!#REF!,'B2'!#REF!,'B3'!#REF!),0)</f>
        <v>0</v>
      </c>
      <c r="BX52" s="132">
        <f>IFERROR(_xlfn.STDEV.S('B1'!#REF!,'B2'!#REF!,'B3'!#REF!),0)</f>
        <v>0</v>
      </c>
    </row>
    <row r="53" spans="1:76" s="47" customFormat="1" ht="16" thickBot="1" x14ac:dyDescent="0.4">
      <c r="A53" s="63">
        <f t="shared" si="18"/>
        <v>43105</v>
      </c>
      <c r="B53" s="169">
        <f t="shared" si="18"/>
        <v>43</v>
      </c>
      <c r="C53" s="41">
        <f t="shared" si="18"/>
        <v>20</v>
      </c>
      <c r="D53" s="18">
        <f>IFERROR(_xlfn.STDEV.S('B1'!D21,'B2'!D21,'B3'!D21),0)</f>
        <v>0</v>
      </c>
      <c r="E53" s="18">
        <f>IFERROR(_xlfn.STDEV.S('B1'!E21,'B2'!E21,'B3'!E21),0)</f>
        <v>0</v>
      </c>
      <c r="F53" s="18">
        <f>IFERROR(_xlfn.STDEV.S('B1'!F21,'B2'!F21,'B3'!F21),0)</f>
        <v>0</v>
      </c>
      <c r="G53" s="18">
        <f>IFERROR(_xlfn.STDEV.S('B1'!G21,'B2'!G21,'B3'!G21),0)</f>
        <v>0</v>
      </c>
      <c r="H53" s="18">
        <f>IFERROR(_xlfn.STDEV.S('B1'!H21,'B2'!H21,'B3'!H21),0)</f>
        <v>0</v>
      </c>
      <c r="I53" s="18">
        <f>IFERROR(_xlfn.STDEV.S('B1'!I21,'B2'!I21,'B3'!I21),0)</f>
        <v>0.78211853241988916</v>
      </c>
      <c r="J53" s="18">
        <f>IFERROR(_xlfn.STDEV.S('B1'!J21,'B2'!J21,'B3'!J21),0)</f>
        <v>25.936092583197095</v>
      </c>
      <c r="K53" s="18">
        <f>IFERROR(_xlfn.STDEV.S('B1'!K21,'B2'!K21,'B3'!K21),0)</f>
        <v>19.097925422523076</v>
      </c>
      <c r="L53" s="18">
        <f>IFERROR(_xlfn.STDEV.S('B1'!L21,'B2'!L21,'B3'!L21),0)</f>
        <v>23.624389910751546</v>
      </c>
      <c r="M53" s="18">
        <f>IFERROR(_xlfn.STDEV.S('B1'!M21,'B2'!M21,'B3'!M21),0)</f>
        <v>133.47644127591221</v>
      </c>
      <c r="N53" s="18">
        <f>IFERROR(_xlfn.STDEV.S('B1'!N21,'B2'!N21,'B3'!N21),0)</f>
        <v>1.023927676780461</v>
      </c>
      <c r="O53" s="18">
        <f>IFERROR(_xlfn.STDEV.S('B1'!O21,'B2'!O21,'B3'!O21),0)</f>
        <v>6.5445453973662993</v>
      </c>
      <c r="P53" s="18">
        <f>IFERROR(_xlfn.STDEV.S('B1'!P21,'B2'!P21,'B3'!P21),0)</f>
        <v>0</v>
      </c>
      <c r="Q53" s="18">
        <f>IFERROR(_xlfn.STDEV.S('B1'!Q21,'B2'!Q21,'B3'!Q21),0)</f>
        <v>5.3176842201312811</v>
      </c>
      <c r="R53" s="18">
        <f>IFERROR(_xlfn.STDEV.S('B1'!R21,'B2'!R21,'B3'!R21),0)</f>
        <v>0</v>
      </c>
      <c r="S53" s="18">
        <f>IFERROR(_xlfn.STDEV.S('B1'!S21,'B2'!S21,'B3'!S21),0)</f>
        <v>0</v>
      </c>
      <c r="T53" s="18">
        <f>IFERROR(_xlfn.STDEV.S('B1'!T21,'B2'!T21,'B3'!T21),0)</f>
        <v>0</v>
      </c>
      <c r="U53" s="18">
        <f>IFERROR(_xlfn.STDEV.S('B1'!U21,'B2'!U21,'B3'!U21),0)</f>
        <v>0</v>
      </c>
      <c r="V53" s="18">
        <f>IFERROR(_xlfn.STDEV.S('B1'!V21,'B2'!V21,'B3'!V21),0)</f>
        <v>0</v>
      </c>
      <c r="W53" s="18">
        <f>IFERROR(_xlfn.STDEV.S('B1'!W21,'B2'!W21,'B3'!W19),0)</f>
        <v>0</v>
      </c>
      <c r="X53" s="18">
        <f>IFERROR(_xlfn.STDEV.S('B1'!X21,'B2'!X21,'B3'!X19),0)</f>
        <v>0</v>
      </c>
      <c r="Y53" s="18">
        <f>IFERROR(_xlfn.STDEV.S('B1'!Y21,'B2'!Y21,'B3'!Y19),0)</f>
        <v>0</v>
      </c>
      <c r="Z53" s="18">
        <f>IFERROR(_xlfn.STDEV.S('B1'!Z21,'B2'!Z21,'B3'!Z19),0)</f>
        <v>0</v>
      </c>
      <c r="AA53" s="18">
        <f>IFERROR(_xlfn.STDEV.S('B1'!AB21,'B2'!AA21,'B3'!AA19),0)</f>
        <v>0</v>
      </c>
      <c r="AB53" s="18">
        <f>IFERROR(_xlfn.STDEV.S('B1'!AC21,'B2'!AB21,'B3'!AB19),0)</f>
        <v>0</v>
      </c>
      <c r="AC53" s="18">
        <f>IFERROR(_xlfn.STDEV.S('B1'!AD21,'B2'!AC21,'B3'!AC19),0)</f>
        <v>0</v>
      </c>
      <c r="AD53" s="18">
        <f>IFERROR(_xlfn.STDEV.S('B1'!AE21,'B2'!AD21,'B3'!AD19),0)</f>
        <v>0</v>
      </c>
      <c r="AE53" s="18">
        <f>IFERROR(_xlfn.STDEV.S('B1'!AF21,'B2'!AE21,'B3'!AE21),0)</f>
        <v>0.12220201853215545</v>
      </c>
      <c r="AF53" s="18">
        <f>IFERROR(_xlfn.STDEV.S('B1'!AG21,'B2'!AF21,'B3'!AF21),0)</f>
        <v>0</v>
      </c>
      <c r="AG53" s="18">
        <f>IFERROR(_xlfn.STDEV.S('B1'!AH21,'B2'!AG21,'B3'!AG21),0)</f>
        <v>0</v>
      </c>
      <c r="AH53" s="18">
        <f>IFERROR(_xlfn.STDEV.S('B1'!AI21,'B2'!AH21,'B3'!AH21),0)</f>
        <v>253.14754175844988</v>
      </c>
      <c r="AI53" s="18">
        <f>IFERROR(_xlfn.STDEV.S('B1'!AJ21,'B2'!AI21,'B3'!AI21),0)</f>
        <v>0</v>
      </c>
      <c r="AJ53" s="18">
        <f>IFERROR(_xlfn.STDEV.S('B1'!AK21,'B2'!AJ21,'B3'!AJ21),0)</f>
        <v>0</v>
      </c>
      <c r="AK53" s="18">
        <f>IFERROR(_xlfn.STDEV.S('B1'!AL21,'B2'!AK21,'B3'!AK21),0)</f>
        <v>0</v>
      </c>
      <c r="AL53" s="18">
        <f>IFERROR(_xlfn.STDEV.S('B1'!AM21,'B2'!AL21,'B3'!AL21),0)</f>
        <v>0</v>
      </c>
      <c r="AM53" s="18">
        <f>IFERROR(_xlfn.STDEV.S('B1'!AN21,'B2'!AM21,'B3'!AM21),0)</f>
        <v>0</v>
      </c>
      <c r="AN53" s="18">
        <f>IFERROR(_xlfn.STDEV.S('B1'!AO21,'B2'!AN21,'B3'!AN21),0)</f>
        <v>0</v>
      </c>
      <c r="AO53" s="18">
        <f>IFERROR(_xlfn.STDEV.S('B1'!AP21,'B2'!AO21,'B3'!AO21),0)</f>
        <v>0</v>
      </c>
      <c r="AP53" s="174">
        <f>IFERROR(_xlfn.STDEV.S('B1'!AQ21,'B2'!AP21,'B3'!AP21),0)</f>
        <v>0.51872185166394191</v>
      </c>
      <c r="AQ53" s="174">
        <f>IFERROR(_xlfn.STDEV.S('B1'!AR21,'B2'!AQ21,'B3'!AQ21),0)</f>
        <v>0.3819585084504617</v>
      </c>
      <c r="AR53" s="174">
        <f>IFERROR(_xlfn.STDEV.S('B1'!AS21,'B2'!AR21,'B3'!AR21),0)</f>
        <v>0.4724877982150309</v>
      </c>
      <c r="AS53" s="174">
        <f>IFERROR(_xlfn.STDEV.S('B1'!AT21,'B2'!AS21,'B3'!AS21),0)</f>
        <v>2.6695288255182428</v>
      </c>
      <c r="AT53" s="174">
        <f>IFERROR(_xlfn.STDEV.S('B1'!AU21,'B2'!AT21,'B3'!AT21),0)</f>
        <v>0</v>
      </c>
      <c r="AU53" s="174">
        <f>IFERROR(_xlfn.STDEV.S('B1'!AV21,'B2'!AU21,'B3'!AU21),0)</f>
        <v>0.14974634425606043</v>
      </c>
      <c r="AV53" s="174">
        <f>IFERROR(_xlfn.STDEV.S('B1'!AW21,'B2'!AV21,'B3'!AV21),0)</f>
        <v>0</v>
      </c>
      <c r="AW53" s="174">
        <f>IFERROR(_xlfn.STDEV.S('B1'!AX21,'B2'!AW21,'B3'!AW21),0)</f>
        <v>0.11846087014914299</v>
      </c>
      <c r="AX53" s="174">
        <f>IFERROR(_xlfn.STDEV.S('B1'!AY21,'B2'!AX21,'B3'!AX21),0)</f>
        <v>0</v>
      </c>
      <c r="AY53" s="174">
        <f>IFERROR(_xlfn.STDEV.S('B1'!AZ21,'B2'!AY21,'B3'!AY21),0)</f>
        <v>0</v>
      </c>
      <c r="AZ53" s="131">
        <f>IFERROR(_xlfn.STDEV.S('B1'!BA21,'B2'!AZ21,'B3'!AZ21),0)</f>
        <v>56.205049235890293</v>
      </c>
      <c r="BA53" s="131">
        <f>_xlfn.STDEV.S('B1'!BB21,'B2'!BA21,'B3'!BA21)</f>
        <v>5.0629508351689978</v>
      </c>
      <c r="BB53" s="123">
        <f>IFERROR(_xlfn.STDEV.S('B1'!#REF!,'B2'!#REF!,'B3'!#REF!),0)</f>
        <v>0</v>
      </c>
      <c r="BC53" s="123">
        <f>IFERROR(_xlfn.STDEV.S('B1'!#REF!,'B2'!#REF!,'B3'!#REF!),0)</f>
        <v>0</v>
      </c>
      <c r="BD53" s="18">
        <f>IFERROR(_xlfn.STDEV.S('B1'!#REF!,'B2'!#REF!,'B3'!#REF!),0)</f>
        <v>0</v>
      </c>
      <c r="BE53" s="18">
        <f>IFERROR(_xlfn.STDEV.S('B1'!#REF!,'B2'!#REF!,'B3'!#REF!),0)</f>
        <v>0</v>
      </c>
      <c r="BF53" s="18">
        <f>IFERROR(_xlfn.STDEV.S('B1'!#REF!,'B2'!#REF!,'B3'!#REF!),0)</f>
        <v>0</v>
      </c>
      <c r="BG53" s="18">
        <f>IFERROR(_xlfn.STDEV.S('B1'!#REF!,'B2'!#REF!,'B3'!#REF!),0)</f>
        <v>0</v>
      </c>
      <c r="BH53" s="18">
        <f>IFERROR(_xlfn.STDEV.S('B1'!#REF!,'B2'!#REF!,'B3'!#REF!),0)</f>
        <v>0</v>
      </c>
      <c r="BI53" s="18">
        <f>IFERROR(_xlfn.STDEV.S('B1'!#REF!,'B2'!#REF!,'B3'!#REF!),0)</f>
        <v>0</v>
      </c>
      <c r="BJ53" s="132">
        <f>IFERROR(_xlfn.STDEV.S('B1'!#REF!,'B2'!#REF!,'B3'!#REF!),0)</f>
        <v>0</v>
      </c>
      <c r="BK53" s="132">
        <f>IFERROR(_xlfn.STDEV.S('B1'!#REF!,'B2'!#REF!,'B3'!#REF!),0)</f>
        <v>0</v>
      </c>
      <c r="BL53" s="132">
        <f>IFERROR(_xlfn.STDEV.S('B1'!#REF!,'B2'!#REF!,'B3'!#REF!),0)</f>
        <v>0</v>
      </c>
      <c r="BM53" s="132">
        <f>IFERROR(_xlfn.STDEV.S('B1'!#REF!,'B2'!#REF!,'B3'!#REF!),0)</f>
        <v>0</v>
      </c>
      <c r="BN53" s="132">
        <f>IFERROR(_xlfn.STDEV.S('B1'!#REF!,'B2'!#REF!,'B3'!#REF!),0)</f>
        <v>0</v>
      </c>
      <c r="BO53" s="132">
        <f>IFERROR(_xlfn.STDEV.S('B1'!#REF!,'B2'!#REF!,'B3'!#REF!),0)</f>
        <v>0</v>
      </c>
      <c r="BP53" s="132">
        <f>IFERROR(_xlfn.STDEV.S('B1'!#REF!,'B2'!#REF!,'B3'!#REF!),0)</f>
        <v>0</v>
      </c>
      <c r="BQ53" s="132">
        <f>IFERROR(_xlfn.STDEV.S('B1'!#REF!,'B2'!#REF!,'B3'!#REF!),0)</f>
        <v>0</v>
      </c>
      <c r="BR53" s="132">
        <f>IFERROR(_xlfn.STDEV.S('B1'!#REF!,'B2'!#REF!,'B3'!#REF!),0)</f>
        <v>0</v>
      </c>
      <c r="BS53" s="132">
        <f>IFERROR(_xlfn.STDEV.S('B1'!#REF!,'B2'!#REF!,'B3'!#REF!),0)</f>
        <v>0</v>
      </c>
      <c r="BT53" s="132"/>
      <c r="BU53" s="132">
        <f>IFERROR(_xlfn.STDEV.S('B1'!#REF!,'B2'!#REF!,'B3'!#REF!),0)</f>
        <v>0</v>
      </c>
      <c r="BV53" s="132">
        <f>IFERROR(_xlfn.STDEV.S('B1'!#REF!,'B2'!#REF!,'B3'!#REF!),0)</f>
        <v>0</v>
      </c>
      <c r="BW53" s="132">
        <f>IFERROR(_xlfn.STDEV.S('B1'!#REF!,'B2'!#REF!,'B3'!#REF!),0)</f>
        <v>0</v>
      </c>
      <c r="BX53" s="132">
        <f>IFERROR(_xlfn.STDEV.S('B1'!#REF!,'B2'!#REF!,'B3'!#REF!),0)</f>
        <v>0</v>
      </c>
    </row>
    <row r="54" spans="1:76" s="66" customFormat="1" ht="16" thickBot="1" x14ac:dyDescent="0.4">
      <c r="A54" s="63">
        <f t="shared" si="18"/>
        <v>43195</v>
      </c>
      <c r="B54" s="169">
        <f t="shared" si="18"/>
        <v>46</v>
      </c>
      <c r="C54" s="41">
        <f t="shared" si="18"/>
        <v>20</v>
      </c>
      <c r="D54" s="18">
        <f>IFERROR(_xlfn.STDEV.S('B1'!D22,'B2'!D22,'B3'!D22),0)</f>
        <v>0</v>
      </c>
      <c r="E54" s="18">
        <f>IFERROR(_xlfn.STDEV.S('B1'!E22,'B2'!E22,'B3'!E22),0)</f>
        <v>0.56089680517196416</v>
      </c>
      <c r="F54" s="18">
        <f>IFERROR(_xlfn.STDEV.S('B1'!F22,'B2'!F22,'B3'!F22),0)</f>
        <v>0</v>
      </c>
      <c r="G54" s="18">
        <f>IFERROR(_xlfn.STDEV.S('B1'!G22,'B2'!G22,'B3'!G22),0)</f>
        <v>0</v>
      </c>
      <c r="H54" s="18">
        <f>IFERROR(_xlfn.STDEV.S('B1'!H22,'B2'!H22,'B3'!H22),0)</f>
        <v>0</v>
      </c>
      <c r="I54" s="18">
        <f>IFERROR(_xlfn.STDEV.S('B1'!I22,'B2'!I22,'B3'!I22),0)</f>
        <v>0</v>
      </c>
      <c r="J54" s="18">
        <f>IFERROR(_xlfn.STDEV.S('B1'!J22,'B2'!J22,'B3'!J22),0)</f>
        <v>29.910953794552984</v>
      </c>
      <c r="K54" s="18">
        <f>IFERROR(_xlfn.STDEV.S('B1'!K22,'B2'!K22,'B3'!K22),0)</f>
        <v>16.145084851270997</v>
      </c>
      <c r="L54" s="18">
        <f>IFERROR(_xlfn.STDEV.S('B1'!L22,'B2'!L22,'B3'!L22),0)</f>
        <v>27.643601636539781</v>
      </c>
      <c r="M54" s="18">
        <f>IFERROR(_xlfn.STDEV.S('B1'!M22,'B2'!M22,'B3'!M22),0)</f>
        <v>77.957873805183269</v>
      </c>
      <c r="N54" s="18">
        <f>IFERROR(_xlfn.STDEV.S('B1'!N22,'B2'!N22,'B3'!N22),0)</f>
        <v>1.3126750384652381</v>
      </c>
      <c r="O54" s="18">
        <f>IFERROR(_xlfn.STDEV.S('B1'!O22,'B2'!O22,'B3'!O22),0)</f>
        <v>6.7788792499944259</v>
      </c>
      <c r="P54" s="18">
        <f>IFERROR(_xlfn.STDEV.S('B1'!P22,'B2'!P22,'B3'!P22),0)</f>
        <v>0</v>
      </c>
      <c r="Q54" s="18">
        <f>IFERROR(_xlfn.STDEV.S('B1'!Q22,'B2'!Q22,'B3'!Q22),0)</f>
        <v>10.848751640081749</v>
      </c>
      <c r="R54" s="18">
        <f>IFERROR(_xlfn.STDEV.S('B1'!R22,'B2'!R22,'B3'!R22),0)</f>
        <v>0.46152461328380395</v>
      </c>
      <c r="S54" s="18">
        <f>IFERROR(_xlfn.STDEV.S('B1'!S22,'B2'!S22,'B3'!S22),0)</f>
        <v>0</v>
      </c>
      <c r="T54" s="18">
        <f>IFERROR(_xlfn.STDEV.S('B1'!T22,'B2'!T22,'B3'!T22),0)</f>
        <v>0</v>
      </c>
      <c r="U54" s="18">
        <f>IFERROR(_xlfn.STDEV.S('B1'!U22,'B2'!U22,'B3'!U22),0)</f>
        <v>0</v>
      </c>
      <c r="V54" s="18">
        <f>IFERROR(_xlfn.STDEV.S('B1'!V22,'B2'!V22,'B3'!V22),0)</f>
        <v>0</v>
      </c>
      <c r="W54" s="18">
        <f>IFERROR(_xlfn.STDEV.S('B1'!W22,'B2'!W22,'B3'!W22),0)</f>
        <v>0</v>
      </c>
      <c r="X54" s="18">
        <f>IFERROR(_xlfn.STDEV.S('B1'!X22,'B2'!X22,'B3'!X22),0)</f>
        <v>0</v>
      </c>
      <c r="Y54" s="18">
        <f>IFERROR(_xlfn.STDEV.S('B1'!Y22,'B2'!Y22,'B3'!Y22),0)</f>
        <v>0</v>
      </c>
      <c r="Z54" s="18">
        <f>IFERROR(_xlfn.STDEV.S('B1'!Z22,'B2'!Z22,'B3'!Z22),0)</f>
        <v>0</v>
      </c>
      <c r="AA54" s="18">
        <f>IFERROR(_xlfn.STDEV.S('B1'!AB22,'B2'!AA22,'B3'!AA22),0)</f>
        <v>0</v>
      </c>
      <c r="AB54" s="18">
        <f>IFERROR(_xlfn.STDEV.S('B1'!AC22,'B2'!AB22,'B3'!AB22),0)</f>
        <v>0</v>
      </c>
      <c r="AC54" s="18">
        <f>IFERROR(_xlfn.STDEV.S('B1'!AD22,'B2'!AC22,'B3'!AC22),0)</f>
        <v>0</v>
      </c>
      <c r="AD54" s="18">
        <f>IFERROR(_xlfn.STDEV.S('B1'!AE22,'B2'!AD22,'B3'!AD22),0)</f>
        <v>0</v>
      </c>
      <c r="AE54" s="18">
        <f>IFERROR(_xlfn.STDEV.S('B1'!AF22,'B2'!AE22,'B3'!AE22),0)</f>
        <v>4.0414518843273968E-2</v>
      </c>
      <c r="AF54" s="18">
        <f>IFERROR(_xlfn.STDEV.S('B1'!AG22,'B2'!AF22,'B3'!AF22),0)</f>
        <v>0</v>
      </c>
      <c r="AG54" s="18">
        <f>IFERROR(_xlfn.STDEV.S('B1'!AH22,'B2'!AG22,'B3'!AG22),0)</f>
        <v>0</v>
      </c>
      <c r="AH54" s="18">
        <f>IFERROR(_xlfn.STDEV.S('B1'!AI22,'B2'!AH22,'B3'!AH22),0)</f>
        <v>120.46686265913259</v>
      </c>
      <c r="AI54" s="18">
        <f>IFERROR(_xlfn.STDEV.S('B1'!AJ22,'B2'!AI22,'B3'!AI22),0)</f>
        <v>0</v>
      </c>
      <c r="AJ54" s="18">
        <f>IFERROR(_xlfn.STDEV.S('B1'!AK22,'B2'!AJ22,'B3'!AJ22),0)</f>
        <v>0</v>
      </c>
      <c r="AK54" s="18">
        <f>IFERROR(_xlfn.STDEV.S('B1'!AL22,'B2'!AK22,'B3'!AK22),0)</f>
        <v>0</v>
      </c>
      <c r="AL54" s="18">
        <f>IFERROR(_xlfn.STDEV.S('B1'!AM22,'B2'!AL22,'B3'!AL22),0)</f>
        <v>0</v>
      </c>
      <c r="AM54" s="18">
        <f>IFERROR(_xlfn.STDEV.S('B1'!AN22,'B2'!AM22,'B3'!AM22),0)</f>
        <v>0</v>
      </c>
      <c r="AN54" s="18">
        <f>IFERROR(_xlfn.STDEV.S('B1'!AO22,'B2'!AN22,'B3'!AN22),0)</f>
        <v>0</v>
      </c>
      <c r="AO54" s="18">
        <f>IFERROR(_xlfn.STDEV.S('B1'!AP22,'B2'!AO22,'B3'!AO22),0)</f>
        <v>0</v>
      </c>
      <c r="AP54" s="174">
        <f>IFERROR(_xlfn.STDEV.S('B1'!AQ22,'B2'!AP22,'B3'!AP22),0)</f>
        <v>0.59821907589105949</v>
      </c>
      <c r="AQ54" s="174">
        <f>IFERROR(_xlfn.STDEV.S('B1'!AR22,'B2'!AQ22,'B3'!AQ22),0)</f>
        <v>0.32290169702541943</v>
      </c>
      <c r="AR54" s="174">
        <f>IFERROR(_xlfn.STDEV.S('B1'!AS22,'B2'!AR22,'B3'!AR22),0)</f>
        <v>0.56396697815812413</v>
      </c>
      <c r="AS54" s="174">
        <f>IFERROR(_xlfn.STDEV.S('B1'!AT22,'B2'!AS22,'B3'!AS22),0)</f>
        <v>1.5591574761036617</v>
      </c>
      <c r="AT54" s="174">
        <f>IFERROR(_xlfn.STDEV.S('B1'!AU22,'B2'!AT22,'B3'!AT22),0)</f>
        <v>4.1189641637460944E-2</v>
      </c>
      <c r="AU54" s="174">
        <f>IFERROR(_xlfn.STDEV.S('B1'!AV22,'B2'!AU22,'B3'!AU22),0)</f>
        <v>0.13557758499988848</v>
      </c>
      <c r="AV54" s="174">
        <f>IFERROR(_xlfn.STDEV.S('B1'!AW22,'B2'!AV22,'B3'!AV22),0)</f>
        <v>0</v>
      </c>
      <c r="AW54" s="174">
        <f>IFERROR(_xlfn.STDEV.S('B1'!AX22,'B2'!AW22,'B3'!AW22),0)</f>
        <v>0.23122739246287119</v>
      </c>
      <c r="AX54" s="174">
        <f>IFERROR(_xlfn.STDEV.S('B1'!AY22,'B2'!AX22,'B3'!AX22),0)</f>
        <v>0</v>
      </c>
      <c r="AY54" s="174">
        <f>IFERROR(_xlfn.STDEV.S('B1'!AZ22,'B2'!AY22,'B3'!AY22),0)</f>
        <v>0</v>
      </c>
      <c r="AZ54" s="131">
        <f>IFERROR(_xlfn.STDEV.S('B1'!BA22,'B2'!AZ22,'B3'!AZ22),0)</f>
        <v>26.746639133910431</v>
      </c>
      <c r="BA54" s="131">
        <f>_xlfn.STDEV.S('B1'!BB22,'B2'!BA22,'B3'!BA22)</f>
        <v>2.4093372531826516</v>
      </c>
      <c r="BB54" s="123">
        <f>IFERROR(_xlfn.STDEV.S('B1'!#REF!,'B2'!#REF!,'B3'!#REF!),0)</f>
        <v>0</v>
      </c>
      <c r="BC54" s="123">
        <f>IFERROR(_xlfn.STDEV.S('B1'!#REF!,'B2'!#REF!,'B3'!#REF!),0)</f>
        <v>0</v>
      </c>
      <c r="BD54" s="18">
        <f>IFERROR(_xlfn.STDEV.S('B1'!#REF!,'B2'!#REF!,'B3'!#REF!),0)</f>
        <v>0</v>
      </c>
      <c r="BE54" s="18">
        <f>IFERROR(_xlfn.STDEV.S('B1'!#REF!,'B2'!#REF!,'B3'!#REF!),0)</f>
        <v>0</v>
      </c>
      <c r="BF54" s="18">
        <f>IFERROR(_xlfn.STDEV.S('B1'!#REF!,'B2'!#REF!,'B3'!#REF!),0)</f>
        <v>0</v>
      </c>
      <c r="BG54" s="18">
        <f>IFERROR(_xlfn.STDEV.S('B1'!#REF!,'B2'!#REF!,'B3'!#REF!),0)</f>
        <v>0</v>
      </c>
      <c r="BH54" s="18">
        <f>IFERROR(_xlfn.STDEV.S('B1'!#REF!,'B2'!#REF!,'B3'!#REF!),0)</f>
        <v>0</v>
      </c>
      <c r="BI54" s="18">
        <f>IFERROR(_xlfn.STDEV.S('B1'!#REF!,'B2'!#REF!,'B3'!#REF!),0)</f>
        <v>0</v>
      </c>
      <c r="BJ54" s="132">
        <f>IFERROR(_xlfn.STDEV.S('B1'!#REF!,'B2'!#REF!,'B3'!#REF!),0)</f>
        <v>0</v>
      </c>
      <c r="BK54" s="132">
        <f>IFERROR(_xlfn.STDEV.S('B1'!#REF!,'B2'!#REF!,'B3'!#REF!),0)</f>
        <v>0</v>
      </c>
      <c r="BL54" s="132">
        <f>IFERROR(_xlfn.STDEV.S('B1'!#REF!,'B2'!#REF!,'B3'!#REF!),0)</f>
        <v>0</v>
      </c>
      <c r="BM54" s="132">
        <f>IFERROR(_xlfn.STDEV.S('B1'!#REF!,'B2'!#REF!,'B3'!#REF!),0)</f>
        <v>0</v>
      </c>
      <c r="BN54" s="132">
        <f>IFERROR(_xlfn.STDEV.S('B1'!#REF!,'B2'!#REF!,'B3'!#REF!),0)</f>
        <v>0</v>
      </c>
      <c r="BO54" s="132">
        <f>IFERROR(_xlfn.STDEV.S('B1'!#REF!,'B2'!#REF!,'B3'!#REF!),0)</f>
        <v>0</v>
      </c>
      <c r="BP54" s="132">
        <f>IFERROR(_xlfn.STDEV.S('B1'!#REF!,'B2'!#REF!,'B3'!#REF!),0)</f>
        <v>0</v>
      </c>
      <c r="BQ54" s="132">
        <f>IFERROR(_xlfn.STDEV.S('B1'!#REF!,'B2'!#REF!,'B3'!#REF!),0)</f>
        <v>0</v>
      </c>
      <c r="BR54" s="132">
        <f>IFERROR(_xlfn.STDEV.S('B1'!#REF!,'B2'!#REF!,'B3'!#REF!),0)</f>
        <v>0</v>
      </c>
      <c r="BS54" s="132">
        <f>IFERROR(_xlfn.STDEV.S('B1'!#REF!,'B2'!#REF!,'B3'!#REF!),0)</f>
        <v>0</v>
      </c>
      <c r="BT54" s="132"/>
      <c r="BU54" s="132">
        <f>IFERROR(_xlfn.STDEV.S('B1'!#REF!,'B2'!#REF!,'B3'!#REF!),0)</f>
        <v>0</v>
      </c>
      <c r="BV54" s="132">
        <f>IFERROR(_xlfn.STDEV.S('B1'!#REF!,'B2'!#REF!,'B3'!#REF!),0)</f>
        <v>0</v>
      </c>
      <c r="BW54" s="132">
        <f>IFERROR(_xlfn.STDEV.S('B1'!#REF!,'B2'!#REF!,'B3'!#REF!),0)</f>
        <v>0</v>
      </c>
      <c r="BX54" s="132">
        <f>IFERROR(_xlfn.STDEV.S('B1'!#REF!,'B2'!#REF!,'B3'!#REF!),0)</f>
        <v>0</v>
      </c>
    </row>
    <row r="55" spans="1:76" s="47" customFormat="1" ht="16" thickBot="1" x14ac:dyDescent="0.4">
      <c r="A55" s="63">
        <f t="shared" si="18"/>
        <v>43317</v>
      </c>
      <c r="B55" s="169">
        <f t="shared" si="18"/>
        <v>50</v>
      </c>
      <c r="C55" s="41">
        <f t="shared" si="18"/>
        <v>50</v>
      </c>
      <c r="D55" s="18">
        <f>IFERROR(_xlfn.STDEV.S('B1'!D23,'B2'!D23,'B3'!D23),0)</f>
        <v>0</v>
      </c>
      <c r="E55" s="18">
        <f>IFERROR(_xlfn.STDEV.S('B1'!E23,'B2'!E23,'B3'!E23),0)</f>
        <v>0.16211674639716503</v>
      </c>
      <c r="F55" s="18">
        <f>IFERROR(_xlfn.STDEV.S('B1'!F23,'B2'!F23,'B3'!F23),0)</f>
        <v>0</v>
      </c>
      <c r="G55" s="18">
        <f>IFERROR(_xlfn.STDEV.S('B1'!G23,'B2'!G23,'B3'!G23),0)</f>
        <v>0</v>
      </c>
      <c r="H55" s="18">
        <f>IFERROR(_xlfn.STDEV.S('B1'!H23,'B2'!H23,'B3'!H23),0)</f>
        <v>0</v>
      </c>
      <c r="I55" s="18">
        <f>IFERROR(_xlfn.STDEV.S('B1'!I23,'B2'!I23,'B3'!I23),0)</f>
        <v>0</v>
      </c>
      <c r="J55" s="18">
        <f>IFERROR(_xlfn.STDEV.S('B1'!J23,'B2'!J23,'B3'!J23),0)</f>
        <v>7.7395162088336464</v>
      </c>
      <c r="K55" s="18">
        <f>IFERROR(_xlfn.STDEV.S('B1'!K23,'B2'!K23,'B3'!K23),0)</f>
        <v>12.184040719283674</v>
      </c>
      <c r="L55" s="18">
        <f>IFERROR(_xlfn.STDEV.S('B1'!L23,'B2'!L23,'B3'!L23),0)</f>
        <v>10.941610295735053</v>
      </c>
      <c r="M55" s="18">
        <f>IFERROR(_xlfn.STDEV.S('B1'!M23,'B2'!M23,'B3'!M23),0)</f>
        <v>30.362542882979447</v>
      </c>
      <c r="N55" s="18">
        <f>IFERROR(_xlfn.STDEV.S('B1'!N23,'B2'!N23,'B3'!N23),0)</f>
        <v>0.75289597011967713</v>
      </c>
      <c r="O55" s="18">
        <f>IFERROR(_xlfn.STDEV.S('B1'!O23,'B2'!O23,'B3'!O23),0)</f>
        <v>2.2909987661238582</v>
      </c>
      <c r="P55" s="18">
        <f>IFERROR(_xlfn.STDEV.S('B1'!P23,'B2'!P23,'B3'!P23),0)</f>
        <v>0</v>
      </c>
      <c r="Q55" s="18">
        <f>IFERROR(_xlfn.STDEV.S('B1'!Q23,'B2'!Q23,'B3'!Q23),0)</f>
        <v>3.1246537361392557</v>
      </c>
      <c r="R55" s="18">
        <f>IFERROR(_xlfn.STDEV.S('B1'!R23,'B2'!R23,'B3'!R23),0)</f>
        <v>0</v>
      </c>
      <c r="S55" s="18">
        <f>IFERROR(_xlfn.STDEV.S('B1'!S23,'B2'!S23,'B3'!S23),0)</f>
        <v>0</v>
      </c>
      <c r="T55" s="18">
        <f>IFERROR(_xlfn.STDEV.S('B1'!T23,'B2'!T23,'B3'!T23),0)</f>
        <v>0</v>
      </c>
      <c r="U55" s="18">
        <f>IFERROR(_xlfn.STDEV.S('B1'!U23,'B2'!U23,'B3'!U23),0)</f>
        <v>0</v>
      </c>
      <c r="V55" s="18">
        <f>IFERROR(_xlfn.STDEV.S('B1'!V23,'B2'!V23,'B3'!V23),0)</f>
        <v>0</v>
      </c>
      <c r="W55" s="18">
        <f>IFERROR(_xlfn.STDEV.S('B1'!W23,'B2'!W23,'B3'!W23),0)</f>
        <v>0</v>
      </c>
      <c r="X55" s="18">
        <f>IFERROR(_xlfn.STDEV.S('B1'!X23,'B2'!X23,'B3'!X23),0)</f>
        <v>0</v>
      </c>
      <c r="Y55" s="18">
        <f>IFERROR(_xlfn.STDEV.S('B1'!Y23,'B2'!Y23,'B3'!Y23),0)</f>
        <v>0</v>
      </c>
      <c r="Z55" s="18">
        <f>IFERROR(_xlfn.STDEV.S('B1'!Z23,'B2'!Z23,'B3'!Z23),0)</f>
        <v>0</v>
      </c>
      <c r="AA55" s="18">
        <f>IFERROR(_xlfn.STDEV.S('B1'!AB23,'B2'!AA23,'B3'!AA23),0)</f>
        <v>0</v>
      </c>
      <c r="AB55" s="18">
        <f>IFERROR(_xlfn.STDEV.S('B1'!AC23,'B2'!AB23,'B3'!AB23),0)</f>
        <v>0</v>
      </c>
      <c r="AC55" s="18">
        <f>IFERROR(_xlfn.STDEV.S('B1'!AD23,'B2'!AC23,'B3'!AC23),0)</f>
        <v>0</v>
      </c>
      <c r="AD55" s="18">
        <f>IFERROR(_xlfn.STDEV.S('B1'!AE23,'B2'!AD23,'B3'!AD23),0)</f>
        <v>0</v>
      </c>
      <c r="AE55" s="18">
        <f>IFERROR(_xlfn.STDEV.S('B1'!AF23,'B2'!AE23,'B3'!AE23),0)</f>
        <v>0</v>
      </c>
      <c r="AF55" s="18">
        <f>IFERROR(_xlfn.STDEV.S('B1'!AG23,'B2'!AF23,'B3'!AF23),0)</f>
        <v>0</v>
      </c>
      <c r="AG55" s="18">
        <f>IFERROR(_xlfn.STDEV.S('B1'!AH23,'B2'!AG23,'B3'!AG23),0)</f>
        <v>0</v>
      </c>
      <c r="AH55" s="18">
        <f>IFERROR(_xlfn.STDEV.S('B1'!AI23,'B2'!AH23,'B3'!AH23),0)</f>
        <v>0</v>
      </c>
      <c r="AI55" s="18">
        <f>IFERROR(_xlfn.STDEV.S('B1'!AJ23,'B2'!AI23,'B3'!AI23),0)</f>
        <v>0</v>
      </c>
      <c r="AJ55" s="18">
        <f>IFERROR(_xlfn.STDEV.S('B1'!AK23,'B2'!AJ23,'B3'!AJ23),0)</f>
        <v>0</v>
      </c>
      <c r="AK55" s="18">
        <f>IFERROR(_xlfn.STDEV.S('B1'!AL23,'B2'!AK23,'B3'!AK23),0)</f>
        <v>0</v>
      </c>
      <c r="AL55" s="18">
        <f>IFERROR(_xlfn.STDEV.S('B1'!AM23,'B2'!AL23,'B3'!AL23),0)</f>
        <v>0</v>
      </c>
      <c r="AM55" s="18">
        <f>IFERROR(_xlfn.STDEV.S('B1'!AN23,'B2'!AM23,'B3'!AM23),0)</f>
        <v>0</v>
      </c>
      <c r="AN55" s="18">
        <f>IFERROR(_xlfn.STDEV.S('B1'!AO23,'B2'!AN23,'B3'!AN23),0)</f>
        <v>0</v>
      </c>
      <c r="AO55" s="18">
        <f>IFERROR(_xlfn.STDEV.S('B1'!AP23,'B2'!AO23,'B3'!AO23),0)</f>
        <v>0</v>
      </c>
      <c r="AP55" s="174">
        <f>IFERROR(_xlfn.STDEV.S('B1'!AQ23,'B2'!AP23,'B3'!AP23),0)</f>
        <v>0.38697581044168194</v>
      </c>
      <c r="AQ55" s="174">
        <f>IFERROR(_xlfn.STDEV.S('B1'!AR23,'B2'!AQ23,'B3'!AQ23),0)</f>
        <v>0.60920203596418421</v>
      </c>
      <c r="AR55" s="174">
        <f>IFERROR(_xlfn.STDEV.S('B1'!AS23,'B2'!AR23,'B3'!AR23),0)</f>
        <v>0.5470805147867529</v>
      </c>
      <c r="AS55" s="174">
        <f>IFERROR(_xlfn.STDEV.S('B1'!AT23,'B2'!AS23,'B3'!AS23),0)</f>
        <v>1.5181271441489779</v>
      </c>
      <c r="AT55" s="174">
        <f>IFERROR(_xlfn.STDEV.S('B1'!AU23,'B2'!AT23,'B3'!AT23),0)</f>
        <v>0</v>
      </c>
      <c r="AU55" s="174">
        <f>IFERROR(_xlfn.STDEV.S('B1'!AV23,'B2'!AU23,'B3'!AU23),0)</f>
        <v>0.18088421736214552</v>
      </c>
      <c r="AV55" s="174">
        <f>IFERROR(_xlfn.STDEV.S('B1'!AW23,'B2'!AV23,'B3'!AV23),0)</f>
        <v>0</v>
      </c>
      <c r="AW55" s="174">
        <f>IFERROR(_xlfn.STDEV.S('B1'!AX23,'B2'!AW23,'B3'!AW23),0)</f>
        <v>0.19257511902773827</v>
      </c>
      <c r="AX55" s="174">
        <f>IFERROR(_xlfn.STDEV.S('B1'!AY23,'B2'!AX23,'B3'!AX23),0)</f>
        <v>0</v>
      </c>
      <c r="AY55" s="174">
        <f>IFERROR(_xlfn.STDEV.S('B1'!AZ23,'B2'!AY23,'B3'!AY23),0)</f>
        <v>0</v>
      </c>
      <c r="AZ55" s="131">
        <f>IFERROR(_xlfn.STDEV.S('B1'!BA23,'B2'!AZ23,'B3'!AZ23),0)</f>
        <v>0</v>
      </c>
      <c r="BA55" s="131">
        <f>_xlfn.STDEV.S('B1'!BB23,'B2'!BA23,'B3'!BA23)</f>
        <v>0</v>
      </c>
      <c r="BB55" s="123">
        <f>IFERROR(_xlfn.STDEV.S('B1'!#REF!,'B2'!#REF!,'B3'!#REF!),0)</f>
        <v>0</v>
      </c>
      <c r="BC55" s="123">
        <f>IFERROR(_xlfn.STDEV.S('B1'!#REF!,'B2'!#REF!,'B3'!#REF!),0)</f>
        <v>0</v>
      </c>
      <c r="BD55" s="18">
        <f>IFERROR(_xlfn.STDEV.S('B1'!#REF!,'B2'!#REF!,'B3'!#REF!),0)</f>
        <v>0</v>
      </c>
      <c r="BE55" s="18">
        <f>IFERROR(_xlfn.STDEV.S('B1'!#REF!,'B2'!#REF!,'B3'!#REF!),0)</f>
        <v>0</v>
      </c>
      <c r="BF55" s="18">
        <f>IFERROR(_xlfn.STDEV.S('B1'!#REF!,'B2'!#REF!,'B3'!#REF!),0)</f>
        <v>0</v>
      </c>
      <c r="BG55" s="18">
        <f>IFERROR(_xlfn.STDEV.S('B1'!#REF!,'B2'!#REF!,'B3'!#REF!),0)</f>
        <v>0</v>
      </c>
      <c r="BH55" s="18">
        <f>IFERROR(_xlfn.STDEV.S('B1'!#REF!,'B2'!#REF!,'B3'!#REF!),0)</f>
        <v>0</v>
      </c>
      <c r="BI55" s="18">
        <f>IFERROR(_xlfn.STDEV.S('B1'!#REF!,'B2'!#REF!,'B3'!#REF!),0)</f>
        <v>0</v>
      </c>
      <c r="BJ55" s="132">
        <f>IFERROR(_xlfn.STDEV.S('B1'!#REF!,'B2'!#REF!,'B3'!#REF!),0)</f>
        <v>0</v>
      </c>
      <c r="BK55" s="132">
        <f>IFERROR(_xlfn.STDEV.S('B1'!#REF!,'B2'!#REF!,'B3'!#REF!),0)</f>
        <v>0</v>
      </c>
      <c r="BL55" s="132">
        <f>IFERROR(_xlfn.STDEV.S('B1'!#REF!,'B2'!#REF!,'B3'!#REF!),0)</f>
        <v>0</v>
      </c>
      <c r="BM55" s="132">
        <f>IFERROR(_xlfn.STDEV.S('B1'!#REF!,'B2'!#REF!,'B3'!#REF!),0)</f>
        <v>0</v>
      </c>
      <c r="BN55" s="132">
        <f>IFERROR(_xlfn.STDEV.S('B1'!#REF!,'B2'!#REF!,'B3'!#REF!),0)</f>
        <v>0</v>
      </c>
      <c r="BO55" s="132">
        <f>IFERROR(_xlfn.STDEV.S('B1'!#REF!,'B2'!#REF!,'B3'!#REF!),0)</f>
        <v>0</v>
      </c>
      <c r="BP55" s="132">
        <f>IFERROR(_xlfn.STDEV.S('B1'!#REF!,'B2'!#REF!,'B3'!#REF!),0)</f>
        <v>0</v>
      </c>
      <c r="BQ55" s="132">
        <f>IFERROR(_xlfn.STDEV.S('B1'!#REF!,'B2'!#REF!,'B3'!#REF!),0)</f>
        <v>0</v>
      </c>
      <c r="BR55" s="132">
        <f>IFERROR(_xlfn.STDEV.S('B1'!#REF!,'B2'!#REF!,'B3'!#REF!),0)</f>
        <v>0</v>
      </c>
      <c r="BS55" s="132">
        <f>IFERROR(_xlfn.STDEV.S('B1'!#REF!,'B2'!#REF!,'B3'!#REF!),0)</f>
        <v>0</v>
      </c>
      <c r="BT55" s="132"/>
      <c r="BU55" s="132">
        <f>IFERROR(_xlfn.STDEV.S('B1'!#REF!,'B2'!#REF!,'B3'!#REF!),0)</f>
        <v>0</v>
      </c>
      <c r="BV55" s="132">
        <f>IFERROR(_xlfn.STDEV.S('B1'!#REF!,'B2'!#REF!,'B3'!#REF!),0)</f>
        <v>0</v>
      </c>
      <c r="BW55" s="132">
        <f>IFERROR(_xlfn.STDEV.S('B1'!#REF!,'B2'!#REF!,'B3'!#REF!),0)</f>
        <v>0</v>
      </c>
      <c r="BX55" s="132">
        <f>IFERROR(_xlfn.STDEV.S('B1'!#REF!,'B2'!#REF!,'B3'!#REF!),0)</f>
        <v>0</v>
      </c>
    </row>
    <row r="56" spans="1:76" s="66" customFormat="1" ht="16" thickBot="1" x14ac:dyDescent="0.4">
      <c r="A56" s="63" t="str">
        <f t="shared" si="18"/>
        <v>16-05-2018</v>
      </c>
      <c r="B56" s="169">
        <f t="shared" si="18"/>
        <v>58</v>
      </c>
      <c r="C56" s="41">
        <f t="shared" si="18"/>
        <v>20</v>
      </c>
      <c r="D56" s="18">
        <f>IFERROR(_xlfn.STDEV.S('B1'!D24,'B2'!D24,'B3'!D24),0)</f>
        <v>0</v>
      </c>
      <c r="E56" s="18">
        <f>IFERROR(_xlfn.STDEV.S('B1'!E24,'B2'!E24,'B3'!E24),0)</f>
        <v>0</v>
      </c>
      <c r="F56" s="18">
        <f>IFERROR(_xlfn.STDEV.S('B1'!F24,'B2'!F24,'B3'!F24),0)</f>
        <v>0</v>
      </c>
      <c r="G56" s="18">
        <f>IFERROR(_xlfn.STDEV.S('B1'!G24,'B2'!G24,'B3'!G24),0)</f>
        <v>0</v>
      </c>
      <c r="H56" s="18">
        <f>IFERROR(_xlfn.STDEV.S('B1'!H24,'B2'!H24,'B3'!H24),0)</f>
        <v>0</v>
      </c>
      <c r="I56" s="18">
        <f>IFERROR(_xlfn.STDEV.S('B1'!I24,'B2'!I24,'B3'!I24),0)</f>
        <v>0</v>
      </c>
      <c r="J56" s="18">
        <f>IFERROR(_xlfn.STDEV.S('B1'!J24,'B2'!J24,'B3'!J24),0)</f>
        <v>27.233335922871198</v>
      </c>
      <c r="K56" s="18">
        <f>IFERROR(_xlfn.STDEV.S('B1'!K24,'B2'!K24,'B3'!K24),0)</f>
        <v>52.743864890352519</v>
      </c>
      <c r="L56" s="18">
        <f>IFERROR(_xlfn.STDEV.S('B1'!L24,'B2'!L24,'B3'!L24),0)</f>
        <v>32.022301304940264</v>
      </c>
      <c r="M56" s="18">
        <f>IFERROR(_xlfn.STDEV.S('B1'!M24,'B2'!M24,'B3'!M24),0)</f>
        <v>68.03392183800338</v>
      </c>
      <c r="N56" s="18">
        <f>IFERROR(_xlfn.STDEV.S('B1'!N24,'B2'!N24,'B3'!N24),0)</f>
        <v>2.0458831665136241</v>
      </c>
      <c r="O56" s="18">
        <f>IFERROR(_xlfn.STDEV.S('B1'!O24,'B2'!O24,'B3'!O24),0)</f>
        <v>8.1040074878402102</v>
      </c>
      <c r="P56" s="18">
        <f>IFERROR(_xlfn.STDEV.S('B1'!P24,'B2'!P24,'B3'!P24),0)</f>
        <v>0.4315425472444247</v>
      </c>
      <c r="Q56" s="18">
        <f>IFERROR(_xlfn.STDEV.S('B1'!Q24,'B2'!Q24,'B3'!Q24),0)</f>
        <v>10.827007352548859</v>
      </c>
      <c r="R56" s="18">
        <f>IFERROR(_xlfn.STDEV.S('B1'!R24,'B2'!R24,'B3'!R24),0)</f>
        <v>0.9271966215504045</v>
      </c>
      <c r="S56" s="18">
        <f>IFERROR(_xlfn.STDEV.S('B1'!S24,'B2'!S24,'B3'!S24),0)</f>
        <v>0</v>
      </c>
      <c r="T56" s="18">
        <f>IFERROR(_xlfn.STDEV.S('B1'!T24,'B2'!T24,'B3'!T24),0)</f>
        <v>0</v>
      </c>
      <c r="U56" s="18">
        <f>IFERROR(_xlfn.STDEV.S('B1'!U24,'B2'!U24,'B3'!U24),0)</f>
        <v>0</v>
      </c>
      <c r="V56" s="18">
        <f>IFERROR(_xlfn.STDEV.S('B1'!V24,'B2'!V24,'B3'!V24),0)</f>
        <v>0</v>
      </c>
      <c r="W56" s="18">
        <f>IFERROR(_xlfn.STDEV.S('B1'!W24,'B2'!W24,'B3'!W24),0)</f>
        <v>0</v>
      </c>
      <c r="X56" s="18">
        <f>IFERROR(_xlfn.STDEV.S('B1'!X24,'B2'!X24,'B3'!X24),0)</f>
        <v>0</v>
      </c>
      <c r="Y56" s="18">
        <f>IFERROR(_xlfn.STDEV.S('B1'!Y24,'B2'!Y24,'B3'!Y24),0)</f>
        <v>0</v>
      </c>
      <c r="Z56" s="18">
        <f>IFERROR(_xlfn.STDEV.S('B1'!Z24,'B2'!Z24,'B3'!Z24),0)</f>
        <v>0</v>
      </c>
      <c r="AA56" s="18">
        <f>IFERROR(_xlfn.STDEV.S('B1'!AB24,'B2'!AA24,'B3'!AA24),0)</f>
        <v>0</v>
      </c>
      <c r="AB56" s="18">
        <f>IFERROR(_xlfn.STDEV.S('B1'!AC24,'B2'!AB24,'B3'!AB24),0)</f>
        <v>0</v>
      </c>
      <c r="AC56" s="18">
        <f>IFERROR(_xlfn.STDEV.S('B1'!AD24,'B2'!AC24,'B3'!AC24),0)</f>
        <v>0</v>
      </c>
      <c r="AD56" s="18">
        <f>IFERROR(_xlfn.STDEV.S('B1'!AE24,'B2'!AD24,'B3'!AD24),0)</f>
        <v>0</v>
      </c>
      <c r="AE56" s="18">
        <f>IFERROR(_xlfn.STDEV.S('B1'!AF24,'B2'!AE24,'B3'!AE24),0)</f>
        <v>1.7320508075688405E-2</v>
      </c>
      <c r="AF56" s="18">
        <f>IFERROR(_xlfn.STDEV.S('B1'!AG24,'B2'!AF24,'B3'!AF24),0)</f>
        <v>0</v>
      </c>
      <c r="AG56" s="18">
        <f>IFERROR(_xlfn.STDEV.S('B1'!AH24,'B2'!AG24,'B3'!AG24),0)</f>
        <v>0</v>
      </c>
      <c r="AH56" s="18">
        <f>IFERROR(_xlfn.STDEV.S('B1'!AI24,'B2'!AH24,'B3'!AH24),0)</f>
        <v>0</v>
      </c>
      <c r="AI56" s="18">
        <f>IFERROR(_xlfn.STDEV.S('B1'!AJ24,'B2'!AI24,'B3'!AI24),0)</f>
        <v>0</v>
      </c>
      <c r="AJ56" s="18">
        <f>IFERROR(_xlfn.STDEV.S('B1'!AK24,'B2'!AJ24,'B3'!AJ24),0)</f>
        <v>0</v>
      </c>
      <c r="AK56" s="18">
        <f>IFERROR(_xlfn.STDEV.S('B1'!AL24,'B2'!AK24,'B3'!AK24),0)</f>
        <v>0</v>
      </c>
      <c r="AL56" s="18">
        <f>IFERROR(_xlfn.STDEV.S('B1'!AM24,'B2'!AL24,'B3'!AL24),0)</f>
        <v>0</v>
      </c>
      <c r="AM56" s="18">
        <f>IFERROR(_xlfn.STDEV.S('B1'!AN24,'B2'!AM24,'B3'!AM24),0)</f>
        <v>0</v>
      </c>
      <c r="AN56" s="18">
        <f>IFERROR(_xlfn.STDEV.S('B1'!AO24,'B2'!AN24,'B3'!AN24),0)</f>
        <v>0</v>
      </c>
      <c r="AO56" s="18">
        <f>IFERROR(_xlfn.STDEV.S('B1'!AP24,'B2'!AO24,'B3'!AO24),0)</f>
        <v>0</v>
      </c>
      <c r="AP56" s="174">
        <f>IFERROR(_xlfn.STDEV.S('B1'!AQ24,'B2'!AP24,'B3'!AP24),0)</f>
        <v>0.54466671845742343</v>
      </c>
      <c r="AQ56" s="174">
        <f>IFERROR(_xlfn.STDEV.S('B1'!AR24,'B2'!AQ24,'B3'!AQ24),0)</f>
        <v>1.0548772978070515</v>
      </c>
      <c r="AR56" s="174">
        <f>IFERROR(_xlfn.STDEV.S('B1'!AS24,'B2'!AR24,'B3'!AR24),0)</f>
        <v>0.66851484285970952</v>
      </c>
      <c r="AS56" s="174">
        <f>IFERROR(_xlfn.STDEV.S('B1'!AT24,'B2'!AS24,'B3'!AS24),0)</f>
        <v>1.3606784367600666</v>
      </c>
      <c r="AT56" s="174">
        <f>IFERROR(_xlfn.STDEV.S('B1'!AU24,'B2'!AT24,'B3'!AT24),0)</f>
        <v>6.3786634925810784E-2</v>
      </c>
      <c r="AU56" s="174">
        <f>IFERROR(_xlfn.STDEV.S('B1'!AV24,'B2'!AU24,'B3'!AU24),0)</f>
        <v>0.1620801497568041</v>
      </c>
      <c r="AV56" s="174">
        <f>IFERROR(_xlfn.STDEV.S('B1'!AW24,'B2'!AV24,'B3'!AV24),0)</f>
        <v>0</v>
      </c>
      <c r="AW56" s="174">
        <f>IFERROR(_xlfn.STDEV.S('B1'!AX24,'B2'!AW24,'B3'!AW24),0)</f>
        <v>0.2165401470509771</v>
      </c>
      <c r="AX56" s="174">
        <f>IFERROR(_xlfn.STDEV.S('B1'!AY24,'B2'!AX24,'B3'!AX24),0)</f>
        <v>0</v>
      </c>
      <c r="AY56" s="174">
        <f>IFERROR(_xlfn.STDEV.S('B1'!AZ24,'B2'!AY24,'B3'!AY24),0)</f>
        <v>0</v>
      </c>
      <c r="AZ56" s="131">
        <f>IFERROR(_xlfn.STDEV.S('B1'!BA24,'B2'!AZ24,'B3'!AZ24),0)</f>
        <v>0</v>
      </c>
      <c r="BA56" s="131">
        <f>_xlfn.STDEV.S('B1'!BB24,'B2'!BA24,'B3'!BA24)</f>
        <v>0</v>
      </c>
      <c r="BB56" s="123">
        <f>IFERROR(_xlfn.STDEV.S('B1'!#REF!,'B2'!#REF!,'B3'!#REF!),0)</f>
        <v>0</v>
      </c>
      <c r="BC56" s="123">
        <f>IFERROR(_xlfn.STDEV.S('B1'!#REF!,'B2'!#REF!,'B3'!#REF!),0)</f>
        <v>0</v>
      </c>
      <c r="BD56" s="18">
        <f>IFERROR(_xlfn.STDEV.S('B1'!#REF!,'B2'!#REF!,'B3'!#REF!),0)</f>
        <v>0</v>
      </c>
      <c r="BE56" s="18">
        <f>IFERROR(_xlfn.STDEV.S('B1'!#REF!,'B2'!#REF!,'B3'!#REF!),0)</f>
        <v>0</v>
      </c>
      <c r="BF56" s="18">
        <f>IFERROR(_xlfn.STDEV.S('B1'!#REF!,'B2'!#REF!,'B3'!#REF!),0)</f>
        <v>0</v>
      </c>
      <c r="BG56" s="18">
        <f>IFERROR(_xlfn.STDEV.S('B1'!#REF!,'B2'!#REF!,'B3'!#REF!),0)</f>
        <v>0</v>
      </c>
      <c r="BH56" s="18">
        <f>IFERROR(_xlfn.STDEV.S('B1'!#REF!,'B2'!#REF!,'B3'!#REF!),0)</f>
        <v>0</v>
      </c>
      <c r="BI56" s="18">
        <f>IFERROR(_xlfn.STDEV.S('B1'!#REF!,'B2'!#REF!,'B3'!#REF!),0)</f>
        <v>0</v>
      </c>
      <c r="BJ56" s="132">
        <f>IFERROR(_xlfn.STDEV.S('B1'!#REF!,'B2'!#REF!,'B3'!#REF!),0)</f>
        <v>0</v>
      </c>
      <c r="BK56" s="132">
        <f>IFERROR(_xlfn.STDEV.S('B1'!#REF!,'B2'!#REF!,'B3'!#REF!),0)</f>
        <v>0</v>
      </c>
      <c r="BL56" s="132">
        <f>IFERROR(_xlfn.STDEV.S('B1'!#REF!,'B2'!#REF!,'B3'!#REF!),0)</f>
        <v>0</v>
      </c>
      <c r="BM56" s="132">
        <f>IFERROR(_xlfn.STDEV.S('B1'!#REF!,'B2'!#REF!,'B3'!#REF!),0)</f>
        <v>0</v>
      </c>
      <c r="BN56" s="132">
        <f>IFERROR(_xlfn.STDEV.S('B1'!#REF!,'B2'!#REF!,'B3'!#REF!),0)</f>
        <v>0</v>
      </c>
      <c r="BO56" s="132">
        <f>IFERROR(_xlfn.STDEV.S('B1'!#REF!,'B2'!#REF!,'B3'!#REF!),0)</f>
        <v>0</v>
      </c>
      <c r="BP56" s="132">
        <f>IFERROR(_xlfn.STDEV.S('B1'!#REF!,'B2'!#REF!,'B3'!#REF!),0)</f>
        <v>0</v>
      </c>
      <c r="BQ56" s="132">
        <f>IFERROR(_xlfn.STDEV.S('B1'!#REF!,'B2'!#REF!,'B3'!#REF!),0)</f>
        <v>0</v>
      </c>
      <c r="BR56" s="132">
        <f>IFERROR(_xlfn.STDEV.S('B1'!#REF!,'B2'!#REF!,'B3'!#REF!),0)</f>
        <v>0</v>
      </c>
      <c r="BS56" s="132">
        <f>IFERROR(_xlfn.STDEV.S('B1'!#REF!,'B2'!#REF!,'B3'!#REF!),0)</f>
        <v>0</v>
      </c>
      <c r="BT56" s="132"/>
      <c r="BU56" s="132">
        <f>IFERROR(_xlfn.STDEV.S('B1'!#REF!,'B2'!#REF!,'B3'!#REF!),0)</f>
        <v>0</v>
      </c>
      <c r="BV56" s="132">
        <f>IFERROR(_xlfn.STDEV.S('B1'!#REF!,'B2'!#REF!,'B3'!#REF!),0)</f>
        <v>0</v>
      </c>
      <c r="BW56" s="132">
        <f>IFERROR(_xlfn.STDEV.S('B1'!#REF!,'B2'!#REF!,'B3'!#REF!),0)</f>
        <v>0</v>
      </c>
      <c r="BX56" s="132">
        <f>IFERROR(_xlfn.STDEV.S('B1'!#REF!,'B2'!#REF!,'B3'!#REF!),0)</f>
        <v>0</v>
      </c>
    </row>
    <row r="57" spans="1:76" s="47" customFormat="1" ht="16" thickBot="1" x14ac:dyDescent="0.4">
      <c r="A57" s="63">
        <f t="shared" si="18"/>
        <v>0</v>
      </c>
      <c r="B57" s="74">
        <f t="shared" si="18"/>
        <v>0</v>
      </c>
      <c r="C57" s="41">
        <f t="shared" si="18"/>
        <v>0</v>
      </c>
      <c r="D57" s="18">
        <f>IFERROR(_xlfn.STDEV.S('B1'!D25,'B2'!D25,'B3'!D25),0)</f>
        <v>0</v>
      </c>
      <c r="E57" s="18">
        <f>IFERROR(_xlfn.STDEV.S('B1'!E25,'B2'!E25,'B3'!E25),0)</f>
        <v>0</v>
      </c>
      <c r="F57" s="18">
        <f>IFERROR(_xlfn.STDEV.S('B1'!F25,'B2'!F25,'B3'!F25),0)</f>
        <v>0</v>
      </c>
      <c r="G57" s="18">
        <f>IFERROR(_xlfn.STDEV.S('B1'!G25,'B2'!G25,'B3'!G25),0)</f>
        <v>0</v>
      </c>
      <c r="H57" s="18">
        <f>IFERROR(_xlfn.STDEV.S('B1'!H25,'B2'!H25,'B3'!H25),0)</f>
        <v>0</v>
      </c>
      <c r="I57" s="18">
        <f>IFERROR(_xlfn.STDEV.S('B1'!I25,'B2'!I25,'B3'!I25),0)</f>
        <v>0</v>
      </c>
      <c r="J57" s="18">
        <f>IFERROR(_xlfn.STDEV.S('B1'!J25,'B2'!J25,'B3'!J25),0)</f>
        <v>0</v>
      </c>
      <c r="K57" s="18">
        <f>IFERROR(_xlfn.STDEV.S('B1'!K25,'B2'!K25,'B3'!K25),0)</f>
        <v>0</v>
      </c>
      <c r="L57" s="18">
        <f>IFERROR(_xlfn.STDEV.S('B1'!L25,'B2'!L25,'B3'!L25),0)</f>
        <v>0</v>
      </c>
      <c r="M57" s="18">
        <f>IFERROR(_xlfn.STDEV.S('B1'!M25,'B2'!M25,'B3'!M25),0)</f>
        <v>0</v>
      </c>
      <c r="N57" s="18">
        <f>IFERROR(_xlfn.STDEV.S('B1'!N25,'B2'!N25,'B3'!N25),0)</f>
        <v>0</v>
      </c>
      <c r="O57" s="18">
        <f>IFERROR(_xlfn.STDEV.S('B1'!O25,'B2'!O25,'B3'!O25),0)</f>
        <v>0</v>
      </c>
      <c r="P57" s="18">
        <f>IFERROR(_xlfn.STDEV.S('B1'!P25,'B2'!P25,'B3'!P25),0)</f>
        <v>0</v>
      </c>
      <c r="Q57" s="18">
        <f>IFERROR(_xlfn.STDEV.S('B1'!Q25,'B2'!Q25,'B3'!Q25),0)</f>
        <v>0</v>
      </c>
      <c r="R57" s="18">
        <f>IFERROR(_xlfn.STDEV.S('B1'!R25,'B2'!R25,'B3'!R25),0)</f>
        <v>0</v>
      </c>
      <c r="S57" s="18">
        <f>IFERROR(_xlfn.STDEV.S('B1'!S25,'B2'!S25,'B3'!S25),0)</f>
        <v>0</v>
      </c>
      <c r="T57" s="18">
        <f>IFERROR(_xlfn.STDEV.S('B1'!T25,'B2'!T25,'B3'!T25),0)</f>
        <v>0</v>
      </c>
      <c r="U57" s="18">
        <f>IFERROR(_xlfn.STDEV.S('B1'!U25,'B2'!U25,'B3'!U25),0)</f>
        <v>0</v>
      </c>
      <c r="V57" s="18">
        <f>IFERROR(_xlfn.STDEV.S('B1'!V25,'B2'!V25,'B3'!V25),0)</f>
        <v>0</v>
      </c>
      <c r="W57" s="18">
        <f>IFERROR(_xlfn.STDEV.S('B1'!W25,'B2'!W25,'B3'!W25),0)</f>
        <v>0</v>
      </c>
      <c r="X57" s="18">
        <f>IFERROR(_xlfn.STDEV.S('B1'!X25,'B2'!X25,'B3'!X25),0)</f>
        <v>0</v>
      </c>
      <c r="Y57" s="18">
        <f>IFERROR(_xlfn.STDEV.S('B1'!Y25,'B2'!Y25,'B3'!Y25),0)</f>
        <v>0</v>
      </c>
      <c r="Z57" s="18">
        <f>IFERROR(_xlfn.STDEV.S('B1'!Z25,'B2'!Z25,'B3'!Z25),0)</f>
        <v>0</v>
      </c>
      <c r="AA57" s="18">
        <f>IFERROR(_xlfn.STDEV.S('B1'!AB25,'B2'!AA25,'B3'!AA25),0)</f>
        <v>0</v>
      </c>
      <c r="AB57" s="18">
        <f>IFERROR(_xlfn.STDEV.S('B1'!AC25,'B2'!AB25,'B3'!AB25),0)</f>
        <v>0</v>
      </c>
      <c r="AC57" s="18">
        <f>IFERROR(_xlfn.STDEV.S('B1'!AD25,'B2'!AC25,'B3'!AC25),0)</f>
        <v>0</v>
      </c>
      <c r="AD57" s="18">
        <f>IFERROR(_xlfn.STDEV.S('B1'!AE25,'B2'!AD25,'B3'!AD25),0)</f>
        <v>0</v>
      </c>
      <c r="AE57" s="18">
        <f>IFERROR(_xlfn.STDEV.S('B1'!AF25,'B2'!AE25,'B3'!AE25),0)</f>
        <v>0</v>
      </c>
      <c r="AF57" s="18">
        <f>IFERROR(_xlfn.STDEV.S('B1'!AG25,'B2'!AF25,'B3'!AF25),0)</f>
        <v>0</v>
      </c>
      <c r="AG57" s="18">
        <f>IFERROR(_xlfn.STDEV.S('B1'!AH25,'B2'!AG25,'B3'!AG25),0)</f>
        <v>0</v>
      </c>
      <c r="AH57" s="18">
        <f>IFERROR(_xlfn.STDEV.S('B1'!AI25,'B2'!AH25,'B3'!AH25),0)</f>
        <v>0</v>
      </c>
      <c r="AI57" s="18">
        <f>IFERROR(_xlfn.STDEV.S('B1'!AJ25,'B2'!AI25,'B3'!AI25),0)</f>
        <v>0</v>
      </c>
      <c r="AJ57" s="18">
        <f>IFERROR(_xlfn.STDEV.S('B1'!AK25,'B2'!AJ25,'B3'!AJ25),0)</f>
        <v>0</v>
      </c>
      <c r="AK57" s="18">
        <f>IFERROR(_xlfn.STDEV.S('B1'!AL25,'B2'!AK25,'B3'!AK25),0)</f>
        <v>0</v>
      </c>
      <c r="AL57" s="18">
        <f>IFERROR(_xlfn.STDEV.S('B1'!AM25,'B2'!AL25,'B3'!AL25),0)</f>
        <v>0</v>
      </c>
      <c r="AM57" s="18">
        <f>IFERROR(_xlfn.STDEV.S('B1'!AN25,'B2'!AM25,'B3'!AM25),0)</f>
        <v>0</v>
      </c>
      <c r="AN57" s="18">
        <f>IFERROR(_xlfn.STDEV.S('B1'!AO25,'B2'!AN25,'B3'!AN25),0)</f>
        <v>0</v>
      </c>
      <c r="AO57" s="18">
        <f>IFERROR(_xlfn.STDEV.S('B1'!AP25,'B2'!AO25,'B3'!AO25),0)</f>
        <v>0</v>
      </c>
      <c r="AP57" s="18">
        <f>IFERROR(_xlfn.STDEV.S('B1'!AQ25,'B2'!AP25,'B3'!AP25),0)</f>
        <v>0</v>
      </c>
      <c r="AQ57" s="18">
        <f>IFERROR(_xlfn.STDEV.S('B1'!AR25,'B2'!AQ25,'B3'!AQ25),0)</f>
        <v>0</v>
      </c>
      <c r="AR57" s="18">
        <f>IFERROR(_xlfn.STDEV.S('B1'!AS25,'B2'!AR25,'B3'!AR25),0)</f>
        <v>0</v>
      </c>
      <c r="AS57" s="18">
        <f>IFERROR(_xlfn.STDEV.S('B1'!AT25,'B2'!AS25,'B3'!AS25),0)</f>
        <v>0</v>
      </c>
      <c r="AT57" s="18">
        <f>IFERROR(_xlfn.STDEV.S('B1'!AU25,'B2'!AT25,'B3'!AT25),0)</f>
        <v>0</v>
      </c>
      <c r="AU57" s="18">
        <f>IFERROR(_xlfn.STDEV.S('B1'!AV25,'B2'!AU25,'B3'!AU25),0)</f>
        <v>0</v>
      </c>
      <c r="AV57" s="18">
        <f>IFERROR(_xlfn.STDEV.S('B1'!AW25,'B2'!AV25,'B3'!AV25),0)</f>
        <v>0</v>
      </c>
      <c r="AW57" s="18">
        <f>IFERROR(_xlfn.STDEV.S('B1'!AX25,'B2'!AW25,'B3'!AW25),0)</f>
        <v>0</v>
      </c>
      <c r="AX57" s="18">
        <f>IFERROR(_xlfn.STDEV.S('B1'!AY25,'B2'!AX25,'B3'!AX25),0)</f>
        <v>0</v>
      </c>
      <c r="AY57" s="18">
        <f>IFERROR(_xlfn.STDEV.S('B1'!AZ25,'B2'!AY25,'B3'!AY25),0)</f>
        <v>0</v>
      </c>
      <c r="AZ57" s="131">
        <f>IFERROR(_xlfn.STDEV.S('B1'!BA25,'B2'!AZ25,'B3'!AZ25),0)</f>
        <v>0</v>
      </c>
      <c r="BA57" s="131" t="e">
        <f>_xlfn.STDEV.S('B1'!BB25,'B2'!BA25,'B3'!BA25)</f>
        <v>#DIV/0!</v>
      </c>
      <c r="BB57" s="123">
        <f>IFERROR(_xlfn.STDEV.S('B1'!#REF!,'B2'!#REF!,'B3'!#REF!),0)</f>
        <v>0</v>
      </c>
      <c r="BC57" s="123">
        <f>IFERROR(_xlfn.STDEV.S('B1'!#REF!,'B2'!#REF!,'B3'!#REF!),0)</f>
        <v>0</v>
      </c>
      <c r="BD57" s="18">
        <f>IFERROR(_xlfn.STDEV.S('B1'!#REF!,'B2'!#REF!,'B3'!#REF!),0)</f>
        <v>0</v>
      </c>
      <c r="BE57" s="18">
        <f>IFERROR(_xlfn.STDEV.S('B1'!#REF!,'B2'!#REF!,'B3'!#REF!),0)</f>
        <v>0</v>
      </c>
      <c r="BF57" s="18">
        <f>IFERROR(_xlfn.STDEV.S('B1'!#REF!,'B2'!#REF!,'B3'!#REF!),0)</f>
        <v>0</v>
      </c>
      <c r="BG57" s="18">
        <f>IFERROR(_xlfn.STDEV.S('B1'!#REF!,'B2'!#REF!,'B3'!#REF!),0)</f>
        <v>0</v>
      </c>
      <c r="BH57" s="18">
        <f>IFERROR(_xlfn.STDEV.S('B1'!#REF!,'B2'!#REF!,'B3'!#REF!),0)</f>
        <v>0</v>
      </c>
      <c r="BI57" s="18">
        <f>IFERROR(_xlfn.STDEV.S('B1'!#REF!,'B2'!#REF!,'B3'!#REF!),0)</f>
        <v>0</v>
      </c>
      <c r="BJ57" s="132">
        <f>IFERROR(_xlfn.STDEV.S('B1'!#REF!,'B2'!#REF!,'B3'!#REF!),0)</f>
        <v>0</v>
      </c>
      <c r="BK57" s="132">
        <f>IFERROR(_xlfn.STDEV.S('B1'!#REF!,'B2'!#REF!,'B3'!#REF!),0)</f>
        <v>0</v>
      </c>
      <c r="BL57" s="132">
        <f>IFERROR(_xlfn.STDEV.S('B1'!#REF!,'B2'!#REF!,'B3'!#REF!),0)</f>
        <v>0</v>
      </c>
      <c r="BM57" s="132">
        <f>IFERROR(_xlfn.STDEV.S('B1'!#REF!,'B2'!#REF!,'B3'!#REF!),0)</f>
        <v>0</v>
      </c>
      <c r="BN57" s="132">
        <f>IFERROR(_xlfn.STDEV.S('B1'!#REF!,'B2'!#REF!,'B3'!#REF!),0)</f>
        <v>0</v>
      </c>
      <c r="BO57" s="132">
        <f>IFERROR(_xlfn.STDEV.S('B1'!#REF!,'B2'!#REF!,'B3'!#REF!),0)</f>
        <v>0</v>
      </c>
      <c r="BP57" s="132">
        <f>IFERROR(_xlfn.STDEV.S('B1'!#REF!,'B2'!#REF!,'B3'!#REF!),0)</f>
        <v>0</v>
      </c>
      <c r="BQ57" s="132">
        <f>IFERROR(_xlfn.STDEV.S('B1'!#REF!,'B2'!#REF!,'B3'!#REF!),0)</f>
        <v>0</v>
      </c>
      <c r="BR57" s="132">
        <f>IFERROR(_xlfn.STDEV.S('B1'!#REF!,'B2'!#REF!,'B3'!#REF!),0)</f>
        <v>0</v>
      </c>
      <c r="BS57" s="132">
        <f>IFERROR(_xlfn.STDEV.S('B1'!#REF!,'B2'!#REF!,'B3'!#REF!),0)</f>
        <v>0</v>
      </c>
      <c r="BT57" s="132"/>
      <c r="BU57" s="132">
        <f>IFERROR(_xlfn.STDEV.S('B1'!#REF!,'B2'!#REF!,'B3'!#REF!),0)</f>
        <v>0</v>
      </c>
      <c r="BV57" s="132">
        <f>IFERROR(_xlfn.STDEV.S('B1'!#REF!,'B2'!#REF!,'B3'!#REF!),0)</f>
        <v>0</v>
      </c>
      <c r="BW57" s="132">
        <f>IFERROR(_xlfn.STDEV.S('B1'!#REF!,'B2'!#REF!,'B3'!#REF!),0)</f>
        <v>0</v>
      </c>
      <c r="BX57" s="132">
        <f>IFERROR(_xlfn.STDEV.S('B1'!#REF!,'B2'!#REF!,'B3'!#REF!),0)</f>
        <v>0</v>
      </c>
    </row>
    <row r="58" spans="1:76" s="66" customFormat="1" ht="16" thickBot="1" x14ac:dyDescent="0.4">
      <c r="A58" s="63">
        <f t="shared" si="18"/>
        <v>0</v>
      </c>
      <c r="B58" s="74">
        <f t="shared" si="18"/>
        <v>0</v>
      </c>
      <c r="C58" s="41">
        <f t="shared" si="18"/>
        <v>0</v>
      </c>
      <c r="D58" s="18">
        <f>IFERROR(_xlfn.STDEV.S('B1'!D26,'B2'!D26,'B3'!D26),0)</f>
        <v>0</v>
      </c>
      <c r="E58" s="18">
        <f>IFERROR(_xlfn.STDEV.S('B1'!E26,'B2'!E26,'B3'!E26),0)</f>
        <v>0</v>
      </c>
      <c r="F58" s="18">
        <f>IFERROR(_xlfn.STDEV.S('B1'!F26,'B2'!F26,'B3'!F26),0)</f>
        <v>0</v>
      </c>
      <c r="G58" s="18">
        <f>IFERROR(_xlfn.STDEV.S('B1'!G26,'B2'!G26,'B3'!G26),0)</f>
        <v>0</v>
      </c>
      <c r="H58" s="18">
        <f>IFERROR(_xlfn.STDEV.S('B1'!H26,'B2'!H26,'B3'!H26),0)</f>
        <v>0</v>
      </c>
      <c r="I58" s="18">
        <f>IFERROR(_xlfn.STDEV.S('B1'!I26,'B2'!I26,'B3'!I26),0)</f>
        <v>0</v>
      </c>
      <c r="J58" s="18">
        <f>IFERROR(_xlfn.STDEV.S('B1'!J26,'B2'!J26,'B3'!J26),0)</f>
        <v>0</v>
      </c>
      <c r="K58" s="18">
        <f>IFERROR(_xlfn.STDEV.S('B1'!K26,'B2'!K26,'B3'!K26),0)</f>
        <v>0</v>
      </c>
      <c r="L58" s="18">
        <f>IFERROR(_xlfn.STDEV.S('B1'!L26,'B2'!L26,'B3'!L26),0)</f>
        <v>0</v>
      </c>
      <c r="M58" s="18">
        <f>IFERROR(_xlfn.STDEV.S('B1'!M26,'B2'!M26,'B3'!M26),0)</f>
        <v>0</v>
      </c>
      <c r="N58" s="18">
        <f>IFERROR(_xlfn.STDEV.S('B1'!N26,'B2'!N26,'B3'!N26),0)</f>
        <v>0</v>
      </c>
      <c r="O58" s="18">
        <f>IFERROR(_xlfn.STDEV.S('B1'!O26,'B2'!O26,'B3'!O26),0)</f>
        <v>0</v>
      </c>
      <c r="P58" s="18">
        <f>IFERROR(_xlfn.STDEV.S('B1'!P26,'B2'!P26,'B3'!P26),0)</f>
        <v>0</v>
      </c>
      <c r="Q58" s="18">
        <f>IFERROR(_xlfn.STDEV.S('B1'!Q26,'B2'!Q26,'B3'!Q26),0)</f>
        <v>0</v>
      </c>
      <c r="R58" s="18">
        <f>IFERROR(_xlfn.STDEV.S('B1'!R26,'B2'!R26,'B3'!R26),0)</f>
        <v>0</v>
      </c>
      <c r="S58" s="18">
        <f>IFERROR(_xlfn.STDEV.S('B1'!S26,'B2'!S26,'B3'!S26),0)</f>
        <v>0</v>
      </c>
      <c r="T58" s="18">
        <f>IFERROR(_xlfn.STDEV.S('B1'!T26,'B2'!T26,'B3'!T26),0)</f>
        <v>0</v>
      </c>
      <c r="U58" s="18">
        <f>IFERROR(_xlfn.STDEV.S('B1'!U26,'B2'!U26,'B3'!U26),0)</f>
        <v>0</v>
      </c>
      <c r="V58" s="18">
        <f>IFERROR(_xlfn.STDEV.S('B1'!V26,'B2'!V26,'B3'!V26),0)</f>
        <v>0</v>
      </c>
      <c r="W58" s="18">
        <f>IFERROR(_xlfn.STDEV.S('B1'!W26,'B2'!W26,'B3'!W26),0)</f>
        <v>0</v>
      </c>
      <c r="X58" s="18">
        <f>IFERROR(_xlfn.STDEV.S('B1'!X26,'B2'!X26,'B3'!X26),0)</f>
        <v>0</v>
      </c>
      <c r="Y58" s="18">
        <f>IFERROR(_xlfn.STDEV.S('B1'!Y26,'B2'!Y26,'B3'!Y26),0)</f>
        <v>0</v>
      </c>
      <c r="Z58" s="18">
        <f>IFERROR(_xlfn.STDEV.S('B1'!Z26,'B2'!Z26,'B3'!Z26),0)</f>
        <v>0</v>
      </c>
      <c r="AA58" s="18">
        <f>IFERROR(_xlfn.STDEV.S('B1'!AB26,'B2'!AA26,'B3'!AA26),0)</f>
        <v>0</v>
      </c>
      <c r="AB58" s="18">
        <f>IFERROR(_xlfn.STDEV.S('B1'!AC26,'B2'!AB26,'B3'!AB26),0)</f>
        <v>0</v>
      </c>
      <c r="AC58" s="18">
        <f>IFERROR(_xlfn.STDEV.S('B1'!AD26,'B2'!AC26,'B3'!AC26),0)</f>
        <v>0</v>
      </c>
      <c r="AD58" s="18">
        <f>IFERROR(_xlfn.STDEV.S('B1'!AE26,'B2'!AD26,'B3'!AD26),0)</f>
        <v>0</v>
      </c>
      <c r="AE58" s="18">
        <f>IFERROR(_xlfn.STDEV.S('B1'!AF26,'B2'!AE26,'B3'!AE26),0)</f>
        <v>0</v>
      </c>
      <c r="AF58" s="18">
        <f>IFERROR(_xlfn.STDEV.S('B1'!AG26,'B2'!AF26,'B3'!AF26),0)</f>
        <v>0</v>
      </c>
      <c r="AG58" s="18">
        <f>IFERROR(_xlfn.STDEV.S('B1'!AH26,'B2'!AG26,'B3'!AG26),0)</f>
        <v>0</v>
      </c>
      <c r="AH58" s="18">
        <f>IFERROR(_xlfn.STDEV.S('B1'!AI26,'B2'!AH26,'B3'!AH26),0)</f>
        <v>0</v>
      </c>
      <c r="AI58" s="18">
        <f>IFERROR(_xlfn.STDEV.S('B1'!AJ26,'B2'!AI26,'B3'!AI26),0)</f>
        <v>0</v>
      </c>
      <c r="AJ58" s="18">
        <f>IFERROR(_xlfn.STDEV.S('B1'!AK26,'B2'!AJ26,'B3'!AJ26),0)</f>
        <v>0</v>
      </c>
      <c r="AK58" s="18">
        <f>IFERROR(_xlfn.STDEV.S('B1'!AL26,'B2'!AK26,'B3'!AK26),0)</f>
        <v>0</v>
      </c>
      <c r="AL58" s="18">
        <f>IFERROR(_xlfn.STDEV.S('B1'!AM26,'B2'!AL26,'B3'!AL26),0)</f>
        <v>0</v>
      </c>
      <c r="AM58" s="18">
        <f>IFERROR(_xlfn.STDEV.S('B1'!AN26,'B2'!AM26,'B3'!AM26),0)</f>
        <v>0</v>
      </c>
      <c r="AN58" s="18">
        <f>IFERROR(_xlfn.STDEV.S('B1'!AO26,'B2'!AN26,'B3'!AN26),0)</f>
        <v>0</v>
      </c>
      <c r="AO58" s="18">
        <f>IFERROR(_xlfn.STDEV.S('B1'!AP26,'B2'!AO26,'B3'!AO26),0)</f>
        <v>0</v>
      </c>
      <c r="AP58" s="18">
        <f>IFERROR(_xlfn.STDEV.S('B1'!AQ26,'B2'!AP26,'B3'!AP26),0)</f>
        <v>0</v>
      </c>
      <c r="AQ58" s="18">
        <f>IFERROR(_xlfn.STDEV.S('B1'!AR26,'B2'!AQ26,'B3'!AQ26),0)</f>
        <v>0</v>
      </c>
      <c r="AR58" s="18">
        <f>IFERROR(_xlfn.STDEV.S('B1'!AS26,'B2'!AR26,'B3'!AR26),0)</f>
        <v>0</v>
      </c>
      <c r="AS58" s="18">
        <f>IFERROR(_xlfn.STDEV.S('B1'!AT26,'B2'!AS26,'B3'!AS26),0)</f>
        <v>0</v>
      </c>
      <c r="AT58" s="18">
        <f>IFERROR(_xlfn.STDEV.S('B1'!AU26,'B2'!AT26,'B3'!AT26),0)</f>
        <v>0</v>
      </c>
      <c r="AU58" s="18">
        <f>IFERROR(_xlfn.STDEV.S('B1'!AV26,'B2'!AU26,'B3'!AU26),0)</f>
        <v>0</v>
      </c>
      <c r="AV58" s="18">
        <f>IFERROR(_xlfn.STDEV.S('B1'!AW26,'B2'!AV26,'B3'!AV26),0)</f>
        <v>0</v>
      </c>
      <c r="AW58" s="18">
        <f>IFERROR(_xlfn.STDEV.S('B1'!AX26,'B2'!AW26,'B3'!AW26),0)</f>
        <v>0</v>
      </c>
      <c r="AX58" s="18">
        <f>IFERROR(_xlfn.STDEV.S('B1'!AY26,'B2'!AX26,'B3'!AX26),0)</f>
        <v>0</v>
      </c>
      <c r="AY58" s="18">
        <f>IFERROR(_xlfn.STDEV.S('B1'!AZ26,'B2'!AY26,'B3'!AY26),0)</f>
        <v>0</v>
      </c>
      <c r="AZ58" s="131">
        <f>IFERROR(_xlfn.STDEV.S('B1'!BA26,'B2'!AZ26,'B3'!AZ26),0)</f>
        <v>0</v>
      </c>
      <c r="BA58" s="131" t="e">
        <f>_xlfn.STDEV.S('B1'!BB26,'B2'!BA26,'B3'!BA26)</f>
        <v>#DIV/0!</v>
      </c>
      <c r="BB58" s="123">
        <f>IFERROR(_xlfn.STDEV.S('B1'!#REF!,'B2'!#REF!,'B3'!#REF!),0)</f>
        <v>0</v>
      </c>
      <c r="BC58" s="123">
        <f>IFERROR(_xlfn.STDEV.S('B1'!#REF!,'B2'!#REF!,'B3'!#REF!),0)</f>
        <v>0</v>
      </c>
      <c r="BD58" s="18">
        <f>IFERROR(_xlfn.STDEV.S('B1'!#REF!,'B2'!#REF!,'B3'!#REF!),0)</f>
        <v>0</v>
      </c>
      <c r="BE58" s="18">
        <f>IFERROR(_xlfn.STDEV.S('B1'!#REF!,'B2'!#REF!,'B3'!#REF!),0)</f>
        <v>0</v>
      </c>
      <c r="BF58" s="18">
        <f>IFERROR(_xlfn.STDEV.S('B1'!#REF!,'B2'!#REF!,'B3'!#REF!),0)</f>
        <v>0</v>
      </c>
      <c r="BG58" s="18">
        <f>IFERROR(_xlfn.STDEV.S('B1'!#REF!,'B2'!#REF!,'B3'!#REF!),0)</f>
        <v>0</v>
      </c>
      <c r="BH58" s="18">
        <f>IFERROR(_xlfn.STDEV.S('B1'!#REF!,'B2'!#REF!,'B3'!#REF!),0)</f>
        <v>0</v>
      </c>
      <c r="BI58" s="18">
        <f>IFERROR(_xlfn.STDEV.S('B1'!#REF!,'B2'!#REF!,'B3'!#REF!),0)</f>
        <v>0</v>
      </c>
      <c r="BJ58" s="132">
        <f>IFERROR(_xlfn.STDEV.S('B1'!#REF!,'B2'!#REF!,'B3'!#REF!),0)</f>
        <v>0</v>
      </c>
      <c r="BK58" s="132">
        <f>IFERROR(_xlfn.STDEV.S('B1'!#REF!,'B2'!#REF!,'B3'!#REF!),0)</f>
        <v>0</v>
      </c>
      <c r="BL58" s="132">
        <f>IFERROR(_xlfn.STDEV.S('B1'!#REF!,'B2'!#REF!,'B3'!#REF!),0)</f>
        <v>0</v>
      </c>
      <c r="BM58" s="132">
        <f>IFERROR(_xlfn.STDEV.S('B1'!#REF!,'B2'!#REF!,'B3'!#REF!),0)</f>
        <v>0</v>
      </c>
      <c r="BN58" s="132">
        <f>IFERROR(_xlfn.STDEV.S('B1'!#REF!,'B2'!#REF!,'B3'!#REF!),0)</f>
        <v>0</v>
      </c>
      <c r="BO58" s="132">
        <f>IFERROR(_xlfn.STDEV.S('B1'!#REF!,'B2'!#REF!,'B3'!#REF!),0)</f>
        <v>0</v>
      </c>
      <c r="BP58" s="132">
        <f>IFERROR(_xlfn.STDEV.S('B1'!#REF!,'B2'!#REF!,'B3'!#REF!),0)</f>
        <v>0</v>
      </c>
      <c r="BQ58" s="132">
        <f>IFERROR(_xlfn.STDEV.S('B1'!#REF!,'B2'!#REF!,'B3'!#REF!),0)</f>
        <v>0</v>
      </c>
      <c r="BR58" s="132">
        <f>IFERROR(_xlfn.STDEV.S('B1'!#REF!,'B2'!#REF!,'B3'!#REF!),0)</f>
        <v>0</v>
      </c>
      <c r="BS58" s="132">
        <f>IFERROR(_xlfn.STDEV.S('B1'!#REF!,'B2'!#REF!,'B3'!#REF!),0)</f>
        <v>0</v>
      </c>
      <c r="BT58" s="132"/>
      <c r="BU58" s="132">
        <f>IFERROR(_xlfn.STDEV.S('B1'!#REF!,'B2'!#REF!,'B3'!#REF!),0)</f>
        <v>0</v>
      </c>
      <c r="BV58" s="132">
        <f>IFERROR(_xlfn.STDEV.S('B1'!#REF!,'B2'!#REF!,'B3'!#REF!),0)</f>
        <v>0</v>
      </c>
      <c r="BW58" s="132">
        <f>IFERROR(_xlfn.STDEV.S('B1'!#REF!,'B2'!#REF!,'B3'!#REF!),0)</f>
        <v>0</v>
      </c>
      <c r="BX58" s="132">
        <f>IFERROR(_xlfn.STDEV.S('B1'!#REF!,'B2'!#REF!,'B3'!#REF!),0)</f>
        <v>0</v>
      </c>
    </row>
    <row r="59" spans="1:76" s="47" customFormat="1" ht="16" thickBot="1" x14ac:dyDescent="0.4">
      <c r="A59" s="63">
        <f t="shared" si="18"/>
        <v>0</v>
      </c>
      <c r="B59" s="74">
        <f t="shared" si="18"/>
        <v>0</v>
      </c>
      <c r="C59" s="41">
        <f t="shared" si="18"/>
        <v>0</v>
      </c>
      <c r="D59" s="18">
        <f>IFERROR(_xlfn.STDEV.S('B1'!D27,'B2'!D27,'B3'!D27),0)</f>
        <v>0</v>
      </c>
      <c r="E59" s="18">
        <f>IFERROR(_xlfn.STDEV.S('B1'!E27,'B2'!E27,'B3'!E27),0)</f>
        <v>0</v>
      </c>
      <c r="F59" s="18">
        <f>IFERROR(_xlfn.STDEV.S('B1'!F27,'B2'!F27,'B3'!F27),0)</f>
        <v>0</v>
      </c>
      <c r="G59" s="18">
        <f>IFERROR(_xlfn.STDEV.S('B1'!G27,'B2'!G27,'B3'!G27),0)</f>
        <v>0</v>
      </c>
      <c r="H59" s="18">
        <f>IFERROR(_xlfn.STDEV.S('B1'!H27,'B2'!H27,'B3'!H27),0)</f>
        <v>0</v>
      </c>
      <c r="I59" s="18">
        <f>IFERROR(_xlfn.STDEV.S('B1'!I27,'B2'!I27,'B3'!I27),0)</f>
        <v>0</v>
      </c>
      <c r="J59" s="18">
        <f>IFERROR(_xlfn.STDEV.S('B1'!J27,'B2'!J27,'B3'!J27),0)</f>
        <v>0</v>
      </c>
      <c r="K59" s="18">
        <f>IFERROR(_xlfn.STDEV.S('B1'!K27,'B2'!K27,'B3'!K27),0)</f>
        <v>0</v>
      </c>
      <c r="L59" s="18">
        <f>IFERROR(_xlfn.STDEV.S('B1'!L27,'B2'!L27,'B3'!L27),0)</f>
        <v>0</v>
      </c>
      <c r="M59" s="18">
        <f>IFERROR(_xlfn.STDEV.S('B1'!M27,'B2'!M27,'B3'!M27),0)</f>
        <v>0</v>
      </c>
      <c r="N59" s="18">
        <f>IFERROR(_xlfn.STDEV.S('B1'!N27,'B2'!N27,'B3'!N27),0)</f>
        <v>0</v>
      </c>
      <c r="O59" s="18">
        <f>IFERROR(_xlfn.STDEV.S('B1'!O27,'B2'!O27,'B3'!O27),0)</f>
        <v>0</v>
      </c>
      <c r="P59" s="18">
        <f>IFERROR(_xlfn.STDEV.S('B1'!P27,'B2'!P27,'B3'!P27),0)</f>
        <v>0</v>
      </c>
      <c r="Q59" s="18">
        <f>IFERROR(_xlfn.STDEV.S('B1'!Q27,'B2'!Q27,'B3'!Q27),0)</f>
        <v>0</v>
      </c>
      <c r="R59" s="18">
        <f>IFERROR(_xlfn.STDEV.S('B1'!R27,'B2'!R27,'B3'!R27),0)</f>
        <v>0</v>
      </c>
      <c r="S59" s="18">
        <f>IFERROR(_xlfn.STDEV.S('B1'!S27,'B2'!S27,'B3'!S27),0)</f>
        <v>0</v>
      </c>
      <c r="T59" s="18">
        <f>IFERROR(_xlfn.STDEV.S('B1'!T27,'B2'!T27,'B3'!T27),0)</f>
        <v>0</v>
      </c>
      <c r="U59" s="18">
        <f>IFERROR(_xlfn.STDEV.S('B1'!U27,'B2'!U27,'B3'!U27),0)</f>
        <v>0</v>
      </c>
      <c r="V59" s="18">
        <f>IFERROR(_xlfn.STDEV.S('B1'!V27,'B2'!V27,'B3'!V27),0)</f>
        <v>0</v>
      </c>
      <c r="W59" s="18">
        <f>IFERROR(_xlfn.STDEV.S('B1'!W27,'B2'!W27,'B3'!W27),0)</f>
        <v>0</v>
      </c>
      <c r="X59" s="18">
        <f>IFERROR(_xlfn.STDEV.S('B1'!X27,'B2'!X27,'B3'!X27),0)</f>
        <v>0</v>
      </c>
      <c r="Y59" s="18">
        <f>IFERROR(_xlfn.STDEV.S('B1'!Y27,'B2'!Y27,'B3'!Y27),0)</f>
        <v>0</v>
      </c>
      <c r="Z59" s="18">
        <f>IFERROR(_xlfn.STDEV.S('B1'!Z27,'B2'!Z27,'B3'!Z27),0)</f>
        <v>0</v>
      </c>
      <c r="AA59" s="18">
        <f>IFERROR(_xlfn.STDEV.S('B1'!AB27,'B2'!AA27,'B3'!AA27),0)</f>
        <v>0</v>
      </c>
      <c r="AB59" s="18">
        <f>IFERROR(_xlfn.STDEV.S('B1'!AC27,'B2'!AB27,'B3'!AB27),0)</f>
        <v>0</v>
      </c>
      <c r="AC59" s="18">
        <f>IFERROR(_xlfn.STDEV.S('B1'!AD27,'B2'!AC27,'B3'!AC27),0)</f>
        <v>0</v>
      </c>
      <c r="AD59" s="18">
        <f>IFERROR(_xlfn.STDEV.S('B1'!AE27,'B2'!AD27,'B3'!AD27),0)</f>
        <v>0</v>
      </c>
      <c r="AE59" s="18">
        <f>IFERROR(_xlfn.STDEV.S('B1'!AF27,'B2'!AE27,'B3'!AE27),0)</f>
        <v>0</v>
      </c>
      <c r="AF59" s="18">
        <f>IFERROR(_xlfn.STDEV.S('B1'!AG27,'B2'!AF27,'B3'!AF27),0)</f>
        <v>0</v>
      </c>
      <c r="AG59" s="18">
        <f>IFERROR(_xlfn.STDEV.S('B1'!AH27,'B2'!AG27,'B3'!AG27),0)</f>
        <v>0</v>
      </c>
      <c r="AH59" s="18">
        <f>IFERROR(_xlfn.STDEV.S('B1'!AI27,'B2'!AH27,'B3'!AH27),0)</f>
        <v>0</v>
      </c>
      <c r="AI59" s="18">
        <f>IFERROR(_xlfn.STDEV.S('B1'!AJ27,'B2'!AI27,'B3'!AI27),0)</f>
        <v>0</v>
      </c>
      <c r="AJ59" s="18">
        <f>IFERROR(_xlfn.STDEV.S('B1'!AK27,'B2'!AJ27,'B3'!AJ27),0)</f>
        <v>0</v>
      </c>
      <c r="AK59" s="18">
        <f>IFERROR(_xlfn.STDEV.S('B1'!AL27,'B2'!AK27,'B3'!AK27),0)</f>
        <v>0</v>
      </c>
      <c r="AL59" s="18">
        <f>IFERROR(_xlfn.STDEV.S('B1'!AM27,'B2'!AL27,'B3'!AL27),0)</f>
        <v>0</v>
      </c>
      <c r="AM59" s="18">
        <f>IFERROR(_xlfn.STDEV.S('B1'!AN27,'B2'!AM27,'B3'!AM27),0)</f>
        <v>0</v>
      </c>
      <c r="AN59" s="18">
        <f>IFERROR(_xlfn.STDEV.S('B1'!AO27,'B2'!AN27,'B3'!AN27),0)</f>
        <v>0</v>
      </c>
      <c r="AO59" s="18">
        <f>IFERROR(_xlfn.STDEV.S('B1'!AP27,'B2'!AO27,'B3'!AO27),0)</f>
        <v>0</v>
      </c>
      <c r="AP59" s="18">
        <f>IFERROR(_xlfn.STDEV.S('B1'!AQ27,'B2'!AP27,'B3'!AP27),0)</f>
        <v>0</v>
      </c>
      <c r="AQ59" s="18">
        <f>IFERROR(_xlfn.STDEV.S('B1'!AR27,'B2'!AQ27,'B3'!AQ27),0)</f>
        <v>0</v>
      </c>
      <c r="AR59" s="18">
        <f>IFERROR(_xlfn.STDEV.S('B1'!AS27,'B2'!AR27,'B3'!AR27),0)</f>
        <v>0</v>
      </c>
      <c r="AS59" s="18">
        <f>IFERROR(_xlfn.STDEV.S('B1'!AT27,'B2'!AS27,'B3'!AS27),0)</f>
        <v>0</v>
      </c>
      <c r="AT59" s="18">
        <f>IFERROR(_xlfn.STDEV.S('B1'!AU27,'B2'!AT27,'B3'!AT27),0)</f>
        <v>0</v>
      </c>
      <c r="AU59" s="18">
        <f>IFERROR(_xlfn.STDEV.S('B1'!AV27,'B2'!AU27,'B3'!AU27),0)</f>
        <v>0</v>
      </c>
      <c r="AV59" s="18">
        <f>IFERROR(_xlfn.STDEV.S('B1'!AW27,'B2'!AV27,'B3'!AV27),0)</f>
        <v>0</v>
      </c>
      <c r="AW59" s="18">
        <f>IFERROR(_xlfn.STDEV.S('B1'!AX27,'B2'!AW27,'B3'!AW27),0)</f>
        <v>0</v>
      </c>
      <c r="AX59" s="18">
        <f>IFERROR(_xlfn.STDEV.S('B1'!AY27,'B2'!AX27,'B3'!AX27),0)</f>
        <v>0</v>
      </c>
      <c r="AY59" s="18">
        <f>IFERROR(_xlfn.STDEV.S('B1'!AZ27,'B2'!AY27,'B3'!AY27),0)</f>
        <v>0</v>
      </c>
      <c r="AZ59" s="131">
        <f>IFERROR(_xlfn.STDEV.S('B1'!BA27,'B2'!AZ27,'B3'!AZ27),0)</f>
        <v>0</v>
      </c>
      <c r="BA59" s="131" t="e">
        <f>_xlfn.STDEV.S('B1'!BB27,'B2'!BA27,'B3'!BA27)</f>
        <v>#DIV/0!</v>
      </c>
      <c r="BB59" s="123">
        <f>IFERROR(_xlfn.STDEV.S('B1'!#REF!,'B2'!#REF!,'B3'!#REF!),0)</f>
        <v>0</v>
      </c>
      <c r="BC59" s="123">
        <f>IFERROR(_xlfn.STDEV.S('B1'!#REF!,'B2'!#REF!,'B3'!#REF!),0)</f>
        <v>0</v>
      </c>
      <c r="BD59" s="18">
        <f>IFERROR(_xlfn.STDEV.S('B1'!#REF!,'B2'!#REF!,'B3'!#REF!),0)</f>
        <v>0</v>
      </c>
      <c r="BE59" s="18">
        <f>IFERROR(_xlfn.STDEV.S('B1'!#REF!,'B2'!#REF!,'B3'!#REF!),0)</f>
        <v>0</v>
      </c>
      <c r="BF59" s="18">
        <f>IFERROR(_xlfn.STDEV.S('B1'!#REF!,'B2'!#REF!,'B3'!#REF!),0)</f>
        <v>0</v>
      </c>
      <c r="BG59" s="18">
        <f>IFERROR(_xlfn.STDEV.S('B1'!#REF!,'B2'!#REF!,'B3'!#REF!),0)</f>
        <v>0</v>
      </c>
      <c r="BH59" s="18">
        <f>IFERROR(_xlfn.STDEV.S('B1'!#REF!,'B2'!#REF!,'B3'!#REF!),0)</f>
        <v>0</v>
      </c>
      <c r="BI59" s="18">
        <f>IFERROR(_xlfn.STDEV.S('B1'!#REF!,'B2'!#REF!,'B3'!#REF!),0)</f>
        <v>0</v>
      </c>
      <c r="BJ59" s="132">
        <f>IFERROR(_xlfn.STDEV.S('B1'!#REF!,'B2'!#REF!,'B3'!#REF!),0)</f>
        <v>0</v>
      </c>
      <c r="BK59" s="132">
        <f>IFERROR(_xlfn.STDEV.S('B1'!#REF!,'B2'!#REF!,'B3'!#REF!),0)</f>
        <v>0</v>
      </c>
      <c r="BL59" s="132">
        <f>IFERROR(_xlfn.STDEV.S('B1'!#REF!,'B2'!#REF!,'B3'!#REF!),0)</f>
        <v>0</v>
      </c>
      <c r="BM59" s="132">
        <f>IFERROR(_xlfn.STDEV.S('B1'!#REF!,'B2'!#REF!,'B3'!#REF!),0)</f>
        <v>0</v>
      </c>
      <c r="BN59" s="132">
        <f>IFERROR(_xlfn.STDEV.S('B1'!#REF!,'B2'!#REF!,'B3'!#REF!),0)</f>
        <v>0</v>
      </c>
      <c r="BO59" s="132">
        <f>IFERROR(_xlfn.STDEV.S('B1'!#REF!,'B2'!#REF!,'B3'!#REF!),0)</f>
        <v>0</v>
      </c>
      <c r="BP59" s="132">
        <f>IFERROR(_xlfn.STDEV.S('B1'!#REF!,'B2'!#REF!,'B3'!#REF!),0)</f>
        <v>0</v>
      </c>
      <c r="BQ59" s="132">
        <f>IFERROR(_xlfn.STDEV.S('B1'!#REF!,'B2'!#REF!,'B3'!#REF!),0)</f>
        <v>0</v>
      </c>
      <c r="BR59" s="132">
        <f>IFERROR(_xlfn.STDEV.S('B1'!#REF!,'B2'!#REF!,'B3'!#REF!),0)</f>
        <v>0</v>
      </c>
      <c r="BS59" s="132">
        <f>IFERROR(_xlfn.STDEV.S('B1'!#REF!,'B2'!#REF!,'B3'!#REF!),0)</f>
        <v>0</v>
      </c>
      <c r="BT59" s="132"/>
      <c r="BU59" s="132">
        <f>IFERROR(_xlfn.STDEV.S('B1'!#REF!,'B2'!#REF!,'B3'!#REF!),0)</f>
        <v>0</v>
      </c>
      <c r="BV59" s="132">
        <f>IFERROR(_xlfn.STDEV.S('B1'!#REF!,'B2'!#REF!,'B3'!#REF!),0)</f>
        <v>0</v>
      </c>
      <c r="BW59" s="132">
        <f>IFERROR(_xlfn.STDEV.S('B1'!#REF!,'B2'!#REF!,'B3'!#REF!),0)</f>
        <v>0</v>
      </c>
      <c r="BX59" s="132">
        <f>IFERROR(_xlfn.STDEV.S('B1'!#REF!,'B2'!#REF!,'B3'!#REF!),0)</f>
        <v>0</v>
      </c>
    </row>
    <row r="60" spans="1:76" s="66" customFormat="1" ht="16" thickBot="1" x14ac:dyDescent="0.4">
      <c r="A60" s="63">
        <f t="shared" si="18"/>
        <v>0</v>
      </c>
      <c r="B60" s="74">
        <f t="shared" si="18"/>
        <v>0</v>
      </c>
      <c r="C60" s="41">
        <f t="shared" si="18"/>
        <v>0</v>
      </c>
      <c r="D60" s="18">
        <f>IFERROR(_xlfn.STDEV.S('B1'!D28,'B2'!D28,'B3'!D28),0)</f>
        <v>0</v>
      </c>
      <c r="E60" s="18">
        <f>IFERROR(_xlfn.STDEV.S('B1'!E28,'B2'!E28,'B3'!E28),0)</f>
        <v>0</v>
      </c>
      <c r="F60" s="18">
        <f>IFERROR(_xlfn.STDEV.S('B1'!F28,'B2'!F28,'B3'!F28),0)</f>
        <v>0</v>
      </c>
      <c r="G60" s="18">
        <f>IFERROR(_xlfn.STDEV.S('B1'!G28,'B2'!G28,'B3'!G28),0)</f>
        <v>0</v>
      </c>
      <c r="H60" s="18">
        <f>IFERROR(_xlfn.STDEV.S('B1'!H28,'B2'!H28,'B3'!H28),0)</f>
        <v>0</v>
      </c>
      <c r="I60" s="18">
        <f>IFERROR(_xlfn.STDEV.S('B1'!I28,'B2'!I28,'B3'!I28),0)</f>
        <v>0</v>
      </c>
      <c r="J60" s="18">
        <f>IFERROR(_xlfn.STDEV.S('B1'!J28,'B2'!J28,'B3'!J28),0)</f>
        <v>0</v>
      </c>
      <c r="K60" s="18">
        <f>IFERROR(_xlfn.STDEV.S('B1'!K28,'B2'!K28,'B3'!K28),0)</f>
        <v>0</v>
      </c>
      <c r="L60" s="18">
        <f>IFERROR(_xlfn.STDEV.S('B1'!L28,'B2'!L28,'B3'!L28),0)</f>
        <v>0</v>
      </c>
      <c r="M60" s="18">
        <f>IFERROR(_xlfn.STDEV.S('B1'!M28,'B2'!M28,'B3'!M28),0)</f>
        <v>0</v>
      </c>
      <c r="N60" s="18">
        <f>IFERROR(_xlfn.STDEV.S('B1'!N28,'B2'!N28,'B3'!N28),0)</f>
        <v>0</v>
      </c>
      <c r="O60" s="18">
        <f>IFERROR(_xlfn.STDEV.S('B1'!O28,'B2'!O28,'B3'!O28),0)</f>
        <v>0</v>
      </c>
      <c r="P60" s="18">
        <f>IFERROR(_xlfn.STDEV.S('B1'!P28,'B2'!P28,'B3'!P28),0)</f>
        <v>0</v>
      </c>
      <c r="Q60" s="18">
        <f>IFERROR(_xlfn.STDEV.S('B1'!Q28,'B2'!Q28,'B3'!Q28),0)</f>
        <v>0</v>
      </c>
      <c r="R60" s="18">
        <f>IFERROR(_xlfn.STDEV.S('B1'!R28,'B2'!R28,'B3'!R28),0)</f>
        <v>0</v>
      </c>
      <c r="S60" s="18">
        <f>IFERROR(_xlfn.STDEV.S('B1'!S28,'B2'!S28,'B3'!S28),0)</f>
        <v>0</v>
      </c>
      <c r="T60" s="18">
        <f>IFERROR(_xlfn.STDEV.S('B1'!T28,'B2'!T28,'B3'!T28),0)</f>
        <v>0</v>
      </c>
      <c r="U60" s="18">
        <f>IFERROR(_xlfn.STDEV.S('B1'!U28,'B2'!U28,'B3'!U28),0)</f>
        <v>0</v>
      </c>
      <c r="V60" s="18">
        <f>IFERROR(_xlfn.STDEV.S('B1'!V28,'B2'!V28,'B3'!V28),0)</f>
        <v>0</v>
      </c>
      <c r="W60" s="18">
        <f>IFERROR(_xlfn.STDEV.S('B1'!W28,'B2'!W28,'B3'!W28),0)</f>
        <v>0</v>
      </c>
      <c r="X60" s="18">
        <f>IFERROR(_xlfn.STDEV.S('B1'!X28,'B2'!X28,'B3'!X28),0)</f>
        <v>0</v>
      </c>
      <c r="Y60" s="18">
        <f>IFERROR(_xlfn.STDEV.S('B1'!Y28,'B2'!Y28,'B3'!Y28),0)</f>
        <v>0</v>
      </c>
      <c r="Z60" s="18">
        <f>IFERROR(_xlfn.STDEV.S('B1'!Z28,'B2'!Z28,'B3'!Z28),0)</f>
        <v>0</v>
      </c>
      <c r="AA60" s="18">
        <f>IFERROR(_xlfn.STDEV.S('B1'!AB28,'B2'!AA28,'B3'!AA28),0)</f>
        <v>0</v>
      </c>
      <c r="AB60" s="18">
        <f>IFERROR(_xlfn.STDEV.S('B1'!AC28,'B2'!AB28,'B3'!AB28),0)</f>
        <v>0</v>
      </c>
      <c r="AC60" s="18">
        <f>IFERROR(_xlfn.STDEV.S('B1'!AD28,'B2'!AC28,'B3'!AC28),0)</f>
        <v>0</v>
      </c>
      <c r="AD60" s="18">
        <f>IFERROR(_xlfn.STDEV.S('B1'!AE28,'B2'!AD28,'B3'!AD28),0)</f>
        <v>0</v>
      </c>
      <c r="AE60" s="18">
        <f>IFERROR(_xlfn.STDEV.S('B1'!AF28,'B2'!AE28,'B3'!AE28),0)</f>
        <v>0</v>
      </c>
      <c r="AF60" s="18">
        <f>IFERROR(_xlfn.STDEV.S('B1'!AG28,'B2'!AF28,'B3'!AF28),0)</f>
        <v>0</v>
      </c>
      <c r="AG60" s="18">
        <f>IFERROR(_xlfn.STDEV.S('B1'!AH28,'B2'!AG28,'B3'!AG28),0)</f>
        <v>0</v>
      </c>
      <c r="AH60" s="18">
        <f>IFERROR(_xlfn.STDEV.S('B1'!AI28,'B2'!AH28,'B3'!AH28),0)</f>
        <v>0</v>
      </c>
      <c r="AI60" s="18">
        <f>IFERROR(_xlfn.STDEV.S('B1'!AJ28,'B2'!AI28,'B3'!AI28),0)</f>
        <v>0</v>
      </c>
      <c r="AJ60" s="18">
        <f>IFERROR(_xlfn.STDEV.S('B1'!AK28,'B2'!AJ28,'B3'!AJ28),0)</f>
        <v>0</v>
      </c>
      <c r="AK60" s="18">
        <f>IFERROR(_xlfn.STDEV.S('B1'!AL28,'B2'!AK28,'B3'!AK28),0)</f>
        <v>0</v>
      </c>
      <c r="AL60" s="18">
        <f>IFERROR(_xlfn.STDEV.S('B1'!AM28,'B2'!AL28,'B3'!AL28),0)</f>
        <v>0</v>
      </c>
      <c r="AM60" s="18">
        <f>IFERROR(_xlfn.STDEV.S('B1'!AN28,'B2'!AM28,'B3'!AM28),0)</f>
        <v>0</v>
      </c>
      <c r="AN60" s="18">
        <f>IFERROR(_xlfn.STDEV.S('B1'!AO28,'B2'!AN28,'B3'!AN28),0)</f>
        <v>0</v>
      </c>
      <c r="AO60" s="18">
        <f>IFERROR(_xlfn.STDEV.S('B1'!AP28,'B2'!AO28,'B3'!AO28),0)</f>
        <v>0</v>
      </c>
      <c r="AP60" s="18">
        <f>IFERROR(_xlfn.STDEV.S('B1'!AQ28,'B2'!AP28,'B3'!AP28),0)</f>
        <v>0</v>
      </c>
      <c r="AQ60" s="18">
        <f>IFERROR(_xlfn.STDEV.S('B1'!AR28,'B2'!AQ28,'B3'!AQ28),0)</f>
        <v>0</v>
      </c>
      <c r="AR60" s="18">
        <f>IFERROR(_xlfn.STDEV.S('B1'!AS28,'B2'!AR28,'B3'!AR28),0)</f>
        <v>0</v>
      </c>
      <c r="AS60" s="18">
        <f>IFERROR(_xlfn.STDEV.S('B1'!AT28,'B2'!AS28,'B3'!AS28),0)</f>
        <v>0</v>
      </c>
      <c r="AT60" s="18">
        <f>IFERROR(_xlfn.STDEV.S('B1'!AU28,'B2'!AT28,'B3'!AT28),0)</f>
        <v>0</v>
      </c>
      <c r="AU60" s="18">
        <f>IFERROR(_xlfn.STDEV.S('B1'!AV28,'B2'!AU28,'B3'!AU28),0)</f>
        <v>0</v>
      </c>
      <c r="AV60" s="18">
        <f>IFERROR(_xlfn.STDEV.S('B1'!AW28,'B2'!AV28,'B3'!AV28),0)</f>
        <v>0</v>
      </c>
      <c r="AW60" s="18">
        <f>IFERROR(_xlfn.STDEV.S('B1'!AX28,'B2'!AW28,'B3'!AW28),0)</f>
        <v>0</v>
      </c>
      <c r="AX60" s="18">
        <f>IFERROR(_xlfn.STDEV.S('B1'!AY28,'B2'!AX28,'B3'!AX28),0)</f>
        <v>0</v>
      </c>
      <c r="AY60" s="18">
        <f>IFERROR(_xlfn.STDEV.S('B1'!AZ28,'B2'!AY28,'B3'!AY28),0)</f>
        <v>0</v>
      </c>
      <c r="AZ60" s="131">
        <f>IFERROR(_xlfn.STDEV.S('B1'!BA28,'B2'!AZ28,'B3'!AZ28),0)</f>
        <v>0</v>
      </c>
      <c r="BA60" s="131" t="e">
        <f>_xlfn.STDEV.S('B1'!BB28,'B2'!BA28,'B3'!BA28)</f>
        <v>#DIV/0!</v>
      </c>
      <c r="BB60" s="123">
        <f>IFERROR(_xlfn.STDEV.S('B1'!#REF!,'B2'!#REF!,'B3'!#REF!),0)</f>
        <v>0</v>
      </c>
      <c r="BC60" s="123">
        <f>IFERROR(_xlfn.STDEV.S('B1'!#REF!,'B2'!#REF!,'B3'!#REF!),0)</f>
        <v>0</v>
      </c>
      <c r="BD60" s="18">
        <f>IFERROR(_xlfn.STDEV.S('B1'!#REF!,'B2'!#REF!,'B3'!#REF!),0)</f>
        <v>0</v>
      </c>
      <c r="BE60" s="18">
        <f>IFERROR(_xlfn.STDEV.S('B1'!#REF!,'B2'!#REF!,'B3'!#REF!),0)</f>
        <v>0</v>
      </c>
      <c r="BF60" s="18">
        <f>IFERROR(_xlfn.STDEV.S('B1'!#REF!,'B2'!#REF!,'B3'!#REF!),0)</f>
        <v>0</v>
      </c>
      <c r="BG60" s="18">
        <f>IFERROR(_xlfn.STDEV.S('B1'!#REF!,'B2'!#REF!,'B3'!#REF!),0)</f>
        <v>0</v>
      </c>
      <c r="BH60" s="18">
        <f>IFERROR(_xlfn.STDEV.S('B1'!#REF!,'B2'!#REF!,'B3'!#REF!),0)</f>
        <v>0</v>
      </c>
      <c r="BI60" s="18">
        <f>IFERROR(_xlfn.STDEV.S('B1'!#REF!,'B2'!#REF!,'B3'!#REF!),0)</f>
        <v>0</v>
      </c>
      <c r="BJ60" s="132">
        <f>IFERROR(_xlfn.STDEV.S('B1'!#REF!,'B2'!#REF!,'B3'!#REF!),0)</f>
        <v>0</v>
      </c>
      <c r="BK60" s="132">
        <f>IFERROR(_xlfn.STDEV.S('B1'!#REF!,'B2'!#REF!,'B3'!#REF!),0)</f>
        <v>0</v>
      </c>
      <c r="BL60" s="132">
        <f>IFERROR(_xlfn.STDEV.S('B1'!#REF!,'B2'!#REF!,'B3'!#REF!),0)</f>
        <v>0</v>
      </c>
      <c r="BM60" s="132">
        <f>IFERROR(_xlfn.STDEV.S('B1'!#REF!,'B2'!#REF!,'B3'!#REF!),0)</f>
        <v>0</v>
      </c>
      <c r="BN60" s="132">
        <f>IFERROR(_xlfn.STDEV.S('B1'!#REF!,'B2'!#REF!,'B3'!#REF!),0)</f>
        <v>0</v>
      </c>
      <c r="BO60" s="132">
        <f>IFERROR(_xlfn.STDEV.S('B1'!#REF!,'B2'!#REF!,'B3'!#REF!),0)</f>
        <v>0</v>
      </c>
      <c r="BP60" s="132">
        <f>IFERROR(_xlfn.STDEV.S('B1'!#REF!,'B2'!#REF!,'B3'!#REF!),0)</f>
        <v>0</v>
      </c>
      <c r="BQ60" s="132">
        <f>IFERROR(_xlfn.STDEV.S('B1'!#REF!,'B2'!#REF!,'B3'!#REF!),0)</f>
        <v>0</v>
      </c>
      <c r="BR60" s="132">
        <f>IFERROR(_xlfn.STDEV.S('B1'!#REF!,'B2'!#REF!,'B3'!#REF!),0)</f>
        <v>0</v>
      </c>
      <c r="BS60" s="132">
        <f>IFERROR(_xlfn.STDEV.S('B1'!#REF!,'B2'!#REF!,'B3'!#REF!),0)</f>
        <v>0</v>
      </c>
      <c r="BT60" s="132"/>
      <c r="BU60" s="132">
        <f>IFERROR(_xlfn.STDEV.S('B1'!#REF!,'B2'!#REF!,'B3'!#REF!),0)</f>
        <v>0</v>
      </c>
      <c r="BV60" s="132">
        <f>IFERROR(_xlfn.STDEV.S('B1'!#REF!,'B2'!#REF!,'B3'!#REF!),0)</f>
        <v>0</v>
      </c>
      <c r="BW60" s="132">
        <f>IFERROR(_xlfn.STDEV.S('B1'!#REF!,'B2'!#REF!,'B3'!#REF!),0)</f>
        <v>0</v>
      </c>
      <c r="BX60" s="132">
        <f>IFERROR(_xlfn.STDEV.S('B1'!#REF!,'B2'!#REF!,'B3'!#REF!),0)</f>
        <v>0</v>
      </c>
    </row>
    <row r="61" spans="1:76" s="47" customFormat="1" ht="16" thickBot="1" x14ac:dyDescent="0.4">
      <c r="A61" s="63">
        <f t="shared" si="18"/>
        <v>0</v>
      </c>
      <c r="B61" s="74">
        <f t="shared" si="18"/>
        <v>0</v>
      </c>
      <c r="C61" s="41">
        <f t="shared" si="18"/>
        <v>0</v>
      </c>
      <c r="D61" s="18">
        <f>IFERROR(_xlfn.STDEV.S('B1'!D29,'B2'!D29,'B3'!D29),0)</f>
        <v>0</v>
      </c>
      <c r="E61" s="18">
        <f>IFERROR(_xlfn.STDEV.S('B1'!E29,'B2'!E29,'B3'!E29),0)</f>
        <v>0</v>
      </c>
      <c r="F61" s="18">
        <f>IFERROR(_xlfn.STDEV.S('B1'!F29,'B2'!F29,'B3'!F29),0)</f>
        <v>0</v>
      </c>
      <c r="G61" s="18">
        <f>IFERROR(_xlfn.STDEV.S('B1'!G29,'B2'!G29,'B3'!G29),0)</f>
        <v>0</v>
      </c>
      <c r="H61" s="18">
        <f>IFERROR(_xlfn.STDEV.S('B1'!H29,'B2'!H29,'B3'!H29),0)</f>
        <v>0</v>
      </c>
      <c r="I61" s="18">
        <f>IFERROR(_xlfn.STDEV.S('B1'!I29,'B2'!I29,'B3'!I29),0)</f>
        <v>0</v>
      </c>
      <c r="J61" s="18">
        <f>IFERROR(_xlfn.STDEV.S('B1'!J29,'B2'!J29,'B3'!J29),0)</f>
        <v>0</v>
      </c>
      <c r="K61" s="18">
        <f>IFERROR(_xlfn.STDEV.S('B1'!K29,'B2'!K29,'B3'!K29),0)</f>
        <v>0</v>
      </c>
      <c r="L61" s="18">
        <f>IFERROR(_xlfn.STDEV.S('B1'!L29,'B2'!L29,'B3'!L29),0)</f>
        <v>0</v>
      </c>
      <c r="M61" s="18">
        <f>IFERROR(_xlfn.STDEV.S('B1'!M29,'B2'!M29,'B3'!M29),0)</f>
        <v>0</v>
      </c>
      <c r="N61" s="18">
        <f>IFERROR(_xlfn.STDEV.S('B1'!N29,'B2'!N29,'B3'!N29),0)</f>
        <v>0</v>
      </c>
      <c r="O61" s="18">
        <f>IFERROR(_xlfn.STDEV.S('B1'!O29,'B2'!O29,'B3'!O29),0)</f>
        <v>0</v>
      </c>
      <c r="P61" s="18">
        <f>IFERROR(_xlfn.STDEV.S('B1'!P29,'B2'!P29,'B3'!P29),0)</f>
        <v>0</v>
      </c>
      <c r="Q61" s="18">
        <f>IFERROR(_xlfn.STDEV.S('B1'!Q29,'B2'!Q29,'B3'!Q29),0)</f>
        <v>0</v>
      </c>
      <c r="R61" s="18">
        <f>IFERROR(_xlfn.STDEV.S('B1'!R29,'B2'!R29,'B3'!R29),0)</f>
        <v>0</v>
      </c>
      <c r="S61" s="18">
        <f>IFERROR(_xlfn.STDEV.S('B1'!S29,'B2'!S29,'B3'!S29),0)</f>
        <v>0</v>
      </c>
      <c r="T61" s="18">
        <f>IFERROR(_xlfn.STDEV.S('B1'!T29,'B2'!T29,'B3'!T29),0)</f>
        <v>0</v>
      </c>
      <c r="U61" s="18">
        <f>IFERROR(_xlfn.STDEV.S('B1'!U29,'B2'!U29,'B3'!U29),0)</f>
        <v>0</v>
      </c>
      <c r="V61" s="18">
        <f>IFERROR(_xlfn.STDEV.S('B1'!V29,'B2'!V29,'B3'!V29),0)</f>
        <v>0</v>
      </c>
      <c r="W61" s="18">
        <f>IFERROR(_xlfn.STDEV.S('B1'!W29,'B2'!W29,'B3'!W29),0)</f>
        <v>0</v>
      </c>
      <c r="X61" s="18">
        <f>IFERROR(_xlfn.STDEV.S('B1'!X29,'B2'!X29,'B3'!X29),0)</f>
        <v>0</v>
      </c>
      <c r="Y61" s="18">
        <f>IFERROR(_xlfn.STDEV.S('B1'!Y29,'B2'!Y29,'B3'!Y29),0)</f>
        <v>0</v>
      </c>
      <c r="Z61" s="18">
        <f>IFERROR(_xlfn.STDEV.S('B1'!Z29,'B2'!Z29,'B3'!Z29),0)</f>
        <v>0</v>
      </c>
      <c r="AA61" s="18">
        <f>IFERROR(_xlfn.STDEV.S('B1'!AB29,'B2'!AA29,'B3'!AA29),0)</f>
        <v>0</v>
      </c>
      <c r="AB61" s="18">
        <f>IFERROR(_xlfn.STDEV.S('B1'!AC29,'B2'!AB29,'B3'!AB29),0)</f>
        <v>0</v>
      </c>
      <c r="AC61" s="18">
        <f>IFERROR(_xlfn.STDEV.S('B1'!AD29,'B2'!AC29,'B3'!AC29),0)</f>
        <v>0</v>
      </c>
      <c r="AD61" s="18">
        <f>IFERROR(_xlfn.STDEV.S('B1'!AE29,'B2'!AD29,'B3'!AD29),0)</f>
        <v>0</v>
      </c>
      <c r="AE61" s="18">
        <f>IFERROR(_xlfn.STDEV.S('B1'!AF29,'B2'!AE29,'B3'!AE29),0)</f>
        <v>0</v>
      </c>
      <c r="AF61" s="18">
        <f>IFERROR(_xlfn.STDEV.S('B1'!AG29,'B2'!AF29,'B3'!AF29),0)</f>
        <v>0</v>
      </c>
      <c r="AG61" s="18">
        <f>IFERROR(_xlfn.STDEV.S('B1'!AH29,'B2'!AG29,'B3'!AG29),0)</f>
        <v>0</v>
      </c>
      <c r="AH61" s="18">
        <f>IFERROR(_xlfn.STDEV.S('B1'!AI29,'B2'!AH29,'B3'!AH29),0)</f>
        <v>0</v>
      </c>
      <c r="AI61" s="18">
        <f>IFERROR(_xlfn.STDEV.S('B1'!AJ29,'B2'!AI29,'B3'!AI29),0)</f>
        <v>0</v>
      </c>
      <c r="AJ61" s="18">
        <f>IFERROR(_xlfn.STDEV.S('B1'!AK29,'B2'!AJ29,'B3'!AJ29),0)</f>
        <v>0</v>
      </c>
      <c r="AK61" s="18">
        <f>IFERROR(_xlfn.STDEV.S('B1'!AL29,'B2'!AK29,'B3'!AK29),0)</f>
        <v>0</v>
      </c>
      <c r="AL61" s="18">
        <f>IFERROR(_xlfn.STDEV.S('B1'!AM29,'B2'!AL29,'B3'!AL29),0)</f>
        <v>0</v>
      </c>
      <c r="AM61" s="18">
        <f>IFERROR(_xlfn.STDEV.S('B1'!AN29,'B2'!AM29,'B3'!AM29),0)</f>
        <v>0</v>
      </c>
      <c r="AN61" s="18">
        <f>IFERROR(_xlfn.STDEV.S('B1'!AO29,'B2'!AN29,'B3'!AN29),0)</f>
        <v>0</v>
      </c>
      <c r="AO61" s="18">
        <f>IFERROR(_xlfn.STDEV.S('B1'!AP29,'B2'!AO29,'B3'!AO29),0)</f>
        <v>0</v>
      </c>
      <c r="AP61" s="18">
        <f>IFERROR(_xlfn.STDEV.S('B1'!AQ29,'B2'!AP29,'B3'!AP29),0)</f>
        <v>0</v>
      </c>
      <c r="AQ61" s="18">
        <f>IFERROR(_xlfn.STDEV.S('B1'!AR29,'B2'!AQ29,'B3'!AQ29),0)</f>
        <v>0</v>
      </c>
      <c r="AR61" s="18">
        <f>IFERROR(_xlfn.STDEV.S('B1'!AS29,'B2'!AR29,'B3'!AR29),0)</f>
        <v>0</v>
      </c>
      <c r="AS61" s="18">
        <f>IFERROR(_xlfn.STDEV.S('B1'!AT29,'B2'!AS29,'B3'!AS29),0)</f>
        <v>0</v>
      </c>
      <c r="AT61" s="18">
        <f>IFERROR(_xlfn.STDEV.S('B1'!AU29,'B2'!AT29,'B3'!AT29),0)</f>
        <v>0</v>
      </c>
      <c r="AU61" s="18">
        <f>IFERROR(_xlfn.STDEV.S('B1'!AV29,'B2'!AU29,'B3'!AU29),0)</f>
        <v>0</v>
      </c>
      <c r="AV61" s="18">
        <f>IFERROR(_xlfn.STDEV.S('B1'!AW29,'B2'!AV29,'B3'!AV29),0)</f>
        <v>0</v>
      </c>
      <c r="AW61" s="18">
        <f>IFERROR(_xlfn.STDEV.S('B1'!AX29,'B2'!AW29,'B3'!AW29),0)</f>
        <v>0</v>
      </c>
      <c r="AX61" s="18">
        <f>IFERROR(_xlfn.STDEV.S('B1'!AY29,'B2'!AX29,'B3'!AX29),0)</f>
        <v>0</v>
      </c>
      <c r="AY61" s="18">
        <f>IFERROR(_xlfn.STDEV.S('B1'!AZ29,'B2'!AY29,'B3'!AY29),0)</f>
        <v>0</v>
      </c>
      <c r="AZ61" s="131">
        <f>IFERROR(_xlfn.STDEV.S('B1'!BA29,'B2'!AZ29,'B3'!AZ29),0)</f>
        <v>0</v>
      </c>
      <c r="BA61" s="131" t="e">
        <f>_xlfn.STDEV.S('B1'!BB29,'B2'!BA29,'B3'!BA29)</f>
        <v>#DIV/0!</v>
      </c>
      <c r="BB61" s="123">
        <f>IFERROR(_xlfn.STDEV.S('B1'!#REF!,'B2'!#REF!,'B3'!#REF!),0)</f>
        <v>0</v>
      </c>
      <c r="BC61" s="123">
        <f>IFERROR(_xlfn.STDEV.S('B1'!#REF!,'B2'!#REF!,'B3'!#REF!),0)</f>
        <v>0</v>
      </c>
      <c r="BD61" s="18">
        <f>IFERROR(_xlfn.STDEV.S('B1'!#REF!,'B2'!#REF!,'B3'!#REF!),0)</f>
        <v>0</v>
      </c>
      <c r="BE61" s="18">
        <f>IFERROR(_xlfn.STDEV.S('B1'!#REF!,'B2'!#REF!,'B3'!#REF!),0)</f>
        <v>0</v>
      </c>
      <c r="BF61" s="18">
        <f>IFERROR(_xlfn.STDEV.S('B1'!#REF!,'B2'!#REF!,'B3'!#REF!),0)</f>
        <v>0</v>
      </c>
      <c r="BG61" s="18">
        <f>IFERROR(_xlfn.STDEV.S('B1'!#REF!,'B2'!#REF!,'B3'!#REF!),0)</f>
        <v>0</v>
      </c>
      <c r="BH61" s="18">
        <f>IFERROR(_xlfn.STDEV.S('B1'!#REF!,'B2'!#REF!,'B3'!#REF!),0)</f>
        <v>0</v>
      </c>
      <c r="BI61" s="18">
        <f>IFERROR(_xlfn.STDEV.S('B1'!#REF!,'B2'!#REF!,'B3'!#REF!),0)</f>
        <v>0</v>
      </c>
      <c r="BJ61" s="132">
        <f>IFERROR(_xlfn.STDEV.S('B1'!#REF!,'B2'!#REF!,'B3'!#REF!),0)</f>
        <v>0</v>
      </c>
      <c r="BK61" s="132">
        <f>IFERROR(_xlfn.STDEV.S('B1'!#REF!,'B2'!#REF!,'B3'!#REF!),0)</f>
        <v>0</v>
      </c>
      <c r="BL61" s="132">
        <f>IFERROR(_xlfn.STDEV.S('B1'!#REF!,'B2'!#REF!,'B3'!#REF!),0)</f>
        <v>0</v>
      </c>
      <c r="BM61" s="132">
        <f>IFERROR(_xlfn.STDEV.S('B1'!#REF!,'B2'!#REF!,'B3'!#REF!),0)</f>
        <v>0</v>
      </c>
      <c r="BN61" s="132">
        <f>IFERROR(_xlfn.STDEV.S('B1'!#REF!,'B2'!#REF!,'B3'!#REF!),0)</f>
        <v>0</v>
      </c>
      <c r="BO61" s="132">
        <f>IFERROR(_xlfn.STDEV.S('B1'!#REF!,'B2'!#REF!,'B3'!#REF!),0)</f>
        <v>0</v>
      </c>
      <c r="BP61" s="132">
        <f>IFERROR(_xlfn.STDEV.S('B1'!#REF!,'B2'!#REF!,'B3'!#REF!),0)</f>
        <v>0</v>
      </c>
      <c r="BQ61" s="132">
        <f>IFERROR(_xlfn.STDEV.S('B1'!#REF!,'B2'!#REF!,'B3'!#REF!),0)</f>
        <v>0</v>
      </c>
      <c r="BR61" s="132">
        <f>IFERROR(_xlfn.STDEV.S('B1'!#REF!,'B2'!#REF!,'B3'!#REF!),0)</f>
        <v>0</v>
      </c>
      <c r="BS61" s="132">
        <f>IFERROR(_xlfn.STDEV.S('B1'!#REF!,'B2'!#REF!,'B3'!#REF!),0)</f>
        <v>0</v>
      </c>
      <c r="BT61" s="132"/>
      <c r="BU61" s="132">
        <f>IFERROR(_xlfn.STDEV.S('B1'!#REF!,'B2'!#REF!,'B3'!#REF!),0)</f>
        <v>0</v>
      </c>
      <c r="BV61" s="132">
        <f>IFERROR(_xlfn.STDEV.S('B1'!#REF!,'B2'!#REF!,'B3'!#REF!),0)</f>
        <v>0</v>
      </c>
      <c r="BW61" s="132">
        <f>IFERROR(_xlfn.STDEV.S('B1'!#REF!,'B2'!#REF!,'B3'!#REF!),0)</f>
        <v>0</v>
      </c>
      <c r="BX61" s="132">
        <f>IFERROR(_xlfn.STDEV.S('B1'!#REF!,'B2'!#REF!,'B3'!#REF!),0)</f>
        <v>0</v>
      </c>
    </row>
    <row r="62" spans="1:76" s="66" customFormat="1" ht="16" thickBot="1" x14ac:dyDescent="0.4">
      <c r="A62" s="63">
        <f t="shared" si="18"/>
        <v>0</v>
      </c>
      <c r="B62" s="74">
        <f t="shared" si="18"/>
        <v>0</v>
      </c>
      <c r="C62" s="41">
        <f t="shared" si="18"/>
        <v>0</v>
      </c>
      <c r="D62" s="18">
        <f>IFERROR(_xlfn.STDEV.S('B1'!D30,'B2'!D30,'B3'!D30),0)</f>
        <v>0</v>
      </c>
      <c r="E62" s="18">
        <f>IFERROR(_xlfn.STDEV.S('B1'!E30,'B2'!E30,'B3'!E30),0)</f>
        <v>0</v>
      </c>
      <c r="F62" s="18">
        <f>IFERROR(_xlfn.STDEV.S('B1'!F30,'B2'!F30,'B3'!F30),0)</f>
        <v>0</v>
      </c>
      <c r="G62" s="18">
        <f>IFERROR(_xlfn.STDEV.S('B1'!G30,'B2'!G30,'B3'!G30),0)</f>
        <v>0</v>
      </c>
      <c r="H62" s="18">
        <f>IFERROR(_xlfn.STDEV.S('B1'!H30,'B2'!H30,'B3'!H30),0)</f>
        <v>0</v>
      </c>
      <c r="I62" s="18">
        <f>IFERROR(_xlfn.STDEV.S('B1'!I30,'B2'!I30,'B3'!I30),0)</f>
        <v>0</v>
      </c>
      <c r="J62" s="18">
        <f>IFERROR(_xlfn.STDEV.S('B1'!J30,'B2'!J30,'B3'!J30),0)</f>
        <v>0</v>
      </c>
      <c r="K62" s="18">
        <f>IFERROR(_xlfn.STDEV.S('B1'!K30,'B2'!K30,'B3'!K30),0)</f>
        <v>0</v>
      </c>
      <c r="L62" s="18">
        <f>IFERROR(_xlfn.STDEV.S('B1'!L30,'B2'!L30,'B3'!L30),0)</f>
        <v>0</v>
      </c>
      <c r="M62" s="18">
        <f>IFERROR(_xlfn.STDEV.S('B1'!M30,'B2'!M30,'B3'!M30),0)</f>
        <v>0</v>
      </c>
      <c r="N62" s="18">
        <f>IFERROR(_xlfn.STDEV.S('B1'!N30,'B2'!N30,'B3'!N30),0)</f>
        <v>0</v>
      </c>
      <c r="O62" s="18">
        <f>IFERROR(_xlfn.STDEV.S('B1'!O30,'B2'!O30,'B3'!O30),0)</f>
        <v>0</v>
      </c>
      <c r="P62" s="18">
        <f>IFERROR(_xlfn.STDEV.S('B1'!P30,'B2'!P30,'B3'!P30),0)</f>
        <v>0</v>
      </c>
      <c r="Q62" s="18">
        <f>IFERROR(_xlfn.STDEV.S('B1'!Q30,'B2'!Q30,'B3'!Q30),0)</f>
        <v>0</v>
      </c>
      <c r="R62" s="18">
        <f>IFERROR(_xlfn.STDEV.S('B1'!R30,'B2'!R30,'B3'!R30),0)</f>
        <v>0</v>
      </c>
      <c r="S62" s="18">
        <f>IFERROR(_xlfn.STDEV.S('B1'!S30,'B2'!S30,'B3'!S30),0)</f>
        <v>0</v>
      </c>
      <c r="T62" s="18">
        <f>IFERROR(_xlfn.STDEV.S('B1'!T30,'B2'!T30,'B3'!T30),0)</f>
        <v>0</v>
      </c>
      <c r="U62" s="18">
        <f>IFERROR(_xlfn.STDEV.S('B1'!U30,'B2'!U30,'B3'!U30),0)</f>
        <v>0</v>
      </c>
      <c r="V62" s="18">
        <f>IFERROR(_xlfn.STDEV.S('B1'!V30,'B2'!V30,'B3'!V30),0)</f>
        <v>0</v>
      </c>
      <c r="W62" s="18">
        <f>IFERROR(_xlfn.STDEV.S('B1'!W30,'B2'!W30,'B3'!W30),0)</f>
        <v>0</v>
      </c>
      <c r="X62" s="18">
        <f>IFERROR(_xlfn.STDEV.S('B1'!X30,'B2'!X30,'B3'!X30),0)</f>
        <v>0</v>
      </c>
      <c r="Y62" s="18">
        <f>IFERROR(_xlfn.STDEV.S('B1'!Y30,'B2'!Y30,'B3'!Y30),0)</f>
        <v>0</v>
      </c>
      <c r="Z62" s="18">
        <f>IFERROR(_xlfn.STDEV.S('B1'!Z30,'B2'!Z30,'B3'!Z30),0)</f>
        <v>0</v>
      </c>
      <c r="AA62" s="18">
        <f>IFERROR(_xlfn.STDEV.S('B1'!AB30,'B2'!AA30,'B3'!AA30),0)</f>
        <v>0</v>
      </c>
      <c r="AB62" s="18">
        <f>IFERROR(_xlfn.STDEV.S('B1'!AC30,'B2'!AB30,'B3'!AB30),0)</f>
        <v>0</v>
      </c>
      <c r="AC62" s="18">
        <f>IFERROR(_xlfn.STDEV.S('B1'!AD30,'B2'!AC30,'B3'!AC30),0)</f>
        <v>0</v>
      </c>
      <c r="AD62" s="18">
        <f>IFERROR(_xlfn.STDEV.S('B1'!AE30,'B2'!AD30,'B3'!AD30),0)</f>
        <v>0</v>
      </c>
      <c r="AE62" s="18">
        <f>IFERROR(_xlfn.STDEV.S('B1'!AF30,'B2'!AE30,'B3'!AE30),0)</f>
        <v>0</v>
      </c>
      <c r="AF62" s="18">
        <f>IFERROR(_xlfn.STDEV.S('B1'!AG30,'B2'!AF30,'B3'!AF30),0)</f>
        <v>0</v>
      </c>
      <c r="AG62" s="18">
        <f>IFERROR(_xlfn.STDEV.S('B1'!AH30,'B2'!AG30,'B3'!AG30),0)</f>
        <v>0</v>
      </c>
      <c r="AH62" s="18">
        <f>IFERROR(_xlfn.STDEV.S('B1'!AI30,'B2'!AH30,'B3'!AH30),0)</f>
        <v>0</v>
      </c>
      <c r="AI62" s="18">
        <f>IFERROR(_xlfn.STDEV.S('B1'!AJ30,'B2'!AI30,'B3'!AI30),0)</f>
        <v>0</v>
      </c>
      <c r="AJ62" s="18">
        <f>IFERROR(_xlfn.STDEV.S('B1'!AK30,'B2'!AJ30,'B3'!AJ30),0)</f>
        <v>0</v>
      </c>
      <c r="AK62" s="18">
        <f>IFERROR(_xlfn.STDEV.S('B1'!AL30,'B2'!AK30,'B3'!AK30),0)</f>
        <v>0</v>
      </c>
      <c r="AL62" s="18">
        <f>IFERROR(_xlfn.STDEV.S('B1'!AM30,'B2'!AL30,'B3'!AL30),0)</f>
        <v>0</v>
      </c>
      <c r="AM62" s="18">
        <f>IFERROR(_xlfn.STDEV.S('B1'!AN30,'B2'!AM30,'B3'!AM30),0)</f>
        <v>0</v>
      </c>
      <c r="AN62" s="18">
        <f>IFERROR(_xlfn.STDEV.S('B1'!AO30,'B2'!AN30,'B3'!AN30),0)</f>
        <v>0</v>
      </c>
      <c r="AO62" s="18">
        <f>IFERROR(_xlfn.STDEV.S('B1'!AP30,'B2'!AO30,'B3'!AO30),0)</f>
        <v>0</v>
      </c>
      <c r="AP62" s="18">
        <f>IFERROR(_xlfn.STDEV.S('B1'!AQ30,'B2'!AP30,'B3'!AP30),0)</f>
        <v>0</v>
      </c>
      <c r="AQ62" s="18">
        <f>IFERROR(_xlfn.STDEV.S('B1'!AR30,'B2'!AQ30,'B3'!AQ30),0)</f>
        <v>0</v>
      </c>
      <c r="AR62" s="18">
        <f>IFERROR(_xlfn.STDEV.S('B1'!AS30,'B2'!AR30,'B3'!AR30),0)</f>
        <v>0</v>
      </c>
      <c r="AS62" s="18">
        <f>IFERROR(_xlfn.STDEV.S('B1'!AT30,'B2'!AS30,'B3'!AS30),0)</f>
        <v>0</v>
      </c>
      <c r="AT62" s="18">
        <f>IFERROR(_xlfn.STDEV.S('B1'!AU30,'B2'!AT30,'B3'!AT30),0)</f>
        <v>0</v>
      </c>
      <c r="AU62" s="18">
        <f>IFERROR(_xlfn.STDEV.S('B1'!AV30,'B2'!AU30,'B3'!AU30),0)</f>
        <v>0</v>
      </c>
      <c r="AV62" s="18">
        <f>IFERROR(_xlfn.STDEV.S('B1'!AW30,'B2'!AV30,'B3'!AV30),0)</f>
        <v>0</v>
      </c>
      <c r="AW62" s="18">
        <f>IFERROR(_xlfn.STDEV.S('B1'!AX30,'B2'!AW30,'B3'!AW30),0)</f>
        <v>0</v>
      </c>
      <c r="AX62" s="18">
        <f>IFERROR(_xlfn.STDEV.S('B1'!AY30,'B2'!AX30,'B3'!AX30),0)</f>
        <v>0</v>
      </c>
      <c r="AY62" s="18">
        <f>IFERROR(_xlfn.STDEV.S('B1'!AZ30,'B2'!AY30,'B3'!AY30),0)</f>
        <v>0</v>
      </c>
      <c r="AZ62" s="131">
        <f>IFERROR(_xlfn.STDEV.S('B1'!BA30,'B2'!AZ30,'B3'!AZ30),0)</f>
        <v>0</v>
      </c>
      <c r="BA62" s="131" t="e">
        <f>_xlfn.STDEV.S('B1'!BB30,'B2'!BA30,'B3'!BA30)</f>
        <v>#DIV/0!</v>
      </c>
      <c r="BB62" s="123">
        <f>IFERROR(_xlfn.STDEV.S('B1'!#REF!,'B2'!#REF!,'B3'!#REF!),0)</f>
        <v>0</v>
      </c>
      <c r="BC62" s="123">
        <f>IFERROR(_xlfn.STDEV.S('B1'!#REF!,'B2'!#REF!,'B3'!#REF!),0)</f>
        <v>0</v>
      </c>
      <c r="BD62" s="18">
        <f>IFERROR(_xlfn.STDEV.S('B1'!#REF!,'B2'!#REF!,'B3'!#REF!),0)</f>
        <v>0</v>
      </c>
      <c r="BE62" s="18">
        <f>IFERROR(_xlfn.STDEV.S('B1'!#REF!,'B2'!#REF!,'B3'!#REF!),0)</f>
        <v>0</v>
      </c>
      <c r="BF62" s="18">
        <f>IFERROR(_xlfn.STDEV.S('B1'!#REF!,'B2'!#REF!,'B3'!#REF!),0)</f>
        <v>0</v>
      </c>
      <c r="BG62" s="18">
        <f>IFERROR(_xlfn.STDEV.S('B1'!#REF!,'B2'!#REF!,'B3'!#REF!),0)</f>
        <v>0</v>
      </c>
      <c r="BH62" s="18">
        <f>IFERROR(_xlfn.STDEV.S('B1'!#REF!,'B2'!#REF!,'B3'!#REF!),0)</f>
        <v>0</v>
      </c>
      <c r="BI62" s="18">
        <f>IFERROR(_xlfn.STDEV.S('B1'!#REF!,'B2'!#REF!,'B3'!#REF!),0)</f>
        <v>0</v>
      </c>
      <c r="BJ62" s="132">
        <f>IFERROR(_xlfn.STDEV.S('B1'!#REF!,'B2'!#REF!,'B3'!#REF!),0)</f>
        <v>0</v>
      </c>
      <c r="BK62" s="132">
        <f>IFERROR(_xlfn.STDEV.S('B1'!#REF!,'B2'!#REF!,'B3'!#REF!),0)</f>
        <v>0</v>
      </c>
      <c r="BL62" s="132">
        <f>IFERROR(_xlfn.STDEV.S('B1'!#REF!,'B2'!#REF!,'B3'!#REF!),0)</f>
        <v>0</v>
      </c>
      <c r="BM62" s="132">
        <f>IFERROR(_xlfn.STDEV.S('B1'!#REF!,'B2'!#REF!,'B3'!#REF!),0)</f>
        <v>0</v>
      </c>
      <c r="BN62" s="132">
        <f>IFERROR(_xlfn.STDEV.S('B1'!#REF!,'B2'!#REF!,'B3'!#REF!),0)</f>
        <v>0</v>
      </c>
      <c r="BO62" s="132">
        <f>IFERROR(_xlfn.STDEV.S('B1'!#REF!,'B2'!#REF!,'B3'!#REF!),0)</f>
        <v>0</v>
      </c>
      <c r="BP62" s="132">
        <f>IFERROR(_xlfn.STDEV.S('B1'!#REF!,'B2'!#REF!,'B3'!#REF!),0)</f>
        <v>0</v>
      </c>
      <c r="BQ62" s="132">
        <f>IFERROR(_xlfn.STDEV.S('B1'!#REF!,'B2'!#REF!,'B3'!#REF!),0)</f>
        <v>0</v>
      </c>
      <c r="BR62" s="132">
        <f>IFERROR(_xlfn.STDEV.S('B1'!#REF!,'B2'!#REF!,'B3'!#REF!),0)</f>
        <v>0</v>
      </c>
      <c r="BS62" s="132">
        <f>IFERROR(_xlfn.STDEV.S('B1'!#REF!,'B2'!#REF!,'B3'!#REF!),0)</f>
        <v>0</v>
      </c>
      <c r="BT62" s="132"/>
      <c r="BU62" s="132">
        <f>IFERROR(_xlfn.STDEV.S('B1'!#REF!,'B2'!#REF!,'B3'!#REF!),0)</f>
        <v>0</v>
      </c>
      <c r="BV62" s="132">
        <f>IFERROR(_xlfn.STDEV.S('B1'!#REF!,'B2'!#REF!,'B3'!#REF!),0)</f>
        <v>0</v>
      </c>
      <c r="BW62" s="132">
        <f>IFERROR(_xlfn.STDEV.S('B1'!#REF!,'B2'!#REF!,'B3'!#REF!),0)</f>
        <v>0</v>
      </c>
      <c r="BX62" s="132">
        <f>IFERROR(_xlfn.STDEV.S('B1'!#REF!,'B2'!#REF!,'B3'!#REF!),0)</f>
        <v>0</v>
      </c>
    </row>
    <row r="63" spans="1:76" s="47" customFormat="1" ht="16" thickBot="1" x14ac:dyDescent="0.4">
      <c r="A63" s="63">
        <f t="shared" si="18"/>
        <v>0</v>
      </c>
      <c r="B63" s="74">
        <f t="shared" si="18"/>
        <v>0</v>
      </c>
      <c r="C63" s="41">
        <f t="shared" si="18"/>
        <v>0</v>
      </c>
      <c r="D63" s="18">
        <f>IFERROR(_xlfn.STDEV.S('B1'!D31,'B2'!D31,'B3'!D31),0)</f>
        <v>0</v>
      </c>
      <c r="E63" s="18">
        <f>IFERROR(_xlfn.STDEV.S('B1'!E31,'B2'!E31,'B3'!E31),0)</f>
        <v>0</v>
      </c>
      <c r="F63" s="18">
        <f>IFERROR(_xlfn.STDEV.S('B1'!F31,'B2'!F31,'B3'!F31),0)</f>
        <v>0</v>
      </c>
      <c r="G63" s="18">
        <f>IFERROR(_xlfn.STDEV.S('B1'!G31,'B2'!G31,'B3'!G31),0)</f>
        <v>0</v>
      </c>
      <c r="H63" s="18">
        <f>IFERROR(_xlfn.STDEV.S('B1'!H31,'B2'!H31,'B3'!H31),0)</f>
        <v>0</v>
      </c>
      <c r="I63" s="18">
        <f>IFERROR(_xlfn.STDEV.S('B1'!I31,'B2'!I31,'B3'!I31),0)</f>
        <v>0</v>
      </c>
      <c r="J63" s="18">
        <f>IFERROR(_xlfn.STDEV.S('B1'!J31,'B2'!J31,'B3'!J31),0)</f>
        <v>0</v>
      </c>
      <c r="K63" s="18">
        <f>IFERROR(_xlfn.STDEV.S('B1'!K31,'B2'!K31,'B3'!K31),0)</f>
        <v>0</v>
      </c>
      <c r="L63" s="18">
        <f>IFERROR(_xlfn.STDEV.S('B1'!L31,'B2'!L31,'B3'!L31),0)</f>
        <v>0</v>
      </c>
      <c r="M63" s="18">
        <f>IFERROR(_xlfn.STDEV.S('B1'!M31,'B2'!M31,'B3'!M31),0)</f>
        <v>0</v>
      </c>
      <c r="N63" s="18">
        <f>IFERROR(_xlfn.STDEV.S('B1'!N31,'B2'!N31,'B3'!N31),0)</f>
        <v>0</v>
      </c>
      <c r="O63" s="18">
        <f>IFERROR(_xlfn.STDEV.S('B1'!O31,'B2'!O31,'B3'!O31),0)</f>
        <v>0</v>
      </c>
      <c r="P63" s="18">
        <f>IFERROR(_xlfn.STDEV.S('B1'!P31,'B2'!P31,'B3'!P31),0)</f>
        <v>0</v>
      </c>
      <c r="Q63" s="18">
        <f>IFERROR(_xlfn.STDEV.S('B1'!Q31,'B2'!Q31,'B3'!Q31),0)</f>
        <v>0</v>
      </c>
      <c r="R63" s="18">
        <f>IFERROR(_xlfn.STDEV.S('B1'!R31,'B2'!R31,'B3'!R31),0)</f>
        <v>0</v>
      </c>
      <c r="S63" s="18">
        <f>IFERROR(_xlfn.STDEV.S('B1'!S31,'B2'!S31,'B3'!S31),0)</f>
        <v>0</v>
      </c>
      <c r="T63" s="18">
        <f>IFERROR(_xlfn.STDEV.S('B1'!T31,'B2'!T31,'B3'!T31),0)</f>
        <v>0</v>
      </c>
      <c r="U63" s="18">
        <f>IFERROR(_xlfn.STDEV.S('B1'!U31,'B2'!U31,'B3'!U31),0)</f>
        <v>0</v>
      </c>
      <c r="V63" s="18">
        <f>IFERROR(_xlfn.STDEV.S('B1'!V31,'B2'!V31,'B3'!V31),0)</f>
        <v>0</v>
      </c>
      <c r="W63" s="18">
        <f>IFERROR(_xlfn.STDEV.S('B1'!W31,'B2'!W31,'B3'!W31),0)</f>
        <v>0</v>
      </c>
      <c r="X63" s="18">
        <f>IFERROR(_xlfn.STDEV.S('B1'!X31,'B2'!X31,'B3'!X31),0)</f>
        <v>0</v>
      </c>
      <c r="Y63" s="18">
        <f>IFERROR(_xlfn.STDEV.S('B1'!Y31,'B2'!Y31,'B3'!Y31),0)</f>
        <v>0</v>
      </c>
      <c r="Z63" s="18">
        <f>IFERROR(_xlfn.STDEV.S('B1'!Z31,'B2'!Z31,'B3'!Z31),0)</f>
        <v>0</v>
      </c>
      <c r="AA63" s="18">
        <f>IFERROR(_xlfn.STDEV.S('B1'!AB31,'B2'!AA31,'B3'!AA31),0)</f>
        <v>0</v>
      </c>
      <c r="AB63" s="18">
        <f>IFERROR(_xlfn.STDEV.S('B1'!AC31,'B2'!AB31,'B3'!AB31),0)</f>
        <v>0</v>
      </c>
      <c r="AC63" s="18">
        <f>IFERROR(_xlfn.STDEV.S('B1'!AD31,'B2'!AC31,'B3'!AC31),0)</f>
        <v>0</v>
      </c>
      <c r="AD63" s="18">
        <f>IFERROR(_xlfn.STDEV.S('B1'!AE31,'B2'!AD31,'B3'!AD31),0)</f>
        <v>0</v>
      </c>
      <c r="AE63" s="18">
        <f>IFERROR(_xlfn.STDEV.S('B1'!AF31,'B2'!AE31,'B3'!AE31),0)</f>
        <v>0</v>
      </c>
      <c r="AF63" s="18">
        <f>IFERROR(_xlfn.STDEV.S('B1'!AG31,'B2'!AF31,'B3'!AF31),0)</f>
        <v>0</v>
      </c>
      <c r="AG63" s="18">
        <f>IFERROR(_xlfn.STDEV.S('B1'!AH31,'B2'!AG31,'B3'!AG31),0)</f>
        <v>0</v>
      </c>
      <c r="AH63" s="18">
        <f>IFERROR(_xlfn.STDEV.S('B1'!AI31,'B2'!AH31,'B3'!AH31),0)</f>
        <v>0</v>
      </c>
      <c r="AI63" s="18">
        <f>IFERROR(_xlfn.STDEV.S('B1'!AJ31,'B2'!AI31,'B3'!AI31),0)</f>
        <v>0</v>
      </c>
      <c r="AJ63" s="18">
        <f>IFERROR(_xlfn.STDEV.S('B1'!AK31,'B2'!AJ31,'B3'!AJ31),0)</f>
        <v>0</v>
      </c>
      <c r="AK63" s="18">
        <f>IFERROR(_xlfn.STDEV.S('B1'!AL31,'B2'!AK31,'B3'!AK31),0)</f>
        <v>0</v>
      </c>
      <c r="AL63" s="18">
        <f>IFERROR(_xlfn.STDEV.S('B1'!AM31,'B2'!AL31,'B3'!AL31),0)</f>
        <v>0</v>
      </c>
      <c r="AM63" s="18">
        <f>IFERROR(_xlfn.STDEV.S('B1'!AN31,'B2'!AM31,'B3'!AM31),0)</f>
        <v>0</v>
      </c>
      <c r="AN63" s="18">
        <f>IFERROR(_xlfn.STDEV.S('B1'!AO31,'B2'!AN31,'B3'!AN31),0)</f>
        <v>0</v>
      </c>
      <c r="AO63" s="18">
        <f>IFERROR(_xlfn.STDEV.S('B1'!AP31,'B2'!AO31,'B3'!AO31),0)</f>
        <v>0</v>
      </c>
      <c r="AP63" s="18">
        <f>IFERROR(_xlfn.STDEV.S('B1'!AQ31,'B2'!AP31,'B3'!AP31),0)</f>
        <v>0</v>
      </c>
      <c r="AQ63" s="18">
        <f>IFERROR(_xlfn.STDEV.S('B1'!AR31,'B2'!AQ31,'B3'!AQ31),0)</f>
        <v>0</v>
      </c>
      <c r="AR63" s="18">
        <f>IFERROR(_xlfn.STDEV.S('B1'!AS31,'B2'!AR31,'B3'!AR31),0)</f>
        <v>0</v>
      </c>
      <c r="AS63" s="18">
        <f>IFERROR(_xlfn.STDEV.S('B1'!AT31,'B2'!AS31,'B3'!AS31),0)</f>
        <v>0</v>
      </c>
      <c r="AT63" s="18">
        <f>IFERROR(_xlfn.STDEV.S('B1'!AU31,'B2'!AT31,'B3'!AT31),0)</f>
        <v>0</v>
      </c>
      <c r="AU63" s="18">
        <f>IFERROR(_xlfn.STDEV.S('B1'!AV31,'B2'!AU31,'B3'!AU31),0)</f>
        <v>0</v>
      </c>
      <c r="AV63" s="18">
        <f>IFERROR(_xlfn.STDEV.S('B1'!AW31,'B2'!AV31,'B3'!AV31),0)</f>
        <v>0</v>
      </c>
      <c r="AW63" s="18">
        <f>IFERROR(_xlfn.STDEV.S('B1'!AX31,'B2'!AW31,'B3'!AW31),0)</f>
        <v>0</v>
      </c>
      <c r="AX63" s="18">
        <f>IFERROR(_xlfn.STDEV.S('B1'!AY31,'B2'!AX31,'B3'!AX31),0)</f>
        <v>0</v>
      </c>
      <c r="AY63" s="18">
        <f>IFERROR(_xlfn.STDEV.S('B1'!AZ31,'B2'!AY31,'B3'!AY31),0)</f>
        <v>0</v>
      </c>
      <c r="AZ63" s="131">
        <f>IFERROR(_xlfn.STDEV.S('B1'!BA31,'B2'!AZ31,'B3'!AZ31),0)</f>
        <v>0</v>
      </c>
      <c r="BA63" s="131" t="e">
        <f>_xlfn.STDEV.S('B1'!BB31,'B2'!BA31,'B3'!BA31)</f>
        <v>#DIV/0!</v>
      </c>
      <c r="BB63" s="123">
        <f>IFERROR(_xlfn.STDEV.S('B1'!#REF!,'B2'!#REF!,'B3'!#REF!),0)</f>
        <v>0</v>
      </c>
      <c r="BC63" s="123">
        <f>IFERROR(_xlfn.STDEV.S('B1'!#REF!,'B2'!#REF!,'B3'!#REF!),0)</f>
        <v>0</v>
      </c>
      <c r="BD63" s="18">
        <f>IFERROR(_xlfn.STDEV.S('B1'!#REF!,'B2'!#REF!,'B3'!#REF!),0)</f>
        <v>0</v>
      </c>
      <c r="BE63" s="18">
        <f>IFERROR(_xlfn.STDEV.S('B1'!#REF!,'B2'!#REF!,'B3'!#REF!),0)</f>
        <v>0</v>
      </c>
      <c r="BF63" s="18">
        <f>IFERROR(_xlfn.STDEV.S('B1'!#REF!,'B2'!#REF!,'B3'!#REF!),0)</f>
        <v>0</v>
      </c>
      <c r="BG63" s="18">
        <f>IFERROR(_xlfn.STDEV.S('B1'!#REF!,'B2'!#REF!,'B3'!#REF!),0)</f>
        <v>0</v>
      </c>
      <c r="BH63" s="18">
        <f>IFERROR(_xlfn.STDEV.S('B1'!#REF!,'B2'!#REF!,'B3'!#REF!),0)</f>
        <v>0</v>
      </c>
      <c r="BI63" s="18">
        <f>IFERROR(_xlfn.STDEV.S('B1'!#REF!,'B2'!#REF!,'B3'!#REF!),0)</f>
        <v>0</v>
      </c>
      <c r="BJ63" s="132">
        <f>IFERROR(_xlfn.STDEV.S('B1'!#REF!,'B2'!#REF!,'B3'!#REF!),0)</f>
        <v>0</v>
      </c>
      <c r="BK63" s="132">
        <f>IFERROR(_xlfn.STDEV.S('B1'!#REF!,'B2'!#REF!,'B3'!#REF!),0)</f>
        <v>0</v>
      </c>
      <c r="BL63" s="132">
        <f>IFERROR(_xlfn.STDEV.S('B1'!#REF!,'B2'!#REF!,'B3'!#REF!),0)</f>
        <v>0</v>
      </c>
      <c r="BM63" s="132">
        <f>IFERROR(_xlfn.STDEV.S('B1'!#REF!,'B2'!#REF!,'B3'!#REF!),0)</f>
        <v>0</v>
      </c>
      <c r="BN63" s="132">
        <f>IFERROR(_xlfn.STDEV.S('B1'!#REF!,'B2'!#REF!,'B3'!#REF!),0)</f>
        <v>0</v>
      </c>
      <c r="BO63" s="132">
        <f>IFERROR(_xlfn.STDEV.S('B1'!#REF!,'B2'!#REF!,'B3'!#REF!),0)</f>
        <v>0</v>
      </c>
      <c r="BP63" s="132">
        <f>IFERROR(_xlfn.STDEV.S('B1'!#REF!,'B2'!#REF!,'B3'!#REF!),0)</f>
        <v>0</v>
      </c>
      <c r="BQ63" s="132">
        <f>IFERROR(_xlfn.STDEV.S('B1'!#REF!,'B2'!#REF!,'B3'!#REF!),0)</f>
        <v>0</v>
      </c>
      <c r="BR63" s="132">
        <f>IFERROR(_xlfn.STDEV.S('B1'!#REF!,'B2'!#REF!,'B3'!#REF!),0)</f>
        <v>0</v>
      </c>
      <c r="BS63" s="132">
        <f>IFERROR(_xlfn.STDEV.S('B1'!#REF!,'B2'!#REF!,'B3'!#REF!),0)</f>
        <v>0</v>
      </c>
      <c r="BT63" s="132"/>
      <c r="BU63" s="132">
        <f>IFERROR(_xlfn.STDEV.S('B1'!#REF!,'B2'!#REF!,'B3'!#REF!),0)</f>
        <v>0</v>
      </c>
      <c r="BV63" s="132">
        <f>IFERROR(_xlfn.STDEV.S('B1'!#REF!,'B2'!#REF!,'B3'!#REF!),0)</f>
        <v>0</v>
      </c>
      <c r="BW63" s="132">
        <f>IFERROR(_xlfn.STDEV.S('B1'!#REF!,'B2'!#REF!,'B3'!#REF!),0)</f>
        <v>0</v>
      </c>
      <c r="BX63" s="132">
        <f>IFERROR(_xlfn.STDEV.S('B1'!#REF!,'B2'!#REF!,'B3'!#REF!),0)</f>
        <v>0</v>
      </c>
    </row>
    <row r="66" spans="1:76" x14ac:dyDescent="0.35">
      <c r="A66" t="s">
        <v>154</v>
      </c>
    </row>
    <row r="67" spans="1:76" ht="15" thickBot="1" x14ac:dyDescent="0.4"/>
    <row r="68" spans="1:76" x14ac:dyDescent="0.35">
      <c r="C68" s="5" t="s">
        <v>3</v>
      </c>
      <c r="D68" s="6" t="s">
        <v>4</v>
      </c>
      <c r="E68" s="6" t="s">
        <v>90</v>
      </c>
      <c r="F68" s="6" t="s">
        <v>91</v>
      </c>
      <c r="G68" s="6" t="s">
        <v>92</v>
      </c>
      <c r="H68" s="6" t="s">
        <v>93</v>
      </c>
      <c r="I68" s="6" t="s">
        <v>94</v>
      </c>
      <c r="J68" s="6" t="s">
        <v>95</v>
      </c>
      <c r="K68" s="6" t="s">
        <v>96</v>
      </c>
      <c r="L68" s="6" t="s">
        <v>97</v>
      </c>
      <c r="M68" s="6" t="s">
        <v>98</v>
      </c>
      <c r="N68" s="6" t="s">
        <v>99</v>
      </c>
      <c r="O68" s="6" t="s">
        <v>100</v>
      </c>
      <c r="P68" s="6" t="s">
        <v>101</v>
      </c>
      <c r="Q68" s="6" t="s">
        <v>102</v>
      </c>
      <c r="R68" s="6" t="s">
        <v>103</v>
      </c>
      <c r="S68" s="7" t="s">
        <v>104</v>
      </c>
      <c r="T68" s="7" t="s">
        <v>105</v>
      </c>
      <c r="U68" s="7" t="s">
        <v>106</v>
      </c>
      <c r="V68" s="8" t="s">
        <v>107</v>
      </c>
      <c r="W68" s="36" t="s">
        <v>61</v>
      </c>
      <c r="X68" s="33" t="s">
        <v>108</v>
      </c>
      <c r="Y68" s="36" t="s">
        <v>62</v>
      </c>
      <c r="Z68" s="35" t="s">
        <v>109</v>
      </c>
      <c r="AA68" s="34" t="s">
        <v>110</v>
      </c>
      <c r="AB68" s="33" t="s">
        <v>111</v>
      </c>
      <c r="AC68" s="36" t="s">
        <v>112</v>
      </c>
      <c r="AD68" s="35" t="s">
        <v>113</v>
      </c>
      <c r="AE68" s="38" t="s">
        <v>68</v>
      </c>
      <c r="AF68" s="39" t="s">
        <v>70</v>
      </c>
      <c r="AG68" s="39" t="s">
        <v>71</v>
      </c>
      <c r="AH68" s="40" t="s">
        <v>32</v>
      </c>
      <c r="AI68" s="127" t="s">
        <v>136</v>
      </c>
      <c r="AJ68" s="69" t="s">
        <v>35</v>
      </c>
      <c r="AK68" s="70" t="s">
        <v>114</v>
      </c>
      <c r="AL68" s="70" t="s">
        <v>115</v>
      </c>
      <c r="AM68" s="70" t="s">
        <v>116</v>
      </c>
      <c r="AN68" s="70" t="s">
        <v>117</v>
      </c>
      <c r="AO68" s="70" t="s">
        <v>118</v>
      </c>
      <c r="AP68" s="70" t="s">
        <v>119</v>
      </c>
      <c r="AQ68" s="70" t="s">
        <v>120</v>
      </c>
      <c r="AR68" s="70" t="s">
        <v>121</v>
      </c>
      <c r="AS68" s="70" t="s">
        <v>122</v>
      </c>
      <c r="AT68" s="70" t="s">
        <v>123</v>
      </c>
      <c r="AU68" s="70" t="s">
        <v>124</v>
      </c>
      <c r="AV68" s="70" t="s">
        <v>125</v>
      </c>
      <c r="AW68" s="70" t="s">
        <v>126</v>
      </c>
      <c r="AX68" s="70" t="s">
        <v>127</v>
      </c>
      <c r="AY68" s="71" t="s">
        <v>128</v>
      </c>
      <c r="AZ68" s="72" t="s">
        <v>129</v>
      </c>
      <c r="BA68" s="85" t="s">
        <v>33</v>
      </c>
      <c r="BB68" s="85" t="s">
        <v>134</v>
      </c>
      <c r="BC68" s="88" t="s">
        <v>135</v>
      </c>
      <c r="BD68" s="69" t="s">
        <v>35</v>
      </c>
      <c r="BE68" s="70" t="s">
        <v>114</v>
      </c>
      <c r="BF68" s="70" t="s">
        <v>115</v>
      </c>
      <c r="BG68" s="70" t="s">
        <v>116</v>
      </c>
      <c r="BH68" s="70" t="s">
        <v>117</v>
      </c>
      <c r="BI68" s="70" t="s">
        <v>118</v>
      </c>
      <c r="BJ68" s="70" t="s">
        <v>119</v>
      </c>
      <c r="BK68" s="70" t="s">
        <v>120</v>
      </c>
      <c r="BL68" s="70" t="s">
        <v>121</v>
      </c>
      <c r="BM68" s="70" t="s">
        <v>122</v>
      </c>
      <c r="BN68" s="70" t="s">
        <v>123</v>
      </c>
      <c r="BO68" s="70" t="s">
        <v>124</v>
      </c>
      <c r="BP68" s="70" t="s">
        <v>125</v>
      </c>
      <c r="BQ68" s="70" t="s">
        <v>126</v>
      </c>
      <c r="BR68" s="70" t="s">
        <v>127</v>
      </c>
      <c r="BS68" s="71" t="s">
        <v>128</v>
      </c>
      <c r="BT68" s="88"/>
      <c r="BU68" s="72" t="s">
        <v>129</v>
      </c>
      <c r="BV68" s="85" t="s">
        <v>130</v>
      </c>
      <c r="BW68" s="85" t="s">
        <v>132</v>
      </c>
      <c r="BX68" s="85" t="s">
        <v>140</v>
      </c>
    </row>
    <row r="69" spans="1:76" x14ac:dyDescent="0.35">
      <c r="C69" s="9" t="s">
        <v>5</v>
      </c>
      <c r="D69" s="10" t="s">
        <v>7</v>
      </c>
      <c r="E69" s="10" t="s">
        <v>7</v>
      </c>
      <c r="F69" s="10" t="s">
        <v>7</v>
      </c>
      <c r="G69" s="10" t="s">
        <v>7</v>
      </c>
      <c r="H69" s="10" t="s">
        <v>7</v>
      </c>
      <c r="I69" s="10" t="s">
        <v>7</v>
      </c>
      <c r="J69" s="10" t="s">
        <v>7</v>
      </c>
      <c r="K69" s="10" t="s">
        <v>7</v>
      </c>
      <c r="L69" s="10" t="s">
        <v>7</v>
      </c>
      <c r="M69" s="10" t="s">
        <v>7</v>
      </c>
      <c r="N69" s="10" t="s">
        <v>7</v>
      </c>
      <c r="O69" s="10" t="s">
        <v>7</v>
      </c>
      <c r="P69" s="10" t="s">
        <v>7</v>
      </c>
      <c r="Q69" s="10" t="s">
        <v>7</v>
      </c>
      <c r="R69" s="10" t="s">
        <v>7</v>
      </c>
      <c r="S69" s="11" t="s">
        <v>7</v>
      </c>
      <c r="T69" s="11" t="s">
        <v>6</v>
      </c>
      <c r="U69" s="11" t="s">
        <v>6</v>
      </c>
      <c r="V69" s="12" t="s">
        <v>6</v>
      </c>
      <c r="W69" s="36" t="s">
        <v>63</v>
      </c>
      <c r="X69" s="33" t="s">
        <v>64</v>
      </c>
      <c r="Y69" s="36" t="s">
        <v>63</v>
      </c>
      <c r="Z69" s="35" t="s">
        <v>64</v>
      </c>
      <c r="AA69" s="34" t="s">
        <v>63</v>
      </c>
      <c r="AB69" s="33" t="s">
        <v>64</v>
      </c>
      <c r="AC69" s="36" t="s">
        <v>63</v>
      </c>
      <c r="AD69" s="35" t="s">
        <v>64</v>
      </c>
      <c r="AE69" s="38"/>
      <c r="AF69" s="39" t="s">
        <v>5</v>
      </c>
      <c r="AG69" s="39" t="s">
        <v>72</v>
      </c>
      <c r="AH69" s="40" t="s">
        <v>7</v>
      </c>
      <c r="AI69" s="39" t="s">
        <v>137</v>
      </c>
      <c r="AJ69" s="9" t="s">
        <v>36</v>
      </c>
      <c r="AK69" s="10" t="s">
        <v>36</v>
      </c>
      <c r="AL69" s="10" t="s">
        <v>36</v>
      </c>
      <c r="AM69" s="10" t="s">
        <v>36</v>
      </c>
      <c r="AN69" s="10" t="s">
        <v>36</v>
      </c>
      <c r="AO69" s="10" t="s">
        <v>36</v>
      </c>
      <c r="AP69" s="10" t="s">
        <v>36</v>
      </c>
      <c r="AQ69" s="10" t="s">
        <v>36</v>
      </c>
      <c r="AR69" s="10" t="s">
        <v>36</v>
      </c>
      <c r="AS69" s="10" t="s">
        <v>36</v>
      </c>
      <c r="AT69" s="10" t="s">
        <v>36</v>
      </c>
      <c r="AU69" s="10" t="s">
        <v>36</v>
      </c>
      <c r="AV69" s="10" t="s">
        <v>36</v>
      </c>
      <c r="AW69" s="10" t="s">
        <v>36</v>
      </c>
      <c r="AX69" s="10" t="s">
        <v>36</v>
      </c>
      <c r="AY69" s="12" t="s">
        <v>36</v>
      </c>
      <c r="AZ69" s="58" t="s">
        <v>36</v>
      </c>
      <c r="BA69" s="86" t="s">
        <v>152</v>
      </c>
      <c r="BB69" s="86" t="s">
        <v>36</v>
      </c>
      <c r="BC69" s="86" t="s">
        <v>36</v>
      </c>
      <c r="BD69" s="9" t="s">
        <v>89</v>
      </c>
      <c r="BE69" s="9" t="s">
        <v>89</v>
      </c>
      <c r="BF69" s="9" t="s">
        <v>89</v>
      </c>
      <c r="BG69" s="9" t="s">
        <v>89</v>
      </c>
      <c r="BH69" s="9" t="s">
        <v>89</v>
      </c>
      <c r="BI69" s="9" t="s">
        <v>89</v>
      </c>
      <c r="BJ69" s="9" t="s">
        <v>139</v>
      </c>
      <c r="BK69" s="9" t="s">
        <v>139</v>
      </c>
      <c r="BL69" s="9" t="s">
        <v>139</v>
      </c>
      <c r="BM69" s="9" t="s">
        <v>139</v>
      </c>
      <c r="BN69" s="9" t="s">
        <v>139</v>
      </c>
      <c r="BO69" s="9" t="s">
        <v>139</v>
      </c>
      <c r="BP69" s="9" t="s">
        <v>139</v>
      </c>
      <c r="BQ69" s="9" t="s">
        <v>139</v>
      </c>
      <c r="BR69" s="9" t="s">
        <v>139</v>
      </c>
      <c r="BS69" s="9" t="s">
        <v>139</v>
      </c>
      <c r="BT69" s="150"/>
      <c r="BU69" s="9" t="s">
        <v>89</v>
      </c>
      <c r="BV69" s="9" t="s">
        <v>89</v>
      </c>
      <c r="BW69" s="9" t="s">
        <v>89</v>
      </c>
      <c r="BX69" t="s">
        <v>139</v>
      </c>
    </row>
    <row r="70" spans="1:76" ht="16" thickBot="1" x14ac:dyDescent="0.4">
      <c r="A70" s="22" t="s">
        <v>0</v>
      </c>
      <c r="B70" s="73" t="s">
        <v>1</v>
      </c>
      <c r="C70" s="13" t="s">
        <v>6</v>
      </c>
      <c r="D70" s="14" t="s">
        <v>8</v>
      </c>
      <c r="E70" s="14" t="s">
        <v>9</v>
      </c>
      <c r="F70" s="14" t="s">
        <v>10</v>
      </c>
      <c r="G70" s="14" t="s">
        <v>11</v>
      </c>
      <c r="H70" s="14" t="s">
        <v>12</v>
      </c>
      <c r="I70" s="14" t="s">
        <v>13</v>
      </c>
      <c r="J70" s="14" t="s">
        <v>14</v>
      </c>
      <c r="K70" s="14" t="s">
        <v>15</v>
      </c>
      <c r="L70" s="14" t="s">
        <v>16</v>
      </c>
      <c r="M70" s="14" t="s">
        <v>17</v>
      </c>
      <c r="N70" s="14" t="s">
        <v>18</v>
      </c>
      <c r="O70" s="14" t="s">
        <v>19</v>
      </c>
      <c r="P70" s="14" t="s">
        <v>20</v>
      </c>
      <c r="Q70" s="14" t="s">
        <v>21</v>
      </c>
      <c r="R70" s="14" t="s">
        <v>22</v>
      </c>
      <c r="S70" s="15" t="s">
        <v>23</v>
      </c>
      <c r="T70" s="15" t="s">
        <v>24</v>
      </c>
      <c r="U70" s="15" t="s">
        <v>25</v>
      </c>
      <c r="V70" s="16" t="s">
        <v>26</v>
      </c>
      <c r="W70" s="36" t="s">
        <v>65</v>
      </c>
      <c r="X70" s="33" t="s">
        <v>65</v>
      </c>
      <c r="Y70" s="36" t="s">
        <v>66</v>
      </c>
      <c r="Z70" s="35" t="s">
        <v>66</v>
      </c>
      <c r="AA70" s="34" t="s">
        <v>55</v>
      </c>
      <c r="AB70" s="33" t="s">
        <v>55</v>
      </c>
      <c r="AC70" s="36" t="s">
        <v>67</v>
      </c>
      <c r="AD70" s="35" t="s">
        <v>67</v>
      </c>
      <c r="AE70" s="38"/>
      <c r="AF70" s="39"/>
      <c r="AG70" s="39" t="s">
        <v>63</v>
      </c>
      <c r="AH70" s="40" t="s">
        <v>73</v>
      </c>
      <c r="AI70" s="39" t="s">
        <v>145</v>
      </c>
      <c r="AJ70" s="13" t="s">
        <v>8</v>
      </c>
      <c r="AK70" s="14" t="s">
        <v>9</v>
      </c>
      <c r="AL70" s="14" t="s">
        <v>10</v>
      </c>
      <c r="AM70" s="14" t="s">
        <v>11</v>
      </c>
      <c r="AN70" s="14" t="s">
        <v>12</v>
      </c>
      <c r="AO70" s="14" t="s">
        <v>13</v>
      </c>
      <c r="AP70" s="14" t="s">
        <v>14</v>
      </c>
      <c r="AQ70" s="14" t="s">
        <v>15</v>
      </c>
      <c r="AR70" s="14" t="s">
        <v>16</v>
      </c>
      <c r="AS70" s="14" t="s">
        <v>17</v>
      </c>
      <c r="AT70" s="14" t="s">
        <v>18</v>
      </c>
      <c r="AU70" s="14" t="s">
        <v>19</v>
      </c>
      <c r="AV70" s="14" t="s">
        <v>20</v>
      </c>
      <c r="AW70" s="14" t="s">
        <v>21</v>
      </c>
      <c r="AX70" s="14" t="s">
        <v>22</v>
      </c>
      <c r="AY70" s="16" t="s">
        <v>23</v>
      </c>
      <c r="AZ70" s="59" t="s">
        <v>78</v>
      </c>
      <c r="BA70" s="87" t="s">
        <v>78</v>
      </c>
      <c r="BB70" s="87" t="s">
        <v>131</v>
      </c>
      <c r="BC70" s="87" t="s">
        <v>133</v>
      </c>
      <c r="BD70" s="13" t="s">
        <v>8</v>
      </c>
      <c r="BE70" s="14" t="s">
        <v>9</v>
      </c>
      <c r="BF70" s="14" t="s">
        <v>10</v>
      </c>
      <c r="BG70" s="14" t="s">
        <v>11</v>
      </c>
      <c r="BH70" s="14" t="s">
        <v>12</v>
      </c>
      <c r="BI70" s="14" t="s">
        <v>13</v>
      </c>
      <c r="BJ70" s="14" t="s">
        <v>14</v>
      </c>
      <c r="BK70" s="14" t="s">
        <v>15</v>
      </c>
      <c r="BL70" s="14" t="s">
        <v>16</v>
      </c>
      <c r="BM70" s="14" t="s">
        <v>17</v>
      </c>
      <c r="BN70" s="14" t="s">
        <v>18</v>
      </c>
      <c r="BO70" s="14" t="s">
        <v>19</v>
      </c>
      <c r="BP70" s="14" t="s">
        <v>20</v>
      </c>
      <c r="BQ70" s="14" t="s">
        <v>21</v>
      </c>
      <c r="BR70" s="14" t="s">
        <v>22</v>
      </c>
      <c r="BS70" s="16" t="s">
        <v>23</v>
      </c>
      <c r="BT70" s="151"/>
      <c r="BU70" s="59" t="s">
        <v>78</v>
      </c>
      <c r="BV70" t="s">
        <v>131</v>
      </c>
      <c r="BW70" t="s">
        <v>133</v>
      </c>
      <c r="BX70" t="s">
        <v>141</v>
      </c>
    </row>
    <row r="71" spans="1:76" s="47" customFormat="1" ht="16" thickBot="1" x14ac:dyDescent="0.4">
      <c r="A71" s="63" t="str">
        <f>A9</f>
        <v>20-03-18</v>
      </c>
      <c r="B71" s="137">
        <f>B9</f>
        <v>0</v>
      </c>
      <c r="C71" s="41" t="str">
        <f t="shared" ref="C71:C95" si="19">C39</f>
        <v>factor</v>
      </c>
      <c r="D71" s="123">
        <f>IFERROR(MIN('B1'!D9,'B2'!D9,'B3'!D9),0)</f>
        <v>0</v>
      </c>
      <c r="E71" s="123">
        <f>IFERROR(MIN('B1'!E9,'B2'!E9,'B3'!E9),0)</f>
        <v>0</v>
      </c>
      <c r="F71" s="123">
        <f>IFERROR(MIN('B1'!F9,'B2'!F9,'B3'!F9),0)</f>
        <v>0</v>
      </c>
      <c r="G71" s="123">
        <f>IFERROR(MIN('B1'!G9,'B2'!G9,'B3'!G9),0)</f>
        <v>0</v>
      </c>
      <c r="H71" s="123">
        <f>IFERROR(MIN('B1'!H9,'B2'!H9,'B3'!H9),0)</f>
        <v>0</v>
      </c>
      <c r="I71" s="123">
        <f>IFERROR(MIN('B1'!I9,'B2'!I9,'B3'!I9),0)</f>
        <v>0</v>
      </c>
      <c r="J71" s="123">
        <f>IFERROR(MIN('B1'!J9,'B2'!J9,'B3'!J9),0)</f>
        <v>0</v>
      </c>
      <c r="K71" s="123">
        <f>IFERROR(MIN('B1'!K9,'B2'!K9,'B3'!K9),0)</f>
        <v>0</v>
      </c>
      <c r="L71" s="123">
        <f>IFERROR(MIN('B1'!L9,'B2'!L9,'B3'!L9),0)</f>
        <v>0</v>
      </c>
      <c r="M71" s="123">
        <f>IFERROR(MIN('B1'!M9,'B2'!M9,'B3'!M9),0)</f>
        <v>0</v>
      </c>
      <c r="N71" s="123">
        <f>IFERROR(MIN('B1'!N9,'B2'!N9,'B3'!N9),0)</f>
        <v>0</v>
      </c>
      <c r="O71" s="123">
        <f>IFERROR(MIN('B1'!O9,'B2'!O9,'B3'!O9),0)</f>
        <v>0</v>
      </c>
      <c r="P71" s="123">
        <f>IFERROR(MIN('B1'!P9,'B2'!P9,'B3'!P9),0)</f>
        <v>0</v>
      </c>
      <c r="Q71" s="123">
        <f>IFERROR(MIN('B1'!Q9,'B2'!Q9,'B3'!Q9),0)</f>
        <v>0</v>
      </c>
      <c r="R71" s="123">
        <f>IFERROR(MIN('B1'!R9,'B2'!R9,'B3'!R9),0)</f>
        <v>0</v>
      </c>
      <c r="S71" s="123">
        <f>IFERROR(MIN('B1'!S9,'B2'!S9,'B3'!S9),0)</f>
        <v>0</v>
      </c>
      <c r="T71" s="123">
        <f>IFERROR(MIN('B1'!T9,'B2'!T9,'B3'!T9),0)</f>
        <v>0</v>
      </c>
      <c r="U71" s="123">
        <f>IFERROR(MIN('B1'!U9,'B2'!U9,'B3'!U9),0)</f>
        <v>0</v>
      </c>
      <c r="V71" s="123">
        <f>IFERROR(MIN('B1'!V9,'B2'!V9,'B3'!V9),0)</f>
        <v>0</v>
      </c>
      <c r="W71" s="123">
        <f>IFERROR(MIN('B1'!W9,'B2'!W9,'B3'!W9),0)</f>
        <v>0</v>
      </c>
      <c r="X71" s="123">
        <f>IFERROR(MIN('B1'!X9,'B2'!X9,'B3'!X9),0)</f>
        <v>0</v>
      </c>
      <c r="Y71" s="123">
        <f>IFERROR(MIN('B1'!Y9,'B2'!Y9,'B3'!Y9),0)</f>
        <v>0</v>
      </c>
      <c r="Z71" s="123">
        <f>IFERROR(MIN('B1'!Z9,'B2'!Z9,'B3'!Z9),0)</f>
        <v>0</v>
      </c>
      <c r="AA71" s="123">
        <f>IFERROR(MIN('B1'!AB9,'B2'!AA9,'B3'!AA9),0)</f>
        <v>0</v>
      </c>
      <c r="AB71" s="123">
        <f>IFERROR(MIN('B1'!AC9,'B2'!AB9,'B3'!AB9),0)</f>
        <v>0</v>
      </c>
      <c r="AC71" s="123">
        <f>IFERROR(MIN('B1'!AD9,'B2'!AC9,'B3'!AC9),0)</f>
        <v>0</v>
      </c>
      <c r="AD71" s="123">
        <f>IFERROR(MIN('B1'!AE9,'B2'!AD9,'B3'!AD9),0)</f>
        <v>0</v>
      </c>
      <c r="AE71" s="123">
        <f>IFERROR(MIN('B1'!AF9,'B2'!AE9,'B3'!AE9),0)</f>
        <v>7</v>
      </c>
      <c r="AF71" s="123">
        <f>IFERROR(MIN('B1'!AG9,'B2'!AF9,'B3'!AF9),0)</f>
        <v>0</v>
      </c>
      <c r="AG71" s="123">
        <f>IFERROR(MIN('B1'!AH9,'B2'!AG9,'B3'!AG9),0)</f>
        <v>1</v>
      </c>
      <c r="AH71" s="123">
        <f>IFERROR(MIN('B1'!AI9,'B2'!AH9,'B3'!AH9),0)</f>
        <v>0</v>
      </c>
      <c r="AI71" s="123">
        <f>IFERROR(MIN('B1'!AJ9,'B2'!AI9,'B3'!AI9),0)</f>
        <v>0</v>
      </c>
      <c r="AJ71" s="123">
        <f>IFERROR(MIN('B1'!AK9,'B2'!AJ9,'B3'!AJ9),0)</f>
        <v>0</v>
      </c>
      <c r="AK71" s="123">
        <f>IFERROR(MIN('B1'!AL9,'B2'!AK9,'B3'!AK9),0)</f>
        <v>0</v>
      </c>
      <c r="AL71" s="123">
        <f>IFERROR(MIN('B1'!AM9,'B2'!AL9,'B3'!AL9),0)</f>
        <v>0</v>
      </c>
      <c r="AM71" s="123">
        <f>IFERROR(MIN('B1'!AN9,'B2'!AM9,'B3'!AM9),0)</f>
        <v>0</v>
      </c>
      <c r="AN71" s="123">
        <f>IFERROR(MIN('B1'!AO9,'B2'!AN9,'B3'!AN9),0)</f>
        <v>0</v>
      </c>
      <c r="AO71" s="123">
        <f>IFERROR(MIN('B1'!AP9,'B2'!AO9,'B3'!AO9),0)</f>
        <v>0</v>
      </c>
      <c r="AP71" s="123">
        <f>IFERROR(MIN('B1'!AQ9,'B2'!AP9,'B3'!AP9),0)</f>
        <v>0</v>
      </c>
      <c r="AQ71" s="123">
        <f>IFERROR(MIN('B1'!AR9,'B2'!AQ9,'B3'!AQ9),0)</f>
        <v>0</v>
      </c>
      <c r="AR71" s="123">
        <f>IFERROR(MIN('B1'!AS9,'B2'!AR9,'B3'!AR9),0)</f>
        <v>0</v>
      </c>
      <c r="AS71" s="123">
        <f>IFERROR(MIN('B1'!AT9,'B2'!AS9,'B3'!AS9),0)</f>
        <v>0</v>
      </c>
      <c r="AT71" s="123">
        <f>IFERROR(MIN('B1'!AU9,'B2'!AT9,'B3'!AT9),0)</f>
        <v>0</v>
      </c>
      <c r="AU71" s="123">
        <f>IFERROR(MIN('B1'!AV9,'B2'!AU9,'B3'!AU9),0)</f>
        <v>0</v>
      </c>
      <c r="AV71" s="123">
        <f>IFERROR(MIN('B1'!AW9,'B2'!AV9,'B3'!AV9),0)</f>
        <v>0</v>
      </c>
      <c r="AW71" s="123">
        <f>IFERROR(MIN('B1'!AX9,'B2'!AW9,'B3'!AW9),0)</f>
        <v>0</v>
      </c>
      <c r="AX71" s="123">
        <f>IFERROR(MIN('B1'!AY9,'B2'!AX9,'B3'!AX9),0)</f>
        <v>0</v>
      </c>
      <c r="AY71" s="123">
        <f>IFERROR(MIN('B1'!AZ9,'B2'!AY9,'B3'!AY9),0)</f>
        <v>0</v>
      </c>
      <c r="AZ71" s="123">
        <f>IFERROR(MIN('B1'!BA9,'B2'!AZ9,'B3'!AZ9),0)</f>
        <v>0</v>
      </c>
      <c r="BA71" s="123">
        <f>IFERROR(MIN('B1'!BB9,'B2'!BA9,'B3'!BA9),0)</f>
        <v>0</v>
      </c>
      <c r="BB71" s="123">
        <f>IFERROR(MIN('B1'!#REF!,'B2'!#REF!,'B3'!#REF!),0)</f>
        <v>0</v>
      </c>
      <c r="BC71" s="123">
        <f>IFERROR(MIN('B1'!#REF!,'B2'!#REF!,'B3'!#REF!),0)</f>
        <v>0</v>
      </c>
      <c r="BD71" s="123">
        <f>IFERROR(MIN('B1'!#REF!,'B2'!#REF!,'B3'!#REF!),0)</f>
        <v>0</v>
      </c>
      <c r="BE71" s="123">
        <f>IFERROR(MIN('B1'!#REF!,'B2'!#REF!,'B3'!#REF!),0)</f>
        <v>0</v>
      </c>
      <c r="BF71" s="123">
        <f>IFERROR(MIN('B1'!#REF!,'B2'!#REF!,'B3'!#REF!),0)</f>
        <v>0</v>
      </c>
      <c r="BG71" s="123">
        <f>IFERROR(MIN('B1'!#REF!,'B2'!#REF!,'B3'!#REF!),0)</f>
        <v>0</v>
      </c>
      <c r="BH71" s="123">
        <f>IFERROR(MIN('B1'!#REF!,'B2'!#REF!,'B3'!#REF!),0)</f>
        <v>0</v>
      </c>
      <c r="BI71" s="123">
        <f>IFERROR(MIN('B1'!#REF!,'B2'!#REF!,'B3'!#REF!),0)</f>
        <v>0</v>
      </c>
      <c r="BJ71" s="123">
        <f>IFERROR(MIN('B1'!#REF!,'B2'!#REF!,'B3'!#REF!),0)</f>
        <v>0</v>
      </c>
      <c r="BK71" s="123">
        <f>IFERROR(MIN('B1'!#REF!,'B2'!#REF!,'B3'!#REF!),0)</f>
        <v>0</v>
      </c>
      <c r="BL71" s="123">
        <f>IFERROR(MIN('B1'!#REF!,'B2'!#REF!,'B3'!#REF!),0)</f>
        <v>0</v>
      </c>
      <c r="BM71" s="123">
        <f>IFERROR(MIN('B1'!#REF!,'B2'!#REF!,'B3'!#REF!),0)</f>
        <v>0</v>
      </c>
      <c r="BN71" s="123">
        <f>IFERROR(MIN('B1'!#REF!,'B2'!#REF!,'B3'!#REF!),0)</f>
        <v>0</v>
      </c>
      <c r="BO71" s="123">
        <f>IFERROR(MIN('B1'!#REF!,'B2'!#REF!,'B3'!#REF!),0)</f>
        <v>0</v>
      </c>
      <c r="BP71" s="123">
        <f>IFERROR(MIN('B1'!#REF!,'B2'!#REF!,'B3'!#REF!),0)</f>
        <v>0</v>
      </c>
      <c r="BQ71" s="123">
        <f>IFERROR(MIN('B1'!#REF!,'B2'!#REF!,'B3'!#REF!),0)</f>
        <v>0</v>
      </c>
      <c r="BR71" s="123">
        <f>IFERROR(MIN('B1'!#REF!,'B2'!#REF!,'B3'!#REF!),0)</f>
        <v>0</v>
      </c>
      <c r="BS71" s="123">
        <f>IFERROR(MIN('B1'!#REF!,'B2'!#REF!,'B3'!#REF!),0)</f>
        <v>0</v>
      </c>
      <c r="BT71" s="123"/>
      <c r="BU71" s="123">
        <f>IFERROR(MIN('B1'!#REF!,'B2'!#REF!,'B3'!#REF!),0)</f>
        <v>0</v>
      </c>
      <c r="BV71" s="123">
        <f>IFERROR(MIN('B1'!#REF!,'B2'!#REF!,'B3'!#REF!),0)</f>
        <v>0</v>
      </c>
      <c r="BW71" s="123">
        <f>IFERROR(MIN('B1'!#REF!,'B2'!#REF!,'B3'!#REF!),0)</f>
        <v>0</v>
      </c>
      <c r="BX71" s="123">
        <f>IFERROR(MIN('B1'!#REF!,'B2'!#REF!,'B3'!#REF!),0)</f>
        <v>0</v>
      </c>
    </row>
    <row r="72" spans="1:76" s="66" customFormat="1" ht="16" thickBot="1" x14ac:dyDescent="0.4">
      <c r="A72" s="63" t="str">
        <f t="shared" ref="A72:B95" si="20">A10</f>
        <v>22-03-18</v>
      </c>
      <c r="B72" s="137">
        <f t="shared" si="20"/>
        <v>2</v>
      </c>
      <c r="C72" s="41" t="str">
        <f t="shared" si="19"/>
        <v/>
      </c>
      <c r="D72" s="123">
        <f>IFERROR(MIN('B1'!D10,'B2'!D10,'B3'!D10),0)</f>
        <v>0</v>
      </c>
      <c r="E72" s="123">
        <f>IFERROR(MIN('B1'!E10,'B2'!E10,'B3'!E10),0)</f>
        <v>0</v>
      </c>
      <c r="F72" s="123">
        <f>IFERROR(MIN('B1'!F10,'B2'!F10,'B3'!F10),0)</f>
        <v>0</v>
      </c>
      <c r="G72" s="123">
        <f>IFERROR(MIN('B1'!G10,'B2'!G10,'B3'!G10),0)</f>
        <v>0</v>
      </c>
      <c r="H72" s="123">
        <f>IFERROR(MIN('B1'!H10,'B2'!H10,'B3'!H10),0)</f>
        <v>0</v>
      </c>
      <c r="I72" s="123">
        <f>IFERROR(MIN('B1'!I10,'B2'!I10,'B3'!I10),0)</f>
        <v>0</v>
      </c>
      <c r="J72" s="123">
        <f>IFERROR(MIN('B1'!J10,'B2'!J10,'B3'!J10),0)</f>
        <v>0</v>
      </c>
      <c r="K72" s="123">
        <f>IFERROR(MIN('B1'!K10,'B2'!K10,'B3'!K10),0)</f>
        <v>0</v>
      </c>
      <c r="L72" s="123">
        <f>IFERROR(MIN('B1'!L10,'B2'!L10,'B3'!L10),0)</f>
        <v>0</v>
      </c>
      <c r="M72" s="123">
        <f>IFERROR(MIN('B1'!M10,'B2'!M10,'B3'!M10),0)</f>
        <v>0</v>
      </c>
      <c r="N72" s="123">
        <f>IFERROR(MIN('B1'!N10,'B2'!N10,'B3'!N10),0)</f>
        <v>0</v>
      </c>
      <c r="O72" s="123">
        <f>IFERROR(MIN('B1'!O10,'B2'!O10,'B3'!O10),0)</f>
        <v>0</v>
      </c>
      <c r="P72" s="123">
        <f>IFERROR(MIN('B1'!P10,'B2'!P10,'B3'!P10),0)</f>
        <v>0</v>
      </c>
      <c r="Q72" s="123">
        <f>IFERROR(MIN('B1'!Q10,'B2'!Q10,'B3'!Q10),0)</f>
        <v>0</v>
      </c>
      <c r="R72" s="123">
        <f>IFERROR(MIN('B1'!R10,'B2'!R10,'B3'!R10),0)</f>
        <v>0</v>
      </c>
      <c r="S72" s="123">
        <f>IFERROR(MIN('B1'!S10,'B2'!S10,'B3'!S10),0)</f>
        <v>0</v>
      </c>
      <c r="T72" s="123">
        <f>IFERROR(MIN('B1'!T10,'B2'!T10,'B3'!T10),0)</f>
        <v>0</v>
      </c>
      <c r="U72" s="123">
        <f>IFERROR(MIN('B1'!U10,'B2'!U10,'B3'!U10),0)</f>
        <v>0</v>
      </c>
      <c r="V72" s="123">
        <f>IFERROR(MIN('B1'!V10,'B2'!V10,'B3'!V10),0)</f>
        <v>0</v>
      </c>
      <c r="W72" s="123">
        <f>IFERROR(MIN('B1'!W10,'B2'!W10,'B3'!W10),0)</f>
        <v>0</v>
      </c>
      <c r="X72" s="123">
        <f>IFERROR(MIN('B1'!X10,'B2'!X10,'B3'!X10),0)</f>
        <v>0</v>
      </c>
      <c r="Y72" s="123">
        <f>IFERROR(MIN('B1'!Y10,'B2'!Y10,'B3'!Y10),0)</f>
        <v>0</v>
      </c>
      <c r="Z72" s="123">
        <f>IFERROR(MIN('B1'!Z10,'B2'!Z10,'B3'!Z10),0)</f>
        <v>0</v>
      </c>
      <c r="AA72" s="123">
        <f>IFERROR(MIN('B1'!AB10,'B2'!AA10,'B3'!AA10),0)</f>
        <v>0</v>
      </c>
      <c r="AB72" s="123">
        <f>IFERROR(MIN('B1'!AC10,'B2'!AB10,'B3'!AB10),0)</f>
        <v>0</v>
      </c>
      <c r="AC72" s="123">
        <f>IFERROR(MIN('B1'!AD10,'B2'!AC10,'B3'!AC10),0)</f>
        <v>0</v>
      </c>
      <c r="AD72" s="123">
        <f>IFERROR(MIN('B1'!AE10,'B2'!AD10,'B3'!AD10),0)</f>
        <v>0</v>
      </c>
      <c r="AE72" s="123">
        <f>IFERROR(MIN('B1'!AF10,'B2'!AE10,'B3'!AE10),0)</f>
        <v>6.56</v>
      </c>
      <c r="AF72" s="123">
        <f>IFERROR(MIN('B1'!AG10,'B2'!AF10,'B3'!AF10),0)</f>
        <v>10</v>
      </c>
      <c r="AG72" s="123">
        <f>IFERROR(MIN('B1'!AH10,'B2'!AG10,'B3'!AG10),0)</f>
        <v>1</v>
      </c>
      <c r="AH72" s="123">
        <f>IFERROR(MIN('B1'!AI10,'B2'!AH10,'B3'!AH10),0)</f>
        <v>4.3</v>
      </c>
      <c r="AI72" s="123">
        <f>IFERROR(MIN('B1'!AJ10,'B2'!AI10,'B3'!AI10),0)</f>
        <v>0</v>
      </c>
      <c r="AJ72" s="123">
        <f>IFERROR(MIN('B1'!AK10,'B2'!AJ10,'B3'!AJ10),0)</f>
        <v>0</v>
      </c>
      <c r="AK72" s="123">
        <f>IFERROR(MIN('B1'!AL10,'B2'!AK10,'B3'!AK10),0)</f>
        <v>0</v>
      </c>
      <c r="AL72" s="123">
        <f>IFERROR(MIN('B1'!AM10,'B2'!AL10,'B3'!AL10),0)</f>
        <v>0</v>
      </c>
      <c r="AM72" s="123">
        <f>IFERROR(MIN('B1'!AN10,'B2'!AM10,'B3'!AM10),0)</f>
        <v>0</v>
      </c>
      <c r="AN72" s="123">
        <f>IFERROR(MIN('B1'!AO10,'B2'!AN10,'B3'!AN10),0)</f>
        <v>0</v>
      </c>
      <c r="AO72" s="123">
        <f>IFERROR(MIN('B1'!AP10,'B2'!AO10,'B3'!AO10),0)</f>
        <v>0</v>
      </c>
      <c r="AP72" s="123">
        <f>IFERROR(MIN('B1'!AQ10,'B2'!AP10,'B3'!AP10),0)</f>
        <v>0</v>
      </c>
      <c r="AQ72" s="123">
        <f>IFERROR(MIN('B1'!AR10,'B2'!AQ10,'B3'!AQ10),0)</f>
        <v>0</v>
      </c>
      <c r="AR72" s="123">
        <f>IFERROR(MIN('B1'!AS10,'B2'!AR10,'B3'!AR10),0)</f>
        <v>0</v>
      </c>
      <c r="AS72" s="123">
        <f>IFERROR(MIN('B1'!AT10,'B2'!AS10,'B3'!AS10),0)</f>
        <v>0</v>
      </c>
      <c r="AT72" s="123">
        <f>IFERROR(MIN('B1'!AU10,'B2'!AT10,'B3'!AT10),0)</f>
        <v>0</v>
      </c>
      <c r="AU72" s="123">
        <f>IFERROR(MIN('B1'!AV10,'B2'!AU10,'B3'!AU10),0)</f>
        <v>0</v>
      </c>
      <c r="AV72" s="123">
        <f>IFERROR(MIN('B1'!AW10,'B2'!AV10,'B3'!AV10),0)</f>
        <v>0</v>
      </c>
      <c r="AW72" s="123">
        <f>IFERROR(MIN('B1'!AX10,'B2'!AW10,'B3'!AW10),0)</f>
        <v>0</v>
      </c>
      <c r="AX72" s="123">
        <f>IFERROR(MIN('B1'!AY10,'B2'!AX10,'B3'!AX10),0)</f>
        <v>0</v>
      </c>
      <c r="AY72" s="123">
        <f>IFERROR(MIN('B1'!AZ10,'B2'!AY10,'B3'!AY10),0)</f>
        <v>0</v>
      </c>
      <c r="AZ72" s="123">
        <f>IFERROR(MIN('B1'!BA10,'B2'!AZ10,'B3'!AZ10),0)</f>
        <v>0.47735346358792186</v>
      </c>
      <c r="BA72" s="123">
        <f>IFERROR(MIN('B1'!BB10,'B2'!BA10,'B3'!BA10),0)</f>
        <v>4.2999999999999997E-2</v>
      </c>
      <c r="BB72" s="123">
        <f>IFERROR(MIN('B1'!#REF!,'B2'!#REF!,'B3'!#REF!),0)</f>
        <v>0</v>
      </c>
      <c r="BC72" s="123">
        <f>IFERROR(MIN('B1'!#REF!,'B2'!#REF!,'B3'!#REF!),0)</f>
        <v>0</v>
      </c>
      <c r="BD72" s="123">
        <f>IFERROR(MIN('B1'!#REF!,'B2'!#REF!,'B3'!#REF!),0)</f>
        <v>0</v>
      </c>
      <c r="BE72" s="123">
        <f>IFERROR(MIN('B1'!#REF!,'B2'!#REF!,'B3'!#REF!),0)</f>
        <v>0</v>
      </c>
      <c r="BF72" s="123">
        <f>IFERROR(MIN('B1'!#REF!,'B2'!#REF!,'B3'!#REF!),0)</f>
        <v>0</v>
      </c>
      <c r="BG72" s="123">
        <f>IFERROR(MIN('B1'!#REF!,'B2'!#REF!,'B3'!#REF!),0)</f>
        <v>0</v>
      </c>
      <c r="BH72" s="123">
        <f>IFERROR(MIN('B1'!#REF!,'B2'!#REF!,'B3'!#REF!),0)</f>
        <v>0</v>
      </c>
      <c r="BI72" s="123">
        <f>IFERROR(MIN('B1'!#REF!,'B2'!#REF!,'B3'!#REF!),0)</f>
        <v>0</v>
      </c>
      <c r="BJ72" s="123">
        <f>IFERROR(MIN('B1'!#REF!,'B2'!#REF!,'B3'!#REF!),0)</f>
        <v>0</v>
      </c>
      <c r="BK72" s="123">
        <f>IFERROR(MIN('B1'!#REF!,'B2'!#REF!,'B3'!#REF!),0)</f>
        <v>0</v>
      </c>
      <c r="BL72" s="123">
        <f>IFERROR(MIN('B1'!#REF!,'B2'!#REF!,'B3'!#REF!),0)</f>
        <v>0</v>
      </c>
      <c r="BM72" s="123">
        <f>IFERROR(MIN('B1'!#REF!,'B2'!#REF!,'B3'!#REF!),0)</f>
        <v>0</v>
      </c>
      <c r="BN72" s="123">
        <f>IFERROR(MIN('B1'!#REF!,'B2'!#REF!,'B3'!#REF!),0)</f>
        <v>0</v>
      </c>
      <c r="BO72" s="123">
        <f>IFERROR(MIN('B1'!#REF!,'B2'!#REF!,'B3'!#REF!),0)</f>
        <v>0</v>
      </c>
      <c r="BP72" s="123">
        <f>IFERROR(MIN('B1'!#REF!,'B2'!#REF!,'B3'!#REF!),0)</f>
        <v>0</v>
      </c>
      <c r="BQ72" s="123">
        <f>IFERROR(MIN('B1'!#REF!,'B2'!#REF!,'B3'!#REF!),0)</f>
        <v>0</v>
      </c>
      <c r="BR72" s="123">
        <f>IFERROR(MIN('B1'!#REF!,'B2'!#REF!,'B3'!#REF!),0)</f>
        <v>0</v>
      </c>
      <c r="BS72" s="123">
        <f>IFERROR(MIN('B1'!#REF!,'B2'!#REF!,'B3'!#REF!),0)</f>
        <v>0</v>
      </c>
      <c r="BT72" s="123"/>
      <c r="BU72" s="123">
        <f>IFERROR(MIN('B1'!#REF!,'B2'!#REF!,'B3'!#REF!),0)</f>
        <v>0</v>
      </c>
      <c r="BV72" s="123">
        <f>IFERROR(MIN('B1'!#REF!,'B2'!#REF!,'B3'!#REF!),0)</f>
        <v>0</v>
      </c>
      <c r="BW72" s="123">
        <f>IFERROR(MIN('B1'!#REF!,'B2'!#REF!,'B3'!#REF!),0)</f>
        <v>0</v>
      </c>
      <c r="BX72" s="123">
        <f>IFERROR(MIN('B1'!#REF!,'B2'!#REF!,'B3'!#REF!),0)</f>
        <v>0</v>
      </c>
    </row>
    <row r="73" spans="1:76" s="47" customFormat="1" ht="16" thickBot="1" x14ac:dyDescent="0.4">
      <c r="A73" s="63" t="str">
        <f t="shared" si="20"/>
        <v>23-03-18</v>
      </c>
      <c r="B73" s="137">
        <f t="shared" si="20"/>
        <v>3</v>
      </c>
      <c r="C73" s="41">
        <f t="shared" si="19"/>
        <v>0</v>
      </c>
      <c r="D73" s="123">
        <f>IFERROR(MIN('B1'!D11,'B2'!D11,'B3'!D11),0)</f>
        <v>0</v>
      </c>
      <c r="E73" s="123">
        <f>IFERROR(MIN('B1'!E11,'B2'!E11,'B3'!E11),0)</f>
        <v>0</v>
      </c>
      <c r="F73" s="123">
        <f>IFERROR(MIN('B1'!F11,'B2'!F11,'B3'!F11),0)</f>
        <v>0</v>
      </c>
      <c r="G73" s="123">
        <f>IFERROR(MIN('B1'!G11,'B2'!G11,'B3'!G11),0)</f>
        <v>0</v>
      </c>
      <c r="H73" s="123">
        <f>IFERROR(MIN('B1'!H11,'B2'!H11,'B3'!H11),0)</f>
        <v>0</v>
      </c>
      <c r="I73" s="123">
        <f>IFERROR(MIN('B1'!I11,'B2'!I11,'B3'!I11),0)</f>
        <v>0</v>
      </c>
      <c r="J73" s="123">
        <f>IFERROR(MIN('B1'!J11,'B2'!J11,'B3'!J11),0)</f>
        <v>0</v>
      </c>
      <c r="K73" s="123">
        <f>IFERROR(MIN('B1'!K11,'B2'!K11,'B3'!K11),0)</f>
        <v>0</v>
      </c>
      <c r="L73" s="123">
        <f>IFERROR(MIN('B1'!L11,'B2'!L11,'B3'!L11),0)</f>
        <v>0</v>
      </c>
      <c r="M73" s="123">
        <f>IFERROR(MIN('B1'!M11,'B2'!M11,'B3'!M11),0)</f>
        <v>0</v>
      </c>
      <c r="N73" s="123">
        <f>IFERROR(MIN('B1'!N11,'B2'!N11,'B3'!N11),0)</f>
        <v>0</v>
      </c>
      <c r="O73" s="123">
        <f>IFERROR(MIN('B1'!O11,'B2'!O11,'B3'!O11),0)</f>
        <v>0</v>
      </c>
      <c r="P73" s="123">
        <f>IFERROR(MIN('B1'!P11,'B2'!P11,'B3'!P11),0)</f>
        <v>0</v>
      </c>
      <c r="Q73" s="123">
        <f>IFERROR(MIN('B1'!Q11,'B2'!Q11,'B3'!Q11),0)</f>
        <v>0</v>
      </c>
      <c r="R73" s="123">
        <f>IFERROR(MIN('B1'!R11,'B2'!R11,'B3'!R11),0)</f>
        <v>0</v>
      </c>
      <c r="S73" s="123">
        <f>IFERROR(MIN('B1'!S11,'B2'!S11,'B3'!S11),0)</f>
        <v>0</v>
      </c>
      <c r="T73" s="123">
        <f>IFERROR(MIN('B1'!T11,'B2'!T11,'B3'!T11),0)</f>
        <v>0</v>
      </c>
      <c r="U73" s="123">
        <f>IFERROR(MIN('B1'!U11,'B2'!U11,'B3'!U11),0)</f>
        <v>0</v>
      </c>
      <c r="V73" s="123">
        <f>IFERROR(MIN('B1'!V11,'B2'!V11,'B3'!V11),0)</f>
        <v>0</v>
      </c>
      <c r="W73" s="123">
        <f>IFERROR(MIN('B1'!W11,'B2'!W11,'B3'!W11),0)</f>
        <v>0</v>
      </c>
      <c r="X73" s="123">
        <f>IFERROR(MIN('B1'!X11,'B2'!X11,'B3'!X11),0)</f>
        <v>0</v>
      </c>
      <c r="Y73" s="123">
        <f>IFERROR(MIN('B1'!Y11,'B2'!Y11,'B3'!Y11),0)</f>
        <v>0</v>
      </c>
      <c r="Z73" s="123">
        <f>IFERROR(MIN('B1'!Z11,'B2'!Z11,'B3'!Z11),0)</f>
        <v>0</v>
      </c>
      <c r="AA73" s="123">
        <f>IFERROR(MIN('B1'!AB11,'B2'!AA11,'B3'!AA11),0)</f>
        <v>0</v>
      </c>
      <c r="AB73" s="123">
        <f>IFERROR(MIN('B1'!AC11,'B2'!AB11,'B3'!AB11),0)</f>
        <v>0</v>
      </c>
      <c r="AC73" s="123">
        <f>IFERROR(MIN('B1'!AD11,'B2'!AC11,'B3'!AC11),0)</f>
        <v>0</v>
      </c>
      <c r="AD73" s="123">
        <f>IFERROR(MIN('B1'!AE11,'B2'!AD11,'B3'!AD11),0)</f>
        <v>0</v>
      </c>
      <c r="AE73" s="123">
        <f>IFERROR(MIN('B1'!AF11,'B2'!AE11,'B3'!AE11),0)</f>
        <v>6.11</v>
      </c>
      <c r="AF73" s="123">
        <f>IFERROR(MIN('B1'!AG11,'B2'!AF11,'B3'!AF11),0)</f>
        <v>10</v>
      </c>
      <c r="AG73" s="123">
        <f>IFERROR(MIN('B1'!AH11,'B2'!AG11,'B3'!AG11),0)</f>
        <v>1</v>
      </c>
      <c r="AH73" s="123">
        <f>IFERROR(MIN('B1'!AI11,'B2'!AH11,'B3'!AH11),0)</f>
        <v>7.7</v>
      </c>
      <c r="AI73" s="123">
        <f>IFERROR(MIN('B1'!AJ11,'B2'!AI11,'B3'!AI11),0)</f>
        <v>0</v>
      </c>
      <c r="AJ73" s="123">
        <f>IFERROR(MIN('B1'!AK11,'B2'!AJ11,'B3'!AJ11),0)</f>
        <v>0</v>
      </c>
      <c r="AK73" s="123">
        <f>IFERROR(MIN('B1'!AL11,'B2'!AK11,'B3'!AK11),0)</f>
        <v>0</v>
      </c>
      <c r="AL73" s="123">
        <f>IFERROR(MIN('B1'!AM11,'B2'!AL11,'B3'!AL11),0)</f>
        <v>0</v>
      </c>
      <c r="AM73" s="123">
        <f>IFERROR(MIN('B1'!AN11,'B2'!AM11,'B3'!AM11),0)</f>
        <v>0</v>
      </c>
      <c r="AN73" s="123">
        <f>IFERROR(MIN('B1'!AO11,'B2'!AN11,'B3'!AN11),0)</f>
        <v>0</v>
      </c>
      <c r="AO73" s="123">
        <f>IFERROR(MIN('B1'!AP11,'B2'!AO11,'B3'!AO11),0)</f>
        <v>0</v>
      </c>
      <c r="AP73" s="123">
        <f>IFERROR(MIN('B1'!AQ11,'B2'!AP11,'B3'!AP11),0)</f>
        <v>0</v>
      </c>
      <c r="AQ73" s="123">
        <f>IFERROR(MIN('B1'!AR11,'B2'!AQ11,'B3'!AQ11),0)</f>
        <v>0</v>
      </c>
      <c r="AR73" s="123">
        <f>IFERROR(MIN('B1'!AS11,'B2'!AR11,'B3'!AR11),0)</f>
        <v>0</v>
      </c>
      <c r="AS73" s="123">
        <f>IFERROR(MIN('B1'!AT11,'B2'!AS11,'B3'!AS11),0)</f>
        <v>0</v>
      </c>
      <c r="AT73" s="123">
        <f>IFERROR(MIN('B1'!AU11,'B2'!AT11,'B3'!AT11),0)</f>
        <v>0</v>
      </c>
      <c r="AU73" s="123">
        <f>IFERROR(MIN('B1'!AV11,'B2'!AU11,'B3'!AU11),0)</f>
        <v>0</v>
      </c>
      <c r="AV73" s="123">
        <f>IFERROR(MIN('B1'!AW11,'B2'!AV11,'B3'!AV11),0)</f>
        <v>0</v>
      </c>
      <c r="AW73" s="123">
        <f>IFERROR(MIN('B1'!AX11,'B2'!AW11,'B3'!AW11),0)</f>
        <v>0</v>
      </c>
      <c r="AX73" s="123">
        <f>IFERROR(MIN('B1'!AY11,'B2'!AX11,'B3'!AX11),0)</f>
        <v>0</v>
      </c>
      <c r="AY73" s="123">
        <f>IFERROR(MIN('B1'!AZ11,'B2'!AY11,'B3'!AY11),0)</f>
        <v>0</v>
      </c>
      <c r="AZ73" s="123">
        <f>IFERROR(MIN('B1'!BA11,'B2'!AZ11,'B3'!AZ11),0)</f>
        <v>0.85479573712255774</v>
      </c>
      <c r="BA73" s="123">
        <f>IFERROR(MIN('B1'!BB11,'B2'!BA11,'B3'!BA11),0)</f>
        <v>7.6999999999999999E-2</v>
      </c>
      <c r="BB73" s="123">
        <f>IFERROR(MIN('B1'!#REF!,'B2'!#REF!,'B3'!#REF!),0)</f>
        <v>0</v>
      </c>
      <c r="BC73" s="123">
        <f>IFERROR(MIN('B1'!#REF!,'B2'!#REF!,'B3'!#REF!),0)</f>
        <v>0</v>
      </c>
      <c r="BD73" s="123">
        <f>IFERROR(MIN('B1'!#REF!,'B2'!#REF!,'B3'!#REF!),0)</f>
        <v>0</v>
      </c>
      <c r="BE73" s="123">
        <f>IFERROR(MIN('B1'!#REF!,'B2'!#REF!,'B3'!#REF!),0)</f>
        <v>0</v>
      </c>
      <c r="BF73" s="123">
        <f>IFERROR(MIN('B1'!#REF!,'B2'!#REF!,'B3'!#REF!),0)</f>
        <v>0</v>
      </c>
      <c r="BG73" s="123">
        <f>IFERROR(MIN('B1'!#REF!,'B2'!#REF!,'B3'!#REF!),0)</f>
        <v>0</v>
      </c>
      <c r="BH73" s="123">
        <f>IFERROR(MIN('B1'!#REF!,'B2'!#REF!,'B3'!#REF!),0)</f>
        <v>0</v>
      </c>
      <c r="BI73" s="123">
        <f>IFERROR(MIN('B1'!#REF!,'B2'!#REF!,'B3'!#REF!),0)</f>
        <v>0</v>
      </c>
      <c r="BJ73" s="123">
        <f>IFERROR(MIN('B1'!#REF!,'B2'!#REF!,'B3'!#REF!),0)</f>
        <v>0</v>
      </c>
      <c r="BK73" s="123">
        <f>IFERROR(MIN('B1'!#REF!,'B2'!#REF!,'B3'!#REF!),0)</f>
        <v>0</v>
      </c>
      <c r="BL73" s="123">
        <f>IFERROR(MIN('B1'!#REF!,'B2'!#REF!,'B3'!#REF!),0)</f>
        <v>0</v>
      </c>
      <c r="BM73" s="123">
        <f>IFERROR(MIN('B1'!#REF!,'B2'!#REF!,'B3'!#REF!),0)</f>
        <v>0</v>
      </c>
      <c r="BN73" s="123">
        <f>IFERROR(MIN('B1'!#REF!,'B2'!#REF!,'B3'!#REF!),0)</f>
        <v>0</v>
      </c>
      <c r="BO73" s="123">
        <f>IFERROR(MIN('B1'!#REF!,'B2'!#REF!,'B3'!#REF!),0)</f>
        <v>0</v>
      </c>
      <c r="BP73" s="123">
        <f>IFERROR(MIN('B1'!#REF!,'B2'!#REF!,'B3'!#REF!),0)</f>
        <v>0</v>
      </c>
      <c r="BQ73" s="123">
        <f>IFERROR(MIN('B1'!#REF!,'B2'!#REF!,'B3'!#REF!),0)</f>
        <v>0</v>
      </c>
      <c r="BR73" s="123">
        <f>IFERROR(MIN('B1'!#REF!,'B2'!#REF!,'B3'!#REF!),0)</f>
        <v>0</v>
      </c>
      <c r="BS73" s="123">
        <f>IFERROR(MIN('B1'!#REF!,'B2'!#REF!,'B3'!#REF!),0)</f>
        <v>0</v>
      </c>
      <c r="BT73" s="123"/>
      <c r="BU73" s="123">
        <f>IFERROR(MIN('B1'!#REF!,'B2'!#REF!,'B3'!#REF!),0)</f>
        <v>0</v>
      </c>
      <c r="BV73" s="123">
        <f>IFERROR(MIN('B1'!#REF!,'B2'!#REF!,'B3'!#REF!),0)</f>
        <v>0</v>
      </c>
      <c r="BW73" s="123">
        <f>IFERROR(MIN('B1'!#REF!,'B2'!#REF!,'B3'!#REF!),0)</f>
        <v>0</v>
      </c>
      <c r="BX73" s="123">
        <f>IFERROR(MIN('B1'!#REF!,'B2'!#REF!,'B3'!#REF!),0)</f>
        <v>0</v>
      </c>
    </row>
    <row r="74" spans="1:76" s="66" customFormat="1" ht="16" thickBot="1" x14ac:dyDescent="0.4">
      <c r="A74" s="63" t="str">
        <f t="shared" si="20"/>
        <v>26-03-18</v>
      </c>
      <c r="B74" s="137">
        <f t="shared" si="20"/>
        <v>6</v>
      </c>
      <c r="C74" s="41">
        <f t="shared" si="19"/>
        <v>0</v>
      </c>
      <c r="D74" s="123">
        <f>IFERROR(MIN('B1'!D12,'B2'!D12,'B3'!D12),0)</f>
        <v>0</v>
      </c>
      <c r="E74" s="123">
        <f>IFERROR(MIN('B1'!E12,'B2'!E12,'B3'!E12),0)</f>
        <v>0</v>
      </c>
      <c r="F74" s="123">
        <f>IFERROR(MIN('B1'!F12,'B2'!F12,'B3'!F12),0)</f>
        <v>0</v>
      </c>
      <c r="G74" s="123">
        <f>IFERROR(MIN('B1'!G12,'B2'!G12,'B3'!G12),0)</f>
        <v>0</v>
      </c>
      <c r="H74" s="123">
        <f>IFERROR(MIN('B1'!H12,'B2'!H12,'B3'!H12),0)</f>
        <v>0</v>
      </c>
      <c r="I74" s="123">
        <f>IFERROR(MIN('B1'!I12,'B2'!I12,'B3'!I12),0)</f>
        <v>0</v>
      </c>
      <c r="J74" s="123">
        <f>IFERROR(MIN('B1'!J12,'B2'!J12,'B3'!J12),0)</f>
        <v>0</v>
      </c>
      <c r="K74" s="123">
        <f>IFERROR(MIN('B1'!K12,'B2'!K12,'B3'!K12),0)</f>
        <v>0</v>
      </c>
      <c r="L74" s="123">
        <f>IFERROR(MIN('B1'!L12,'B2'!L12,'B3'!L12),0)</f>
        <v>0</v>
      </c>
      <c r="M74" s="123">
        <f>IFERROR(MIN('B1'!M12,'B2'!M12,'B3'!M12),0)</f>
        <v>0</v>
      </c>
      <c r="N74" s="123">
        <f>IFERROR(MIN('B1'!N12,'B2'!N12,'B3'!N12),0)</f>
        <v>0</v>
      </c>
      <c r="O74" s="123">
        <f>IFERROR(MIN('B1'!O12,'B2'!O12,'B3'!O12),0)</f>
        <v>0</v>
      </c>
      <c r="P74" s="123">
        <f>IFERROR(MIN('B1'!P12,'B2'!P12,'B3'!P12),0)</f>
        <v>0</v>
      </c>
      <c r="Q74" s="123">
        <f>IFERROR(MIN('B1'!Q12,'B2'!Q12,'B3'!Q12),0)</f>
        <v>0</v>
      </c>
      <c r="R74" s="123">
        <f>IFERROR(MIN('B1'!R12,'B2'!R12,'B3'!R12),0)</f>
        <v>0</v>
      </c>
      <c r="S74" s="123">
        <f>IFERROR(MIN('B1'!S12,'B2'!S12,'B3'!S12),0)</f>
        <v>0</v>
      </c>
      <c r="T74" s="123">
        <f>IFERROR(MIN('B1'!T12,'B2'!T12,'B3'!T12),0)</f>
        <v>0</v>
      </c>
      <c r="U74" s="123">
        <f>IFERROR(MIN('B1'!U12,'B2'!U12,'B3'!U12),0)</f>
        <v>0</v>
      </c>
      <c r="V74" s="123">
        <f>IFERROR(MIN('B1'!V12,'B2'!V12,'B3'!V12),0)</f>
        <v>0</v>
      </c>
      <c r="W74" s="123">
        <f>IFERROR(MIN('B1'!W12,'B2'!W12,'B3'!W12),0)</f>
        <v>0</v>
      </c>
      <c r="X74" s="123">
        <f>IFERROR(MIN('B1'!X12,'B2'!X12,'B3'!X12),0)</f>
        <v>0</v>
      </c>
      <c r="Y74" s="123">
        <f>IFERROR(MIN('B1'!Y12,'B2'!Y12,'B3'!Y12),0)</f>
        <v>0</v>
      </c>
      <c r="Z74" s="123">
        <f>IFERROR(MIN('B1'!Z12,'B2'!Z12,'B3'!Z12),0)</f>
        <v>0</v>
      </c>
      <c r="AA74" s="123">
        <f>IFERROR(MIN('B1'!AB12,'B2'!AA12,'B3'!AA12),0)</f>
        <v>0</v>
      </c>
      <c r="AB74" s="123">
        <f>IFERROR(MIN('B1'!AC12,'B2'!AB12,'B3'!AB12),0)</f>
        <v>0</v>
      </c>
      <c r="AC74" s="123">
        <f>IFERROR(MIN('B1'!AD12,'B2'!AC12,'B3'!AC12),0)</f>
        <v>0</v>
      </c>
      <c r="AD74" s="123">
        <f>IFERROR(MIN('B1'!AE12,'B2'!AD12,'B3'!AD12),0)</f>
        <v>0</v>
      </c>
      <c r="AE74" s="123">
        <f>IFERROR(MIN('B1'!AF12,'B2'!AE12,'B3'!AE12),0)</f>
        <v>3.13</v>
      </c>
      <c r="AF74" s="123">
        <f>IFERROR(MIN('B1'!AG12,'B2'!AF12,'B3'!AF12),0)</f>
        <v>100</v>
      </c>
      <c r="AG74" s="123">
        <f>IFERROR(MIN('B1'!AH12,'B2'!AG12,'B3'!AG12),0)</f>
        <v>1</v>
      </c>
      <c r="AH74" s="123">
        <f>IFERROR(MIN('B1'!AI12,'B2'!AH12,'B3'!AH12),0)</f>
        <v>13.057399999999999</v>
      </c>
      <c r="AI74" s="123">
        <f>IFERROR(MIN('B1'!AJ12,'B2'!AI12,'B3'!AI12),0)</f>
        <v>0</v>
      </c>
      <c r="AJ74" s="123">
        <f>IFERROR(MIN('B1'!AK12,'B2'!AJ12,'B3'!AJ12),0)</f>
        <v>0</v>
      </c>
      <c r="AK74" s="123">
        <f>IFERROR(MIN('B1'!AL12,'B2'!AK12,'B3'!AK12),0)</f>
        <v>0</v>
      </c>
      <c r="AL74" s="123">
        <f>IFERROR(MIN('B1'!AM12,'B2'!AL12,'B3'!AL12),0)</f>
        <v>0</v>
      </c>
      <c r="AM74" s="123">
        <f>IFERROR(MIN('B1'!AN12,'B2'!AM12,'B3'!AM12),0)</f>
        <v>0</v>
      </c>
      <c r="AN74" s="123">
        <f>IFERROR(MIN('B1'!AO12,'B2'!AN12,'B3'!AN12),0)</f>
        <v>0</v>
      </c>
      <c r="AO74" s="123">
        <f>IFERROR(MIN('B1'!AP12,'B2'!AO12,'B3'!AO12),0)</f>
        <v>0</v>
      </c>
      <c r="AP74" s="123">
        <f>IFERROR(MIN('B1'!AQ12,'B2'!AP12,'B3'!AP12),0)</f>
        <v>0</v>
      </c>
      <c r="AQ74" s="123">
        <f>IFERROR(MIN('B1'!AR12,'B2'!AQ12,'B3'!AQ12),0)</f>
        <v>0</v>
      </c>
      <c r="AR74" s="123">
        <f>IFERROR(MIN('B1'!AS12,'B2'!AR12,'B3'!AR12),0)</f>
        <v>0</v>
      </c>
      <c r="AS74" s="123">
        <f>IFERROR(MIN('B1'!AT12,'B2'!AS12,'B3'!AS12),0)</f>
        <v>0</v>
      </c>
      <c r="AT74" s="123">
        <f>IFERROR(MIN('B1'!AU12,'B2'!AT12,'B3'!AT12),0)</f>
        <v>0</v>
      </c>
      <c r="AU74" s="123">
        <f>IFERROR(MIN('B1'!AV12,'B2'!AU12,'B3'!AU12),0)</f>
        <v>0</v>
      </c>
      <c r="AV74" s="123">
        <f>IFERROR(MIN('B1'!AW12,'B2'!AV12,'B3'!AV12),0)</f>
        <v>0</v>
      </c>
      <c r="AW74" s="123">
        <f>IFERROR(MIN('B1'!AX12,'B2'!AW12,'B3'!AW12),0)</f>
        <v>0</v>
      </c>
      <c r="AX74" s="123">
        <f>IFERROR(MIN('B1'!AY12,'B2'!AX12,'B3'!AX12),0)</f>
        <v>0</v>
      </c>
      <c r="AY74" s="123">
        <f>IFERROR(MIN('B1'!AZ12,'B2'!AY12,'B3'!AY12),0)</f>
        <v>0</v>
      </c>
      <c r="AZ74" s="123">
        <f>IFERROR(MIN('B1'!BA12,'B2'!AZ12,'B3'!AZ12),0)</f>
        <v>14.495337477797515</v>
      </c>
      <c r="BA74" s="123">
        <f>IFERROR(MIN('B1'!BB12,'B2'!BA12,'B3'!BA12),0)</f>
        <v>1.3057399999999999</v>
      </c>
      <c r="BB74" s="123">
        <f>IFERROR(MIN('B1'!#REF!,'B2'!#REF!,'B3'!#REF!),0)</f>
        <v>0</v>
      </c>
      <c r="BC74" s="123">
        <f>IFERROR(MIN('B1'!#REF!,'B2'!#REF!,'B3'!#REF!),0)</f>
        <v>0</v>
      </c>
      <c r="BD74" s="123">
        <f>IFERROR(MIN('B1'!#REF!,'B2'!#REF!,'B3'!#REF!),0)</f>
        <v>0</v>
      </c>
      <c r="BE74" s="123">
        <f>IFERROR(MIN('B1'!#REF!,'B2'!#REF!,'B3'!#REF!),0)</f>
        <v>0</v>
      </c>
      <c r="BF74" s="123">
        <f>IFERROR(MIN('B1'!#REF!,'B2'!#REF!,'B3'!#REF!),0)</f>
        <v>0</v>
      </c>
      <c r="BG74" s="123">
        <f>IFERROR(MIN('B1'!#REF!,'B2'!#REF!,'B3'!#REF!),0)</f>
        <v>0</v>
      </c>
      <c r="BH74" s="123">
        <f>IFERROR(MIN('B1'!#REF!,'B2'!#REF!,'B3'!#REF!),0)</f>
        <v>0</v>
      </c>
      <c r="BI74" s="123">
        <f>IFERROR(MIN('B1'!#REF!,'B2'!#REF!,'B3'!#REF!),0)</f>
        <v>0</v>
      </c>
      <c r="BJ74" s="123">
        <f>IFERROR(MIN('B1'!#REF!,'B2'!#REF!,'B3'!#REF!),0)</f>
        <v>0</v>
      </c>
      <c r="BK74" s="123">
        <f>IFERROR(MIN('B1'!#REF!,'B2'!#REF!,'B3'!#REF!),0)</f>
        <v>0</v>
      </c>
      <c r="BL74" s="123">
        <f>IFERROR(MIN('B1'!#REF!,'B2'!#REF!,'B3'!#REF!),0)</f>
        <v>0</v>
      </c>
      <c r="BM74" s="123">
        <f>IFERROR(MIN('B1'!#REF!,'B2'!#REF!,'B3'!#REF!),0)</f>
        <v>0</v>
      </c>
      <c r="BN74" s="123">
        <f>IFERROR(MIN('B1'!#REF!,'B2'!#REF!,'B3'!#REF!),0)</f>
        <v>0</v>
      </c>
      <c r="BO74" s="123">
        <f>IFERROR(MIN('B1'!#REF!,'B2'!#REF!,'B3'!#REF!),0)</f>
        <v>0</v>
      </c>
      <c r="BP74" s="123">
        <f>IFERROR(MIN('B1'!#REF!,'B2'!#REF!,'B3'!#REF!),0)</f>
        <v>0</v>
      </c>
      <c r="BQ74" s="123">
        <f>IFERROR(MIN('B1'!#REF!,'B2'!#REF!,'B3'!#REF!),0)</f>
        <v>0</v>
      </c>
      <c r="BR74" s="123">
        <f>IFERROR(MIN('B1'!#REF!,'B2'!#REF!,'B3'!#REF!),0)</f>
        <v>0</v>
      </c>
      <c r="BS74" s="123">
        <f>IFERROR(MIN('B1'!#REF!,'B2'!#REF!,'B3'!#REF!),0)</f>
        <v>0</v>
      </c>
      <c r="BT74" s="123"/>
      <c r="BU74" s="123">
        <f>IFERROR(MIN('B1'!#REF!,'B2'!#REF!,'B3'!#REF!),0)</f>
        <v>0</v>
      </c>
      <c r="BV74" s="123">
        <f>IFERROR(MIN('B1'!#REF!,'B2'!#REF!,'B3'!#REF!),0)</f>
        <v>0</v>
      </c>
      <c r="BW74" s="123">
        <f>IFERROR(MIN('B1'!#REF!,'B2'!#REF!,'B3'!#REF!),0)</f>
        <v>0</v>
      </c>
      <c r="BX74" s="123">
        <f>IFERROR(MIN('B1'!#REF!,'B2'!#REF!,'B3'!#REF!),0)</f>
        <v>0</v>
      </c>
    </row>
    <row r="75" spans="1:76" s="47" customFormat="1" ht="16" thickBot="1" x14ac:dyDescent="0.4">
      <c r="A75" s="63" t="str">
        <f t="shared" si="20"/>
        <v>29-03-18</v>
      </c>
      <c r="B75" s="137">
        <f t="shared" si="20"/>
        <v>9</v>
      </c>
      <c r="C75" s="41">
        <f t="shared" si="19"/>
        <v>0</v>
      </c>
      <c r="D75" s="123">
        <f>IFERROR(MIN('B1'!D13,'B2'!D13,'B3'!D13),0)</f>
        <v>0</v>
      </c>
      <c r="E75" s="123">
        <f>IFERROR(MIN('B1'!E13,'B2'!E13,'B3'!E13),0)</f>
        <v>0</v>
      </c>
      <c r="F75" s="123">
        <f>IFERROR(MIN('B1'!F13,'B2'!F13,'B3'!F13),0)</f>
        <v>0</v>
      </c>
      <c r="G75" s="123">
        <f>IFERROR(MIN('B1'!G13,'B2'!G13,'B3'!G13),0)</f>
        <v>0</v>
      </c>
      <c r="H75" s="123">
        <f>IFERROR(MIN('B1'!H13,'B2'!H13,'B3'!H13),0)</f>
        <v>0</v>
      </c>
      <c r="I75" s="123">
        <f>IFERROR(MIN('B1'!I13,'B2'!I13,'B3'!I13),0)</f>
        <v>0</v>
      </c>
      <c r="J75" s="123">
        <f>IFERROR(MIN('B1'!J13,'B2'!J13,'B3'!J13),0)</f>
        <v>0</v>
      </c>
      <c r="K75" s="123">
        <f>IFERROR(MIN('B1'!K13,'B2'!K13,'B3'!K13),0)</f>
        <v>0</v>
      </c>
      <c r="L75" s="123">
        <f>IFERROR(MIN('B1'!L13,'B2'!L13,'B3'!L13),0)</f>
        <v>0</v>
      </c>
      <c r="M75" s="123">
        <f>IFERROR(MIN('B1'!M13,'B2'!M13,'B3'!M13),0)</f>
        <v>0</v>
      </c>
      <c r="N75" s="123">
        <f>IFERROR(MIN('B1'!N13,'B2'!N13,'B3'!N13),0)</f>
        <v>0</v>
      </c>
      <c r="O75" s="123">
        <f>IFERROR(MIN('B1'!O13,'B2'!O13,'B3'!O13),0)</f>
        <v>0</v>
      </c>
      <c r="P75" s="123">
        <f>IFERROR(MIN('B1'!P13,'B2'!P13,'B3'!P13),0)</f>
        <v>0</v>
      </c>
      <c r="Q75" s="123">
        <f>IFERROR(MIN('B1'!Q13,'B2'!Q13,'B3'!Q13),0)</f>
        <v>0</v>
      </c>
      <c r="R75" s="123">
        <f>IFERROR(MIN('B1'!R13,'B2'!R13,'B3'!R13),0)</f>
        <v>0</v>
      </c>
      <c r="S75" s="123">
        <f>IFERROR(MIN('B1'!S13,'B2'!S13,'B3'!S13),0)</f>
        <v>0</v>
      </c>
      <c r="T75" s="123">
        <f>IFERROR(MIN('B1'!T13,'B2'!T13,'B3'!T13),0)</f>
        <v>0</v>
      </c>
      <c r="U75" s="123">
        <f>IFERROR(MIN('B1'!U13,'B2'!U13,'B3'!U13),0)</f>
        <v>0</v>
      </c>
      <c r="V75" s="123">
        <f>IFERROR(MIN('B1'!V13,'B2'!V13,'B3'!V13),0)</f>
        <v>0</v>
      </c>
      <c r="W75" s="123">
        <f>IFERROR(MIN('B1'!W13,'B2'!W13,'B3'!W13),0)</f>
        <v>0</v>
      </c>
      <c r="X75" s="123">
        <f>IFERROR(MIN('B1'!X13,'B2'!X13,'B3'!X13),0)</f>
        <v>0</v>
      </c>
      <c r="Y75" s="123">
        <f>IFERROR(MIN('B1'!Y13,'B2'!Y13,'B3'!Y13),0)</f>
        <v>0</v>
      </c>
      <c r="Z75" s="123">
        <f>IFERROR(MIN('B1'!Z13,'B2'!Z13,'B3'!Z13),0)</f>
        <v>0</v>
      </c>
      <c r="AA75" s="123">
        <f>IFERROR(MIN('B1'!AB13,'B2'!AA13,'B3'!AA13),0)</f>
        <v>0</v>
      </c>
      <c r="AB75" s="123">
        <f>IFERROR(MIN('B1'!AC13,'B2'!AB13,'B3'!AB13),0)</f>
        <v>0</v>
      </c>
      <c r="AC75" s="123">
        <f>IFERROR(MIN('B1'!AD13,'B2'!AC13,'B3'!AC13),0)</f>
        <v>0</v>
      </c>
      <c r="AD75" s="123">
        <f>IFERROR(MIN('B1'!AE13,'B2'!AD13,'B3'!AD13),0)</f>
        <v>0</v>
      </c>
      <c r="AE75" s="123">
        <f>IFERROR(MIN('B1'!AF13,'B2'!AE13,'B3'!AE13),0)</f>
        <v>2.6</v>
      </c>
      <c r="AF75" s="123">
        <f>IFERROR(MIN('B1'!AG13,'B2'!AF13,'B3'!AF13),0)</f>
        <v>100</v>
      </c>
      <c r="AG75" s="123">
        <f>IFERROR(MIN('B1'!AH13,'B2'!AG13,'B3'!AG13),0)</f>
        <v>1</v>
      </c>
      <c r="AH75" s="123">
        <f>IFERROR(MIN('B1'!AI13,'B2'!AH13,'B3'!AH13),0)</f>
        <v>47.011600000000001</v>
      </c>
      <c r="AI75" s="123">
        <f>IFERROR(MIN('B1'!AJ13,'B2'!AI13,'B3'!AI13),0)</f>
        <v>0</v>
      </c>
      <c r="AJ75" s="123">
        <f>IFERROR(MIN('B1'!AK13,'B2'!AJ13,'B3'!AJ13),0)</f>
        <v>0</v>
      </c>
      <c r="AK75" s="123">
        <f>IFERROR(MIN('B1'!AL13,'B2'!AK13,'B3'!AK13),0)</f>
        <v>0</v>
      </c>
      <c r="AL75" s="123">
        <f>IFERROR(MIN('B1'!AM13,'B2'!AL13,'B3'!AL13),0)</f>
        <v>0</v>
      </c>
      <c r="AM75" s="123">
        <f>IFERROR(MIN('B1'!AN13,'B2'!AM13,'B3'!AM13),0)</f>
        <v>0</v>
      </c>
      <c r="AN75" s="123">
        <f>IFERROR(MIN('B1'!AO13,'B2'!AN13,'B3'!AN13),0)</f>
        <v>0</v>
      </c>
      <c r="AO75" s="123">
        <f>IFERROR(MIN('B1'!AP13,'B2'!AO13,'B3'!AO13),0)</f>
        <v>0</v>
      </c>
      <c r="AP75" s="123">
        <f>IFERROR(MIN('B1'!AQ13,'B2'!AP13,'B3'!AP13),0)</f>
        <v>0</v>
      </c>
      <c r="AQ75" s="123">
        <f>IFERROR(MIN('B1'!AR13,'B2'!AQ13,'B3'!AQ13),0)</f>
        <v>0</v>
      </c>
      <c r="AR75" s="123">
        <f>IFERROR(MIN('B1'!AS13,'B2'!AR13,'B3'!AR13),0)</f>
        <v>0</v>
      </c>
      <c r="AS75" s="123">
        <f>IFERROR(MIN('B1'!AT13,'B2'!AS13,'B3'!AS13),0)</f>
        <v>0</v>
      </c>
      <c r="AT75" s="123">
        <f>IFERROR(MIN('B1'!AU13,'B2'!AT13,'B3'!AT13),0)</f>
        <v>0</v>
      </c>
      <c r="AU75" s="123">
        <f>IFERROR(MIN('B1'!AV13,'B2'!AU13,'B3'!AU13),0)</f>
        <v>0</v>
      </c>
      <c r="AV75" s="123">
        <f>IFERROR(MIN('B1'!AW13,'B2'!AV13,'B3'!AV13),0)</f>
        <v>0</v>
      </c>
      <c r="AW75" s="123">
        <f>IFERROR(MIN('B1'!AX13,'B2'!AW13,'B3'!AW13),0)</f>
        <v>0</v>
      </c>
      <c r="AX75" s="123">
        <f>IFERROR(MIN('B1'!AY13,'B2'!AX13,'B3'!AX13),0)</f>
        <v>0</v>
      </c>
      <c r="AY75" s="123">
        <f>IFERROR(MIN('B1'!AZ13,'B2'!AY13,'B3'!AY13),0)</f>
        <v>0</v>
      </c>
      <c r="AZ75" s="123">
        <f>IFERROR(MIN('B1'!BA13,'B2'!AZ13,'B3'!AZ13),0)</f>
        <v>52.18872113676732</v>
      </c>
      <c r="BA75" s="123">
        <f>IFERROR(MIN('B1'!BB13,'B2'!BA13,'B3'!BA13),0)</f>
        <v>4.7011599999999998</v>
      </c>
      <c r="BB75" s="123">
        <f>IFERROR(MIN('B1'!#REF!,'B2'!#REF!,'B3'!#REF!),0)</f>
        <v>0</v>
      </c>
      <c r="BC75" s="123">
        <f>IFERROR(MIN('B1'!#REF!,'B2'!#REF!,'B3'!#REF!),0)</f>
        <v>0</v>
      </c>
      <c r="BD75" s="123">
        <f>IFERROR(MIN('B1'!#REF!,'B2'!#REF!,'B3'!#REF!),0)</f>
        <v>0</v>
      </c>
      <c r="BE75" s="123">
        <f>IFERROR(MIN('B1'!#REF!,'B2'!#REF!,'B3'!#REF!),0)</f>
        <v>0</v>
      </c>
      <c r="BF75" s="123">
        <f>IFERROR(MIN('B1'!#REF!,'B2'!#REF!,'B3'!#REF!),0)</f>
        <v>0</v>
      </c>
      <c r="BG75" s="123">
        <f>IFERROR(MIN('B1'!#REF!,'B2'!#REF!,'B3'!#REF!),0)</f>
        <v>0</v>
      </c>
      <c r="BH75" s="123">
        <f>IFERROR(MIN('B1'!#REF!,'B2'!#REF!,'B3'!#REF!),0)</f>
        <v>0</v>
      </c>
      <c r="BI75" s="123">
        <f>IFERROR(MIN('B1'!#REF!,'B2'!#REF!,'B3'!#REF!),0)</f>
        <v>0</v>
      </c>
      <c r="BJ75" s="123">
        <f>IFERROR(MIN('B1'!#REF!,'B2'!#REF!,'B3'!#REF!),0)</f>
        <v>0</v>
      </c>
      <c r="BK75" s="123">
        <f>IFERROR(MIN('B1'!#REF!,'B2'!#REF!,'B3'!#REF!),0)</f>
        <v>0</v>
      </c>
      <c r="BL75" s="123">
        <f>IFERROR(MIN('B1'!#REF!,'B2'!#REF!,'B3'!#REF!),0)</f>
        <v>0</v>
      </c>
      <c r="BM75" s="123">
        <f>IFERROR(MIN('B1'!#REF!,'B2'!#REF!,'B3'!#REF!),0)</f>
        <v>0</v>
      </c>
      <c r="BN75" s="123">
        <f>IFERROR(MIN('B1'!#REF!,'B2'!#REF!,'B3'!#REF!),0)</f>
        <v>0</v>
      </c>
      <c r="BO75" s="123">
        <f>IFERROR(MIN('B1'!#REF!,'B2'!#REF!,'B3'!#REF!),0)</f>
        <v>0</v>
      </c>
      <c r="BP75" s="123">
        <f>IFERROR(MIN('B1'!#REF!,'B2'!#REF!,'B3'!#REF!),0)</f>
        <v>0</v>
      </c>
      <c r="BQ75" s="123">
        <f>IFERROR(MIN('B1'!#REF!,'B2'!#REF!,'B3'!#REF!),0)</f>
        <v>0</v>
      </c>
      <c r="BR75" s="123">
        <f>IFERROR(MIN('B1'!#REF!,'B2'!#REF!,'B3'!#REF!),0)</f>
        <v>0</v>
      </c>
      <c r="BS75" s="123">
        <f>IFERROR(MIN('B1'!#REF!,'B2'!#REF!,'B3'!#REF!),0)</f>
        <v>0</v>
      </c>
      <c r="BT75" s="123"/>
      <c r="BU75" s="123">
        <f>IFERROR(MIN('B1'!#REF!,'B2'!#REF!,'B3'!#REF!),0)</f>
        <v>0</v>
      </c>
      <c r="BV75" s="123">
        <f>IFERROR(MIN('B1'!#REF!,'B2'!#REF!,'B3'!#REF!),0)</f>
        <v>0</v>
      </c>
      <c r="BW75" s="123">
        <f>IFERROR(MIN('B1'!#REF!,'B2'!#REF!,'B3'!#REF!),0)</f>
        <v>0</v>
      </c>
      <c r="BX75" s="123">
        <f>IFERROR(MIN('B1'!#REF!,'B2'!#REF!,'B3'!#REF!),0)</f>
        <v>0</v>
      </c>
    </row>
    <row r="76" spans="1:76" s="66" customFormat="1" ht="16" thickBot="1" x14ac:dyDescent="0.4">
      <c r="A76" s="63">
        <f t="shared" si="20"/>
        <v>43163</v>
      </c>
      <c r="B76" s="137">
        <f t="shared" si="20"/>
        <v>15</v>
      </c>
      <c r="C76" s="41">
        <f t="shared" si="19"/>
        <v>0</v>
      </c>
      <c r="D76" s="123">
        <f>IFERROR(MIN('B1'!D14,'B2'!D14,'B3'!D14),0)</f>
        <v>0</v>
      </c>
      <c r="E76" s="123">
        <f>IFERROR(MIN('B1'!E14,'B2'!E14,'B3'!E14),0)</f>
        <v>0</v>
      </c>
      <c r="F76" s="123">
        <f>IFERROR(MIN('B1'!F14,'B2'!F14,'B3'!F14),0)</f>
        <v>0</v>
      </c>
      <c r="G76" s="123">
        <f>IFERROR(MIN('B1'!G14,'B2'!G14,'B3'!G14),0)</f>
        <v>0</v>
      </c>
      <c r="H76" s="123">
        <f>IFERROR(MIN('B1'!H14,'B2'!H14,'B3'!H14),0)</f>
        <v>0</v>
      </c>
      <c r="I76" s="123">
        <f>IFERROR(MIN('B1'!I14,'B2'!I14,'B3'!I14),0)</f>
        <v>0</v>
      </c>
      <c r="J76" s="123">
        <f>IFERROR(MIN('B1'!J14,'B2'!J14,'B3'!J14),0)</f>
        <v>0</v>
      </c>
      <c r="K76" s="123">
        <f>IFERROR(MIN('B1'!K14,'B2'!K14,'B3'!K14),0)</f>
        <v>0</v>
      </c>
      <c r="L76" s="123">
        <f>IFERROR(MIN('B1'!L14,'B2'!L14,'B3'!L14),0)</f>
        <v>0</v>
      </c>
      <c r="M76" s="123">
        <f>IFERROR(MIN('B1'!M14,'B2'!M14,'B3'!M14),0)</f>
        <v>0</v>
      </c>
      <c r="N76" s="123">
        <f>IFERROR(MIN('B1'!N14,'B2'!N14,'B3'!N14),0)</f>
        <v>0</v>
      </c>
      <c r="O76" s="123">
        <f>IFERROR(MIN('B1'!O14,'B2'!O14,'B3'!O14),0)</f>
        <v>0</v>
      </c>
      <c r="P76" s="123">
        <f>IFERROR(MIN('B1'!P14,'B2'!P14,'B3'!P14),0)</f>
        <v>0</v>
      </c>
      <c r="Q76" s="123">
        <f>IFERROR(MIN('B1'!Q14,'B2'!Q14,'B3'!Q14),0)</f>
        <v>0</v>
      </c>
      <c r="R76" s="123">
        <f>IFERROR(MIN('B1'!R14,'B2'!R14,'B3'!R14),0)</f>
        <v>0</v>
      </c>
      <c r="S76" s="123">
        <f>IFERROR(MIN('B1'!S14,'B2'!S14,'B3'!S14),0)</f>
        <v>0</v>
      </c>
      <c r="T76" s="123">
        <f>IFERROR(MIN('B1'!T14,'B2'!T14,'B3'!T14),0)</f>
        <v>0</v>
      </c>
      <c r="U76" s="123">
        <f>IFERROR(MIN('B1'!U14,'B2'!U14,'B3'!U14),0)</f>
        <v>0</v>
      </c>
      <c r="V76" s="123">
        <f>IFERROR(MIN('B1'!V14,'B2'!V14,'B3'!V14),0)</f>
        <v>0</v>
      </c>
      <c r="W76" s="123">
        <f>IFERROR(MIN('B1'!W14,'B2'!W14,'B3'!W14),0)</f>
        <v>0</v>
      </c>
      <c r="X76" s="123">
        <f>IFERROR(MIN('B1'!X14,'B2'!X14,'B3'!X14),0)</f>
        <v>0</v>
      </c>
      <c r="Y76" s="123">
        <f>IFERROR(MIN('B1'!Y14,'B2'!Y14,'B3'!Y14),0)</f>
        <v>0</v>
      </c>
      <c r="Z76" s="123">
        <f>IFERROR(MIN('B1'!Z14,'B2'!Z14,'B3'!Z14),0)</f>
        <v>0</v>
      </c>
      <c r="AA76" s="123">
        <f>IFERROR(MIN('B1'!AB14,'B2'!AA14,'B3'!AA14),0)</f>
        <v>0</v>
      </c>
      <c r="AB76" s="123">
        <f>IFERROR(MIN('B1'!AC14,'B2'!AB14,'B3'!AB14),0)</f>
        <v>0</v>
      </c>
      <c r="AC76" s="123">
        <f>IFERROR(MIN('B1'!AD14,'B2'!AC14,'B3'!AC14),0)</f>
        <v>0</v>
      </c>
      <c r="AD76" s="123">
        <f>IFERROR(MIN('B1'!AE14,'B2'!AD14,'B3'!AD14),0)</f>
        <v>0</v>
      </c>
      <c r="AE76" s="123">
        <f>IFERROR(MIN('B1'!AF14,'B2'!AE14,'B3'!AE14),0)</f>
        <v>2.35</v>
      </c>
      <c r="AF76" s="123">
        <f>IFERROR(MIN('B1'!AG14,'B2'!AF14,'B3'!AF14),0)</f>
        <v>200</v>
      </c>
      <c r="AG76" s="123">
        <f>IFERROR(MIN('B1'!AH14,'B2'!AG14,'B3'!AG14),0)</f>
        <v>1</v>
      </c>
      <c r="AH76" s="123">
        <f>IFERROR(MIN('B1'!AI14,'B2'!AH14,'B3'!AH14),0)</f>
        <v>110.788</v>
      </c>
      <c r="AI76" s="123">
        <f>IFERROR(MIN('B1'!AJ14,'B2'!AI14,'B3'!AI14),0)</f>
        <v>0</v>
      </c>
      <c r="AJ76" s="123">
        <f>IFERROR(MIN('B1'!AK14,'B2'!AJ14,'B3'!AJ14),0)</f>
        <v>0</v>
      </c>
      <c r="AK76" s="123">
        <f>IFERROR(MIN('B1'!AL14,'B2'!AK14,'B3'!AK14),0)</f>
        <v>0</v>
      </c>
      <c r="AL76" s="123">
        <f>IFERROR(MIN('B1'!AM14,'B2'!AL14,'B3'!AL14),0)</f>
        <v>0</v>
      </c>
      <c r="AM76" s="123">
        <f>IFERROR(MIN('B1'!AN14,'B2'!AM14,'B3'!AM14),0)</f>
        <v>0</v>
      </c>
      <c r="AN76" s="123">
        <f>IFERROR(MIN('B1'!AO14,'B2'!AN14,'B3'!AN14),0)</f>
        <v>0</v>
      </c>
      <c r="AO76" s="123">
        <f>IFERROR(MIN('B1'!AP14,'B2'!AO14,'B3'!AO14),0)</f>
        <v>0</v>
      </c>
      <c r="AP76" s="123">
        <f>IFERROR(MIN('B1'!AQ14,'B2'!AP14,'B3'!AP14),0)</f>
        <v>0</v>
      </c>
      <c r="AQ76" s="123">
        <f>IFERROR(MIN('B1'!AR14,'B2'!AQ14,'B3'!AQ14),0)</f>
        <v>0</v>
      </c>
      <c r="AR76" s="123">
        <f>IFERROR(MIN('B1'!AS14,'B2'!AR14,'B3'!AR14),0)</f>
        <v>0</v>
      </c>
      <c r="AS76" s="123">
        <f>IFERROR(MIN('B1'!AT14,'B2'!AS14,'B3'!AS14),0)</f>
        <v>0</v>
      </c>
      <c r="AT76" s="123">
        <f>IFERROR(MIN('B1'!AU14,'B2'!AT14,'B3'!AT14),0)</f>
        <v>0</v>
      </c>
      <c r="AU76" s="123">
        <f>IFERROR(MIN('B1'!AV14,'B2'!AU14,'B3'!AU14),0)</f>
        <v>0</v>
      </c>
      <c r="AV76" s="123">
        <f>IFERROR(MIN('B1'!AW14,'B2'!AV14,'B3'!AV14),0)</f>
        <v>0</v>
      </c>
      <c r="AW76" s="123">
        <f>IFERROR(MIN('B1'!AX14,'B2'!AW14,'B3'!AW14),0)</f>
        <v>0</v>
      </c>
      <c r="AX76" s="123">
        <f>IFERROR(MIN('B1'!AY14,'B2'!AX14,'B3'!AX14),0)</f>
        <v>0</v>
      </c>
      <c r="AY76" s="123">
        <f>IFERROR(MIN('B1'!AZ14,'B2'!AY14,'B3'!AY14),0)</f>
        <v>0</v>
      </c>
      <c r="AZ76" s="123">
        <f>IFERROR(MIN('B1'!BA14,'B2'!AZ14,'B3'!AZ14),0)</f>
        <v>245.97690941385434</v>
      </c>
      <c r="BA76" s="123">
        <f>IFERROR(MIN('B1'!BB14,'B2'!BA14,'B3'!BA14),0)</f>
        <v>22.157599999999999</v>
      </c>
      <c r="BB76" s="123">
        <f>IFERROR(MIN('B1'!#REF!,'B2'!#REF!,'B3'!#REF!),0)</f>
        <v>0</v>
      </c>
      <c r="BC76" s="123">
        <f>IFERROR(MIN('B1'!#REF!,'B2'!#REF!,'B3'!#REF!),0)</f>
        <v>0</v>
      </c>
      <c r="BD76" s="123">
        <f>IFERROR(MIN('B1'!#REF!,'B2'!#REF!,'B3'!#REF!),0)</f>
        <v>0</v>
      </c>
      <c r="BE76" s="123">
        <f>IFERROR(MIN('B1'!#REF!,'B2'!#REF!,'B3'!#REF!),0)</f>
        <v>0</v>
      </c>
      <c r="BF76" s="123">
        <f>IFERROR(MIN('B1'!#REF!,'B2'!#REF!,'B3'!#REF!),0)</f>
        <v>0</v>
      </c>
      <c r="BG76" s="123">
        <f>IFERROR(MIN('B1'!#REF!,'B2'!#REF!,'B3'!#REF!),0)</f>
        <v>0</v>
      </c>
      <c r="BH76" s="123">
        <f>IFERROR(MIN('B1'!#REF!,'B2'!#REF!,'B3'!#REF!),0)</f>
        <v>0</v>
      </c>
      <c r="BI76" s="123">
        <f>IFERROR(MIN('B1'!#REF!,'B2'!#REF!,'B3'!#REF!),0)</f>
        <v>0</v>
      </c>
      <c r="BJ76" s="123">
        <f>IFERROR(MIN('B1'!#REF!,'B2'!#REF!,'B3'!#REF!),0)</f>
        <v>0</v>
      </c>
      <c r="BK76" s="123">
        <f>IFERROR(MIN('B1'!#REF!,'B2'!#REF!,'B3'!#REF!),0)</f>
        <v>0</v>
      </c>
      <c r="BL76" s="123">
        <f>IFERROR(MIN('B1'!#REF!,'B2'!#REF!,'B3'!#REF!),0)</f>
        <v>0</v>
      </c>
      <c r="BM76" s="123">
        <f>IFERROR(MIN('B1'!#REF!,'B2'!#REF!,'B3'!#REF!),0)</f>
        <v>0</v>
      </c>
      <c r="BN76" s="123">
        <f>IFERROR(MIN('B1'!#REF!,'B2'!#REF!,'B3'!#REF!),0)</f>
        <v>0</v>
      </c>
      <c r="BO76" s="123">
        <f>IFERROR(MIN('B1'!#REF!,'B2'!#REF!,'B3'!#REF!),0)</f>
        <v>0</v>
      </c>
      <c r="BP76" s="123">
        <f>IFERROR(MIN('B1'!#REF!,'B2'!#REF!,'B3'!#REF!),0)</f>
        <v>0</v>
      </c>
      <c r="BQ76" s="123">
        <f>IFERROR(MIN('B1'!#REF!,'B2'!#REF!,'B3'!#REF!),0)</f>
        <v>0</v>
      </c>
      <c r="BR76" s="123">
        <f>IFERROR(MIN('B1'!#REF!,'B2'!#REF!,'B3'!#REF!),0)</f>
        <v>0</v>
      </c>
      <c r="BS76" s="123">
        <f>IFERROR(MIN('B1'!#REF!,'B2'!#REF!,'B3'!#REF!),0)</f>
        <v>0</v>
      </c>
      <c r="BT76" s="123"/>
      <c r="BU76" s="123">
        <f>IFERROR(MIN('B1'!#REF!,'B2'!#REF!,'B3'!#REF!),0)</f>
        <v>0</v>
      </c>
      <c r="BV76" s="123">
        <f>IFERROR(MIN('B1'!#REF!,'B2'!#REF!,'B3'!#REF!),0)</f>
        <v>0</v>
      </c>
      <c r="BW76" s="123">
        <f>IFERROR(MIN('B1'!#REF!,'B2'!#REF!,'B3'!#REF!),0)</f>
        <v>0</v>
      </c>
      <c r="BX76" s="123">
        <f>IFERROR(MIN('B1'!#REF!,'B2'!#REF!,'B3'!#REF!),0)</f>
        <v>0</v>
      </c>
    </row>
    <row r="77" spans="1:76" s="47" customFormat="1" ht="16" thickBot="1" x14ac:dyDescent="0.4">
      <c r="A77" s="63">
        <f t="shared" si="20"/>
        <v>43347</v>
      </c>
      <c r="B77" s="137">
        <f t="shared" si="20"/>
        <v>21</v>
      </c>
      <c r="C77" s="41">
        <f t="shared" si="19"/>
        <v>0</v>
      </c>
      <c r="D77" s="123">
        <f>IFERROR(MIN('B1'!D15,'B2'!D15,'B3'!D15),0)</f>
        <v>0</v>
      </c>
      <c r="E77" s="123">
        <f>IFERROR(MIN('B1'!E15,'B2'!E15,'B3'!E15),0)</f>
        <v>0</v>
      </c>
      <c r="F77" s="123">
        <f>IFERROR(MIN('B1'!F15,'B2'!F15,'B3'!F15),0)</f>
        <v>0</v>
      </c>
      <c r="G77" s="123">
        <f>IFERROR(MIN('B1'!G15,'B2'!G15,'B3'!G15),0)</f>
        <v>0</v>
      </c>
      <c r="H77" s="123">
        <f>IFERROR(MIN('B1'!H15,'B2'!H15,'B3'!H15),0)</f>
        <v>0</v>
      </c>
      <c r="I77" s="123">
        <f>IFERROR(MIN('B1'!I15,'B2'!I15,'B3'!I15),0)</f>
        <v>0</v>
      </c>
      <c r="J77" s="123">
        <f>IFERROR(MIN('B1'!J15,'B2'!J15,'B3'!J15),0)</f>
        <v>0</v>
      </c>
      <c r="K77" s="123">
        <f>IFERROR(MIN('B1'!K15,'B2'!K15,'B3'!K15),0)</f>
        <v>0</v>
      </c>
      <c r="L77" s="123">
        <f>IFERROR(MIN('B1'!L15,'B2'!L15,'B3'!L15),0)</f>
        <v>0</v>
      </c>
      <c r="M77" s="123">
        <f>IFERROR(MIN('B1'!M15,'B2'!M15,'B3'!M15),0)</f>
        <v>0</v>
      </c>
      <c r="N77" s="123">
        <f>IFERROR(MIN('B1'!N15,'B2'!N15,'B3'!N15),0)</f>
        <v>0</v>
      </c>
      <c r="O77" s="123">
        <f>IFERROR(MIN('B1'!O15,'B2'!O15,'B3'!O15),0)</f>
        <v>0</v>
      </c>
      <c r="P77" s="123">
        <f>IFERROR(MIN('B1'!P15,'B2'!P15,'B3'!P15),0)</f>
        <v>0</v>
      </c>
      <c r="Q77" s="123">
        <f>IFERROR(MIN('B1'!Q15,'B2'!Q15,'B3'!Q15),0)</f>
        <v>0</v>
      </c>
      <c r="R77" s="123">
        <f>IFERROR(MIN('B1'!R15,'B2'!R15,'B3'!R15),0)</f>
        <v>0</v>
      </c>
      <c r="S77" s="123">
        <f>IFERROR(MIN('B1'!S15,'B2'!S15,'B3'!S15),0)</f>
        <v>0</v>
      </c>
      <c r="T77" s="123">
        <f>IFERROR(MIN('B1'!T15,'B2'!T15,'B3'!T15),0)</f>
        <v>0</v>
      </c>
      <c r="U77" s="123">
        <f>IFERROR(MIN('B1'!U15,'B2'!U15,'B3'!U15),0)</f>
        <v>0</v>
      </c>
      <c r="V77" s="123">
        <f>IFERROR(MIN('B1'!V15,'B2'!V15,'B3'!V15),0)</f>
        <v>0</v>
      </c>
      <c r="W77" s="123">
        <f>IFERROR(MIN('B1'!W15,'B2'!W15,'B3'!W15),0)</f>
        <v>0</v>
      </c>
      <c r="X77" s="123">
        <f>IFERROR(MIN('B1'!X15,'B2'!X15,'B3'!X15),0)</f>
        <v>0</v>
      </c>
      <c r="Y77" s="123">
        <f>IFERROR(MIN('B1'!Y15,'B2'!Y15,'B3'!Y15),0)</f>
        <v>0</v>
      </c>
      <c r="Z77" s="123">
        <f>IFERROR(MIN('B1'!Z15,'B2'!Z15,'B3'!Z15),0)</f>
        <v>0</v>
      </c>
      <c r="AA77" s="123">
        <f>IFERROR(MIN('B1'!AB15,'B2'!AA15,'B3'!AA15),0)</f>
        <v>0</v>
      </c>
      <c r="AB77" s="123">
        <f>IFERROR(MIN('B1'!AC15,'B2'!AB15,'B3'!AB15),0)</f>
        <v>0</v>
      </c>
      <c r="AC77" s="123">
        <f>IFERROR(MIN('B1'!AD15,'B2'!AC15,'B3'!AC15),0)</f>
        <v>0</v>
      </c>
      <c r="AD77" s="123">
        <f>IFERROR(MIN('B1'!AE15,'B2'!AD15,'B3'!AD15),0)</f>
        <v>0</v>
      </c>
      <c r="AE77" s="123">
        <f>IFERROR(MIN('B1'!AF15,'B2'!AE15,'B3'!AE15),0)</f>
        <v>2.37</v>
      </c>
      <c r="AF77" s="123">
        <f>IFERROR(MIN('B1'!AG15,'B2'!AF15,'B3'!AF15),0)</f>
        <v>100</v>
      </c>
      <c r="AG77" s="123">
        <f>IFERROR(MIN('B1'!AH15,'B2'!AG15,'B3'!AG15),0)</f>
        <v>1</v>
      </c>
      <c r="AH77" s="123">
        <f>IFERROR(MIN('B1'!AI15,'B2'!AH15,'B3'!AH15),0)</f>
        <v>90.31</v>
      </c>
      <c r="AI77" s="123">
        <f>IFERROR(MIN('B1'!AJ15,'B2'!AI15,'B3'!AI15),0)</f>
        <v>0</v>
      </c>
      <c r="AJ77" s="123">
        <f>IFERROR(MIN('B1'!AK15,'B2'!AJ15,'B3'!AJ15),0)</f>
        <v>0</v>
      </c>
      <c r="AK77" s="123">
        <f>IFERROR(MIN('B1'!AL15,'B2'!AK15,'B3'!AK15),0)</f>
        <v>0</v>
      </c>
      <c r="AL77" s="123">
        <f>IFERROR(MIN('B1'!AM15,'B2'!AL15,'B3'!AL15),0)</f>
        <v>0</v>
      </c>
      <c r="AM77" s="123">
        <f>IFERROR(MIN('B1'!AN15,'B2'!AM15,'B3'!AM15),0)</f>
        <v>0</v>
      </c>
      <c r="AN77" s="123">
        <f>IFERROR(MIN('B1'!AO15,'B2'!AN15,'B3'!AN15),0)</f>
        <v>0</v>
      </c>
      <c r="AO77" s="123">
        <f>IFERROR(MIN('B1'!AP15,'B2'!AO15,'B3'!AO15),0)</f>
        <v>0</v>
      </c>
      <c r="AP77" s="123">
        <f>IFERROR(MIN('B1'!AQ15,'B2'!AP15,'B3'!AP15),0)</f>
        <v>0</v>
      </c>
      <c r="AQ77" s="123">
        <f>IFERROR(MIN('B1'!AR15,'B2'!AQ15,'B3'!AQ15),0)</f>
        <v>0</v>
      </c>
      <c r="AR77" s="123">
        <f>IFERROR(MIN('B1'!AS15,'B2'!AR15,'B3'!AR15),0)</f>
        <v>0</v>
      </c>
      <c r="AS77" s="123">
        <f>IFERROR(MIN('B1'!AT15,'B2'!AS15,'B3'!AS15),0)</f>
        <v>0</v>
      </c>
      <c r="AT77" s="123">
        <f>IFERROR(MIN('B1'!AU15,'B2'!AT15,'B3'!AT15),0)</f>
        <v>0</v>
      </c>
      <c r="AU77" s="123">
        <f>IFERROR(MIN('B1'!AV15,'B2'!AU15,'B3'!AU15),0)</f>
        <v>0</v>
      </c>
      <c r="AV77" s="123">
        <f>IFERROR(MIN('B1'!AW15,'B2'!AV15,'B3'!AV15),0)</f>
        <v>0</v>
      </c>
      <c r="AW77" s="123">
        <f>IFERROR(MIN('B1'!AX15,'B2'!AW15,'B3'!AW15),0)</f>
        <v>0</v>
      </c>
      <c r="AX77" s="123">
        <f>IFERROR(MIN('B1'!AY15,'B2'!AX15,'B3'!AX15),0)</f>
        <v>0</v>
      </c>
      <c r="AY77" s="123">
        <f>IFERROR(MIN('B1'!AZ15,'B2'!AY15,'B3'!AY15),0)</f>
        <v>0</v>
      </c>
      <c r="AZ77" s="123">
        <f>IFERROR(MIN('B1'!BA15,'B2'!AZ15,'B3'!AZ15),0)</f>
        <v>265.76376554174067</v>
      </c>
      <c r="BA77" s="123">
        <f>IFERROR(MIN('B1'!BB15,'B2'!BA15,'B3'!BA15),0)</f>
        <v>23.94</v>
      </c>
      <c r="BB77" s="123">
        <f>IFERROR(MIN('B1'!#REF!,'B2'!#REF!,'B3'!#REF!),0)</f>
        <v>0</v>
      </c>
      <c r="BC77" s="123">
        <f>IFERROR(MIN('B1'!#REF!,'B2'!#REF!,'B3'!#REF!),0)</f>
        <v>0</v>
      </c>
      <c r="BD77" s="123">
        <f>IFERROR(MIN('B1'!#REF!,'B2'!#REF!,'B3'!#REF!),0)</f>
        <v>0</v>
      </c>
      <c r="BE77" s="123">
        <f>IFERROR(MIN('B1'!#REF!,'B2'!#REF!,'B3'!#REF!),0)</f>
        <v>0</v>
      </c>
      <c r="BF77" s="123">
        <f>IFERROR(MIN('B1'!#REF!,'B2'!#REF!,'B3'!#REF!),0)</f>
        <v>0</v>
      </c>
      <c r="BG77" s="123">
        <f>IFERROR(MIN('B1'!#REF!,'B2'!#REF!,'B3'!#REF!),0)</f>
        <v>0</v>
      </c>
      <c r="BH77" s="123">
        <f>IFERROR(MIN('B1'!#REF!,'B2'!#REF!,'B3'!#REF!),0)</f>
        <v>0</v>
      </c>
      <c r="BI77" s="123">
        <f>IFERROR(MIN('B1'!#REF!,'B2'!#REF!,'B3'!#REF!),0)</f>
        <v>0</v>
      </c>
      <c r="BJ77" s="123">
        <f>IFERROR(MIN('B1'!#REF!,'B2'!#REF!,'B3'!#REF!),0)</f>
        <v>0</v>
      </c>
      <c r="BK77" s="123">
        <f>IFERROR(MIN('B1'!#REF!,'B2'!#REF!,'B3'!#REF!),0)</f>
        <v>0</v>
      </c>
      <c r="BL77" s="123">
        <f>IFERROR(MIN('B1'!#REF!,'B2'!#REF!,'B3'!#REF!),0)</f>
        <v>0</v>
      </c>
      <c r="BM77" s="123">
        <f>IFERROR(MIN('B1'!#REF!,'B2'!#REF!,'B3'!#REF!),0)</f>
        <v>0</v>
      </c>
      <c r="BN77" s="123">
        <f>IFERROR(MIN('B1'!#REF!,'B2'!#REF!,'B3'!#REF!),0)</f>
        <v>0</v>
      </c>
      <c r="BO77" s="123">
        <f>IFERROR(MIN('B1'!#REF!,'B2'!#REF!,'B3'!#REF!),0)</f>
        <v>0</v>
      </c>
      <c r="BP77" s="123">
        <f>IFERROR(MIN('B1'!#REF!,'B2'!#REF!,'B3'!#REF!),0)</f>
        <v>0</v>
      </c>
      <c r="BQ77" s="123">
        <f>IFERROR(MIN('B1'!#REF!,'B2'!#REF!,'B3'!#REF!),0)</f>
        <v>0</v>
      </c>
      <c r="BR77" s="123">
        <f>IFERROR(MIN('B1'!#REF!,'B2'!#REF!,'B3'!#REF!),0)</f>
        <v>0</v>
      </c>
      <c r="BS77" s="123">
        <f>IFERROR(MIN('B1'!#REF!,'B2'!#REF!,'B3'!#REF!),0)</f>
        <v>0</v>
      </c>
      <c r="BT77" s="123"/>
      <c r="BU77" s="123">
        <f>IFERROR(MIN('B1'!#REF!,'B2'!#REF!,'B3'!#REF!),0)</f>
        <v>0</v>
      </c>
      <c r="BV77" s="123">
        <f>IFERROR(MIN('B1'!#REF!,'B2'!#REF!,'B3'!#REF!),0)</f>
        <v>0</v>
      </c>
      <c r="BW77" s="123">
        <f>IFERROR(MIN('B1'!#REF!,'B2'!#REF!,'B3'!#REF!),0)</f>
        <v>0</v>
      </c>
      <c r="BX77" s="123">
        <f>IFERROR(MIN('B1'!#REF!,'B2'!#REF!,'B3'!#REF!),0)</f>
        <v>0</v>
      </c>
    </row>
    <row r="78" spans="1:76" s="66" customFormat="1" ht="16" thickBot="1" x14ac:dyDescent="0.4">
      <c r="A78" s="63">
        <f t="shared" si="20"/>
        <v>43347</v>
      </c>
      <c r="B78" s="137">
        <f t="shared" si="20"/>
        <v>21</v>
      </c>
      <c r="C78" s="41">
        <f t="shared" si="19"/>
        <v>0</v>
      </c>
      <c r="D78" s="123">
        <f>IFERROR(MIN('B1'!D16,'B2'!D16,'B3'!D16),0)</f>
        <v>0</v>
      </c>
      <c r="E78" s="123">
        <f>IFERROR(MIN('B1'!E16,'B2'!E16,'B3'!E16),0)</f>
        <v>0</v>
      </c>
      <c r="F78" s="123">
        <f>IFERROR(MIN('B1'!F16,'B2'!F16,'B3'!F16),0)</f>
        <v>0</v>
      </c>
      <c r="G78" s="123">
        <f>IFERROR(MIN('B1'!G16,'B2'!G16,'B3'!G16),0)</f>
        <v>0</v>
      </c>
      <c r="H78" s="123">
        <f>IFERROR(MIN('B1'!H16,'B2'!H16,'B3'!H16),0)</f>
        <v>0</v>
      </c>
      <c r="I78" s="123">
        <f>IFERROR(MIN('B1'!I16,'B2'!I16,'B3'!I16),0)</f>
        <v>0</v>
      </c>
      <c r="J78" s="123">
        <f>IFERROR(MIN('B1'!J16,'B2'!J16,'B3'!J16),0)</f>
        <v>2.5264043665608815</v>
      </c>
      <c r="K78" s="123">
        <f>IFERROR(MIN('B1'!K16,'B2'!K16,'B3'!K16),0)</f>
        <v>1.4890845811463933</v>
      </c>
      <c r="L78" s="123">
        <f>IFERROR(MIN('B1'!L16,'B2'!L16,'B3'!L16),0)</f>
        <v>0</v>
      </c>
      <c r="M78" s="123">
        <f>IFERROR(MIN('B1'!M16,'B2'!M16,'B3'!M16),0)</f>
        <v>0.63789187981487927</v>
      </c>
      <c r="N78" s="123">
        <f>IFERROR(MIN('B1'!N16,'B2'!N16,'B3'!N16),0)</f>
        <v>0</v>
      </c>
      <c r="O78" s="123">
        <f>IFERROR(MIN('B1'!O16,'B2'!O16,'B3'!O16),0)</f>
        <v>0</v>
      </c>
      <c r="P78" s="123">
        <f>IFERROR(MIN('B1'!P16,'B2'!P16,'B3'!P16),0)</f>
        <v>0</v>
      </c>
      <c r="Q78" s="123">
        <f>IFERROR(MIN('B1'!Q16,'B2'!Q16,'B3'!Q16),0)</f>
        <v>0</v>
      </c>
      <c r="R78" s="123">
        <f>IFERROR(MIN('B1'!R16,'B2'!R16,'B3'!R16),0)</f>
        <v>0</v>
      </c>
      <c r="S78" s="123">
        <f>IFERROR(MIN('B1'!S16,'B2'!S16,'B3'!S16),0)</f>
        <v>2.0338800745737191</v>
      </c>
      <c r="T78" s="123">
        <f>IFERROR(MIN('B1'!T16,'B2'!T16,'B3'!T16),0)</f>
        <v>0</v>
      </c>
      <c r="U78" s="123">
        <f>IFERROR(MIN('B1'!U16,'B2'!U16,'B3'!U16),0)</f>
        <v>0</v>
      </c>
      <c r="V78" s="123">
        <f>IFERROR(MIN('B1'!V16,'B2'!V16,'B3'!V16),0)</f>
        <v>0</v>
      </c>
      <c r="W78" s="123">
        <f>IFERROR(MIN('B1'!W16,'B2'!W16,'B3'!W16),0)</f>
        <v>0</v>
      </c>
      <c r="X78" s="123">
        <f>IFERROR(MIN('B1'!X16,'B2'!X16,'B3'!X16),0)</f>
        <v>0</v>
      </c>
      <c r="Y78" s="123">
        <f>IFERROR(MIN('B1'!Y16,'B2'!Y16,'B3'!Y16),0)</f>
        <v>0</v>
      </c>
      <c r="Z78" s="123">
        <f>IFERROR(MIN('B1'!Z16,'B2'!Z16,'B3'!Z16),0)</f>
        <v>0</v>
      </c>
      <c r="AA78" s="123">
        <f>IFERROR(MIN('B1'!AB16,'B2'!AA16,'B3'!AA16),0)</f>
        <v>0</v>
      </c>
      <c r="AB78" s="123">
        <f>IFERROR(MIN('B1'!AC16,'B2'!AB16,'B3'!AB16),0)</f>
        <v>0</v>
      </c>
      <c r="AC78" s="123">
        <f>IFERROR(MIN('B1'!AD16,'B2'!AC16,'B3'!AC16),0)</f>
        <v>0</v>
      </c>
      <c r="AD78" s="123">
        <f>IFERROR(MIN('B1'!AE16,'B2'!AD16,'B3'!AD16),0)</f>
        <v>0</v>
      </c>
      <c r="AE78" s="123">
        <f>IFERROR(MIN('B1'!AF16,'B2'!AE16,'B3'!AE16),0)</f>
        <v>5.25</v>
      </c>
      <c r="AF78" s="123">
        <f>IFERROR(MIN('B1'!AG16,'B2'!AF16,'B3'!AF16),0)</f>
        <v>100</v>
      </c>
      <c r="AG78" s="123">
        <f>IFERROR(MIN('B1'!AH16,'B2'!AG16,'B3'!AG16),0)</f>
        <v>1</v>
      </c>
      <c r="AH78" s="123">
        <f>IFERROR(MIN('B1'!AI16,'B2'!AH16,'B3'!AH16),0)</f>
        <v>136.87</v>
      </c>
      <c r="AI78" s="123">
        <f>IFERROR(MIN('B1'!AJ16,'B2'!AI16,'B3'!AI16),0)</f>
        <v>0</v>
      </c>
      <c r="AJ78" s="123">
        <f>IFERROR(MIN('B1'!AK16,'B2'!AJ16,'B3'!AJ16),0)</f>
        <v>0</v>
      </c>
      <c r="AK78" s="123">
        <f>IFERROR(MIN('B1'!AL16,'B2'!AK16,'B3'!AK16),0)</f>
        <v>0</v>
      </c>
      <c r="AL78" s="123">
        <f>IFERROR(MIN('B1'!AM16,'B2'!AL16,'B3'!AL16),0)</f>
        <v>0</v>
      </c>
      <c r="AM78" s="123">
        <f>IFERROR(MIN('B1'!AN16,'B2'!AM16,'B3'!AM16),0)</f>
        <v>0</v>
      </c>
      <c r="AN78" s="123">
        <f>IFERROR(MIN('B1'!AO16,'B2'!AN16,'B3'!AN16),0)</f>
        <v>0</v>
      </c>
      <c r="AO78" s="123">
        <f>IFERROR(MIN('B1'!AP16,'B2'!AO16,'B3'!AO16),0)</f>
        <v>0</v>
      </c>
      <c r="AP78" s="123">
        <f>IFERROR(MIN('B1'!AQ16,'B2'!AP16,'B3'!AP16),0)</f>
        <v>0</v>
      </c>
      <c r="AQ78" s="123">
        <f>IFERROR(MIN('B1'!AR16,'B2'!AQ16,'B3'!AQ16),0)</f>
        <v>0</v>
      </c>
      <c r="AR78" s="123">
        <f>IFERROR(MIN('B1'!AS16,'B2'!AR16,'B3'!AR16),0)</f>
        <v>0</v>
      </c>
      <c r="AS78" s="123">
        <f>IFERROR(MIN('B1'!AT16,'B2'!AS16,'B3'!AS16),0)</f>
        <v>0</v>
      </c>
      <c r="AT78" s="123">
        <f>IFERROR(MIN('B1'!AU16,'B2'!AT16,'B3'!AT16),0)</f>
        <v>0</v>
      </c>
      <c r="AU78" s="123">
        <f>IFERROR(MIN('B1'!AV16,'B2'!AU16,'B3'!AU16),0)</f>
        <v>0</v>
      </c>
      <c r="AV78" s="123">
        <f>IFERROR(MIN('B1'!AW16,'B2'!AV16,'B3'!AV16),0)</f>
        <v>0</v>
      </c>
      <c r="AW78" s="123">
        <f>IFERROR(MIN('B1'!AX16,'B2'!AW16,'B3'!AW16),0)</f>
        <v>0</v>
      </c>
      <c r="AX78" s="123">
        <f>IFERROR(MIN('B1'!AY16,'B2'!AX16,'B3'!AX16),0)</f>
        <v>0</v>
      </c>
      <c r="AY78" s="123">
        <f>IFERROR(MIN('B1'!AZ16,'B2'!AY16,'B3'!AY16),0)</f>
        <v>0</v>
      </c>
      <c r="AZ78" s="123">
        <f>IFERROR(MIN('B1'!BA16,'B2'!AZ16,'B3'!AZ16),0)</f>
        <v>151.94271758436946</v>
      </c>
      <c r="BA78" s="123">
        <f>IFERROR(MIN('B1'!BB16,'B2'!BA16,'B3'!BA16),0)</f>
        <v>13.686999999999999</v>
      </c>
      <c r="BB78" s="123">
        <f>IFERROR(MIN('B1'!#REF!,'B2'!#REF!,'B3'!#REF!),0)</f>
        <v>0</v>
      </c>
      <c r="BC78" s="123">
        <f>IFERROR(MIN('B1'!#REF!,'B2'!#REF!,'B3'!#REF!),0)</f>
        <v>0</v>
      </c>
      <c r="BD78" s="123">
        <f>IFERROR(MIN('B1'!#REF!,'B2'!#REF!,'B3'!#REF!),0)</f>
        <v>0</v>
      </c>
      <c r="BE78" s="123">
        <f>IFERROR(MIN('B1'!#REF!,'B2'!#REF!,'B3'!#REF!),0)</f>
        <v>0</v>
      </c>
      <c r="BF78" s="123">
        <f>IFERROR(MIN('B1'!#REF!,'B2'!#REF!,'B3'!#REF!),0)</f>
        <v>0</v>
      </c>
      <c r="BG78" s="123">
        <f>IFERROR(MIN('B1'!#REF!,'B2'!#REF!,'B3'!#REF!),0)</f>
        <v>0</v>
      </c>
      <c r="BH78" s="123">
        <f>IFERROR(MIN('B1'!#REF!,'B2'!#REF!,'B3'!#REF!),0)</f>
        <v>0</v>
      </c>
      <c r="BI78" s="123">
        <f>IFERROR(MIN('B1'!#REF!,'B2'!#REF!,'B3'!#REF!),0)</f>
        <v>0</v>
      </c>
      <c r="BJ78" s="123">
        <f>IFERROR(MIN('B1'!#REF!,'B2'!#REF!,'B3'!#REF!),0)</f>
        <v>0</v>
      </c>
      <c r="BK78" s="123">
        <f>IFERROR(MIN('B1'!#REF!,'B2'!#REF!,'B3'!#REF!),0)</f>
        <v>0</v>
      </c>
      <c r="BL78" s="123">
        <f>IFERROR(MIN('B1'!#REF!,'B2'!#REF!,'B3'!#REF!),0)</f>
        <v>0</v>
      </c>
      <c r="BM78" s="123">
        <f>IFERROR(MIN('B1'!#REF!,'B2'!#REF!,'B3'!#REF!),0)</f>
        <v>0</v>
      </c>
      <c r="BN78" s="123">
        <f>IFERROR(MIN('B1'!#REF!,'B2'!#REF!,'B3'!#REF!),0)</f>
        <v>0</v>
      </c>
      <c r="BO78" s="123">
        <f>IFERROR(MIN('B1'!#REF!,'B2'!#REF!,'B3'!#REF!),0)</f>
        <v>0</v>
      </c>
      <c r="BP78" s="123">
        <f>IFERROR(MIN('B1'!#REF!,'B2'!#REF!,'B3'!#REF!),0)</f>
        <v>0</v>
      </c>
      <c r="BQ78" s="123">
        <f>IFERROR(MIN('B1'!#REF!,'B2'!#REF!,'B3'!#REF!),0)</f>
        <v>0</v>
      </c>
      <c r="BR78" s="123">
        <f>IFERROR(MIN('B1'!#REF!,'B2'!#REF!,'B3'!#REF!),0)</f>
        <v>0</v>
      </c>
      <c r="BS78" s="123">
        <f>IFERROR(MIN('B1'!#REF!,'B2'!#REF!,'B3'!#REF!),0)</f>
        <v>0</v>
      </c>
      <c r="BT78" s="123"/>
      <c r="BU78" s="123">
        <f>IFERROR(MIN('B1'!#REF!,'B2'!#REF!,'B3'!#REF!),0)</f>
        <v>0</v>
      </c>
      <c r="BV78" s="123">
        <f>IFERROR(MIN('B1'!#REF!,'B2'!#REF!,'B3'!#REF!),0)</f>
        <v>0</v>
      </c>
      <c r="BW78" s="123">
        <f>IFERROR(MIN('B1'!#REF!,'B2'!#REF!,'B3'!#REF!),0)</f>
        <v>0</v>
      </c>
      <c r="BX78" s="123">
        <f>IFERROR(MIN('B1'!#REF!,'B2'!#REF!,'B3'!#REF!),0)</f>
        <v>0</v>
      </c>
    </row>
    <row r="79" spans="1:76" s="47" customFormat="1" ht="16" thickBot="1" x14ac:dyDescent="0.4">
      <c r="A79" s="63" t="str">
        <f t="shared" si="20"/>
        <v>13-04</v>
      </c>
      <c r="B79" s="137">
        <f t="shared" si="20"/>
        <v>26</v>
      </c>
      <c r="C79" s="41">
        <f t="shared" si="19"/>
        <v>0</v>
      </c>
      <c r="D79" s="123">
        <f>IFERROR(MIN('B1'!D17,'B2'!D17,'B3'!D17),0)</f>
        <v>0</v>
      </c>
      <c r="E79" s="123">
        <f>IFERROR(MIN('B1'!E17,'B2'!E17,'B3'!E17),0)</f>
        <v>0</v>
      </c>
      <c r="F79" s="123">
        <f>IFERROR(MIN('B1'!F17,'B2'!F17,'B3'!F17),0)</f>
        <v>0</v>
      </c>
      <c r="G79" s="123">
        <f>IFERROR(MIN('B1'!G17,'B2'!G17,'B3'!G17),0)</f>
        <v>0</v>
      </c>
      <c r="H79" s="123">
        <f>IFERROR(MIN('B1'!H17,'B2'!H17,'B3'!H17),0)</f>
        <v>0</v>
      </c>
      <c r="I79" s="123">
        <f>IFERROR(MIN('B1'!I17,'B2'!I17,'B3'!I17),0)</f>
        <v>0</v>
      </c>
      <c r="J79" s="123">
        <f>IFERROR(MIN('B1'!J17,'B2'!J17,'B3'!J17),0)</f>
        <v>11.412127556922364</v>
      </c>
      <c r="K79" s="123">
        <f>IFERROR(MIN('B1'!K17,'B2'!K17,'B3'!K17),0)</f>
        <v>4.0907708034061354</v>
      </c>
      <c r="L79" s="123">
        <f>IFERROR(MIN('B1'!L17,'B2'!L17,'B3'!L17),0)</f>
        <v>0</v>
      </c>
      <c r="M79" s="123">
        <f>IFERROR(MIN('B1'!M17,'B2'!M17,'B3'!M17),0)</f>
        <v>0</v>
      </c>
      <c r="N79" s="123">
        <f>IFERROR(MIN('B1'!N17,'B2'!N17,'B3'!N17),0)</f>
        <v>0</v>
      </c>
      <c r="O79" s="123">
        <f>IFERROR(MIN('B1'!O17,'B2'!O17,'B3'!O17),0)</f>
        <v>0</v>
      </c>
      <c r="P79" s="123">
        <f>IFERROR(MIN('B1'!P17,'B2'!P17,'B3'!P17),0)</f>
        <v>0</v>
      </c>
      <c r="Q79" s="123">
        <f>IFERROR(MIN('B1'!Q17,'B2'!Q17,'B3'!Q17),0)</f>
        <v>1.1831468386244743</v>
      </c>
      <c r="R79" s="123">
        <f>IFERROR(MIN('B1'!R17,'B2'!R17,'B3'!R17),0)</f>
        <v>0</v>
      </c>
      <c r="S79" s="123">
        <f>IFERROR(MIN('B1'!S17,'B2'!S17,'B3'!S17),0)</f>
        <v>3.4591175641264442</v>
      </c>
      <c r="T79" s="123">
        <f>IFERROR(MIN('B1'!T17,'B2'!T17,'B3'!T17),0)</f>
        <v>0</v>
      </c>
      <c r="U79" s="123">
        <f>IFERROR(MIN('B1'!U17,'B2'!U17,'B3'!U17),0)</f>
        <v>0</v>
      </c>
      <c r="V79" s="123">
        <f>IFERROR(MIN('B1'!V17,'B2'!V17,'B3'!V17),0)</f>
        <v>0</v>
      </c>
      <c r="W79" s="123">
        <f>IFERROR(MIN('B1'!W17,'B2'!W17,'B3'!W17),0)</f>
        <v>0</v>
      </c>
      <c r="X79" s="123">
        <f>IFERROR(MIN('B1'!X17,'B2'!X17,'B3'!X17),0)</f>
        <v>0</v>
      </c>
      <c r="Y79" s="123">
        <f>IFERROR(MIN('B1'!Y17,'B2'!Y17,'B3'!Y17),0)</f>
        <v>0</v>
      </c>
      <c r="Z79" s="123">
        <f>IFERROR(MIN('B1'!Z17,'B2'!Z17,'B3'!Z17),0)</f>
        <v>0</v>
      </c>
      <c r="AA79" s="123">
        <f>IFERROR(MIN('B1'!AB17,'B2'!AA17,'B3'!AA17),0)</f>
        <v>0</v>
      </c>
      <c r="AB79" s="123">
        <f>IFERROR(MIN('B1'!AC17,'B2'!AB17,'B3'!AB17),0)</f>
        <v>0</v>
      </c>
      <c r="AC79" s="123">
        <f>IFERROR(MIN('B1'!AD17,'B2'!AC17,'B3'!AC17),0)</f>
        <v>0</v>
      </c>
      <c r="AD79" s="123">
        <f>IFERROR(MIN('B1'!AE17,'B2'!AD17,'B3'!AD17),0)</f>
        <v>0</v>
      </c>
      <c r="AE79" s="123">
        <f>IFERROR(MIN('B1'!AF17,'B2'!AE17,'B3'!AE17),0)</f>
        <v>5.39</v>
      </c>
      <c r="AF79" s="123">
        <f>IFERROR(MIN('B1'!AG17,'B2'!AF17,'B3'!AF17),0)</f>
        <v>100</v>
      </c>
      <c r="AG79" s="123">
        <f>IFERROR(MIN('B1'!AH17,'B2'!AG17,'B3'!AG17),0)</f>
        <v>1</v>
      </c>
      <c r="AH79" s="123">
        <f>IFERROR(MIN('B1'!AI17,'B2'!AH17,'B3'!AH17),0)</f>
        <v>109.3447</v>
      </c>
      <c r="AI79" s="123">
        <f>IFERROR(MIN('B1'!AJ17,'B2'!AI17,'B3'!AI17),0)</f>
        <v>0</v>
      </c>
      <c r="AJ79" s="123">
        <f>IFERROR(MIN('B1'!AK17,'B2'!AJ17,'B3'!AJ17),0)</f>
        <v>0</v>
      </c>
      <c r="AK79" s="123">
        <f>IFERROR(MIN('B1'!AL17,'B2'!AK17,'B3'!AK17),0)</f>
        <v>0</v>
      </c>
      <c r="AL79" s="123">
        <f>IFERROR(MIN('B1'!AM17,'B2'!AL17,'B3'!AL17),0)</f>
        <v>0</v>
      </c>
      <c r="AM79" s="123">
        <f>IFERROR(MIN('B1'!AN17,'B2'!AM17,'B3'!AM17),0)</f>
        <v>0</v>
      </c>
      <c r="AN79" s="123">
        <f>IFERROR(MIN('B1'!AO17,'B2'!AN17,'B3'!AN17),0)</f>
        <v>0</v>
      </c>
      <c r="AO79" s="123">
        <f>IFERROR(MIN('B1'!AP17,'B2'!AO17,'B3'!AO17),0)</f>
        <v>0</v>
      </c>
      <c r="AP79" s="123">
        <f>IFERROR(MIN('B1'!AQ17,'B2'!AP17,'B3'!AP17),0)</f>
        <v>0.11412127556922363</v>
      </c>
      <c r="AQ79" s="123">
        <f>IFERROR(MIN('B1'!AR17,'B2'!AQ17,'B3'!AQ17),0)</f>
        <v>0</v>
      </c>
      <c r="AR79" s="123">
        <f>IFERROR(MIN('B1'!AS17,'B2'!AR17,'B3'!AR17),0)</f>
        <v>0</v>
      </c>
      <c r="AS79" s="123">
        <f>IFERROR(MIN('B1'!AT17,'B2'!AS17,'B3'!AS17),0)</f>
        <v>0</v>
      </c>
      <c r="AT79" s="123">
        <f>IFERROR(MIN('B1'!AU17,'B2'!AT17,'B3'!AT17),0)</f>
        <v>0</v>
      </c>
      <c r="AU79" s="123">
        <f>IFERROR(MIN('B1'!AV17,'B2'!AU17,'B3'!AU17),0)</f>
        <v>0</v>
      </c>
      <c r="AV79" s="123">
        <f>IFERROR(MIN('B1'!AW17,'B2'!AV17,'B3'!AV17),0)</f>
        <v>0</v>
      </c>
      <c r="AW79" s="123">
        <f>IFERROR(MIN('B1'!AX17,'B2'!AW17,'B3'!AW17),0)</f>
        <v>0</v>
      </c>
      <c r="AX79" s="123">
        <f>IFERROR(MIN('B1'!AY17,'B2'!AX17,'B3'!AX17),0)</f>
        <v>0</v>
      </c>
      <c r="AY79" s="123">
        <f>IFERROR(MIN('B1'!AZ17,'B2'!AY17,'B3'!AY17),0)</f>
        <v>3.4591175641264439E-2</v>
      </c>
      <c r="AZ79" s="123">
        <f>IFERROR(MIN('B1'!BA17,'B2'!AZ17,'B3'!AZ17),0)</f>
        <v>121.38621225577266</v>
      </c>
      <c r="BA79" s="123">
        <f>IFERROR(MIN('B1'!BB17,'B2'!BA17,'B3'!BA17),0)</f>
        <v>10.934470000000001</v>
      </c>
      <c r="BB79" s="123">
        <f>IFERROR(MIN('B1'!#REF!,'B2'!#REF!,'B3'!#REF!),0)</f>
        <v>0</v>
      </c>
      <c r="BC79" s="123">
        <f>IFERROR(MIN('B1'!#REF!,'B2'!#REF!,'B3'!#REF!),0)</f>
        <v>0</v>
      </c>
      <c r="BD79" s="123">
        <f>IFERROR(MIN('B1'!#REF!,'B2'!#REF!,'B3'!#REF!),0)</f>
        <v>0</v>
      </c>
      <c r="BE79" s="123">
        <f>IFERROR(MIN('B1'!#REF!,'B2'!#REF!,'B3'!#REF!),0)</f>
        <v>0</v>
      </c>
      <c r="BF79" s="123">
        <f>IFERROR(MIN('B1'!#REF!,'B2'!#REF!,'B3'!#REF!),0)</f>
        <v>0</v>
      </c>
      <c r="BG79" s="123">
        <f>IFERROR(MIN('B1'!#REF!,'B2'!#REF!,'B3'!#REF!),0)</f>
        <v>0</v>
      </c>
      <c r="BH79" s="123">
        <f>IFERROR(MIN('B1'!#REF!,'B2'!#REF!,'B3'!#REF!),0)</f>
        <v>0</v>
      </c>
      <c r="BI79" s="123">
        <f>IFERROR(MIN('B1'!#REF!,'B2'!#REF!,'B3'!#REF!),0)</f>
        <v>0</v>
      </c>
      <c r="BJ79" s="123">
        <f>IFERROR(MIN('B1'!#REF!,'B2'!#REF!,'B3'!#REF!),0)</f>
        <v>0</v>
      </c>
      <c r="BK79" s="123">
        <f>IFERROR(MIN('B1'!#REF!,'B2'!#REF!,'B3'!#REF!),0)</f>
        <v>0</v>
      </c>
      <c r="BL79" s="123">
        <f>IFERROR(MIN('B1'!#REF!,'B2'!#REF!,'B3'!#REF!),0)</f>
        <v>0</v>
      </c>
      <c r="BM79" s="123">
        <f>IFERROR(MIN('B1'!#REF!,'B2'!#REF!,'B3'!#REF!),0)</f>
        <v>0</v>
      </c>
      <c r="BN79" s="123">
        <f>IFERROR(MIN('B1'!#REF!,'B2'!#REF!,'B3'!#REF!),0)</f>
        <v>0</v>
      </c>
      <c r="BO79" s="123">
        <f>IFERROR(MIN('B1'!#REF!,'B2'!#REF!,'B3'!#REF!),0)</f>
        <v>0</v>
      </c>
      <c r="BP79" s="123">
        <f>IFERROR(MIN('B1'!#REF!,'B2'!#REF!,'B3'!#REF!),0)</f>
        <v>0</v>
      </c>
      <c r="BQ79" s="123">
        <f>IFERROR(MIN('B1'!#REF!,'B2'!#REF!,'B3'!#REF!),0)</f>
        <v>0</v>
      </c>
      <c r="BR79" s="123">
        <f>IFERROR(MIN('B1'!#REF!,'B2'!#REF!,'B3'!#REF!),0)</f>
        <v>0</v>
      </c>
      <c r="BS79" s="123">
        <f>IFERROR(MIN('B1'!#REF!,'B2'!#REF!,'B3'!#REF!),0)</f>
        <v>0</v>
      </c>
      <c r="BT79" s="123"/>
      <c r="BU79" s="123">
        <f>IFERROR(MIN('B1'!#REF!,'B2'!#REF!,'B3'!#REF!),0)</f>
        <v>0</v>
      </c>
      <c r="BV79" s="123">
        <f>IFERROR(MIN('B1'!#REF!,'B2'!#REF!,'B3'!#REF!),0)</f>
        <v>0</v>
      </c>
      <c r="BW79" s="123">
        <f>IFERROR(MIN('B1'!#REF!,'B2'!#REF!,'B3'!#REF!),0)</f>
        <v>0</v>
      </c>
      <c r="BX79" s="123">
        <f>IFERROR(MIN('B1'!#REF!,'B2'!#REF!,'B3'!#REF!),0)</f>
        <v>0</v>
      </c>
    </row>
    <row r="80" spans="1:76" s="126" customFormat="1" ht="16" thickBot="1" x14ac:dyDescent="0.4">
      <c r="A80" s="63" t="str">
        <f t="shared" si="20"/>
        <v>16-04</v>
      </c>
      <c r="B80" s="137">
        <f t="shared" si="20"/>
        <v>29</v>
      </c>
      <c r="C80" s="41">
        <f t="shared" si="19"/>
        <v>10</v>
      </c>
      <c r="D80" s="123">
        <f>IFERROR(MIN('B1'!D18,'B2'!D18,'B3'!D18),0)</f>
        <v>0</v>
      </c>
      <c r="E80" s="123">
        <f>IFERROR(MIN('B1'!E18,'B2'!E18,'B3'!E18),0)</f>
        <v>0</v>
      </c>
      <c r="F80" s="123">
        <f>IFERROR(MIN('B1'!F18,'B2'!F18,'B3'!F18),0)</f>
        <v>0</v>
      </c>
      <c r="G80" s="123">
        <f>IFERROR(MIN('B1'!G18,'B2'!G18,'B3'!G18),0)</f>
        <v>0</v>
      </c>
      <c r="H80" s="123">
        <f>IFERROR(MIN('B1'!H18,'B2'!H18,'B3'!H18),0)</f>
        <v>0</v>
      </c>
      <c r="I80" s="123">
        <f>IFERROR(MIN('B1'!I18,'B2'!I18,'B3'!I18),0)</f>
        <v>0</v>
      </c>
      <c r="J80" s="123">
        <f>IFERROR(MIN('B1'!J18,'B2'!J18,'B3'!J18),0)</f>
        <v>1.7282552083333333E-2</v>
      </c>
      <c r="K80" s="123">
        <f>IFERROR(MIN('B1'!K18,'B2'!K18,'B3'!K18),0)</f>
        <v>0</v>
      </c>
      <c r="L80" s="123">
        <f>IFERROR(MIN('B1'!L18,'B2'!L18,'B3'!L18),0)</f>
        <v>0</v>
      </c>
      <c r="M80" s="123">
        <f>IFERROR(MIN('B1'!M18,'B2'!M18,'B3'!M18),0)</f>
        <v>6.7167968750000001E-3</v>
      </c>
      <c r="N80" s="123">
        <f>IFERROR(MIN('B1'!N18,'B2'!N18,'B3'!N18),0)</f>
        <v>0</v>
      </c>
      <c r="O80" s="123">
        <f>IFERROR(MIN('B1'!O18,'B2'!O18,'B3'!O18),0)</f>
        <v>0</v>
      </c>
      <c r="P80" s="123">
        <f>IFERROR(MIN('B1'!P18,'B2'!P18,'B3'!P18),0)</f>
        <v>0</v>
      </c>
      <c r="Q80" s="123">
        <f>IFERROR(MIN('B1'!Q18,'B2'!Q18,'B3'!Q18),0)</f>
        <v>0</v>
      </c>
      <c r="R80" s="123">
        <f>IFERROR(MIN('B1'!R18,'B2'!R18,'B3'!R18),0)</f>
        <v>0</v>
      </c>
      <c r="S80" s="123">
        <f>IFERROR(MIN('B1'!S18,'B2'!S18,'B3'!S18),0)</f>
        <v>0</v>
      </c>
      <c r="T80" s="123">
        <f>IFERROR(MIN('B1'!T18,'B2'!T18,'B3'!T18),0)</f>
        <v>0</v>
      </c>
      <c r="U80" s="123">
        <f>IFERROR(MIN('B1'!U18,'B2'!U18,'B3'!U18),0)</f>
        <v>0</v>
      </c>
      <c r="V80" s="123">
        <f>IFERROR(MIN('B1'!V18,'B2'!V18,'B3'!V18),0)</f>
        <v>0</v>
      </c>
      <c r="W80" s="123">
        <f>IFERROR(MIN('B1'!W18,'B2'!W18,'B3'!W18),0)</f>
        <v>0</v>
      </c>
      <c r="X80" s="123">
        <f>IFERROR(MIN('B1'!X18,'B2'!X18,'B3'!X18),0)</f>
        <v>0</v>
      </c>
      <c r="Y80" s="123">
        <f>IFERROR(MIN('B1'!Y18,'B2'!Y18,'B3'!Y18),0)</f>
        <v>0</v>
      </c>
      <c r="Z80" s="123">
        <f>IFERROR(MIN('B1'!Z18,'B2'!Z18,'B3'!Z18),0)</f>
        <v>0</v>
      </c>
      <c r="AA80" s="123">
        <f>IFERROR(MIN('B1'!AB18,'B2'!AA18,'B3'!AA18),0)</f>
        <v>0</v>
      </c>
      <c r="AB80" s="123">
        <f>IFERROR(MIN('B1'!AC18,'B2'!AB18,'B3'!AB18),0)</f>
        <v>0</v>
      </c>
      <c r="AC80" s="123">
        <f>IFERROR(MIN('B1'!AD18,'B2'!AC18,'B3'!AC18),0)</f>
        <v>0</v>
      </c>
      <c r="AD80" s="123">
        <f>IFERROR(MIN('B1'!AE18,'B2'!AD18,'B3'!AD18),0)</f>
        <v>0</v>
      </c>
      <c r="AE80" s="123">
        <f>IFERROR(MIN('B1'!AF18,'B2'!AE18,'B3'!AE18),0)</f>
        <v>5.3</v>
      </c>
      <c r="AF80" s="123">
        <f>IFERROR(MIN('B1'!AG18,'B2'!AF18,'B3'!AF18),0)</f>
        <v>100</v>
      </c>
      <c r="AG80" s="123">
        <f>IFERROR(MIN('B1'!AH18,'B2'!AG18,'B3'!AG18),0)</f>
        <v>1</v>
      </c>
      <c r="AH80" s="123">
        <f>IFERROR(MIN('B1'!AI18,'B2'!AH18,'B3'!AH18),0)</f>
        <v>98.384500000000003</v>
      </c>
      <c r="AI80" s="123">
        <f>IFERROR(MIN('B1'!AJ18,'B2'!AI18,'B3'!AI18),0)</f>
        <v>0</v>
      </c>
      <c r="AJ80" s="123">
        <f>IFERROR(MIN('B1'!AK18,'B2'!AJ18,'B3'!AJ18),0)</f>
        <v>0</v>
      </c>
      <c r="AK80" s="123">
        <f>IFERROR(MIN('B1'!AL18,'B2'!AK18,'B3'!AK18),0)</f>
        <v>0</v>
      </c>
      <c r="AL80" s="123">
        <f>IFERROR(MIN('B1'!AM18,'B2'!AL18,'B3'!AL18),0)</f>
        <v>0</v>
      </c>
      <c r="AM80" s="123">
        <f>IFERROR(MIN('B1'!AN18,'B2'!AM18,'B3'!AM18),0)</f>
        <v>0</v>
      </c>
      <c r="AN80" s="123">
        <f>IFERROR(MIN('B1'!AO18,'B2'!AN18,'B3'!AN18),0)</f>
        <v>0</v>
      </c>
      <c r="AO80" s="123">
        <f>IFERROR(MIN('B1'!AP18,'B2'!AO18,'B3'!AO18),0)</f>
        <v>0</v>
      </c>
      <c r="AP80" s="123">
        <f>IFERROR(MIN('B1'!AQ18,'B2'!AP18,'B3'!AP18),0)</f>
        <v>0</v>
      </c>
      <c r="AQ80" s="123">
        <f>IFERROR(MIN('B1'!AR18,'B2'!AQ18,'B3'!AQ18),0)</f>
        <v>0</v>
      </c>
      <c r="AR80" s="123">
        <f>IFERROR(MIN('B1'!AS18,'B2'!AR18,'B3'!AR18),0)</f>
        <v>0</v>
      </c>
      <c r="AS80" s="123">
        <f>IFERROR(MIN('B1'!AT18,'B2'!AS18,'B3'!AS18),0)</f>
        <v>0</v>
      </c>
      <c r="AT80" s="123">
        <f>IFERROR(MIN('B1'!AU18,'B2'!AT18,'B3'!AT18),0)</f>
        <v>0</v>
      </c>
      <c r="AU80" s="123">
        <f>IFERROR(MIN('B1'!AV18,'B2'!AU18,'B3'!AU18),0)</f>
        <v>0</v>
      </c>
      <c r="AV80" s="123">
        <f>IFERROR(MIN('B1'!AW18,'B2'!AV18,'B3'!AV18),0)</f>
        <v>0</v>
      </c>
      <c r="AW80" s="123">
        <f>IFERROR(MIN('B1'!AX18,'B2'!AW18,'B3'!AW18),0)</f>
        <v>0</v>
      </c>
      <c r="AX80" s="123">
        <f>IFERROR(MIN('B1'!AY18,'B2'!AX18,'B3'!AX18),0)</f>
        <v>0</v>
      </c>
      <c r="AY80" s="123">
        <f>IFERROR(MIN('B1'!AZ18,'B2'!AY18,'B3'!AY18),0)</f>
        <v>0</v>
      </c>
      <c r="AZ80" s="123">
        <f>IFERROR(MIN('B1'!BA18,'B2'!AZ18,'B3'!AZ18),0)</f>
        <v>109.2190275310835</v>
      </c>
      <c r="BA80" s="123">
        <f>IFERROR(MIN('B1'!BB18,'B2'!BA18,'B3'!BA18),0)</f>
        <v>9.8384499999999999</v>
      </c>
      <c r="BB80" s="123">
        <f>IFERROR(MIN('B1'!#REF!,'B2'!#REF!,'B3'!#REF!),0)</f>
        <v>0</v>
      </c>
      <c r="BC80" s="123">
        <f>IFERROR(MIN('B1'!#REF!,'B2'!#REF!,'B3'!#REF!),0)</f>
        <v>0</v>
      </c>
      <c r="BD80" s="123">
        <f>IFERROR(MIN('B1'!#REF!,'B2'!#REF!,'B3'!#REF!),0)</f>
        <v>0</v>
      </c>
      <c r="BE80" s="123">
        <f>IFERROR(MIN('B1'!#REF!,'B2'!#REF!,'B3'!#REF!),0)</f>
        <v>0</v>
      </c>
      <c r="BF80" s="123">
        <f>IFERROR(MIN('B1'!#REF!,'B2'!#REF!,'B3'!#REF!),0)</f>
        <v>0</v>
      </c>
      <c r="BG80" s="123">
        <f>IFERROR(MIN('B1'!#REF!,'B2'!#REF!,'B3'!#REF!),0)</f>
        <v>0</v>
      </c>
      <c r="BH80" s="123">
        <f>IFERROR(MIN('B1'!#REF!,'B2'!#REF!,'B3'!#REF!),0)</f>
        <v>0</v>
      </c>
      <c r="BI80" s="123">
        <f>IFERROR(MIN('B1'!#REF!,'B2'!#REF!,'B3'!#REF!),0)</f>
        <v>0</v>
      </c>
      <c r="BJ80" s="123">
        <f>IFERROR(MIN('B1'!#REF!,'B2'!#REF!,'B3'!#REF!),0)</f>
        <v>0</v>
      </c>
      <c r="BK80" s="123">
        <f>IFERROR(MIN('B1'!#REF!,'B2'!#REF!,'B3'!#REF!),0)</f>
        <v>0</v>
      </c>
      <c r="BL80" s="123">
        <f>IFERROR(MIN('B1'!#REF!,'B2'!#REF!,'B3'!#REF!),0)</f>
        <v>0</v>
      </c>
      <c r="BM80" s="123">
        <f>IFERROR(MIN('B1'!#REF!,'B2'!#REF!,'B3'!#REF!),0)</f>
        <v>0</v>
      </c>
      <c r="BN80" s="123">
        <f>IFERROR(MIN('B1'!#REF!,'B2'!#REF!,'B3'!#REF!),0)</f>
        <v>0</v>
      </c>
      <c r="BO80" s="123">
        <f>IFERROR(MIN('B1'!#REF!,'B2'!#REF!,'B3'!#REF!),0)</f>
        <v>0</v>
      </c>
      <c r="BP80" s="123">
        <f>IFERROR(MIN('B1'!#REF!,'B2'!#REF!,'B3'!#REF!),0)</f>
        <v>0</v>
      </c>
      <c r="BQ80" s="123">
        <f>IFERROR(MIN('B1'!#REF!,'B2'!#REF!,'B3'!#REF!),0)</f>
        <v>0</v>
      </c>
      <c r="BR80" s="123">
        <f>IFERROR(MIN('B1'!#REF!,'B2'!#REF!,'B3'!#REF!),0)</f>
        <v>0</v>
      </c>
      <c r="BS80" s="123">
        <f>IFERROR(MIN('B1'!#REF!,'B2'!#REF!,'B3'!#REF!),0)</f>
        <v>0</v>
      </c>
      <c r="BT80" s="123"/>
      <c r="BU80" s="123">
        <f>IFERROR(MIN('B1'!#REF!,'B2'!#REF!,'B3'!#REF!),0)</f>
        <v>0</v>
      </c>
      <c r="BV80" s="123">
        <f>IFERROR(MIN('B1'!#REF!,'B2'!#REF!,'B3'!#REF!),0)</f>
        <v>0</v>
      </c>
      <c r="BW80" s="123">
        <f>IFERROR(MIN('B1'!#REF!,'B2'!#REF!,'B3'!#REF!),0)</f>
        <v>0</v>
      </c>
      <c r="BX80" s="123">
        <f>IFERROR(MIN('B1'!#REF!,'B2'!#REF!,'B3'!#REF!),0)</f>
        <v>0</v>
      </c>
    </row>
    <row r="81" spans="1:76" s="116" customFormat="1" ht="16" thickBot="1" x14ac:dyDescent="0.4">
      <c r="A81" s="63" t="str">
        <f t="shared" si="20"/>
        <v>19-04</v>
      </c>
      <c r="B81" s="137">
        <f t="shared" si="20"/>
        <v>32</v>
      </c>
      <c r="C81" s="41">
        <f t="shared" si="19"/>
        <v>10</v>
      </c>
      <c r="D81" s="123">
        <f>IFERROR(MIN('B1'!D19,'B2'!D19,'B3'!D19),0)</f>
        <v>0</v>
      </c>
      <c r="E81" s="123">
        <f>IFERROR(MIN('B1'!E19,'B2'!E19,'B3'!E19),0)</f>
        <v>0</v>
      </c>
      <c r="F81" s="123">
        <f>IFERROR(MIN('B1'!F19,'B2'!F19,'B3'!F19),0)</f>
        <v>0</v>
      </c>
      <c r="G81" s="123">
        <f>IFERROR(MIN('B1'!G19,'B2'!G19,'B3'!G19),0)</f>
        <v>0</v>
      </c>
      <c r="H81" s="123">
        <f>IFERROR(MIN('B1'!H19,'B2'!H19,'B3'!H19),0)</f>
        <v>0</v>
      </c>
      <c r="I81" s="123">
        <f>IFERROR(MIN('B1'!I19,'B2'!I19,'B3'!I19),0)</f>
        <v>0</v>
      </c>
      <c r="J81" s="123">
        <f>IFERROR(MIN('B1'!J19,'B2'!J19,'B3'!J19),0)</f>
        <v>0</v>
      </c>
      <c r="K81" s="123">
        <f>IFERROR(MIN('B1'!K19,'B2'!K19,'B3'!K19),0)</f>
        <v>2.1460654410879849</v>
      </c>
      <c r="L81" s="123">
        <f>IFERROR(MIN('B1'!L19,'B2'!L19,'B3'!L19),0)</f>
        <v>0</v>
      </c>
      <c r="M81" s="123">
        <f>IFERROR(MIN('B1'!M19,'B2'!M19,'B3'!M19),0)</f>
        <v>8.4538338828887927</v>
      </c>
      <c r="N81" s="123">
        <f>IFERROR(MIN('B1'!N19,'B2'!N19,'B3'!N19),0)</f>
        <v>0</v>
      </c>
      <c r="O81" s="123">
        <f>IFERROR(MIN('B1'!O19,'B2'!O19,'B3'!O19),0)</f>
        <v>0</v>
      </c>
      <c r="P81" s="123">
        <f>IFERROR(MIN('B1'!P19,'B2'!P19,'B3'!P19),0)</f>
        <v>0</v>
      </c>
      <c r="Q81" s="123">
        <f>IFERROR(MIN('B1'!Q19,'B2'!Q19,'B3'!Q19),0)</f>
        <v>0</v>
      </c>
      <c r="R81" s="123">
        <f>IFERROR(MIN('B1'!R19,'B2'!R19,'B3'!R19),0)</f>
        <v>0</v>
      </c>
      <c r="S81" s="123">
        <f>IFERROR(MIN('B1'!S19,'B2'!S19,'B3'!S19),0)</f>
        <v>0</v>
      </c>
      <c r="T81" s="123">
        <f>IFERROR(MIN('B1'!T19,'B2'!T19,'B3'!T19),0)</f>
        <v>0</v>
      </c>
      <c r="U81" s="123">
        <f>IFERROR(MIN('B1'!U19,'B2'!U19,'B3'!U19),0)</f>
        <v>0</v>
      </c>
      <c r="V81" s="123">
        <f>IFERROR(MIN('B1'!V19,'B2'!V19,'B3'!V19),0)</f>
        <v>0</v>
      </c>
      <c r="W81" s="123">
        <f>IFERROR(MIN('B1'!W19,'B2'!W19,'B3'!W19),0)</f>
        <v>0</v>
      </c>
      <c r="X81" s="123">
        <f>IFERROR(MIN('B1'!X19,'B2'!X19,'B3'!X19),0)</f>
        <v>0</v>
      </c>
      <c r="Y81" s="123">
        <f>IFERROR(MIN('B1'!Y19,'B2'!Y19,'B3'!Y19),0)</f>
        <v>0</v>
      </c>
      <c r="Z81" s="123">
        <f>IFERROR(MIN('B1'!Z19,'B2'!Z19,'B3'!Z19),0)</f>
        <v>0</v>
      </c>
      <c r="AA81" s="123">
        <f>IFERROR(MIN('B1'!AB19,'B2'!AA19,'B3'!AA19),0)</f>
        <v>0</v>
      </c>
      <c r="AB81" s="123">
        <f>IFERROR(MIN('B1'!AC19,'B2'!AB19,'B3'!AB19),0)</f>
        <v>0</v>
      </c>
      <c r="AC81" s="123">
        <f>IFERROR(MIN('B1'!AD19,'B2'!AC19,'B3'!AC19),0)</f>
        <v>0</v>
      </c>
      <c r="AD81" s="123">
        <f>IFERROR(MIN('B1'!AE19,'B2'!AD19,'B3'!AD19),0)</f>
        <v>0</v>
      </c>
      <c r="AE81" s="123">
        <f>IFERROR(MIN('B1'!AF19,'B2'!AE19,'B3'!AE19),0)</f>
        <v>5.37</v>
      </c>
      <c r="AF81" s="123">
        <f>IFERROR(MIN('B1'!AG19,'B2'!AF19,'B3'!AF19),0)</f>
        <v>100</v>
      </c>
      <c r="AG81" s="123">
        <f>IFERROR(MIN('B1'!AH19,'B2'!AG19,'B3'!AG19),0)</f>
        <v>1</v>
      </c>
      <c r="AH81" s="123">
        <f>IFERROR(MIN('B1'!AI19,'B2'!AH19,'B3'!AH19),0)</f>
        <v>0</v>
      </c>
      <c r="AI81" s="123">
        <f>IFERROR(MIN('B1'!AJ19,'B2'!AI19,'B3'!AI19),0)</f>
        <v>0</v>
      </c>
      <c r="AJ81" s="123">
        <f>IFERROR(MIN('B1'!AK19,'B2'!AJ19,'B3'!AJ19),0)</f>
        <v>0</v>
      </c>
      <c r="AK81" s="123">
        <f>IFERROR(MIN('B1'!AL19,'B2'!AK19,'B3'!AK19),0)</f>
        <v>0</v>
      </c>
      <c r="AL81" s="123">
        <f>IFERROR(MIN('B1'!AM19,'B2'!AL19,'B3'!AL19),0)</f>
        <v>0</v>
      </c>
      <c r="AM81" s="123">
        <f>IFERROR(MIN('B1'!AN19,'B2'!AM19,'B3'!AM19),0)</f>
        <v>0</v>
      </c>
      <c r="AN81" s="123">
        <f>IFERROR(MIN('B1'!AO19,'B2'!AN19,'B3'!AN19),0)</f>
        <v>0</v>
      </c>
      <c r="AO81" s="123">
        <f>IFERROR(MIN('B1'!AP19,'B2'!AO19,'B3'!AO19),0)</f>
        <v>0</v>
      </c>
      <c r="AP81" s="123">
        <f>IFERROR(MIN('B1'!AQ19,'B2'!AP19,'B3'!AP19),0)</f>
        <v>0</v>
      </c>
      <c r="AQ81" s="123">
        <f>IFERROR(MIN('B1'!AR19,'B2'!AQ19,'B3'!AQ19),0)</f>
        <v>0</v>
      </c>
      <c r="AR81" s="123">
        <f>IFERROR(MIN('B1'!AS19,'B2'!AR19,'B3'!AR19),0)</f>
        <v>0</v>
      </c>
      <c r="AS81" s="123">
        <f>IFERROR(MIN('B1'!AT19,'B2'!AS19,'B3'!AS19),0)</f>
        <v>8.4538338828887935E-2</v>
      </c>
      <c r="AT81" s="123">
        <f>IFERROR(MIN('B1'!AU19,'B2'!AT19,'B3'!AT19),0)</f>
        <v>0</v>
      </c>
      <c r="AU81" s="123">
        <f>IFERROR(MIN('B1'!AV19,'B2'!AU19,'B3'!AU19),0)</f>
        <v>0</v>
      </c>
      <c r="AV81" s="123">
        <f>IFERROR(MIN('B1'!AW19,'B2'!AV19,'B3'!AV19),0)</f>
        <v>0</v>
      </c>
      <c r="AW81" s="123">
        <f>IFERROR(MIN('B1'!AX19,'B2'!AW19,'B3'!AW19),0)</f>
        <v>0</v>
      </c>
      <c r="AX81" s="123">
        <f>IFERROR(MIN('B1'!AY19,'B2'!AX19,'B3'!AX19),0)</f>
        <v>0</v>
      </c>
      <c r="AY81" s="123">
        <f>IFERROR(MIN('B1'!AZ19,'B2'!AY19,'B3'!AY19),0)</f>
        <v>0</v>
      </c>
      <c r="AZ81" s="123">
        <f>IFERROR(MIN('B1'!BA19,'B2'!AZ19,'B3'!AZ19),0)</f>
        <v>0</v>
      </c>
      <c r="BA81" s="123">
        <f>IFERROR(MIN('B1'!BB19,'B2'!BA19,'B3'!BA19),0)</f>
        <v>0</v>
      </c>
      <c r="BB81" s="123">
        <f>IFERROR(MIN('B1'!#REF!,'B2'!#REF!,'B3'!#REF!),0)</f>
        <v>0</v>
      </c>
      <c r="BC81" s="123">
        <f>IFERROR(MIN('B1'!#REF!,'B2'!#REF!,'B3'!#REF!),0)</f>
        <v>0</v>
      </c>
      <c r="BD81" s="123">
        <f>IFERROR(MIN('B1'!#REF!,'B2'!#REF!,'B3'!#REF!),0)</f>
        <v>0</v>
      </c>
      <c r="BE81" s="123">
        <f>IFERROR(MIN('B1'!#REF!,'B2'!#REF!,'B3'!#REF!),0)</f>
        <v>0</v>
      </c>
      <c r="BF81" s="123">
        <f>IFERROR(MIN('B1'!#REF!,'B2'!#REF!,'B3'!#REF!),0)</f>
        <v>0</v>
      </c>
      <c r="BG81" s="123">
        <f>IFERROR(MIN('B1'!#REF!,'B2'!#REF!,'B3'!#REF!),0)</f>
        <v>0</v>
      </c>
      <c r="BH81" s="123">
        <f>IFERROR(MIN('B1'!#REF!,'B2'!#REF!,'B3'!#REF!),0)</f>
        <v>0</v>
      </c>
      <c r="BI81" s="123">
        <f>IFERROR(MIN('B1'!#REF!,'B2'!#REF!,'B3'!#REF!),0)</f>
        <v>0</v>
      </c>
      <c r="BJ81" s="123">
        <f>IFERROR(MIN('B1'!#REF!,'B2'!#REF!,'B3'!#REF!),0)</f>
        <v>0</v>
      </c>
      <c r="BK81" s="123">
        <f>IFERROR(MIN('B1'!#REF!,'B2'!#REF!,'B3'!#REF!),0)</f>
        <v>0</v>
      </c>
      <c r="BL81" s="123">
        <f>IFERROR(MIN('B1'!#REF!,'B2'!#REF!,'B3'!#REF!),0)</f>
        <v>0</v>
      </c>
      <c r="BM81" s="123">
        <f>IFERROR(MIN('B1'!#REF!,'B2'!#REF!,'B3'!#REF!),0)</f>
        <v>0</v>
      </c>
      <c r="BN81" s="123">
        <f>IFERROR(MIN('B1'!#REF!,'B2'!#REF!,'B3'!#REF!),0)</f>
        <v>0</v>
      </c>
      <c r="BO81" s="123">
        <f>IFERROR(MIN('B1'!#REF!,'B2'!#REF!,'B3'!#REF!),0)</f>
        <v>0</v>
      </c>
      <c r="BP81" s="123">
        <f>IFERROR(MIN('B1'!#REF!,'B2'!#REF!,'B3'!#REF!),0)</f>
        <v>0</v>
      </c>
      <c r="BQ81" s="123">
        <f>IFERROR(MIN('B1'!#REF!,'B2'!#REF!,'B3'!#REF!),0)</f>
        <v>0</v>
      </c>
      <c r="BR81" s="123">
        <f>IFERROR(MIN('B1'!#REF!,'B2'!#REF!,'B3'!#REF!),0)</f>
        <v>0</v>
      </c>
      <c r="BS81" s="123">
        <f>IFERROR(MIN('B1'!#REF!,'B2'!#REF!,'B3'!#REF!),0)</f>
        <v>0</v>
      </c>
      <c r="BT81" s="123"/>
      <c r="BU81" s="123">
        <f>IFERROR(MIN('B1'!#REF!,'B2'!#REF!,'B3'!#REF!),0)</f>
        <v>0</v>
      </c>
      <c r="BV81" s="123">
        <f>IFERROR(MIN('B1'!#REF!,'B2'!#REF!,'B3'!#REF!),0)</f>
        <v>0</v>
      </c>
      <c r="BW81" s="123">
        <f>IFERROR(MIN('B1'!#REF!,'B2'!#REF!,'B3'!#REF!),0)</f>
        <v>0</v>
      </c>
      <c r="BX81" s="123">
        <f>IFERROR(MIN('B1'!#REF!,'B2'!#REF!,'B3'!#REF!),0)</f>
        <v>0</v>
      </c>
    </row>
    <row r="82" spans="1:76" s="66" customFormat="1" ht="16" thickBot="1" x14ac:dyDescent="0.4">
      <c r="A82" s="63" t="str">
        <f t="shared" si="20"/>
        <v>26-04</v>
      </c>
      <c r="B82" s="137">
        <f t="shared" si="20"/>
        <v>38</v>
      </c>
      <c r="C82" s="41">
        <f t="shared" si="19"/>
        <v>10</v>
      </c>
      <c r="D82" s="123">
        <f>IFERROR(MIN('B1'!D20,'B2'!D20,'B3'!D20),0)</f>
        <v>0</v>
      </c>
      <c r="E82" s="123">
        <f>IFERROR(MIN('B1'!E20,'B2'!E20,'B3'!E20),0)</f>
        <v>0</v>
      </c>
      <c r="F82" s="123">
        <f>IFERROR(MIN('B1'!F20,'B2'!F20,'B3'!F20),0)</f>
        <v>0</v>
      </c>
      <c r="G82" s="123">
        <f>IFERROR(MIN('B1'!G20,'B2'!G20,'B3'!G20),0)</f>
        <v>0</v>
      </c>
      <c r="H82" s="123">
        <f>IFERROR(MIN('B1'!H20,'B2'!H20,'B3'!H20),0)</f>
        <v>0</v>
      </c>
      <c r="I82" s="123">
        <f>IFERROR(MIN('B1'!I20,'B2'!I20,'B3'!I20),0)</f>
        <v>0</v>
      </c>
      <c r="J82" s="123">
        <f>IFERROR(MIN('B1'!J20,'B2'!J20,'B3'!J20),0)</f>
        <v>14.490847853804983</v>
      </c>
      <c r="K82" s="123">
        <f>IFERROR(MIN('B1'!K20,'B2'!K20,'B3'!K20),0)</f>
        <v>18.656646492734897</v>
      </c>
      <c r="L82" s="123">
        <f>IFERROR(MIN('B1'!L20,'B2'!L20,'B3'!L20),0)</f>
        <v>0.9035565065148593</v>
      </c>
      <c r="M82" s="123">
        <f>IFERROR(MIN('B1'!M20,'B2'!M20,'B3'!M20),0)</f>
        <v>58.924182239068209</v>
      </c>
      <c r="N82" s="123">
        <f>IFERROR(MIN('B1'!N20,'B2'!N20,'B3'!N20),0)</f>
        <v>0</v>
      </c>
      <c r="O82" s="123">
        <f>IFERROR(MIN('B1'!O20,'B2'!O20,'B3'!O20),0)</f>
        <v>2.8987889668576514</v>
      </c>
      <c r="P82" s="123">
        <f>IFERROR(MIN('B1'!P20,'B2'!P20,'B3'!P20),0)</f>
        <v>0</v>
      </c>
      <c r="Q82" s="123">
        <f>IFERROR(MIN('B1'!Q20,'B2'!Q20,'B3'!Q20),0)</f>
        <v>2.9749096214742363</v>
      </c>
      <c r="R82" s="123">
        <f>IFERROR(MIN('B1'!R20,'B2'!R20,'B3'!R20),0)</f>
        <v>0</v>
      </c>
      <c r="S82" s="123">
        <f>IFERROR(MIN('B1'!S20,'B2'!S20,'B3'!S20),0)</f>
        <v>0</v>
      </c>
      <c r="T82" s="123">
        <f>IFERROR(MIN('B1'!T20,'B2'!T20,'B3'!T20),0)</f>
        <v>0</v>
      </c>
      <c r="U82" s="123">
        <f>IFERROR(MIN('B1'!U20,'B2'!U20,'B3'!U20),0)</f>
        <v>0</v>
      </c>
      <c r="V82" s="123">
        <f>IFERROR(MIN('B1'!V20,'B2'!V20,'B3'!V20),0)</f>
        <v>0</v>
      </c>
      <c r="W82" s="123">
        <f>IFERROR(MIN('B1'!W20,'B2'!W20,'B3'!W20),0)</f>
        <v>0</v>
      </c>
      <c r="X82" s="123">
        <f>IFERROR(MIN('B1'!X20,'B2'!X20,'B3'!X20),0)</f>
        <v>0</v>
      </c>
      <c r="Y82" s="123">
        <f>IFERROR(MIN('B1'!Y20,'B2'!Y20,'B3'!Y20),0)</f>
        <v>0</v>
      </c>
      <c r="Z82" s="123">
        <f>IFERROR(MIN('B1'!Z20,'B2'!Z20,'B3'!Z20),0)</f>
        <v>0</v>
      </c>
      <c r="AA82" s="123">
        <f>IFERROR(MIN('B1'!AB20,'B2'!AA20,'B3'!AA20),0)</f>
        <v>0</v>
      </c>
      <c r="AB82" s="123">
        <f>IFERROR(MIN('B1'!AC20,'B2'!AB20,'B3'!AB20),0)</f>
        <v>0</v>
      </c>
      <c r="AC82" s="123">
        <f>IFERROR(MIN('B1'!AD20,'B2'!AC20,'B3'!AC20),0)</f>
        <v>0</v>
      </c>
      <c r="AD82" s="123">
        <f>IFERROR(MIN('B1'!AE20,'B2'!AD20,'B3'!AD20),0)</f>
        <v>0</v>
      </c>
      <c r="AE82" s="123">
        <f>IFERROR(MIN('B1'!AF20,'B2'!AE20,'B3'!AE20),0)</f>
        <v>0</v>
      </c>
      <c r="AF82" s="123">
        <f>IFERROR(MIN('B1'!AG20,'B2'!AF20,'B3'!AF20),0)</f>
        <v>50</v>
      </c>
      <c r="AG82" s="123">
        <f>IFERROR(MIN('B1'!AH20,'B2'!AG20,'B3'!AG20),0)</f>
        <v>1</v>
      </c>
      <c r="AH82" s="123">
        <f>IFERROR(MIN('B1'!AI20,'B2'!AH20,'B3'!AH20),0)</f>
        <v>6.9</v>
      </c>
      <c r="AI82" s="123">
        <f>IFERROR(MIN('B1'!AJ20,'B2'!AI20,'B3'!AI20),0)</f>
        <v>0</v>
      </c>
      <c r="AJ82" s="123">
        <f>IFERROR(MIN('B1'!AK20,'B2'!AJ20,'B3'!AJ20),0)</f>
        <v>0</v>
      </c>
      <c r="AK82" s="123">
        <f>IFERROR(MIN('B1'!AL20,'B2'!AK20,'B3'!AK20),0)</f>
        <v>0</v>
      </c>
      <c r="AL82" s="123">
        <f>IFERROR(MIN('B1'!AM20,'B2'!AL20,'B3'!AL20),0)</f>
        <v>0</v>
      </c>
      <c r="AM82" s="123">
        <f>IFERROR(MIN('B1'!AN20,'B2'!AM20,'B3'!AM20),0)</f>
        <v>0</v>
      </c>
      <c r="AN82" s="123">
        <f>IFERROR(MIN('B1'!AO20,'B2'!AN20,'B3'!AN20),0)</f>
        <v>0</v>
      </c>
      <c r="AO82" s="123">
        <f>IFERROR(MIN('B1'!AP20,'B2'!AO20,'B3'!AO20),0)</f>
        <v>0</v>
      </c>
      <c r="AP82" s="123">
        <f>IFERROR(MIN('B1'!AQ20,'B2'!AP20,'B3'!AP20),0)</f>
        <v>0.14490847853804983</v>
      </c>
      <c r="AQ82" s="123">
        <f>IFERROR(MIN('B1'!AR20,'B2'!AQ20,'B3'!AQ20),0)</f>
        <v>0.18656646492734896</v>
      </c>
      <c r="AR82" s="123">
        <f>IFERROR(MIN('B1'!AS20,'B2'!AR20,'B3'!AR20),0)</f>
        <v>0</v>
      </c>
      <c r="AS82" s="123">
        <f>IFERROR(MIN('B1'!AT20,'B2'!AS20,'B3'!AS20),0)</f>
        <v>0.58924182239068201</v>
      </c>
      <c r="AT82" s="123">
        <f>IFERROR(MIN('B1'!AU20,'B2'!AT20,'B3'!AT20),0)</f>
        <v>0</v>
      </c>
      <c r="AU82" s="123">
        <f>IFERROR(MIN('B1'!AV20,'B2'!AU20,'B3'!AU20),0)</f>
        <v>0</v>
      </c>
      <c r="AV82" s="123">
        <f>IFERROR(MIN('B1'!AW20,'B2'!AV20,'B3'!AV20),0)</f>
        <v>0</v>
      </c>
      <c r="AW82" s="123">
        <f>IFERROR(MIN('B1'!AX20,'B2'!AW20,'B3'!AW20),0)</f>
        <v>2.9749096214742362E-2</v>
      </c>
      <c r="AX82" s="123">
        <f>IFERROR(MIN('B1'!AY20,'B2'!AX20,'B3'!AX20),0)</f>
        <v>0</v>
      </c>
      <c r="AY82" s="123">
        <f>IFERROR(MIN('B1'!AZ20,'B2'!AY20,'B3'!AY20),0)</f>
        <v>0</v>
      </c>
      <c r="AZ82" s="123">
        <f>IFERROR(MIN('B1'!BA20,'B2'!AZ20,'B3'!AZ20),0)</f>
        <v>3.829928952042629</v>
      </c>
      <c r="BA82" s="123">
        <f>IFERROR(MIN('B1'!BB20,'B2'!BA20,'B3'!BA20),0)</f>
        <v>0.34499999999999997</v>
      </c>
      <c r="BB82" s="123">
        <f>IFERROR(MIN('B1'!#REF!,'B2'!#REF!,'B3'!#REF!),0)</f>
        <v>0</v>
      </c>
      <c r="BC82" s="123">
        <f>IFERROR(MIN('B1'!#REF!,'B2'!#REF!,'B3'!#REF!),0)</f>
        <v>0</v>
      </c>
      <c r="BD82" s="123">
        <f>IFERROR(MIN('B1'!#REF!,'B2'!#REF!,'B3'!#REF!),0)</f>
        <v>0</v>
      </c>
      <c r="BE82" s="123">
        <f>IFERROR(MIN('B1'!#REF!,'B2'!#REF!,'B3'!#REF!),0)</f>
        <v>0</v>
      </c>
      <c r="BF82" s="123">
        <f>IFERROR(MIN('B1'!#REF!,'B2'!#REF!,'B3'!#REF!),0)</f>
        <v>0</v>
      </c>
      <c r="BG82" s="123">
        <f>IFERROR(MIN('B1'!#REF!,'B2'!#REF!,'B3'!#REF!),0)</f>
        <v>0</v>
      </c>
      <c r="BH82" s="123">
        <f>IFERROR(MIN('B1'!#REF!,'B2'!#REF!,'B3'!#REF!),0)</f>
        <v>0</v>
      </c>
      <c r="BI82" s="123">
        <f>IFERROR(MIN('B1'!#REF!,'B2'!#REF!,'B3'!#REF!),0)</f>
        <v>0</v>
      </c>
      <c r="BJ82" s="123">
        <f>IFERROR(MIN('B1'!#REF!,'B2'!#REF!,'B3'!#REF!),0)</f>
        <v>0</v>
      </c>
      <c r="BK82" s="123">
        <f>IFERROR(MIN('B1'!#REF!,'B2'!#REF!,'B3'!#REF!),0)</f>
        <v>0</v>
      </c>
      <c r="BL82" s="123">
        <f>IFERROR(MIN('B1'!#REF!,'B2'!#REF!,'B3'!#REF!),0)</f>
        <v>0</v>
      </c>
      <c r="BM82" s="123">
        <f>IFERROR(MIN('B1'!#REF!,'B2'!#REF!,'B3'!#REF!),0)</f>
        <v>0</v>
      </c>
      <c r="BN82" s="123">
        <f>IFERROR(MIN('B1'!#REF!,'B2'!#REF!,'B3'!#REF!),0)</f>
        <v>0</v>
      </c>
      <c r="BO82" s="123">
        <f>IFERROR(MIN('B1'!#REF!,'B2'!#REF!,'B3'!#REF!),0)</f>
        <v>0</v>
      </c>
      <c r="BP82" s="123">
        <f>IFERROR(MIN('B1'!#REF!,'B2'!#REF!,'B3'!#REF!),0)</f>
        <v>0</v>
      </c>
      <c r="BQ82" s="123">
        <f>IFERROR(MIN('B1'!#REF!,'B2'!#REF!,'B3'!#REF!),0)</f>
        <v>0</v>
      </c>
      <c r="BR82" s="123">
        <f>IFERROR(MIN('B1'!#REF!,'B2'!#REF!,'B3'!#REF!),0)</f>
        <v>0</v>
      </c>
      <c r="BS82" s="123">
        <f>IFERROR(MIN('B1'!#REF!,'B2'!#REF!,'B3'!#REF!),0)</f>
        <v>0</v>
      </c>
      <c r="BT82" s="123"/>
      <c r="BU82" s="123">
        <f>IFERROR(MIN('B1'!#REF!,'B2'!#REF!,'B3'!#REF!),0)</f>
        <v>0</v>
      </c>
      <c r="BV82" s="123">
        <f>IFERROR(MIN('B1'!#REF!,'B2'!#REF!,'B3'!#REF!),0)</f>
        <v>0</v>
      </c>
      <c r="BW82" s="123">
        <f>IFERROR(MIN('B1'!#REF!,'B2'!#REF!,'B3'!#REF!),0)</f>
        <v>0</v>
      </c>
      <c r="BX82" s="123">
        <f>IFERROR(MIN('B1'!#REF!,'B2'!#REF!,'B3'!#REF!),0)</f>
        <v>0</v>
      </c>
    </row>
    <row r="83" spans="1:76" s="47" customFormat="1" ht="16" thickBot="1" x14ac:dyDescent="0.4">
      <c r="A83" s="63">
        <f t="shared" si="20"/>
        <v>43105</v>
      </c>
      <c r="B83" s="137">
        <f t="shared" si="20"/>
        <v>43</v>
      </c>
      <c r="C83" s="41">
        <f t="shared" si="19"/>
        <v>10</v>
      </c>
      <c r="D83" s="123">
        <f>IFERROR(MIN('B1'!D21,'B2'!D21,'B3'!D21),0)</f>
        <v>0</v>
      </c>
      <c r="E83" s="123">
        <f>IFERROR(MIN('B1'!E21,'B2'!E21,'B3'!E21),0)</f>
        <v>0</v>
      </c>
      <c r="F83" s="123">
        <f>IFERROR(MIN('B1'!F21,'B2'!F21,'B3'!F21),0)</f>
        <v>0</v>
      </c>
      <c r="G83" s="123">
        <f>IFERROR(MIN('B1'!G21,'B2'!G21,'B3'!G21),0)</f>
        <v>0</v>
      </c>
      <c r="H83" s="123">
        <f>IFERROR(MIN('B1'!H21,'B2'!H21,'B3'!H21),0)</f>
        <v>0</v>
      </c>
      <c r="I83" s="123">
        <f>IFERROR(MIN('B1'!I21,'B2'!I21,'B3'!I21),0)</f>
        <v>0</v>
      </c>
      <c r="J83" s="123">
        <f>IFERROR(MIN('B1'!J21,'B2'!J21,'B3'!J21),0)</f>
        <v>12.748950564592475</v>
      </c>
      <c r="K83" s="123">
        <f>IFERROR(MIN('B1'!K21,'B2'!K21,'B3'!K21),0)</f>
        <v>14.638094027343392</v>
      </c>
      <c r="L83" s="123">
        <f>IFERROR(MIN('B1'!L21,'B2'!L21,'B3'!L21),0)</f>
        <v>0</v>
      </c>
      <c r="M83" s="123">
        <f>IFERROR(MIN('B1'!M21,'B2'!M21,'B3'!M21),0)</f>
        <v>64.113096178979163</v>
      </c>
      <c r="N83" s="123">
        <f>IFERROR(MIN('B1'!N21,'B2'!N21,'B3'!N21),0)</f>
        <v>0</v>
      </c>
      <c r="O83" s="123">
        <f>IFERROR(MIN('B1'!O21,'B2'!O21,'B3'!O21),0)</f>
        <v>1.6980746727049767</v>
      </c>
      <c r="P83" s="123">
        <f>IFERROR(MIN('B1'!P21,'B2'!P21,'B3'!P21),0)</f>
        <v>0</v>
      </c>
      <c r="Q83" s="123">
        <f>IFERROR(MIN('B1'!Q21,'B2'!Q21,'B3'!Q21),0)</f>
        <v>1.409516772683886</v>
      </c>
      <c r="R83" s="123">
        <f>IFERROR(MIN('B1'!R21,'B2'!R21,'B3'!R21),0)</f>
        <v>0</v>
      </c>
      <c r="S83" s="123">
        <f>IFERROR(MIN('B1'!S21,'B2'!S21,'B3'!S21),0)</f>
        <v>0</v>
      </c>
      <c r="T83" s="123">
        <f>IFERROR(MIN('B1'!T21,'B2'!T21,'B3'!T21),0)</f>
        <v>0</v>
      </c>
      <c r="U83" s="123">
        <f>IFERROR(MIN('B1'!U21,'B2'!U21,'B3'!U21),0)</f>
        <v>0</v>
      </c>
      <c r="V83" s="123">
        <f>IFERROR(MIN('B1'!V21,'B2'!V21,'B3'!V21),0)</f>
        <v>0</v>
      </c>
      <c r="W83" s="123">
        <f>IFERROR(MIN('B1'!W21,'B2'!W21,'B3'!W21),0)</f>
        <v>0</v>
      </c>
      <c r="X83" s="123">
        <f>IFERROR(MIN('B1'!X21,'B2'!X21,'B3'!X21),0)</f>
        <v>0</v>
      </c>
      <c r="Y83" s="123">
        <f>IFERROR(MIN('B1'!Y21,'B2'!Y21,'B3'!Y21),0)</f>
        <v>0</v>
      </c>
      <c r="Z83" s="123">
        <f>IFERROR(MIN('B1'!Z21,'B2'!Z21,'B3'!Z21),0)</f>
        <v>0</v>
      </c>
      <c r="AA83" s="123">
        <f>IFERROR(MIN('B1'!AB21,'B2'!AA21,'B3'!AA21),0)</f>
        <v>0</v>
      </c>
      <c r="AB83" s="123">
        <f>IFERROR(MIN('B1'!AC21,'B2'!AB21,'B3'!AB21),0)</f>
        <v>0</v>
      </c>
      <c r="AC83" s="123">
        <f>IFERROR(MIN('B1'!AD21,'B2'!AC21,'B3'!AC21),0)</f>
        <v>0</v>
      </c>
      <c r="AD83" s="123">
        <f>IFERROR(MIN('B1'!AE21,'B2'!AD21,'B3'!AD21),0)</f>
        <v>0</v>
      </c>
      <c r="AE83" s="123">
        <f>IFERROR(MIN('B1'!AF21,'B2'!AE21,'B3'!AE21),0)</f>
        <v>7.32</v>
      </c>
      <c r="AF83" s="123">
        <f>IFERROR(MIN('B1'!AG21,'B2'!AF21,'B3'!AF21),0)</f>
        <v>20</v>
      </c>
      <c r="AG83" s="123">
        <f>IFERROR(MIN('B1'!AH21,'B2'!AG21,'B3'!AG21),0)</f>
        <v>1</v>
      </c>
      <c r="AH83" s="123">
        <f>IFERROR(MIN('B1'!AI21,'B2'!AH21,'B3'!AH21),0)</f>
        <v>0</v>
      </c>
      <c r="AI83" s="123">
        <f>IFERROR(MIN('B1'!AJ21,'B2'!AI21,'B3'!AI21),0)</f>
        <v>0</v>
      </c>
      <c r="AJ83" s="123">
        <f>IFERROR(MIN('B1'!AK21,'B2'!AJ21,'B3'!AJ21),0)</f>
        <v>0</v>
      </c>
      <c r="AK83" s="123">
        <f>IFERROR(MIN('B1'!AL21,'B2'!AK21,'B3'!AK21),0)</f>
        <v>0</v>
      </c>
      <c r="AL83" s="123">
        <f>IFERROR(MIN('B1'!AM21,'B2'!AL21,'B3'!AL21),0)</f>
        <v>0</v>
      </c>
      <c r="AM83" s="123">
        <f>IFERROR(MIN('B1'!AN21,'B2'!AM21,'B3'!AM21),0)</f>
        <v>0</v>
      </c>
      <c r="AN83" s="123">
        <f>IFERROR(MIN('B1'!AO21,'B2'!AN21,'B3'!AN21),0)</f>
        <v>0</v>
      </c>
      <c r="AO83" s="123">
        <f>IFERROR(MIN('B1'!AP21,'B2'!AO21,'B3'!AO21),0)</f>
        <v>0</v>
      </c>
      <c r="AP83" s="123">
        <f>IFERROR(MIN('B1'!AQ21,'B2'!AP21,'B3'!AP21),0)</f>
        <v>0.25497901129184952</v>
      </c>
      <c r="AQ83" s="123">
        <f>IFERROR(MIN('B1'!AR21,'B2'!AQ21,'B3'!AQ21),0)</f>
        <v>0.2927618805468678</v>
      </c>
      <c r="AR83" s="123">
        <f>IFERROR(MIN('B1'!AS21,'B2'!AR21,'B3'!AR21),0)</f>
        <v>0</v>
      </c>
      <c r="AS83" s="123">
        <f>IFERROR(MIN('B1'!AT21,'B2'!AS21,'B3'!AS21),0)</f>
        <v>1.2822619235795834</v>
      </c>
      <c r="AT83" s="123">
        <f>IFERROR(MIN('B1'!AU21,'B2'!AT21,'B3'!AT21),0)</f>
        <v>0</v>
      </c>
      <c r="AU83" s="123">
        <f>IFERROR(MIN('B1'!AV21,'B2'!AU21,'B3'!AU21),0)</f>
        <v>0</v>
      </c>
      <c r="AV83" s="123">
        <f>IFERROR(MIN('B1'!AW21,'B2'!AV21,'B3'!AV21),0)</f>
        <v>0</v>
      </c>
      <c r="AW83" s="123">
        <f>IFERROR(MIN('B1'!AX21,'B2'!AW21,'B3'!AW21),0)</f>
        <v>0</v>
      </c>
      <c r="AX83" s="123">
        <f>IFERROR(MIN('B1'!AY21,'B2'!AX21,'B3'!AX21),0)</f>
        <v>0</v>
      </c>
      <c r="AY83" s="123">
        <f>IFERROR(MIN('B1'!AZ21,'B2'!AY21,'B3'!AY21),0)</f>
        <v>0</v>
      </c>
      <c r="AZ83" s="123">
        <f>IFERROR(MIN('B1'!BA21,'B2'!AZ21,'B3'!AZ21),0)</f>
        <v>0</v>
      </c>
      <c r="BA83" s="123">
        <f>IFERROR(MIN('B1'!BB21,'B2'!BA21,'B3'!BA21),0)</f>
        <v>0</v>
      </c>
      <c r="BB83" s="123">
        <f>IFERROR(MIN('B1'!#REF!,'B2'!#REF!,'B3'!#REF!),0)</f>
        <v>0</v>
      </c>
      <c r="BC83" s="123">
        <f>IFERROR(MIN('B1'!#REF!,'B2'!#REF!,'B3'!#REF!),0)</f>
        <v>0</v>
      </c>
      <c r="BD83" s="123">
        <f>IFERROR(MIN('B1'!#REF!,'B2'!#REF!,'B3'!#REF!),0)</f>
        <v>0</v>
      </c>
      <c r="BE83" s="123">
        <f>IFERROR(MIN('B1'!#REF!,'B2'!#REF!,'B3'!#REF!),0)</f>
        <v>0</v>
      </c>
      <c r="BF83" s="123">
        <f>IFERROR(MIN('B1'!#REF!,'B2'!#REF!,'B3'!#REF!),0)</f>
        <v>0</v>
      </c>
      <c r="BG83" s="123">
        <f>IFERROR(MIN('B1'!#REF!,'B2'!#REF!,'B3'!#REF!),0)</f>
        <v>0</v>
      </c>
      <c r="BH83" s="123">
        <f>IFERROR(MIN('B1'!#REF!,'B2'!#REF!,'B3'!#REF!),0)</f>
        <v>0</v>
      </c>
      <c r="BI83" s="123">
        <f>IFERROR(MIN('B1'!#REF!,'B2'!#REF!,'B3'!#REF!),0)</f>
        <v>0</v>
      </c>
      <c r="BJ83" s="123">
        <f>IFERROR(MIN('B1'!#REF!,'B2'!#REF!,'B3'!#REF!),0)</f>
        <v>0</v>
      </c>
      <c r="BK83" s="123">
        <f>IFERROR(MIN('B1'!#REF!,'B2'!#REF!,'B3'!#REF!),0)</f>
        <v>0</v>
      </c>
      <c r="BL83" s="123">
        <f>IFERROR(MIN('B1'!#REF!,'B2'!#REF!,'B3'!#REF!),0)</f>
        <v>0</v>
      </c>
      <c r="BM83" s="123">
        <f>IFERROR(MIN('B1'!#REF!,'B2'!#REF!,'B3'!#REF!),0)</f>
        <v>0</v>
      </c>
      <c r="BN83" s="123">
        <f>IFERROR(MIN('B1'!#REF!,'B2'!#REF!,'B3'!#REF!),0)</f>
        <v>0</v>
      </c>
      <c r="BO83" s="123">
        <f>IFERROR(MIN('B1'!#REF!,'B2'!#REF!,'B3'!#REF!),0)</f>
        <v>0</v>
      </c>
      <c r="BP83" s="123">
        <f>IFERROR(MIN('B1'!#REF!,'B2'!#REF!,'B3'!#REF!),0)</f>
        <v>0</v>
      </c>
      <c r="BQ83" s="123">
        <f>IFERROR(MIN('B1'!#REF!,'B2'!#REF!,'B3'!#REF!),0)</f>
        <v>0</v>
      </c>
      <c r="BR83" s="123">
        <f>IFERROR(MIN('B1'!#REF!,'B2'!#REF!,'B3'!#REF!),0)</f>
        <v>0</v>
      </c>
      <c r="BS83" s="123">
        <f>IFERROR(MIN('B1'!#REF!,'B2'!#REF!,'B3'!#REF!),0)</f>
        <v>0</v>
      </c>
      <c r="BT83" s="123"/>
      <c r="BU83" s="123">
        <f>IFERROR(MIN('B1'!#REF!,'B2'!#REF!,'B3'!#REF!),0)</f>
        <v>0</v>
      </c>
      <c r="BV83" s="123">
        <f>IFERROR(MIN('B1'!#REF!,'B2'!#REF!,'B3'!#REF!),0)</f>
        <v>0</v>
      </c>
      <c r="BW83" s="123">
        <f>IFERROR(MIN('B1'!#REF!,'B2'!#REF!,'B3'!#REF!),0)</f>
        <v>0</v>
      </c>
      <c r="BX83" s="123">
        <f>IFERROR(MIN('B1'!#REF!,'B2'!#REF!,'B3'!#REF!),0)</f>
        <v>0</v>
      </c>
    </row>
    <row r="84" spans="1:76" s="66" customFormat="1" ht="16" thickBot="1" x14ac:dyDescent="0.4">
      <c r="A84" s="63">
        <f t="shared" si="20"/>
        <v>43195</v>
      </c>
      <c r="B84" s="137">
        <f t="shared" si="20"/>
        <v>46</v>
      </c>
      <c r="C84" s="41">
        <f t="shared" si="19"/>
        <v>10</v>
      </c>
      <c r="D84" s="123">
        <f>IFERROR(MIN('B1'!D22,'B2'!D22,'B3'!D22),0)</f>
        <v>0</v>
      </c>
      <c r="E84" s="123">
        <f>IFERROR(MIN('B1'!E22,'B2'!E22,'B3'!E22),0)</f>
        <v>0</v>
      </c>
      <c r="F84" s="123">
        <f>IFERROR(MIN('B1'!F22,'B2'!F22,'B3'!F22),0)</f>
        <v>0</v>
      </c>
      <c r="G84" s="123">
        <f>IFERROR(MIN('B1'!G22,'B2'!G22,'B3'!G22),0)</f>
        <v>0</v>
      </c>
      <c r="H84" s="123">
        <f>IFERROR(MIN('B1'!H22,'B2'!H22,'B3'!H22),0)</f>
        <v>0</v>
      </c>
      <c r="I84" s="123">
        <f>IFERROR(MIN('B1'!I22,'B2'!I22,'B3'!I22),0)</f>
        <v>0</v>
      </c>
      <c r="J84" s="123">
        <f>IFERROR(MIN('B1'!J22,'B2'!J22,'B3'!J22),0)</f>
        <v>16.267744045118665</v>
      </c>
      <c r="K84" s="123">
        <f>IFERROR(MIN('B1'!K22,'B2'!K22,'B3'!K22),0)</f>
        <v>50.811197247916603</v>
      </c>
      <c r="L84" s="123">
        <f>IFERROR(MIN('B1'!L22,'B2'!L22,'B3'!L22),0)</f>
        <v>0.96129825621642695</v>
      </c>
      <c r="M84" s="123">
        <f>IFERROR(MIN('B1'!M22,'B2'!M22,'B3'!M22),0)</f>
        <v>186.93996294558525</v>
      </c>
      <c r="N84" s="123">
        <f>IFERROR(MIN('B1'!N22,'B2'!N22,'B3'!N22),0)</f>
        <v>0.94278282830697846</v>
      </c>
      <c r="O84" s="123">
        <f>IFERROR(MIN('B1'!O22,'B2'!O22,'B3'!O22),0)</f>
        <v>5.4749450826365056</v>
      </c>
      <c r="P84" s="123">
        <f>IFERROR(MIN('B1'!P22,'B2'!P22,'B3'!P22),0)</f>
        <v>0</v>
      </c>
      <c r="Q84" s="123">
        <f>IFERROR(MIN('B1'!Q22,'B2'!Q22,'B3'!Q22),0)</f>
        <v>1.9961296120207068</v>
      </c>
      <c r="R84" s="123">
        <f>IFERROR(MIN('B1'!R22,'B2'!R22,'B3'!R22),0)</f>
        <v>0</v>
      </c>
      <c r="S84" s="123">
        <f>IFERROR(MIN('B1'!S22,'B2'!S22,'B3'!S22),0)</f>
        <v>0</v>
      </c>
      <c r="T84" s="123">
        <f>IFERROR(MIN('B1'!T22,'B2'!T22,'B3'!T22),0)</f>
        <v>0</v>
      </c>
      <c r="U84" s="123">
        <f>IFERROR(MIN('B1'!U22,'B2'!U22,'B3'!U22),0)</f>
        <v>0</v>
      </c>
      <c r="V84" s="123">
        <f>IFERROR(MIN('B1'!V22,'B2'!V22,'B3'!V22),0)</f>
        <v>0</v>
      </c>
      <c r="W84" s="123">
        <f>IFERROR(MIN('B1'!W22,'B2'!W22,'B3'!W22),0)</f>
        <v>0</v>
      </c>
      <c r="X84" s="123">
        <f>IFERROR(MIN('B1'!X22,'B2'!X22,'B3'!X22),0)</f>
        <v>0</v>
      </c>
      <c r="Y84" s="123">
        <f>IFERROR(MIN('B1'!Y22,'B2'!Y22,'B3'!Y22),0)</f>
        <v>0</v>
      </c>
      <c r="Z84" s="123">
        <f>IFERROR(MIN('B1'!Z22,'B2'!Z22,'B3'!Z22),0)</f>
        <v>0</v>
      </c>
      <c r="AA84" s="123">
        <f>IFERROR(MIN('B1'!AB22,'B2'!AA22,'B3'!AA22),0)</f>
        <v>0</v>
      </c>
      <c r="AB84" s="123">
        <f>IFERROR(MIN('B1'!AC22,'B2'!AB22,'B3'!AB22),0)</f>
        <v>0</v>
      </c>
      <c r="AC84" s="123">
        <f>IFERROR(MIN('B1'!AD22,'B2'!AC22,'B3'!AC22),0)</f>
        <v>0</v>
      </c>
      <c r="AD84" s="123">
        <f>IFERROR(MIN('B1'!AE22,'B2'!AD22,'B3'!AD22),0)</f>
        <v>0</v>
      </c>
      <c r="AE84" s="123">
        <f>IFERROR(MIN('B1'!AF22,'B2'!AE22,'B3'!AE22),0)</f>
        <v>7.21</v>
      </c>
      <c r="AF84" s="123">
        <f>IFERROR(MIN('B1'!AG22,'B2'!AF22,'B3'!AF22),0)</f>
        <v>20</v>
      </c>
      <c r="AG84" s="123">
        <f>IFERROR(MIN('B1'!AH22,'B2'!AG22,'B3'!AG22),0)</f>
        <v>1</v>
      </c>
      <c r="AH84" s="123">
        <f>IFERROR(MIN('B1'!AI22,'B2'!AH22,'B3'!AH22),0)</f>
        <v>0</v>
      </c>
      <c r="AI84" s="123">
        <f>IFERROR(MIN('B1'!AJ22,'B2'!AI22,'B3'!AI22),0)</f>
        <v>0</v>
      </c>
      <c r="AJ84" s="123">
        <f>IFERROR(MIN('B1'!AK22,'B2'!AJ22,'B3'!AJ22),0)</f>
        <v>0</v>
      </c>
      <c r="AK84" s="123">
        <f>IFERROR(MIN('B1'!AL22,'B2'!AK22,'B3'!AK22),0)</f>
        <v>0</v>
      </c>
      <c r="AL84" s="123">
        <f>IFERROR(MIN('B1'!AM22,'B2'!AL22,'B3'!AL22),0)</f>
        <v>0</v>
      </c>
      <c r="AM84" s="123">
        <f>IFERROR(MIN('B1'!AN22,'B2'!AM22,'B3'!AM22),0)</f>
        <v>0</v>
      </c>
      <c r="AN84" s="123">
        <f>IFERROR(MIN('B1'!AO22,'B2'!AN22,'B3'!AN22),0)</f>
        <v>0</v>
      </c>
      <c r="AO84" s="123">
        <f>IFERROR(MIN('B1'!AP22,'B2'!AO22,'B3'!AO22),0)</f>
        <v>0</v>
      </c>
      <c r="AP84" s="123">
        <f>IFERROR(MIN('B1'!AQ22,'B2'!AP22,'B3'!AP22),0)</f>
        <v>0.3253548809023733</v>
      </c>
      <c r="AQ84" s="123">
        <f>IFERROR(MIN('B1'!AR22,'B2'!AQ22,'B3'!AQ22),0)</f>
        <v>1.0162239449583321</v>
      </c>
      <c r="AR84" s="123">
        <f>IFERROR(MIN('B1'!AS22,'B2'!AR22,'B3'!AR22),0)</f>
        <v>0</v>
      </c>
      <c r="AS84" s="123">
        <f>IFERROR(MIN('B1'!AT22,'B2'!AS22,'B3'!AS22),0)</f>
        <v>3.7387992589117047</v>
      </c>
      <c r="AT84" s="123">
        <f>IFERROR(MIN('B1'!AU22,'B2'!AT22,'B3'!AT22),0)</f>
        <v>0</v>
      </c>
      <c r="AU84" s="123">
        <f>IFERROR(MIN('B1'!AV22,'B2'!AU22,'B3'!AU22),0)</f>
        <v>0.10949890165273012</v>
      </c>
      <c r="AV84" s="123">
        <f>IFERROR(MIN('B1'!AW22,'B2'!AV22,'B3'!AV22),0)</f>
        <v>0</v>
      </c>
      <c r="AW84" s="123">
        <f>IFERROR(MIN('B1'!AX22,'B2'!AW22,'B3'!AW22),0)</f>
        <v>0</v>
      </c>
      <c r="AX84" s="123">
        <f>IFERROR(MIN('B1'!AY22,'B2'!AX22,'B3'!AX22),0)</f>
        <v>0</v>
      </c>
      <c r="AY84" s="123">
        <f>IFERROR(MIN('B1'!AZ22,'B2'!AY22,'B3'!AY22),0)</f>
        <v>0</v>
      </c>
      <c r="AZ84" s="123">
        <f>IFERROR(MIN('B1'!BA22,'B2'!AZ22,'B3'!AZ22),0)</f>
        <v>0</v>
      </c>
      <c r="BA84" s="123">
        <f>IFERROR(MIN('B1'!BB22,'B2'!BA22,'B3'!BA22),0)</f>
        <v>0</v>
      </c>
      <c r="BB84" s="123">
        <f>IFERROR(MIN('B1'!#REF!,'B2'!#REF!,'B3'!#REF!),0)</f>
        <v>0</v>
      </c>
      <c r="BC84" s="123">
        <f>IFERROR(MIN('B1'!#REF!,'B2'!#REF!,'B3'!#REF!),0)</f>
        <v>0</v>
      </c>
      <c r="BD84" s="123">
        <f>IFERROR(MIN('B1'!#REF!,'B2'!#REF!,'B3'!#REF!),0)</f>
        <v>0</v>
      </c>
      <c r="BE84" s="123">
        <f>IFERROR(MIN('B1'!#REF!,'B2'!#REF!,'B3'!#REF!),0)</f>
        <v>0</v>
      </c>
      <c r="BF84" s="123">
        <f>IFERROR(MIN('B1'!#REF!,'B2'!#REF!,'B3'!#REF!),0)</f>
        <v>0</v>
      </c>
      <c r="BG84" s="123">
        <f>IFERROR(MIN('B1'!#REF!,'B2'!#REF!,'B3'!#REF!),0)</f>
        <v>0</v>
      </c>
      <c r="BH84" s="123">
        <f>IFERROR(MIN('B1'!#REF!,'B2'!#REF!,'B3'!#REF!),0)</f>
        <v>0</v>
      </c>
      <c r="BI84" s="123">
        <f>IFERROR(MIN('B1'!#REF!,'B2'!#REF!,'B3'!#REF!),0)</f>
        <v>0</v>
      </c>
      <c r="BJ84" s="123">
        <f>IFERROR(MIN('B1'!#REF!,'B2'!#REF!,'B3'!#REF!),0)</f>
        <v>0</v>
      </c>
      <c r="BK84" s="123">
        <f>IFERROR(MIN('B1'!#REF!,'B2'!#REF!,'B3'!#REF!),0)</f>
        <v>0</v>
      </c>
      <c r="BL84" s="123">
        <f>IFERROR(MIN('B1'!#REF!,'B2'!#REF!,'B3'!#REF!),0)</f>
        <v>0</v>
      </c>
      <c r="BM84" s="123">
        <f>IFERROR(MIN('B1'!#REF!,'B2'!#REF!,'B3'!#REF!),0)</f>
        <v>0</v>
      </c>
      <c r="BN84" s="123">
        <f>IFERROR(MIN('B1'!#REF!,'B2'!#REF!,'B3'!#REF!),0)</f>
        <v>0</v>
      </c>
      <c r="BO84" s="123">
        <f>IFERROR(MIN('B1'!#REF!,'B2'!#REF!,'B3'!#REF!),0)</f>
        <v>0</v>
      </c>
      <c r="BP84" s="123">
        <f>IFERROR(MIN('B1'!#REF!,'B2'!#REF!,'B3'!#REF!),0)</f>
        <v>0</v>
      </c>
      <c r="BQ84" s="123">
        <f>IFERROR(MIN('B1'!#REF!,'B2'!#REF!,'B3'!#REF!),0)</f>
        <v>0</v>
      </c>
      <c r="BR84" s="123">
        <f>IFERROR(MIN('B1'!#REF!,'B2'!#REF!,'B3'!#REF!),0)</f>
        <v>0</v>
      </c>
      <c r="BS84" s="123">
        <f>IFERROR(MIN('B1'!#REF!,'B2'!#REF!,'B3'!#REF!),0)</f>
        <v>0</v>
      </c>
      <c r="BT84" s="123"/>
      <c r="BU84" s="123">
        <f>IFERROR(MIN('B1'!#REF!,'B2'!#REF!,'B3'!#REF!),0)</f>
        <v>0</v>
      </c>
      <c r="BV84" s="123">
        <f>IFERROR(MIN('B1'!#REF!,'B2'!#REF!,'B3'!#REF!),0)</f>
        <v>0</v>
      </c>
      <c r="BW84" s="123">
        <f>IFERROR(MIN('B1'!#REF!,'B2'!#REF!,'B3'!#REF!),0)</f>
        <v>0</v>
      </c>
      <c r="BX84" s="123">
        <f>IFERROR(MIN('B1'!#REF!,'B2'!#REF!,'B3'!#REF!),0)</f>
        <v>0</v>
      </c>
    </row>
    <row r="85" spans="1:76" s="47" customFormat="1" ht="16" thickBot="1" x14ac:dyDescent="0.4">
      <c r="A85" s="63">
        <f t="shared" si="20"/>
        <v>43317</v>
      </c>
      <c r="B85" s="137">
        <f t="shared" si="20"/>
        <v>50</v>
      </c>
      <c r="C85" s="41">
        <f t="shared" si="19"/>
        <v>20</v>
      </c>
      <c r="D85" s="123">
        <f>IFERROR(MIN('B1'!D23,'B2'!D23,'B3'!D23),0)</f>
        <v>0</v>
      </c>
      <c r="E85" s="123">
        <f>IFERROR(MIN('B1'!E23,'B2'!E23,'B3'!E23),0)</f>
        <v>0</v>
      </c>
      <c r="F85" s="123">
        <f>IFERROR(MIN('B1'!F23,'B2'!F23,'B3'!F23),0)</f>
        <v>0</v>
      </c>
      <c r="G85" s="123">
        <f>IFERROR(MIN('B1'!G23,'B2'!G23,'B3'!G23),0)</f>
        <v>0</v>
      </c>
      <c r="H85" s="123">
        <f>IFERROR(MIN('B1'!H23,'B2'!H23,'B3'!H23),0)</f>
        <v>0</v>
      </c>
      <c r="I85" s="123">
        <f>IFERROR(MIN('B1'!I23,'B2'!I23,'B3'!I23),0)</f>
        <v>0</v>
      </c>
      <c r="J85" s="123">
        <f>IFERROR(MIN('B1'!J23,'B2'!J23,'B3'!J23),0)</f>
        <v>12.931571248444838</v>
      </c>
      <c r="K85" s="123">
        <f>IFERROR(MIN('B1'!K23,'B2'!K23,'B3'!K23),0)</f>
        <v>23.18462253451559</v>
      </c>
      <c r="L85" s="123">
        <f>IFERROR(MIN('B1'!L23,'B2'!L23,'B3'!L23),0)</f>
        <v>0</v>
      </c>
      <c r="M85" s="123">
        <f>IFERROR(MIN('B1'!M23,'B2'!M23,'B3'!M23),0)</f>
        <v>72.55376067607223</v>
      </c>
      <c r="N85" s="123">
        <f>IFERROR(MIN('B1'!N23,'B2'!N23,'B3'!N23),0)</f>
        <v>0</v>
      </c>
      <c r="O85" s="123">
        <f>IFERROR(MIN('B1'!O23,'B2'!O23,'B3'!O23),0)</f>
        <v>2.363793959670315</v>
      </c>
      <c r="P85" s="123">
        <f>IFERROR(MIN('B1'!P23,'B2'!P23,'B3'!P23),0)</f>
        <v>0</v>
      </c>
      <c r="Q85" s="123">
        <f>IFERROR(MIN('B1'!Q23,'B2'!Q23,'B3'!Q23),0)</f>
        <v>0.79830518809163031</v>
      </c>
      <c r="R85" s="123">
        <f>IFERROR(MIN('B1'!R23,'B2'!R23,'B3'!R23),0)</f>
        <v>0</v>
      </c>
      <c r="S85" s="123">
        <f>IFERROR(MIN('B1'!S23,'B2'!S23,'B3'!S23),0)</f>
        <v>0</v>
      </c>
      <c r="T85" s="123">
        <f>IFERROR(MIN('B1'!T23,'B2'!T23,'B3'!T23),0)</f>
        <v>0</v>
      </c>
      <c r="U85" s="123">
        <f>IFERROR(MIN('B1'!U23,'B2'!U23,'B3'!U23),0)</f>
        <v>0</v>
      </c>
      <c r="V85" s="123">
        <f>IFERROR(MIN('B1'!V23,'B2'!V23,'B3'!V23),0)</f>
        <v>0</v>
      </c>
      <c r="W85" s="123">
        <f>IFERROR(MIN('B1'!W23,'B2'!W23,'B3'!W23),0)</f>
        <v>0</v>
      </c>
      <c r="X85" s="123">
        <f>IFERROR(MIN('B1'!X23,'B2'!X23,'B3'!X23),0)</f>
        <v>0</v>
      </c>
      <c r="Y85" s="123">
        <f>IFERROR(MIN('B1'!Y23,'B2'!Y23,'B3'!Y23),0)</f>
        <v>0</v>
      </c>
      <c r="Z85" s="123">
        <f>IFERROR(MIN('B1'!Z23,'B2'!Z23,'B3'!Z23),0)</f>
        <v>0</v>
      </c>
      <c r="AA85" s="123">
        <f>IFERROR(MIN('B1'!AB23,'B2'!AA23,'B3'!AA23),0)</f>
        <v>0</v>
      </c>
      <c r="AB85" s="123">
        <f>IFERROR(MIN('B1'!AC23,'B2'!AB23,'B3'!AB23),0)</f>
        <v>0</v>
      </c>
      <c r="AC85" s="123">
        <f>IFERROR(MIN('B1'!AD23,'B2'!AC23,'B3'!AC23),0)</f>
        <v>0</v>
      </c>
      <c r="AD85" s="123">
        <f>IFERROR(MIN('B1'!AE23,'B2'!AD23,'B3'!AD23),0)</f>
        <v>0</v>
      </c>
      <c r="AE85" s="123">
        <f>IFERROR(MIN('B1'!AF23,'B2'!AE23,'B3'!AE23),0)</f>
        <v>0</v>
      </c>
      <c r="AF85" s="123">
        <f>IFERROR(MIN('B1'!AG23,'B2'!AF23,'B3'!AF23),0)</f>
        <v>10</v>
      </c>
      <c r="AG85" s="123">
        <f>IFERROR(MIN('B1'!AH23,'B2'!AG23,'B3'!AG23),0)</f>
        <v>1</v>
      </c>
      <c r="AH85" s="123">
        <f>IFERROR(MIN('B1'!AI23,'B2'!AH23,'B3'!AH23),0)</f>
        <v>0</v>
      </c>
      <c r="AI85" s="123">
        <f>IFERROR(MIN('B1'!AJ23,'B2'!AI23,'B3'!AI23),0)</f>
        <v>0</v>
      </c>
      <c r="AJ85" s="123">
        <f>IFERROR(MIN('B1'!AK23,'B2'!AJ23,'B3'!AJ23),0)</f>
        <v>0</v>
      </c>
      <c r="AK85" s="123">
        <f>IFERROR(MIN('B1'!AL23,'B2'!AK23,'B3'!AK23),0)</f>
        <v>0</v>
      </c>
      <c r="AL85" s="123">
        <f>IFERROR(MIN('B1'!AM23,'B2'!AL23,'B3'!AL23),0)</f>
        <v>0</v>
      </c>
      <c r="AM85" s="123">
        <f>IFERROR(MIN('B1'!AN23,'B2'!AM23,'B3'!AM23),0)</f>
        <v>0</v>
      </c>
      <c r="AN85" s="123">
        <f>IFERROR(MIN('B1'!AO23,'B2'!AN23,'B3'!AN23),0)</f>
        <v>0</v>
      </c>
      <c r="AO85" s="123">
        <f>IFERROR(MIN('B1'!AP23,'B2'!AO23,'B3'!AO23),0)</f>
        <v>0</v>
      </c>
      <c r="AP85" s="123">
        <f>IFERROR(MIN('B1'!AQ23,'B2'!AP23,'B3'!AP23),0)</f>
        <v>0.64657856242224188</v>
      </c>
      <c r="AQ85" s="123">
        <f>IFERROR(MIN('B1'!AR23,'B2'!AQ23,'B3'!AQ23),0)</f>
        <v>1.1592311267257793</v>
      </c>
      <c r="AR85" s="123">
        <f>IFERROR(MIN('B1'!AS23,'B2'!AR23,'B3'!AR23),0)</f>
        <v>0</v>
      </c>
      <c r="AS85" s="123">
        <f>IFERROR(MIN('B1'!AT23,'B2'!AS23,'B3'!AS23),0)</f>
        <v>3.6276880338036115</v>
      </c>
      <c r="AT85" s="123">
        <f>IFERROR(MIN('B1'!AU23,'B2'!AT23,'B3'!AT23),0)</f>
        <v>0</v>
      </c>
      <c r="AU85" s="123">
        <f>IFERROR(MIN('B1'!AV23,'B2'!AU23,'B3'!AU23),0)</f>
        <v>0</v>
      </c>
      <c r="AV85" s="123">
        <f>IFERROR(MIN('B1'!AW23,'B2'!AV23,'B3'!AV23),0)</f>
        <v>0</v>
      </c>
      <c r="AW85" s="123">
        <f>IFERROR(MIN('B1'!AX23,'B2'!AW23,'B3'!AW23),0)</f>
        <v>0</v>
      </c>
      <c r="AX85" s="123">
        <f>IFERROR(MIN('B1'!AY23,'B2'!AX23,'B3'!AX23),0)</f>
        <v>0</v>
      </c>
      <c r="AY85" s="123">
        <f>IFERROR(MIN('B1'!AZ23,'B2'!AY23,'B3'!AY23),0)</f>
        <v>0</v>
      </c>
      <c r="AZ85" s="123">
        <f>IFERROR(MIN('B1'!BA23,'B2'!AZ23,'B3'!AZ23),0)</f>
        <v>0</v>
      </c>
      <c r="BA85" s="123">
        <f>IFERROR(MIN('B1'!BB23,'B2'!BA23,'B3'!BA23),0)</f>
        <v>0</v>
      </c>
      <c r="BB85" s="123">
        <f>IFERROR(MIN('B1'!#REF!,'B2'!#REF!,'B3'!#REF!),0)</f>
        <v>0</v>
      </c>
      <c r="BC85" s="123">
        <f>IFERROR(MIN('B1'!#REF!,'B2'!#REF!,'B3'!#REF!),0)</f>
        <v>0</v>
      </c>
      <c r="BD85" s="123">
        <f>IFERROR(MIN('B1'!#REF!,'B2'!#REF!,'B3'!#REF!),0)</f>
        <v>0</v>
      </c>
      <c r="BE85" s="123">
        <f>IFERROR(MIN('B1'!#REF!,'B2'!#REF!,'B3'!#REF!),0)</f>
        <v>0</v>
      </c>
      <c r="BF85" s="123">
        <f>IFERROR(MIN('B1'!#REF!,'B2'!#REF!,'B3'!#REF!),0)</f>
        <v>0</v>
      </c>
      <c r="BG85" s="123">
        <f>IFERROR(MIN('B1'!#REF!,'B2'!#REF!,'B3'!#REF!),0)</f>
        <v>0</v>
      </c>
      <c r="BH85" s="123">
        <f>IFERROR(MIN('B1'!#REF!,'B2'!#REF!,'B3'!#REF!),0)</f>
        <v>0</v>
      </c>
      <c r="BI85" s="123">
        <f>IFERROR(MIN('B1'!#REF!,'B2'!#REF!,'B3'!#REF!),0)</f>
        <v>0</v>
      </c>
      <c r="BJ85" s="123">
        <f>IFERROR(MIN('B1'!#REF!,'B2'!#REF!,'B3'!#REF!),0)</f>
        <v>0</v>
      </c>
      <c r="BK85" s="123">
        <f>IFERROR(MIN('B1'!#REF!,'B2'!#REF!,'B3'!#REF!),0)</f>
        <v>0</v>
      </c>
      <c r="BL85" s="123">
        <f>IFERROR(MIN('B1'!#REF!,'B2'!#REF!,'B3'!#REF!),0)</f>
        <v>0</v>
      </c>
      <c r="BM85" s="123">
        <f>IFERROR(MIN('B1'!#REF!,'B2'!#REF!,'B3'!#REF!),0)</f>
        <v>0</v>
      </c>
      <c r="BN85" s="123">
        <f>IFERROR(MIN('B1'!#REF!,'B2'!#REF!,'B3'!#REF!),0)</f>
        <v>0</v>
      </c>
      <c r="BO85" s="123">
        <f>IFERROR(MIN('B1'!#REF!,'B2'!#REF!,'B3'!#REF!),0)</f>
        <v>0</v>
      </c>
      <c r="BP85" s="123">
        <f>IFERROR(MIN('B1'!#REF!,'B2'!#REF!,'B3'!#REF!),0)</f>
        <v>0</v>
      </c>
      <c r="BQ85" s="123">
        <f>IFERROR(MIN('B1'!#REF!,'B2'!#REF!,'B3'!#REF!),0)</f>
        <v>0</v>
      </c>
      <c r="BR85" s="123">
        <f>IFERROR(MIN('B1'!#REF!,'B2'!#REF!,'B3'!#REF!),0)</f>
        <v>0</v>
      </c>
      <c r="BS85" s="123">
        <f>IFERROR(MIN('B1'!#REF!,'B2'!#REF!,'B3'!#REF!),0)</f>
        <v>0</v>
      </c>
      <c r="BT85" s="123"/>
      <c r="BU85" s="123">
        <f>IFERROR(MIN('B1'!#REF!,'B2'!#REF!,'B3'!#REF!),0)</f>
        <v>0</v>
      </c>
      <c r="BV85" s="123">
        <f>IFERROR(MIN('B1'!#REF!,'B2'!#REF!,'B3'!#REF!),0)</f>
        <v>0</v>
      </c>
      <c r="BW85" s="123">
        <f>IFERROR(MIN('B1'!#REF!,'B2'!#REF!,'B3'!#REF!),0)</f>
        <v>0</v>
      </c>
      <c r="BX85" s="123">
        <f>IFERROR(MIN('B1'!#REF!,'B2'!#REF!,'B3'!#REF!),0)</f>
        <v>0</v>
      </c>
    </row>
    <row r="86" spans="1:76" s="66" customFormat="1" ht="16" thickBot="1" x14ac:dyDescent="0.4">
      <c r="A86" s="63" t="str">
        <f t="shared" si="20"/>
        <v>16-05-2018</v>
      </c>
      <c r="B86" s="137">
        <f t="shared" si="20"/>
        <v>58</v>
      </c>
      <c r="C86" s="41">
        <f t="shared" si="19"/>
        <v>20</v>
      </c>
      <c r="D86" s="123">
        <f>IFERROR(MIN('B1'!D24,'B2'!D24,'B3'!D24),0)</f>
        <v>0</v>
      </c>
      <c r="E86" s="123">
        <f>IFERROR(MIN('B1'!E24,'B2'!E24,'B3'!E24),0)</f>
        <v>0</v>
      </c>
      <c r="F86" s="123">
        <f>IFERROR(MIN('B1'!F24,'B2'!F24,'B3'!F24),0)</f>
        <v>0</v>
      </c>
      <c r="G86" s="123">
        <f>IFERROR(MIN('B1'!G24,'B2'!G24,'B3'!G24),0)</f>
        <v>0</v>
      </c>
      <c r="H86" s="123">
        <f>IFERROR(MIN('B1'!H24,'B2'!H24,'B3'!H24),0)</f>
        <v>0</v>
      </c>
      <c r="I86" s="123">
        <f>IFERROR(MIN('B1'!I24,'B2'!I24,'B3'!I24),0)</f>
        <v>0</v>
      </c>
      <c r="J86" s="123">
        <f>IFERROR(MIN('B1'!J24,'B2'!J24,'B3'!J24),0)</f>
        <v>31.030748722515504</v>
      </c>
      <c r="K86" s="123">
        <f>IFERROR(MIN('B1'!K24,'B2'!K24,'B3'!K24),0)</f>
        <v>60.306397024836464</v>
      </c>
      <c r="L86" s="123">
        <f>IFERROR(MIN('B1'!L24,'B2'!L24,'B3'!L24),0)</f>
        <v>2.4528176002742987</v>
      </c>
      <c r="M86" s="123">
        <f>IFERROR(MIN('B1'!M24,'B2'!M24,'B3'!M24),0)</f>
        <v>248.39795042664173</v>
      </c>
      <c r="N86" s="123">
        <f>IFERROR(MIN('B1'!N24,'B2'!N24,'B3'!N24),0)</f>
        <v>1.9156734284410011</v>
      </c>
      <c r="O86" s="123">
        <f>IFERROR(MIN('B1'!O24,'B2'!O24,'B3'!O24),0)</f>
        <v>8.0053784731471076</v>
      </c>
      <c r="P86" s="123">
        <f>IFERROR(MIN('B1'!P24,'B2'!P24,'B3'!P24),0)</f>
        <v>0</v>
      </c>
      <c r="Q86" s="123">
        <f>IFERROR(MIN('B1'!Q24,'B2'!Q24,'B3'!Q24),0)</f>
        <v>3.3770017250685687</v>
      </c>
      <c r="R86" s="123">
        <f>IFERROR(MIN('B1'!R24,'B2'!R24,'B3'!R24),0)</f>
        <v>0</v>
      </c>
      <c r="S86" s="123">
        <f>IFERROR(MIN('B1'!S24,'B2'!S24,'B3'!S24),0)</f>
        <v>0</v>
      </c>
      <c r="T86" s="123">
        <f>IFERROR(MIN('B1'!T24,'B2'!T24,'B3'!T24),0)</f>
        <v>0</v>
      </c>
      <c r="U86" s="123">
        <f>IFERROR(MIN('B1'!U24,'B2'!U24,'B3'!U24),0)</f>
        <v>0</v>
      </c>
      <c r="V86" s="123">
        <f>IFERROR(MIN('B1'!V24,'B2'!V24,'B3'!V24),0)</f>
        <v>0</v>
      </c>
      <c r="W86" s="123">
        <f>IFERROR(MIN('B1'!W24,'B2'!W24,'B3'!W24),0)</f>
        <v>0</v>
      </c>
      <c r="X86" s="123">
        <f>IFERROR(MIN('B1'!X24,'B2'!X24,'B3'!X24),0)</f>
        <v>0</v>
      </c>
      <c r="Y86" s="123">
        <f>IFERROR(MIN('B1'!Y24,'B2'!Y24,'B3'!Y24),0)</f>
        <v>0</v>
      </c>
      <c r="Z86" s="123">
        <f>IFERROR(MIN('B1'!Z24,'B2'!Z24,'B3'!Z24),0)</f>
        <v>0</v>
      </c>
      <c r="AA86" s="123">
        <f>IFERROR(MIN('B1'!AB24,'B2'!AA24,'B3'!AA24),0)</f>
        <v>0</v>
      </c>
      <c r="AB86" s="123">
        <f>IFERROR(MIN('B1'!AC24,'B2'!AB24,'B3'!AB24),0)</f>
        <v>0</v>
      </c>
      <c r="AC86" s="123">
        <f>IFERROR(MIN('B1'!AD24,'B2'!AC24,'B3'!AC24),0)</f>
        <v>0</v>
      </c>
      <c r="AD86" s="123">
        <f>IFERROR(MIN('B1'!AE24,'B2'!AD24,'B3'!AD24),0)</f>
        <v>0</v>
      </c>
      <c r="AE86" s="123">
        <f>IFERROR(MIN('B1'!AF24,'B2'!AE24,'B3'!AE24),0)</f>
        <v>7.61</v>
      </c>
      <c r="AF86" s="123">
        <f>IFERROR(MIN('B1'!AG24,'B2'!AF24,'B3'!AF24),0)</f>
        <v>0</v>
      </c>
      <c r="AG86" s="123">
        <f>IFERROR(MIN('B1'!AH24,'B2'!AG24,'B3'!AG24),0)</f>
        <v>1</v>
      </c>
      <c r="AH86" s="123">
        <f>IFERROR(MIN('B1'!AI24,'B2'!AH24,'B3'!AH24),0)</f>
        <v>0</v>
      </c>
      <c r="AI86" s="123">
        <f>IFERROR(MIN('B1'!AJ24,'B2'!AI24,'B3'!AI24),0)</f>
        <v>0</v>
      </c>
      <c r="AJ86" s="123">
        <f>IFERROR(MIN('B1'!AK24,'B2'!AJ24,'B3'!AJ24),0)</f>
        <v>0</v>
      </c>
      <c r="AK86" s="123">
        <f>IFERROR(MIN('B1'!AL24,'B2'!AK24,'B3'!AK24),0)</f>
        <v>0</v>
      </c>
      <c r="AL86" s="123">
        <f>IFERROR(MIN('B1'!AM24,'B2'!AL24,'B3'!AL24),0)</f>
        <v>0</v>
      </c>
      <c r="AM86" s="123">
        <f>IFERROR(MIN('B1'!AN24,'B2'!AM24,'B3'!AM24),0)</f>
        <v>0</v>
      </c>
      <c r="AN86" s="123">
        <f>IFERROR(MIN('B1'!AO24,'B2'!AN24,'B3'!AN24),0)</f>
        <v>0</v>
      </c>
      <c r="AO86" s="123">
        <f>IFERROR(MIN('B1'!AP24,'B2'!AO24,'B3'!AO24),0)</f>
        <v>0</v>
      </c>
      <c r="AP86" s="123">
        <f>IFERROR(MIN('B1'!AQ24,'B2'!AP24,'B3'!AP24),0)</f>
        <v>0.62061497445031011</v>
      </c>
      <c r="AQ86" s="123">
        <f>IFERROR(MIN('B1'!AR24,'B2'!AQ24,'B3'!AQ24),0)</f>
        <v>1.2061279404967293</v>
      </c>
      <c r="AR86" s="123">
        <f>IFERROR(MIN('B1'!AS24,'B2'!AR24,'B3'!AR24),0)</f>
        <v>0</v>
      </c>
      <c r="AS86" s="123">
        <f>IFERROR(MIN('B1'!AT24,'B2'!AS24,'B3'!AS24),0)</f>
        <v>4.9679590085328345</v>
      </c>
      <c r="AT86" s="123">
        <f>IFERROR(MIN('B1'!AU24,'B2'!AT24,'B3'!AT24),0)</f>
        <v>0</v>
      </c>
      <c r="AU86" s="123">
        <f>IFERROR(MIN('B1'!AV24,'B2'!AU24,'B3'!AU24),0)</f>
        <v>0.16010756946294213</v>
      </c>
      <c r="AV86" s="123">
        <f>IFERROR(MIN('B1'!AW24,'B2'!AV24,'B3'!AV24),0)</f>
        <v>0</v>
      </c>
      <c r="AW86" s="123">
        <f>IFERROR(MIN('B1'!AX24,'B2'!AW24,'B3'!AW24),0)</f>
        <v>6.754003450137136E-2</v>
      </c>
      <c r="AX86" s="123">
        <f>IFERROR(MIN('B1'!AY24,'B2'!AX24,'B3'!AX24),0)</f>
        <v>0</v>
      </c>
      <c r="AY86" s="123">
        <f>IFERROR(MIN('B1'!AZ24,'B2'!AY24,'B3'!AY24),0)</f>
        <v>0</v>
      </c>
      <c r="AZ86" s="123">
        <f>IFERROR(MIN('B1'!BA24,'B2'!AZ24,'B3'!AZ24),0)</f>
        <v>0</v>
      </c>
      <c r="BA86" s="123">
        <f>IFERROR(MIN('B1'!BB24,'B2'!BA24,'B3'!BA24),0)</f>
        <v>0</v>
      </c>
      <c r="BB86" s="123">
        <f>IFERROR(MIN('B1'!#REF!,'B2'!#REF!,'B3'!#REF!),0)</f>
        <v>0</v>
      </c>
      <c r="BC86" s="123">
        <f>IFERROR(MIN('B1'!#REF!,'B2'!#REF!,'B3'!#REF!),0)</f>
        <v>0</v>
      </c>
      <c r="BD86" s="123">
        <f>IFERROR(MIN('B1'!#REF!,'B2'!#REF!,'B3'!#REF!),0)</f>
        <v>0</v>
      </c>
      <c r="BE86" s="123">
        <f>IFERROR(MIN('B1'!#REF!,'B2'!#REF!,'B3'!#REF!),0)</f>
        <v>0</v>
      </c>
      <c r="BF86" s="123">
        <f>IFERROR(MIN('B1'!#REF!,'B2'!#REF!,'B3'!#REF!),0)</f>
        <v>0</v>
      </c>
      <c r="BG86" s="123">
        <f>IFERROR(MIN('B1'!#REF!,'B2'!#REF!,'B3'!#REF!),0)</f>
        <v>0</v>
      </c>
      <c r="BH86" s="123">
        <f>IFERROR(MIN('B1'!#REF!,'B2'!#REF!,'B3'!#REF!),0)</f>
        <v>0</v>
      </c>
      <c r="BI86" s="123">
        <f>IFERROR(MIN('B1'!#REF!,'B2'!#REF!,'B3'!#REF!),0)</f>
        <v>0</v>
      </c>
      <c r="BJ86" s="123">
        <f>IFERROR(MIN('B1'!#REF!,'B2'!#REF!,'B3'!#REF!),0)</f>
        <v>0</v>
      </c>
      <c r="BK86" s="123">
        <f>IFERROR(MIN('B1'!#REF!,'B2'!#REF!,'B3'!#REF!),0)</f>
        <v>0</v>
      </c>
      <c r="BL86" s="123">
        <f>IFERROR(MIN('B1'!#REF!,'B2'!#REF!,'B3'!#REF!),0)</f>
        <v>0</v>
      </c>
      <c r="BM86" s="123">
        <f>IFERROR(MIN('B1'!#REF!,'B2'!#REF!,'B3'!#REF!),0)</f>
        <v>0</v>
      </c>
      <c r="BN86" s="123">
        <f>IFERROR(MIN('B1'!#REF!,'B2'!#REF!,'B3'!#REF!),0)</f>
        <v>0</v>
      </c>
      <c r="BO86" s="123">
        <f>IFERROR(MIN('B1'!#REF!,'B2'!#REF!,'B3'!#REF!),0)</f>
        <v>0</v>
      </c>
      <c r="BP86" s="123">
        <f>IFERROR(MIN('B1'!#REF!,'B2'!#REF!,'B3'!#REF!),0)</f>
        <v>0</v>
      </c>
      <c r="BQ86" s="123">
        <f>IFERROR(MIN('B1'!#REF!,'B2'!#REF!,'B3'!#REF!),0)</f>
        <v>0</v>
      </c>
      <c r="BR86" s="123">
        <f>IFERROR(MIN('B1'!#REF!,'B2'!#REF!,'B3'!#REF!),0)</f>
        <v>0</v>
      </c>
      <c r="BS86" s="123">
        <f>IFERROR(MIN('B1'!#REF!,'B2'!#REF!,'B3'!#REF!),0)</f>
        <v>0</v>
      </c>
      <c r="BT86" s="123"/>
      <c r="BU86" s="123">
        <f>IFERROR(MIN('B1'!#REF!,'B2'!#REF!,'B3'!#REF!),0)</f>
        <v>0</v>
      </c>
      <c r="BV86" s="123">
        <f>IFERROR(MIN('B1'!#REF!,'B2'!#REF!,'B3'!#REF!),0)</f>
        <v>0</v>
      </c>
      <c r="BW86" s="123">
        <f>IFERROR(MIN('B1'!#REF!,'B2'!#REF!,'B3'!#REF!),0)</f>
        <v>0</v>
      </c>
      <c r="BX86" s="123">
        <f>IFERROR(MIN('B1'!#REF!,'B2'!#REF!,'B3'!#REF!),0)</f>
        <v>0</v>
      </c>
    </row>
    <row r="87" spans="1:76" s="47" customFormat="1" ht="16" thickBot="1" x14ac:dyDescent="0.4">
      <c r="A87" s="63">
        <f t="shared" si="20"/>
        <v>0</v>
      </c>
      <c r="B87" s="137">
        <f t="shared" si="20"/>
        <v>0</v>
      </c>
      <c r="C87" s="41">
        <f t="shared" si="19"/>
        <v>50</v>
      </c>
      <c r="D87" s="123">
        <f>IFERROR(MIN('B1'!D25,'B2'!D25,'B3'!D25),0)</f>
        <v>0</v>
      </c>
      <c r="E87" s="123">
        <f>IFERROR(MIN('B1'!E25,'B2'!E25,'B3'!E25),0)</f>
        <v>0</v>
      </c>
      <c r="F87" s="123">
        <f>IFERROR(MIN('B1'!F25,'B2'!F25,'B3'!F25),0)</f>
        <v>0</v>
      </c>
      <c r="G87" s="123">
        <f>IFERROR(MIN('B1'!G25,'B2'!G25,'B3'!G25),0)</f>
        <v>0</v>
      </c>
      <c r="H87" s="123">
        <f>IFERROR(MIN('B1'!H25,'B2'!H25,'B3'!H25),0)</f>
        <v>0</v>
      </c>
      <c r="I87" s="123">
        <f>IFERROR(MIN('B1'!I25,'B2'!I25,'B3'!I25),0)</f>
        <v>0</v>
      </c>
      <c r="J87" s="123">
        <f>IFERROR(MIN('B1'!J25,'B2'!J25,'B3'!J25),0)</f>
        <v>0</v>
      </c>
      <c r="K87" s="123">
        <f>IFERROR(MIN('B1'!K25,'B2'!K25,'B3'!K25),0)</f>
        <v>0</v>
      </c>
      <c r="L87" s="123">
        <f>IFERROR(MIN('B1'!L25,'B2'!L25,'B3'!L25),0)</f>
        <v>0</v>
      </c>
      <c r="M87" s="123">
        <f>IFERROR(MIN('B1'!M25,'B2'!M25,'B3'!M25),0)</f>
        <v>0</v>
      </c>
      <c r="N87" s="123">
        <f>IFERROR(MIN('B1'!N25,'B2'!N25,'B3'!N25),0)</f>
        <v>0</v>
      </c>
      <c r="O87" s="123">
        <f>IFERROR(MIN('B1'!O25,'B2'!O25,'B3'!O25),0)</f>
        <v>0</v>
      </c>
      <c r="P87" s="123">
        <f>IFERROR(MIN('B1'!P25,'B2'!P25,'B3'!P25),0)</f>
        <v>0</v>
      </c>
      <c r="Q87" s="123">
        <f>IFERROR(MIN('B1'!Q25,'B2'!Q25,'B3'!Q25),0)</f>
        <v>0</v>
      </c>
      <c r="R87" s="123">
        <f>IFERROR(MIN('B1'!R25,'B2'!R25,'B3'!R25),0)</f>
        <v>0</v>
      </c>
      <c r="S87" s="123">
        <f>IFERROR(MIN('B1'!S25,'B2'!S25,'B3'!S25),0)</f>
        <v>0</v>
      </c>
      <c r="T87" s="123">
        <f>IFERROR(MIN('B1'!T25,'B2'!T25,'B3'!T25),0)</f>
        <v>0</v>
      </c>
      <c r="U87" s="123">
        <f>IFERROR(MIN('B1'!U25,'B2'!U25,'B3'!U25),0)</f>
        <v>0</v>
      </c>
      <c r="V87" s="123">
        <f>IFERROR(MIN('B1'!V25,'B2'!V25,'B3'!V25),0)</f>
        <v>0</v>
      </c>
      <c r="W87" s="123">
        <f>IFERROR(MIN('B1'!W25,'B2'!W25,'B3'!W25),0)</f>
        <v>0</v>
      </c>
      <c r="X87" s="123">
        <f>IFERROR(MIN('B1'!X25,'B2'!X25,'B3'!X25),0)</f>
        <v>0</v>
      </c>
      <c r="Y87" s="123">
        <f>IFERROR(MIN('B1'!Y25,'B2'!Y25,'B3'!Y25),0)</f>
        <v>0</v>
      </c>
      <c r="Z87" s="123">
        <f>IFERROR(MIN('B1'!Z25,'B2'!Z25,'B3'!Z25),0)</f>
        <v>0</v>
      </c>
      <c r="AA87" s="123">
        <f>IFERROR(MIN('B1'!AB25,'B2'!AA25,'B3'!AA25),0)</f>
        <v>0</v>
      </c>
      <c r="AB87" s="123">
        <f>IFERROR(MIN('B1'!AC25,'B2'!AB25,'B3'!AB25),0)</f>
        <v>0</v>
      </c>
      <c r="AC87" s="123">
        <f>IFERROR(MIN('B1'!AD25,'B2'!AC25,'B3'!AC25),0)</f>
        <v>0</v>
      </c>
      <c r="AD87" s="123">
        <f>IFERROR(MIN('B1'!AE25,'B2'!AD25,'B3'!AD25),0)</f>
        <v>0</v>
      </c>
      <c r="AE87" s="123">
        <f>IFERROR(MIN('B1'!AF25,'B2'!AE25,'B3'!AE25),0)</f>
        <v>0</v>
      </c>
      <c r="AF87" s="123">
        <f>IFERROR(MIN('B1'!AG25,'B2'!AF25,'B3'!AF25),0)</f>
        <v>0</v>
      </c>
      <c r="AG87" s="123">
        <f>IFERROR(MIN('B1'!AH25,'B2'!AG25,'B3'!AG25),0)</f>
        <v>0</v>
      </c>
      <c r="AH87" s="123">
        <f>IFERROR(MIN('B1'!AI25,'B2'!AH25,'B3'!AH25),0)</f>
        <v>0</v>
      </c>
      <c r="AI87" s="123">
        <f>IFERROR(MIN('B1'!AJ25,'B2'!AI25,'B3'!AI25),0)</f>
        <v>0</v>
      </c>
      <c r="AJ87" s="123">
        <f>IFERROR(MIN('B1'!AK25,'B2'!AJ25,'B3'!AJ25),0)</f>
        <v>0</v>
      </c>
      <c r="AK87" s="123">
        <f>IFERROR(MIN('B1'!AL25,'B2'!AK25,'B3'!AK25),0)</f>
        <v>0</v>
      </c>
      <c r="AL87" s="123">
        <f>IFERROR(MIN('B1'!AM25,'B2'!AL25,'B3'!AL25),0)</f>
        <v>0</v>
      </c>
      <c r="AM87" s="123">
        <f>IFERROR(MIN('B1'!AN25,'B2'!AM25,'B3'!AM25),0)</f>
        <v>0</v>
      </c>
      <c r="AN87" s="123">
        <f>IFERROR(MIN('B1'!AO25,'B2'!AN25,'B3'!AN25),0)</f>
        <v>0</v>
      </c>
      <c r="AO87" s="123">
        <f>IFERROR(MIN('B1'!AP25,'B2'!AO25,'B3'!AO25),0)</f>
        <v>0</v>
      </c>
      <c r="AP87" s="123">
        <f>IFERROR(MIN('B1'!AQ25,'B2'!AP25,'B3'!AP25),0)</f>
        <v>0</v>
      </c>
      <c r="AQ87" s="123">
        <f>IFERROR(MIN('B1'!AR25,'B2'!AQ25,'B3'!AQ25),0)</f>
        <v>0</v>
      </c>
      <c r="AR87" s="123">
        <f>IFERROR(MIN('B1'!AS25,'B2'!AR25,'B3'!AR25),0)</f>
        <v>0</v>
      </c>
      <c r="AS87" s="123">
        <f>IFERROR(MIN('B1'!AT25,'B2'!AS25,'B3'!AS25),0)</f>
        <v>0</v>
      </c>
      <c r="AT87" s="123">
        <f>IFERROR(MIN('B1'!AU25,'B2'!AT25,'B3'!AT25),0)</f>
        <v>0</v>
      </c>
      <c r="AU87" s="123">
        <f>IFERROR(MIN('B1'!AV25,'B2'!AU25,'B3'!AU25),0)</f>
        <v>0</v>
      </c>
      <c r="AV87" s="123">
        <f>IFERROR(MIN('B1'!AW25,'B2'!AV25,'B3'!AV25),0)</f>
        <v>0</v>
      </c>
      <c r="AW87" s="123">
        <f>IFERROR(MIN('B1'!AX25,'B2'!AW25,'B3'!AW25),0)</f>
        <v>0</v>
      </c>
      <c r="AX87" s="123">
        <f>IFERROR(MIN('B1'!AY25,'B2'!AX25,'B3'!AX25),0)</f>
        <v>0</v>
      </c>
      <c r="AY87" s="123">
        <f>IFERROR(MIN('B1'!AZ25,'B2'!AY25,'B3'!AY25),0)</f>
        <v>0</v>
      </c>
      <c r="AZ87" s="123">
        <f>IFERROR(MIN('B1'!BA25,'B2'!AZ25,'B3'!AZ25),0)</f>
        <v>0</v>
      </c>
      <c r="BA87" s="123">
        <f>IFERROR(MIN('B1'!BB25,'B2'!BA25,'B3'!BA25),0)</f>
        <v>0</v>
      </c>
      <c r="BB87" s="123">
        <f>IFERROR(MIN('B1'!#REF!,'B2'!#REF!,'B3'!#REF!),0)</f>
        <v>0</v>
      </c>
      <c r="BC87" s="123">
        <f>IFERROR(MIN('B1'!#REF!,'B2'!#REF!,'B3'!#REF!),0)</f>
        <v>0</v>
      </c>
      <c r="BD87" s="123">
        <f>IFERROR(MIN('B1'!#REF!,'B2'!#REF!,'B3'!#REF!),0)</f>
        <v>0</v>
      </c>
      <c r="BE87" s="123">
        <f>IFERROR(MIN('B1'!#REF!,'B2'!#REF!,'B3'!#REF!),0)</f>
        <v>0</v>
      </c>
      <c r="BF87" s="123">
        <f>IFERROR(MIN('B1'!#REF!,'B2'!#REF!,'B3'!#REF!),0)</f>
        <v>0</v>
      </c>
      <c r="BG87" s="123">
        <f>IFERROR(MIN('B1'!#REF!,'B2'!#REF!,'B3'!#REF!),0)</f>
        <v>0</v>
      </c>
      <c r="BH87" s="123">
        <f>IFERROR(MIN('B1'!#REF!,'B2'!#REF!,'B3'!#REF!),0)</f>
        <v>0</v>
      </c>
      <c r="BI87" s="123">
        <f>IFERROR(MIN('B1'!#REF!,'B2'!#REF!,'B3'!#REF!),0)</f>
        <v>0</v>
      </c>
      <c r="BJ87" s="123">
        <f>IFERROR(MIN('B1'!#REF!,'B2'!#REF!,'B3'!#REF!),0)</f>
        <v>0</v>
      </c>
      <c r="BK87" s="123">
        <f>IFERROR(MIN('B1'!#REF!,'B2'!#REF!,'B3'!#REF!),0)</f>
        <v>0</v>
      </c>
      <c r="BL87" s="123">
        <f>IFERROR(MIN('B1'!#REF!,'B2'!#REF!,'B3'!#REF!),0)</f>
        <v>0</v>
      </c>
      <c r="BM87" s="123">
        <f>IFERROR(MIN('B1'!#REF!,'B2'!#REF!,'B3'!#REF!),0)</f>
        <v>0</v>
      </c>
      <c r="BN87" s="123">
        <f>IFERROR(MIN('B1'!#REF!,'B2'!#REF!,'B3'!#REF!),0)</f>
        <v>0</v>
      </c>
      <c r="BO87" s="123">
        <f>IFERROR(MIN('B1'!#REF!,'B2'!#REF!,'B3'!#REF!),0)</f>
        <v>0</v>
      </c>
      <c r="BP87" s="123">
        <f>IFERROR(MIN('B1'!#REF!,'B2'!#REF!,'B3'!#REF!),0)</f>
        <v>0</v>
      </c>
      <c r="BQ87" s="123">
        <f>IFERROR(MIN('B1'!#REF!,'B2'!#REF!,'B3'!#REF!),0)</f>
        <v>0</v>
      </c>
      <c r="BR87" s="123">
        <f>IFERROR(MIN('B1'!#REF!,'B2'!#REF!,'B3'!#REF!),0)</f>
        <v>0</v>
      </c>
      <c r="BS87" s="123">
        <f>IFERROR(MIN('B1'!#REF!,'B2'!#REF!,'B3'!#REF!),0)</f>
        <v>0</v>
      </c>
      <c r="BT87" s="123"/>
      <c r="BU87" s="123">
        <f>IFERROR(MIN('B1'!#REF!,'B2'!#REF!,'B3'!#REF!),0)</f>
        <v>0</v>
      </c>
      <c r="BV87" s="123">
        <f>IFERROR(MIN('B1'!#REF!,'B2'!#REF!,'B3'!#REF!),0)</f>
        <v>0</v>
      </c>
      <c r="BW87" s="123">
        <f>IFERROR(MIN('B1'!#REF!,'B2'!#REF!,'B3'!#REF!),0)</f>
        <v>0</v>
      </c>
      <c r="BX87" s="123">
        <f>IFERROR(MIN('B1'!#REF!,'B2'!#REF!,'B3'!#REF!),0)</f>
        <v>0</v>
      </c>
    </row>
    <row r="88" spans="1:76" s="66" customFormat="1" ht="16" thickBot="1" x14ac:dyDescent="0.4">
      <c r="A88" s="63">
        <f t="shared" si="20"/>
        <v>0</v>
      </c>
      <c r="B88" s="137">
        <f t="shared" si="20"/>
        <v>0</v>
      </c>
      <c r="C88" s="41">
        <f t="shared" si="19"/>
        <v>20</v>
      </c>
      <c r="D88" s="123">
        <f>IFERROR(MIN('B1'!D26,'B2'!D26,'B3'!D26),0)</f>
        <v>0</v>
      </c>
      <c r="E88" s="123">
        <f>IFERROR(MIN('B1'!E26,'B2'!E26,'B3'!E26),0)</f>
        <v>0</v>
      </c>
      <c r="F88" s="123">
        <f>IFERROR(MIN('B1'!F26,'B2'!F26,'B3'!F26),0)</f>
        <v>0</v>
      </c>
      <c r="G88" s="123">
        <f>IFERROR(MIN('B1'!G26,'B2'!G26,'B3'!G26),0)</f>
        <v>0</v>
      </c>
      <c r="H88" s="123">
        <f>IFERROR(MIN('B1'!H26,'B2'!H26,'B3'!H26),0)</f>
        <v>0</v>
      </c>
      <c r="I88" s="123">
        <f>IFERROR(MIN('B1'!I26,'B2'!I26,'B3'!I26),0)</f>
        <v>0</v>
      </c>
      <c r="J88" s="123">
        <f>IFERROR(MIN('B1'!J26,'B2'!J26,'B3'!J26),0)</f>
        <v>0</v>
      </c>
      <c r="K88" s="123">
        <f>IFERROR(MIN('B1'!K26,'B2'!K26,'B3'!K26),0)</f>
        <v>0</v>
      </c>
      <c r="L88" s="123">
        <f>IFERROR(MIN('B1'!L26,'B2'!L26,'B3'!L26),0)</f>
        <v>0</v>
      </c>
      <c r="M88" s="123">
        <f>IFERROR(MIN('B1'!M26,'B2'!M26,'B3'!M26),0)</f>
        <v>0</v>
      </c>
      <c r="N88" s="123">
        <f>IFERROR(MIN('B1'!N26,'B2'!N26,'B3'!N26),0)</f>
        <v>0</v>
      </c>
      <c r="O88" s="123">
        <f>IFERROR(MIN('B1'!O26,'B2'!O26,'B3'!O26),0)</f>
        <v>0</v>
      </c>
      <c r="P88" s="123">
        <f>IFERROR(MIN('B1'!P26,'B2'!P26,'B3'!P26),0)</f>
        <v>0</v>
      </c>
      <c r="Q88" s="123">
        <f>IFERROR(MIN('B1'!Q26,'B2'!Q26,'B3'!Q26),0)</f>
        <v>0</v>
      </c>
      <c r="R88" s="123">
        <f>IFERROR(MIN('B1'!R26,'B2'!R26,'B3'!R26),0)</f>
        <v>0</v>
      </c>
      <c r="S88" s="123">
        <f>IFERROR(MIN('B1'!S26,'B2'!S26,'B3'!S26),0)</f>
        <v>0</v>
      </c>
      <c r="T88" s="123">
        <f>IFERROR(MIN('B1'!T26,'B2'!T26,'B3'!T26),0)</f>
        <v>0</v>
      </c>
      <c r="U88" s="123">
        <f>IFERROR(MIN('B1'!U26,'B2'!U26,'B3'!U26),0)</f>
        <v>0</v>
      </c>
      <c r="V88" s="123">
        <f>IFERROR(MIN('B1'!V26,'B2'!V26,'B3'!V26),0)</f>
        <v>0</v>
      </c>
      <c r="W88" s="123">
        <f>IFERROR(MIN('B1'!W26,'B2'!W26,'B3'!W26),0)</f>
        <v>0</v>
      </c>
      <c r="X88" s="123">
        <f>IFERROR(MIN('B1'!X26,'B2'!X26,'B3'!X26),0)</f>
        <v>0</v>
      </c>
      <c r="Y88" s="123">
        <f>IFERROR(MIN('B1'!Y26,'B2'!Y26,'B3'!Y26),0)</f>
        <v>0</v>
      </c>
      <c r="Z88" s="123">
        <f>IFERROR(MIN('B1'!Z26,'B2'!Z26,'B3'!Z26),0)</f>
        <v>0</v>
      </c>
      <c r="AA88" s="123">
        <f>IFERROR(MIN('B1'!AB26,'B2'!AA26,'B3'!AA26),0)</f>
        <v>0</v>
      </c>
      <c r="AB88" s="123">
        <f>IFERROR(MIN('B1'!AC26,'B2'!AB26,'B3'!AB26),0)</f>
        <v>0</v>
      </c>
      <c r="AC88" s="123">
        <f>IFERROR(MIN('B1'!AD26,'B2'!AC26,'B3'!AC26),0)</f>
        <v>0</v>
      </c>
      <c r="AD88" s="123">
        <f>IFERROR(MIN('B1'!AE26,'B2'!AD26,'B3'!AD26),0)</f>
        <v>0</v>
      </c>
      <c r="AE88" s="123">
        <f>IFERROR(MIN('B1'!AF26,'B2'!AE26,'B3'!AE26),0)</f>
        <v>0</v>
      </c>
      <c r="AF88" s="123">
        <f>IFERROR(MIN('B1'!AG26,'B2'!AF26,'B3'!AF26),0)</f>
        <v>0</v>
      </c>
      <c r="AG88" s="123">
        <f>IFERROR(MIN('B1'!AH26,'B2'!AG26,'B3'!AG26),0)</f>
        <v>0</v>
      </c>
      <c r="AH88" s="123">
        <f>IFERROR(MIN('B1'!AI26,'B2'!AH26,'B3'!AH26),0)</f>
        <v>0</v>
      </c>
      <c r="AI88" s="123">
        <f>IFERROR(MIN('B1'!AJ26,'B2'!AI26,'B3'!AI26),0)</f>
        <v>0</v>
      </c>
      <c r="AJ88" s="123">
        <f>IFERROR(MIN('B1'!AK26,'B2'!AJ26,'B3'!AJ26),0)</f>
        <v>0</v>
      </c>
      <c r="AK88" s="123">
        <f>IFERROR(MIN('B1'!AL26,'B2'!AK26,'B3'!AK26),0)</f>
        <v>0</v>
      </c>
      <c r="AL88" s="123">
        <f>IFERROR(MIN('B1'!AM26,'B2'!AL26,'B3'!AL26),0)</f>
        <v>0</v>
      </c>
      <c r="AM88" s="123">
        <f>IFERROR(MIN('B1'!AN26,'B2'!AM26,'B3'!AM26),0)</f>
        <v>0</v>
      </c>
      <c r="AN88" s="123">
        <f>IFERROR(MIN('B1'!AO26,'B2'!AN26,'B3'!AN26),0)</f>
        <v>0</v>
      </c>
      <c r="AO88" s="123">
        <f>IFERROR(MIN('B1'!AP26,'B2'!AO26,'B3'!AO26),0)</f>
        <v>0</v>
      </c>
      <c r="AP88" s="123">
        <f>IFERROR(MIN('B1'!AQ26,'B2'!AP26,'B3'!AP26),0)</f>
        <v>0</v>
      </c>
      <c r="AQ88" s="123">
        <f>IFERROR(MIN('B1'!AR26,'B2'!AQ26,'B3'!AQ26),0)</f>
        <v>0</v>
      </c>
      <c r="AR88" s="123">
        <f>IFERROR(MIN('B1'!AS26,'B2'!AR26,'B3'!AR26),0)</f>
        <v>0</v>
      </c>
      <c r="AS88" s="123">
        <f>IFERROR(MIN('B1'!AT26,'B2'!AS26,'B3'!AS26),0)</f>
        <v>0</v>
      </c>
      <c r="AT88" s="123">
        <f>IFERROR(MIN('B1'!AU26,'B2'!AT26,'B3'!AT26),0)</f>
        <v>0</v>
      </c>
      <c r="AU88" s="123">
        <f>IFERROR(MIN('B1'!AV26,'B2'!AU26,'B3'!AU26),0)</f>
        <v>0</v>
      </c>
      <c r="AV88" s="123">
        <f>IFERROR(MIN('B1'!AW26,'B2'!AV26,'B3'!AV26),0)</f>
        <v>0</v>
      </c>
      <c r="AW88" s="123">
        <f>IFERROR(MIN('B1'!AX26,'B2'!AW26,'B3'!AW26),0)</f>
        <v>0</v>
      </c>
      <c r="AX88" s="123">
        <f>IFERROR(MIN('B1'!AY26,'B2'!AX26,'B3'!AX26),0)</f>
        <v>0</v>
      </c>
      <c r="AY88" s="123">
        <f>IFERROR(MIN('B1'!AZ26,'B2'!AY26,'B3'!AY26),0)</f>
        <v>0</v>
      </c>
      <c r="AZ88" s="123">
        <f>IFERROR(MIN('B1'!BA26,'B2'!AZ26,'B3'!AZ26),0)</f>
        <v>0</v>
      </c>
      <c r="BA88" s="123">
        <f>IFERROR(MIN('B1'!BB26,'B2'!BA26,'B3'!BA26),0)</f>
        <v>0</v>
      </c>
      <c r="BB88" s="123">
        <f>IFERROR(MIN('B1'!#REF!,'B2'!#REF!,'B3'!#REF!),0)</f>
        <v>0</v>
      </c>
      <c r="BC88" s="123">
        <f>IFERROR(MIN('B1'!#REF!,'B2'!#REF!,'B3'!#REF!),0)</f>
        <v>0</v>
      </c>
      <c r="BD88" s="123">
        <f>IFERROR(MIN('B1'!#REF!,'B2'!#REF!,'B3'!#REF!),0)</f>
        <v>0</v>
      </c>
      <c r="BE88" s="123">
        <f>IFERROR(MIN('B1'!#REF!,'B2'!#REF!,'B3'!#REF!),0)</f>
        <v>0</v>
      </c>
      <c r="BF88" s="123">
        <f>IFERROR(MIN('B1'!#REF!,'B2'!#REF!,'B3'!#REF!),0)</f>
        <v>0</v>
      </c>
      <c r="BG88" s="123">
        <f>IFERROR(MIN('B1'!#REF!,'B2'!#REF!,'B3'!#REF!),0)</f>
        <v>0</v>
      </c>
      <c r="BH88" s="123">
        <f>IFERROR(MIN('B1'!#REF!,'B2'!#REF!,'B3'!#REF!),0)</f>
        <v>0</v>
      </c>
      <c r="BI88" s="123">
        <f>IFERROR(MIN('B1'!#REF!,'B2'!#REF!,'B3'!#REF!),0)</f>
        <v>0</v>
      </c>
      <c r="BJ88" s="123">
        <f>IFERROR(MIN('B1'!#REF!,'B2'!#REF!,'B3'!#REF!),0)</f>
        <v>0</v>
      </c>
      <c r="BK88" s="123">
        <f>IFERROR(MIN('B1'!#REF!,'B2'!#REF!,'B3'!#REF!),0)</f>
        <v>0</v>
      </c>
      <c r="BL88" s="123">
        <f>IFERROR(MIN('B1'!#REF!,'B2'!#REF!,'B3'!#REF!),0)</f>
        <v>0</v>
      </c>
      <c r="BM88" s="123">
        <f>IFERROR(MIN('B1'!#REF!,'B2'!#REF!,'B3'!#REF!),0)</f>
        <v>0</v>
      </c>
      <c r="BN88" s="123">
        <f>IFERROR(MIN('B1'!#REF!,'B2'!#REF!,'B3'!#REF!),0)</f>
        <v>0</v>
      </c>
      <c r="BO88" s="123">
        <f>IFERROR(MIN('B1'!#REF!,'B2'!#REF!,'B3'!#REF!),0)</f>
        <v>0</v>
      </c>
      <c r="BP88" s="123">
        <f>IFERROR(MIN('B1'!#REF!,'B2'!#REF!,'B3'!#REF!),0)</f>
        <v>0</v>
      </c>
      <c r="BQ88" s="123">
        <f>IFERROR(MIN('B1'!#REF!,'B2'!#REF!,'B3'!#REF!),0)</f>
        <v>0</v>
      </c>
      <c r="BR88" s="123">
        <f>IFERROR(MIN('B1'!#REF!,'B2'!#REF!,'B3'!#REF!),0)</f>
        <v>0</v>
      </c>
      <c r="BS88" s="123">
        <f>IFERROR(MIN('B1'!#REF!,'B2'!#REF!,'B3'!#REF!),0)</f>
        <v>0</v>
      </c>
      <c r="BT88" s="123"/>
      <c r="BU88" s="123">
        <f>IFERROR(MIN('B1'!#REF!,'B2'!#REF!,'B3'!#REF!),0)</f>
        <v>0</v>
      </c>
      <c r="BV88" s="123">
        <f>IFERROR(MIN('B1'!#REF!,'B2'!#REF!,'B3'!#REF!),0)</f>
        <v>0</v>
      </c>
      <c r="BW88" s="123">
        <f>IFERROR(MIN('B1'!#REF!,'B2'!#REF!,'B3'!#REF!),0)</f>
        <v>0</v>
      </c>
      <c r="BX88" s="123">
        <f>IFERROR(MIN('B1'!#REF!,'B2'!#REF!,'B3'!#REF!),0)</f>
        <v>0</v>
      </c>
    </row>
    <row r="89" spans="1:76" s="47" customFormat="1" ht="16" thickBot="1" x14ac:dyDescent="0.4">
      <c r="A89" s="63">
        <f t="shared" si="20"/>
        <v>0</v>
      </c>
      <c r="B89" s="137">
        <f t="shared" si="20"/>
        <v>0</v>
      </c>
      <c r="C89" s="41">
        <f t="shared" si="19"/>
        <v>0</v>
      </c>
      <c r="D89" s="123">
        <f>IFERROR(MIN('B1'!D27,'B2'!D27,'B3'!D27),0)</f>
        <v>0</v>
      </c>
      <c r="E89" s="123">
        <f>IFERROR(MIN('B1'!E27,'B2'!E27,'B3'!E27),0)</f>
        <v>0</v>
      </c>
      <c r="F89" s="123">
        <f>IFERROR(MIN('B1'!F27,'B2'!F27,'B3'!F27),0)</f>
        <v>0</v>
      </c>
      <c r="G89" s="123">
        <f>IFERROR(MIN('B1'!G27,'B2'!G27,'B3'!G27),0)</f>
        <v>0</v>
      </c>
      <c r="H89" s="123">
        <f>IFERROR(MIN('B1'!H27,'B2'!H27,'B3'!H27),0)</f>
        <v>0</v>
      </c>
      <c r="I89" s="123">
        <f>IFERROR(MIN('B1'!I27,'B2'!I27,'B3'!I27),0)</f>
        <v>0</v>
      </c>
      <c r="J89" s="123">
        <f>IFERROR(MIN('B1'!J27,'B2'!J27,'B3'!J27),0)</f>
        <v>0</v>
      </c>
      <c r="K89" s="123">
        <f>IFERROR(MIN('B1'!K27,'B2'!K27,'B3'!K27),0)</f>
        <v>0</v>
      </c>
      <c r="L89" s="123">
        <f>IFERROR(MIN('B1'!L27,'B2'!L27,'B3'!L27),0)</f>
        <v>0</v>
      </c>
      <c r="M89" s="123">
        <f>IFERROR(MIN('B1'!M27,'B2'!M27,'B3'!M27),0)</f>
        <v>0</v>
      </c>
      <c r="N89" s="123">
        <f>IFERROR(MIN('B1'!N27,'B2'!N27,'B3'!N27),0)</f>
        <v>0</v>
      </c>
      <c r="O89" s="123">
        <f>IFERROR(MIN('B1'!O27,'B2'!O27,'B3'!O27),0)</f>
        <v>0</v>
      </c>
      <c r="P89" s="123">
        <f>IFERROR(MIN('B1'!P27,'B2'!P27,'B3'!P27),0)</f>
        <v>0</v>
      </c>
      <c r="Q89" s="123">
        <f>IFERROR(MIN('B1'!Q27,'B2'!Q27,'B3'!Q27),0)</f>
        <v>0</v>
      </c>
      <c r="R89" s="123">
        <f>IFERROR(MIN('B1'!R27,'B2'!R27,'B3'!R27),0)</f>
        <v>0</v>
      </c>
      <c r="S89" s="123">
        <f>IFERROR(MIN('B1'!S27,'B2'!S27,'B3'!S27),0)</f>
        <v>0</v>
      </c>
      <c r="T89" s="123">
        <f>IFERROR(MIN('B1'!T27,'B2'!T27,'B3'!T27),0)</f>
        <v>0</v>
      </c>
      <c r="U89" s="123">
        <f>IFERROR(MIN('B1'!U27,'B2'!U27,'B3'!U27),0)</f>
        <v>0</v>
      </c>
      <c r="V89" s="123">
        <f>IFERROR(MIN('B1'!V27,'B2'!V27,'B3'!V27),0)</f>
        <v>0</v>
      </c>
      <c r="W89" s="123">
        <f>IFERROR(MIN('B1'!W27,'B2'!W27,'B3'!W27),0)</f>
        <v>0</v>
      </c>
      <c r="X89" s="123">
        <f>IFERROR(MIN('B1'!X27,'B2'!X27,'B3'!X27),0)</f>
        <v>0</v>
      </c>
      <c r="Y89" s="123">
        <f>IFERROR(MIN('B1'!Y27,'B2'!Y27,'B3'!Y27),0)</f>
        <v>0</v>
      </c>
      <c r="Z89" s="123">
        <f>IFERROR(MIN('B1'!Z27,'B2'!Z27,'B3'!Z27),0)</f>
        <v>0</v>
      </c>
      <c r="AA89" s="123">
        <f>IFERROR(MIN('B1'!AB27,'B2'!AA27,'B3'!AA27),0)</f>
        <v>0</v>
      </c>
      <c r="AB89" s="123">
        <f>IFERROR(MIN('B1'!AC27,'B2'!AB27,'B3'!AB27),0)</f>
        <v>0</v>
      </c>
      <c r="AC89" s="123">
        <f>IFERROR(MIN('B1'!AD27,'B2'!AC27,'B3'!AC27),0)</f>
        <v>0</v>
      </c>
      <c r="AD89" s="123">
        <f>IFERROR(MIN('B1'!AE27,'B2'!AD27,'B3'!AD27),0)</f>
        <v>0</v>
      </c>
      <c r="AE89" s="123">
        <f>IFERROR(MIN('B1'!AF27,'B2'!AE27,'B3'!AE27),0)</f>
        <v>0</v>
      </c>
      <c r="AF89" s="123">
        <f>IFERROR(MIN('B1'!AG27,'B2'!AF27,'B3'!AF27),0)</f>
        <v>0</v>
      </c>
      <c r="AG89" s="123">
        <f>IFERROR(MIN('B1'!AH27,'B2'!AG27,'B3'!AG27),0)</f>
        <v>0</v>
      </c>
      <c r="AH89" s="123">
        <f>IFERROR(MIN('B1'!AI27,'B2'!AH27,'B3'!AH27),0)</f>
        <v>0</v>
      </c>
      <c r="AI89" s="123">
        <f>IFERROR(MIN('B1'!AJ27,'B2'!AI27,'B3'!AI27),0)</f>
        <v>0</v>
      </c>
      <c r="AJ89" s="123">
        <f>IFERROR(MIN('B1'!AK27,'B2'!AJ27,'B3'!AJ27),0)</f>
        <v>0</v>
      </c>
      <c r="AK89" s="123">
        <f>IFERROR(MIN('B1'!AL27,'B2'!AK27,'B3'!AK27),0)</f>
        <v>0</v>
      </c>
      <c r="AL89" s="123">
        <f>IFERROR(MIN('B1'!AM27,'B2'!AL27,'B3'!AL27),0)</f>
        <v>0</v>
      </c>
      <c r="AM89" s="123">
        <f>IFERROR(MIN('B1'!AN27,'B2'!AM27,'B3'!AM27),0)</f>
        <v>0</v>
      </c>
      <c r="AN89" s="123">
        <f>IFERROR(MIN('B1'!AO27,'B2'!AN27,'B3'!AN27),0)</f>
        <v>0</v>
      </c>
      <c r="AO89" s="123">
        <f>IFERROR(MIN('B1'!AP27,'B2'!AO27,'B3'!AO27),0)</f>
        <v>0</v>
      </c>
      <c r="AP89" s="123">
        <f>IFERROR(MIN('B1'!AQ27,'B2'!AP27,'B3'!AP27),0)</f>
        <v>0</v>
      </c>
      <c r="AQ89" s="123">
        <f>IFERROR(MIN('B1'!AR27,'B2'!AQ27,'B3'!AQ27),0)</f>
        <v>0</v>
      </c>
      <c r="AR89" s="123">
        <f>IFERROR(MIN('B1'!AS27,'B2'!AR27,'B3'!AR27),0)</f>
        <v>0</v>
      </c>
      <c r="AS89" s="123">
        <f>IFERROR(MIN('B1'!AT27,'B2'!AS27,'B3'!AS27),0)</f>
        <v>0</v>
      </c>
      <c r="AT89" s="123">
        <f>IFERROR(MIN('B1'!AU27,'B2'!AT27,'B3'!AT27),0)</f>
        <v>0</v>
      </c>
      <c r="AU89" s="123">
        <f>IFERROR(MIN('B1'!AV27,'B2'!AU27,'B3'!AU27),0)</f>
        <v>0</v>
      </c>
      <c r="AV89" s="123">
        <f>IFERROR(MIN('B1'!AW27,'B2'!AV27,'B3'!AV27),0)</f>
        <v>0</v>
      </c>
      <c r="AW89" s="123">
        <f>IFERROR(MIN('B1'!AX27,'B2'!AW27,'B3'!AW27),0)</f>
        <v>0</v>
      </c>
      <c r="AX89" s="123">
        <f>IFERROR(MIN('B1'!AY27,'B2'!AX27,'B3'!AX27),0)</f>
        <v>0</v>
      </c>
      <c r="AY89" s="123">
        <f>IFERROR(MIN('B1'!AZ27,'B2'!AY27,'B3'!AY27),0)</f>
        <v>0</v>
      </c>
      <c r="AZ89" s="123">
        <f>IFERROR(MIN('B1'!BA27,'B2'!AZ27,'B3'!AZ27),0)</f>
        <v>0</v>
      </c>
      <c r="BA89" s="123">
        <f>IFERROR(MIN('B1'!BB27,'B2'!BA27,'B3'!BA27),0)</f>
        <v>0</v>
      </c>
      <c r="BB89" s="123">
        <f>IFERROR(MIN('B1'!#REF!,'B2'!#REF!,'B3'!#REF!),0)</f>
        <v>0</v>
      </c>
      <c r="BC89" s="123">
        <f>IFERROR(MIN('B1'!#REF!,'B2'!#REF!,'B3'!#REF!),0)</f>
        <v>0</v>
      </c>
      <c r="BD89" s="123">
        <f>IFERROR(MIN('B1'!#REF!,'B2'!#REF!,'B3'!#REF!),0)</f>
        <v>0</v>
      </c>
      <c r="BE89" s="123">
        <f>IFERROR(MIN('B1'!#REF!,'B2'!#REF!,'B3'!#REF!),0)</f>
        <v>0</v>
      </c>
      <c r="BF89" s="123">
        <f>IFERROR(MIN('B1'!#REF!,'B2'!#REF!,'B3'!#REF!),0)</f>
        <v>0</v>
      </c>
      <c r="BG89" s="123">
        <f>IFERROR(MIN('B1'!#REF!,'B2'!#REF!,'B3'!#REF!),0)</f>
        <v>0</v>
      </c>
      <c r="BH89" s="123">
        <f>IFERROR(MIN('B1'!#REF!,'B2'!#REF!,'B3'!#REF!),0)</f>
        <v>0</v>
      </c>
      <c r="BI89" s="123">
        <f>IFERROR(MIN('B1'!#REF!,'B2'!#REF!,'B3'!#REF!),0)</f>
        <v>0</v>
      </c>
      <c r="BJ89" s="123">
        <f>IFERROR(MIN('B1'!#REF!,'B2'!#REF!,'B3'!#REF!),0)</f>
        <v>0</v>
      </c>
      <c r="BK89" s="123">
        <f>IFERROR(MIN('B1'!#REF!,'B2'!#REF!,'B3'!#REF!),0)</f>
        <v>0</v>
      </c>
      <c r="BL89" s="123">
        <f>IFERROR(MIN('B1'!#REF!,'B2'!#REF!,'B3'!#REF!),0)</f>
        <v>0</v>
      </c>
      <c r="BM89" s="123">
        <f>IFERROR(MIN('B1'!#REF!,'B2'!#REF!,'B3'!#REF!),0)</f>
        <v>0</v>
      </c>
      <c r="BN89" s="123">
        <f>IFERROR(MIN('B1'!#REF!,'B2'!#REF!,'B3'!#REF!),0)</f>
        <v>0</v>
      </c>
      <c r="BO89" s="123">
        <f>IFERROR(MIN('B1'!#REF!,'B2'!#REF!,'B3'!#REF!),0)</f>
        <v>0</v>
      </c>
      <c r="BP89" s="123">
        <f>IFERROR(MIN('B1'!#REF!,'B2'!#REF!,'B3'!#REF!),0)</f>
        <v>0</v>
      </c>
      <c r="BQ89" s="123">
        <f>IFERROR(MIN('B1'!#REF!,'B2'!#REF!,'B3'!#REF!),0)</f>
        <v>0</v>
      </c>
      <c r="BR89" s="123">
        <f>IFERROR(MIN('B1'!#REF!,'B2'!#REF!,'B3'!#REF!),0)</f>
        <v>0</v>
      </c>
      <c r="BS89" s="123">
        <f>IFERROR(MIN('B1'!#REF!,'B2'!#REF!,'B3'!#REF!),0)</f>
        <v>0</v>
      </c>
      <c r="BT89" s="123"/>
      <c r="BU89" s="123">
        <f>IFERROR(MIN('B1'!#REF!,'B2'!#REF!,'B3'!#REF!),0)</f>
        <v>0</v>
      </c>
      <c r="BV89" s="123">
        <f>IFERROR(MIN('B1'!#REF!,'B2'!#REF!,'B3'!#REF!),0)</f>
        <v>0</v>
      </c>
      <c r="BW89" s="123">
        <f>IFERROR(MIN('B1'!#REF!,'B2'!#REF!,'B3'!#REF!),0)</f>
        <v>0</v>
      </c>
      <c r="BX89" s="123">
        <f>IFERROR(MIN('B1'!#REF!,'B2'!#REF!,'B3'!#REF!),0)</f>
        <v>0</v>
      </c>
    </row>
    <row r="90" spans="1:76" s="66" customFormat="1" ht="16" thickBot="1" x14ac:dyDescent="0.4">
      <c r="A90" s="63">
        <f t="shared" si="20"/>
        <v>0</v>
      </c>
      <c r="B90" s="137">
        <f t="shared" si="20"/>
        <v>0</v>
      </c>
      <c r="C90" s="41">
        <f t="shared" si="19"/>
        <v>0</v>
      </c>
      <c r="D90" s="123">
        <f>IFERROR(MIN('B1'!D28,'B2'!D28,'B3'!D28),0)</f>
        <v>0</v>
      </c>
      <c r="E90" s="123">
        <f>IFERROR(MIN('B1'!E28,'B2'!E28,'B3'!E28),0)</f>
        <v>0</v>
      </c>
      <c r="F90" s="123">
        <f>IFERROR(MIN('B1'!F28,'B2'!F28,'B3'!F28),0)</f>
        <v>0</v>
      </c>
      <c r="G90" s="123">
        <f>IFERROR(MIN('B1'!G28,'B2'!G28,'B3'!G28),0)</f>
        <v>0</v>
      </c>
      <c r="H90" s="123">
        <f>IFERROR(MIN('B1'!H28,'B2'!H28,'B3'!H28),0)</f>
        <v>0</v>
      </c>
      <c r="I90" s="123">
        <f>IFERROR(MIN('B1'!I28,'B2'!I28,'B3'!I28),0)</f>
        <v>0</v>
      </c>
      <c r="J90" s="123">
        <f>IFERROR(MIN('B1'!J28,'B2'!J28,'B3'!J28),0)</f>
        <v>0</v>
      </c>
      <c r="K90" s="123">
        <f>IFERROR(MIN('B1'!K28,'B2'!K28,'B3'!K28),0)</f>
        <v>0</v>
      </c>
      <c r="L90" s="123">
        <f>IFERROR(MIN('B1'!L28,'B2'!L28,'B3'!L28),0)</f>
        <v>0</v>
      </c>
      <c r="M90" s="123">
        <f>IFERROR(MIN('B1'!M28,'B2'!M28,'B3'!M28),0)</f>
        <v>0</v>
      </c>
      <c r="N90" s="123">
        <f>IFERROR(MIN('B1'!N28,'B2'!N28,'B3'!N28),0)</f>
        <v>0</v>
      </c>
      <c r="O90" s="123">
        <f>IFERROR(MIN('B1'!O28,'B2'!O28,'B3'!O28),0)</f>
        <v>0</v>
      </c>
      <c r="P90" s="123">
        <f>IFERROR(MIN('B1'!P28,'B2'!P28,'B3'!P28),0)</f>
        <v>0</v>
      </c>
      <c r="Q90" s="123">
        <f>IFERROR(MIN('B1'!Q28,'B2'!Q28,'B3'!Q28),0)</f>
        <v>0</v>
      </c>
      <c r="R90" s="123">
        <f>IFERROR(MIN('B1'!R28,'B2'!R28,'B3'!R28),0)</f>
        <v>0</v>
      </c>
      <c r="S90" s="123">
        <f>IFERROR(MIN('B1'!S28,'B2'!S28,'B3'!S28),0)</f>
        <v>0</v>
      </c>
      <c r="T90" s="123">
        <f>IFERROR(MIN('B1'!T28,'B2'!T28,'B3'!T28),0)</f>
        <v>0</v>
      </c>
      <c r="U90" s="123">
        <f>IFERROR(MIN('B1'!U28,'B2'!U28,'B3'!U28),0)</f>
        <v>0</v>
      </c>
      <c r="V90" s="123">
        <f>IFERROR(MIN('B1'!V28,'B2'!V28,'B3'!V28),0)</f>
        <v>0</v>
      </c>
      <c r="W90" s="123">
        <f>IFERROR(MIN('B1'!W28,'B2'!W28,'B3'!W28),0)</f>
        <v>0</v>
      </c>
      <c r="X90" s="123">
        <f>IFERROR(MIN('B1'!X28,'B2'!X28,'B3'!X28),0)</f>
        <v>0</v>
      </c>
      <c r="Y90" s="123">
        <f>IFERROR(MIN('B1'!Y28,'B2'!Y28,'B3'!Y28),0)</f>
        <v>0</v>
      </c>
      <c r="Z90" s="123">
        <f>IFERROR(MIN('B1'!Z28,'B2'!Z28,'B3'!Z28),0)</f>
        <v>0</v>
      </c>
      <c r="AA90" s="123">
        <f>IFERROR(MIN('B1'!AB28,'B2'!AA28,'B3'!AA28),0)</f>
        <v>0</v>
      </c>
      <c r="AB90" s="123">
        <f>IFERROR(MIN('B1'!AC28,'B2'!AB28,'B3'!AB28),0)</f>
        <v>0</v>
      </c>
      <c r="AC90" s="123">
        <f>IFERROR(MIN('B1'!AD28,'B2'!AC28,'B3'!AC28),0)</f>
        <v>0</v>
      </c>
      <c r="AD90" s="123">
        <f>IFERROR(MIN('B1'!AE28,'B2'!AD28,'B3'!AD28),0)</f>
        <v>0</v>
      </c>
      <c r="AE90" s="123">
        <f>IFERROR(MIN('B1'!AF28,'B2'!AE28,'B3'!AE28),0)</f>
        <v>0</v>
      </c>
      <c r="AF90" s="123">
        <f>IFERROR(MIN('B1'!AG28,'B2'!AF28,'B3'!AF28),0)</f>
        <v>0</v>
      </c>
      <c r="AG90" s="123">
        <f>IFERROR(MIN('B1'!AH28,'B2'!AG28,'B3'!AG28),0)</f>
        <v>0</v>
      </c>
      <c r="AH90" s="123">
        <f>IFERROR(MIN('B1'!AI28,'B2'!AH28,'B3'!AH28),0)</f>
        <v>0</v>
      </c>
      <c r="AI90" s="123">
        <f>IFERROR(MIN('B1'!AJ28,'B2'!AI28,'B3'!AI28),0)</f>
        <v>0</v>
      </c>
      <c r="AJ90" s="123">
        <f>IFERROR(MIN('B1'!AK28,'B2'!AJ28,'B3'!AJ28),0)</f>
        <v>0</v>
      </c>
      <c r="AK90" s="123">
        <f>IFERROR(MIN('B1'!AL28,'B2'!AK28,'B3'!AK28),0)</f>
        <v>0</v>
      </c>
      <c r="AL90" s="123">
        <f>IFERROR(MIN('B1'!AM28,'B2'!AL28,'B3'!AL28),0)</f>
        <v>0</v>
      </c>
      <c r="AM90" s="123">
        <f>IFERROR(MIN('B1'!AN28,'B2'!AM28,'B3'!AM28),0)</f>
        <v>0</v>
      </c>
      <c r="AN90" s="123">
        <f>IFERROR(MIN('B1'!AO28,'B2'!AN28,'B3'!AN28),0)</f>
        <v>0</v>
      </c>
      <c r="AO90" s="123">
        <f>IFERROR(MIN('B1'!AP28,'B2'!AO28,'B3'!AO28),0)</f>
        <v>0</v>
      </c>
      <c r="AP90" s="123">
        <f>IFERROR(MIN('B1'!AQ28,'B2'!AP28,'B3'!AP28),0)</f>
        <v>0</v>
      </c>
      <c r="AQ90" s="123">
        <f>IFERROR(MIN('B1'!AR28,'B2'!AQ28,'B3'!AQ28),0)</f>
        <v>0</v>
      </c>
      <c r="AR90" s="123">
        <f>IFERROR(MIN('B1'!AS28,'B2'!AR28,'B3'!AR28),0)</f>
        <v>0</v>
      </c>
      <c r="AS90" s="123">
        <f>IFERROR(MIN('B1'!AT28,'B2'!AS28,'B3'!AS28),0)</f>
        <v>0</v>
      </c>
      <c r="AT90" s="123">
        <f>IFERROR(MIN('B1'!AU28,'B2'!AT28,'B3'!AT28),0)</f>
        <v>0</v>
      </c>
      <c r="AU90" s="123">
        <f>IFERROR(MIN('B1'!AV28,'B2'!AU28,'B3'!AU28),0)</f>
        <v>0</v>
      </c>
      <c r="AV90" s="123">
        <f>IFERROR(MIN('B1'!AW28,'B2'!AV28,'B3'!AV28),0)</f>
        <v>0</v>
      </c>
      <c r="AW90" s="123">
        <f>IFERROR(MIN('B1'!AX28,'B2'!AW28,'B3'!AW28),0)</f>
        <v>0</v>
      </c>
      <c r="AX90" s="123">
        <f>IFERROR(MIN('B1'!AY28,'B2'!AX28,'B3'!AX28),0)</f>
        <v>0</v>
      </c>
      <c r="AY90" s="123">
        <f>IFERROR(MIN('B1'!AZ28,'B2'!AY28,'B3'!AY28),0)</f>
        <v>0</v>
      </c>
      <c r="AZ90" s="123">
        <f>IFERROR(MIN('B1'!BA28,'B2'!AZ28,'B3'!AZ28),0)</f>
        <v>0</v>
      </c>
      <c r="BA90" s="123">
        <f>IFERROR(MIN('B1'!BB28,'B2'!BA28,'B3'!BA28),0)</f>
        <v>0</v>
      </c>
      <c r="BB90" s="123">
        <f>IFERROR(MIN('B1'!#REF!,'B2'!#REF!,'B3'!#REF!),0)</f>
        <v>0</v>
      </c>
      <c r="BC90" s="123">
        <f>IFERROR(MIN('B1'!#REF!,'B2'!#REF!,'B3'!#REF!),0)</f>
        <v>0</v>
      </c>
      <c r="BD90" s="123">
        <f>IFERROR(MIN('B1'!#REF!,'B2'!#REF!,'B3'!#REF!),0)</f>
        <v>0</v>
      </c>
      <c r="BE90" s="123">
        <f>IFERROR(MIN('B1'!#REF!,'B2'!#REF!,'B3'!#REF!),0)</f>
        <v>0</v>
      </c>
      <c r="BF90" s="123">
        <f>IFERROR(MIN('B1'!#REF!,'B2'!#REF!,'B3'!#REF!),0)</f>
        <v>0</v>
      </c>
      <c r="BG90" s="123">
        <f>IFERROR(MIN('B1'!#REF!,'B2'!#REF!,'B3'!#REF!),0)</f>
        <v>0</v>
      </c>
      <c r="BH90" s="123">
        <f>IFERROR(MIN('B1'!#REF!,'B2'!#REF!,'B3'!#REF!),0)</f>
        <v>0</v>
      </c>
      <c r="BI90" s="123">
        <f>IFERROR(MIN('B1'!#REF!,'B2'!#REF!,'B3'!#REF!),0)</f>
        <v>0</v>
      </c>
      <c r="BJ90" s="123">
        <f>IFERROR(MIN('B1'!#REF!,'B2'!#REF!,'B3'!#REF!),0)</f>
        <v>0</v>
      </c>
      <c r="BK90" s="123">
        <f>IFERROR(MIN('B1'!#REF!,'B2'!#REF!,'B3'!#REF!),0)</f>
        <v>0</v>
      </c>
      <c r="BL90" s="123">
        <f>IFERROR(MIN('B1'!#REF!,'B2'!#REF!,'B3'!#REF!),0)</f>
        <v>0</v>
      </c>
      <c r="BM90" s="123">
        <f>IFERROR(MIN('B1'!#REF!,'B2'!#REF!,'B3'!#REF!),0)</f>
        <v>0</v>
      </c>
      <c r="BN90" s="123">
        <f>IFERROR(MIN('B1'!#REF!,'B2'!#REF!,'B3'!#REF!),0)</f>
        <v>0</v>
      </c>
      <c r="BO90" s="123">
        <f>IFERROR(MIN('B1'!#REF!,'B2'!#REF!,'B3'!#REF!),0)</f>
        <v>0</v>
      </c>
      <c r="BP90" s="123">
        <f>IFERROR(MIN('B1'!#REF!,'B2'!#REF!,'B3'!#REF!),0)</f>
        <v>0</v>
      </c>
      <c r="BQ90" s="123">
        <f>IFERROR(MIN('B1'!#REF!,'B2'!#REF!,'B3'!#REF!),0)</f>
        <v>0</v>
      </c>
      <c r="BR90" s="123">
        <f>IFERROR(MIN('B1'!#REF!,'B2'!#REF!,'B3'!#REF!),0)</f>
        <v>0</v>
      </c>
      <c r="BS90" s="123">
        <f>IFERROR(MIN('B1'!#REF!,'B2'!#REF!,'B3'!#REF!),0)</f>
        <v>0</v>
      </c>
      <c r="BT90" s="123"/>
      <c r="BU90" s="123">
        <f>IFERROR(MIN('B1'!#REF!,'B2'!#REF!,'B3'!#REF!),0)</f>
        <v>0</v>
      </c>
      <c r="BV90" s="123">
        <f>IFERROR(MIN('B1'!#REF!,'B2'!#REF!,'B3'!#REF!),0)</f>
        <v>0</v>
      </c>
      <c r="BW90" s="123">
        <f>IFERROR(MIN('B1'!#REF!,'B2'!#REF!,'B3'!#REF!),0)</f>
        <v>0</v>
      </c>
      <c r="BX90" s="123">
        <f>IFERROR(MIN('B1'!#REF!,'B2'!#REF!,'B3'!#REF!),0)</f>
        <v>0</v>
      </c>
    </row>
    <row r="91" spans="1:76" s="47" customFormat="1" ht="16" thickBot="1" x14ac:dyDescent="0.4">
      <c r="A91" s="63">
        <f t="shared" si="20"/>
        <v>0</v>
      </c>
      <c r="B91" s="137">
        <f t="shared" si="20"/>
        <v>0</v>
      </c>
      <c r="C91" s="41">
        <f t="shared" si="19"/>
        <v>0</v>
      </c>
      <c r="D91" s="123">
        <f>IFERROR(MIN('B1'!D29,'B2'!D29,'B3'!D29),0)</f>
        <v>0</v>
      </c>
      <c r="E91" s="123">
        <f>IFERROR(MIN('B1'!E29,'B2'!E29,'B3'!E29),0)</f>
        <v>0</v>
      </c>
      <c r="F91" s="123">
        <f>IFERROR(MIN('B1'!F29,'B2'!F29,'B3'!F29),0)</f>
        <v>0</v>
      </c>
      <c r="G91" s="123">
        <f>IFERROR(MIN('B1'!G29,'B2'!G29,'B3'!G29),0)</f>
        <v>0</v>
      </c>
      <c r="H91" s="123">
        <f>IFERROR(MIN('B1'!H29,'B2'!H29,'B3'!H29),0)</f>
        <v>0</v>
      </c>
      <c r="I91" s="123">
        <f>IFERROR(MIN('B1'!I29,'B2'!I29,'B3'!I29),0)</f>
        <v>0</v>
      </c>
      <c r="J91" s="123">
        <f>IFERROR(MIN('B1'!J29,'B2'!J29,'B3'!J29),0)</f>
        <v>0</v>
      </c>
      <c r="K91" s="123">
        <f>IFERROR(MIN('B1'!K29,'B2'!K29,'B3'!K29),0)</f>
        <v>0</v>
      </c>
      <c r="L91" s="123">
        <f>IFERROR(MIN('B1'!L29,'B2'!L29,'B3'!L29),0)</f>
        <v>0</v>
      </c>
      <c r="M91" s="123">
        <f>IFERROR(MIN('B1'!M29,'B2'!M29,'B3'!M29),0)</f>
        <v>0</v>
      </c>
      <c r="N91" s="123">
        <f>IFERROR(MIN('B1'!N29,'B2'!N29,'B3'!N29),0)</f>
        <v>0</v>
      </c>
      <c r="O91" s="123">
        <f>IFERROR(MIN('B1'!O29,'B2'!O29,'B3'!O29),0)</f>
        <v>0</v>
      </c>
      <c r="P91" s="123">
        <f>IFERROR(MIN('B1'!P29,'B2'!P29,'B3'!P29),0)</f>
        <v>0</v>
      </c>
      <c r="Q91" s="123">
        <f>IFERROR(MIN('B1'!Q29,'B2'!Q29,'B3'!Q29),0)</f>
        <v>0</v>
      </c>
      <c r="R91" s="123">
        <f>IFERROR(MIN('B1'!R29,'B2'!R29,'B3'!R29),0)</f>
        <v>0</v>
      </c>
      <c r="S91" s="123">
        <f>IFERROR(MIN('B1'!S29,'B2'!S29,'B3'!S29),0)</f>
        <v>0</v>
      </c>
      <c r="T91" s="123">
        <f>IFERROR(MIN('B1'!T29,'B2'!T29,'B3'!T29),0)</f>
        <v>0</v>
      </c>
      <c r="U91" s="123">
        <f>IFERROR(MIN('B1'!U29,'B2'!U29,'B3'!U29),0)</f>
        <v>0</v>
      </c>
      <c r="V91" s="123">
        <f>IFERROR(MIN('B1'!V29,'B2'!V29,'B3'!V29),0)</f>
        <v>0</v>
      </c>
      <c r="W91" s="123">
        <f>IFERROR(MIN('B1'!W29,'B2'!W29,'B3'!W29),0)</f>
        <v>0</v>
      </c>
      <c r="X91" s="123">
        <f>IFERROR(MIN('B1'!X29,'B2'!X29,'B3'!X29),0)</f>
        <v>0</v>
      </c>
      <c r="Y91" s="123">
        <f>IFERROR(MIN('B1'!Y29,'B2'!Y29,'B3'!Y29),0)</f>
        <v>0</v>
      </c>
      <c r="Z91" s="123">
        <f>IFERROR(MIN('B1'!Z29,'B2'!Z29,'B3'!Z29),0)</f>
        <v>0</v>
      </c>
      <c r="AA91" s="123">
        <f>IFERROR(MIN('B1'!AB29,'B2'!AA29,'B3'!AA29),0)</f>
        <v>0</v>
      </c>
      <c r="AB91" s="123">
        <f>IFERROR(MIN('B1'!AC29,'B2'!AB29,'B3'!AB29),0)</f>
        <v>0</v>
      </c>
      <c r="AC91" s="123">
        <f>IFERROR(MIN('B1'!AD29,'B2'!AC29,'B3'!AC29),0)</f>
        <v>0</v>
      </c>
      <c r="AD91" s="123">
        <f>IFERROR(MIN('B1'!AE29,'B2'!AD29,'B3'!AD29),0)</f>
        <v>0</v>
      </c>
      <c r="AE91" s="123">
        <f>IFERROR(MIN('B1'!AF29,'B2'!AE29,'B3'!AE29),0)</f>
        <v>0</v>
      </c>
      <c r="AF91" s="123">
        <f>IFERROR(MIN('B1'!AG29,'B2'!AF29,'B3'!AF29),0)</f>
        <v>0</v>
      </c>
      <c r="AG91" s="123">
        <f>IFERROR(MIN('B1'!AH29,'B2'!AG29,'B3'!AG29),0)</f>
        <v>0</v>
      </c>
      <c r="AH91" s="123">
        <f>IFERROR(MIN('B1'!AI29,'B2'!AH29,'B3'!AH29),0)</f>
        <v>0</v>
      </c>
      <c r="AI91" s="123">
        <f>IFERROR(MIN('B1'!AJ29,'B2'!AI29,'B3'!AI29),0)</f>
        <v>0</v>
      </c>
      <c r="AJ91" s="123">
        <f>IFERROR(MIN('B1'!AK29,'B2'!AJ29,'B3'!AJ29),0)</f>
        <v>0</v>
      </c>
      <c r="AK91" s="123">
        <f>IFERROR(MIN('B1'!AL29,'B2'!AK29,'B3'!AK29),0)</f>
        <v>0</v>
      </c>
      <c r="AL91" s="123">
        <f>IFERROR(MIN('B1'!AM29,'B2'!AL29,'B3'!AL29),0)</f>
        <v>0</v>
      </c>
      <c r="AM91" s="123">
        <f>IFERROR(MIN('B1'!AN29,'B2'!AM29,'B3'!AM29),0)</f>
        <v>0</v>
      </c>
      <c r="AN91" s="123">
        <f>IFERROR(MIN('B1'!AO29,'B2'!AN29,'B3'!AN29),0)</f>
        <v>0</v>
      </c>
      <c r="AO91" s="123">
        <f>IFERROR(MIN('B1'!AP29,'B2'!AO29,'B3'!AO29),0)</f>
        <v>0</v>
      </c>
      <c r="AP91" s="123">
        <f>IFERROR(MIN('B1'!AQ29,'B2'!AP29,'B3'!AP29),0)</f>
        <v>0</v>
      </c>
      <c r="AQ91" s="123">
        <f>IFERROR(MIN('B1'!AR29,'B2'!AQ29,'B3'!AQ29),0)</f>
        <v>0</v>
      </c>
      <c r="AR91" s="123">
        <f>IFERROR(MIN('B1'!AS29,'B2'!AR29,'B3'!AR29),0)</f>
        <v>0</v>
      </c>
      <c r="AS91" s="123">
        <f>IFERROR(MIN('B1'!AT29,'B2'!AS29,'B3'!AS29),0)</f>
        <v>0</v>
      </c>
      <c r="AT91" s="123">
        <f>IFERROR(MIN('B1'!AU29,'B2'!AT29,'B3'!AT29),0)</f>
        <v>0</v>
      </c>
      <c r="AU91" s="123">
        <f>IFERROR(MIN('B1'!AV29,'B2'!AU29,'B3'!AU29),0)</f>
        <v>0</v>
      </c>
      <c r="AV91" s="123">
        <f>IFERROR(MIN('B1'!AW29,'B2'!AV29,'B3'!AV29),0)</f>
        <v>0</v>
      </c>
      <c r="AW91" s="123">
        <f>IFERROR(MIN('B1'!AX29,'B2'!AW29,'B3'!AW29),0)</f>
        <v>0</v>
      </c>
      <c r="AX91" s="123">
        <f>IFERROR(MIN('B1'!AY29,'B2'!AX29,'B3'!AX29),0)</f>
        <v>0</v>
      </c>
      <c r="AY91" s="123">
        <f>IFERROR(MIN('B1'!AZ29,'B2'!AY29,'B3'!AY29),0)</f>
        <v>0</v>
      </c>
      <c r="AZ91" s="123">
        <f>IFERROR(MIN('B1'!BA29,'B2'!AZ29,'B3'!AZ29),0)</f>
        <v>0</v>
      </c>
      <c r="BA91" s="123">
        <f>IFERROR(MIN('B1'!BB29,'B2'!BA29,'B3'!BA29),0)</f>
        <v>0</v>
      </c>
      <c r="BB91" s="123">
        <f>IFERROR(MIN('B1'!#REF!,'B2'!#REF!,'B3'!#REF!),0)</f>
        <v>0</v>
      </c>
      <c r="BC91" s="123">
        <f>IFERROR(MIN('B1'!#REF!,'B2'!#REF!,'B3'!#REF!),0)</f>
        <v>0</v>
      </c>
      <c r="BD91" s="123">
        <f>IFERROR(MIN('B1'!#REF!,'B2'!#REF!,'B3'!#REF!),0)</f>
        <v>0</v>
      </c>
      <c r="BE91" s="123">
        <f>IFERROR(MIN('B1'!#REF!,'B2'!#REF!,'B3'!#REF!),0)</f>
        <v>0</v>
      </c>
      <c r="BF91" s="123">
        <f>IFERROR(MIN('B1'!#REF!,'B2'!#REF!,'B3'!#REF!),0)</f>
        <v>0</v>
      </c>
      <c r="BG91" s="123">
        <f>IFERROR(MIN('B1'!#REF!,'B2'!#REF!,'B3'!#REF!),0)</f>
        <v>0</v>
      </c>
      <c r="BH91" s="123">
        <f>IFERROR(MIN('B1'!#REF!,'B2'!#REF!,'B3'!#REF!),0)</f>
        <v>0</v>
      </c>
      <c r="BI91" s="123">
        <f>IFERROR(MIN('B1'!#REF!,'B2'!#REF!,'B3'!#REF!),0)</f>
        <v>0</v>
      </c>
      <c r="BJ91" s="123">
        <f>IFERROR(MIN('B1'!#REF!,'B2'!#REF!,'B3'!#REF!),0)</f>
        <v>0</v>
      </c>
      <c r="BK91" s="123">
        <f>IFERROR(MIN('B1'!#REF!,'B2'!#REF!,'B3'!#REF!),0)</f>
        <v>0</v>
      </c>
      <c r="BL91" s="123">
        <f>IFERROR(MIN('B1'!#REF!,'B2'!#REF!,'B3'!#REF!),0)</f>
        <v>0</v>
      </c>
      <c r="BM91" s="123">
        <f>IFERROR(MIN('B1'!#REF!,'B2'!#REF!,'B3'!#REF!),0)</f>
        <v>0</v>
      </c>
      <c r="BN91" s="123">
        <f>IFERROR(MIN('B1'!#REF!,'B2'!#REF!,'B3'!#REF!),0)</f>
        <v>0</v>
      </c>
      <c r="BO91" s="123">
        <f>IFERROR(MIN('B1'!#REF!,'B2'!#REF!,'B3'!#REF!),0)</f>
        <v>0</v>
      </c>
      <c r="BP91" s="123">
        <f>IFERROR(MIN('B1'!#REF!,'B2'!#REF!,'B3'!#REF!),0)</f>
        <v>0</v>
      </c>
      <c r="BQ91" s="123">
        <f>IFERROR(MIN('B1'!#REF!,'B2'!#REF!,'B3'!#REF!),0)</f>
        <v>0</v>
      </c>
      <c r="BR91" s="123">
        <f>IFERROR(MIN('B1'!#REF!,'B2'!#REF!,'B3'!#REF!),0)</f>
        <v>0</v>
      </c>
      <c r="BS91" s="123">
        <f>IFERROR(MIN('B1'!#REF!,'B2'!#REF!,'B3'!#REF!),0)</f>
        <v>0</v>
      </c>
      <c r="BT91" s="123"/>
      <c r="BU91" s="123">
        <f>IFERROR(MIN('B1'!#REF!,'B2'!#REF!,'B3'!#REF!),0)</f>
        <v>0</v>
      </c>
      <c r="BV91" s="123">
        <f>IFERROR(MIN('B1'!#REF!,'B2'!#REF!,'B3'!#REF!),0)</f>
        <v>0</v>
      </c>
      <c r="BW91" s="123">
        <f>IFERROR(MIN('B1'!#REF!,'B2'!#REF!,'B3'!#REF!),0)</f>
        <v>0</v>
      </c>
      <c r="BX91" s="123">
        <f>IFERROR(MIN('B1'!#REF!,'B2'!#REF!,'B3'!#REF!),0)</f>
        <v>0</v>
      </c>
    </row>
    <row r="92" spans="1:76" s="66" customFormat="1" ht="16" thickBot="1" x14ac:dyDescent="0.4">
      <c r="A92" s="63">
        <f t="shared" si="20"/>
        <v>0</v>
      </c>
      <c r="B92" s="137">
        <f t="shared" si="20"/>
        <v>0</v>
      </c>
      <c r="C92" s="41">
        <f t="shared" si="19"/>
        <v>0</v>
      </c>
      <c r="D92" s="123">
        <f>IFERROR(MIN('B1'!D30,'B2'!D30,'B3'!D30),0)</f>
        <v>0</v>
      </c>
      <c r="E92" s="123">
        <f>IFERROR(MIN('B1'!E30,'B2'!E30,'B3'!E30),0)</f>
        <v>0</v>
      </c>
      <c r="F92" s="123">
        <f>IFERROR(MIN('B1'!F30,'B2'!F30,'B3'!F30),0)</f>
        <v>0</v>
      </c>
      <c r="G92" s="123">
        <f>IFERROR(MIN('B1'!G30,'B2'!G30,'B3'!G30),0)</f>
        <v>0</v>
      </c>
      <c r="H92" s="123">
        <f>IFERROR(MIN('B1'!H30,'B2'!H30,'B3'!H30),0)</f>
        <v>0</v>
      </c>
      <c r="I92" s="123">
        <f>IFERROR(MIN('B1'!I30,'B2'!I30,'B3'!I30),0)</f>
        <v>0</v>
      </c>
      <c r="J92" s="123">
        <f>IFERROR(MIN('B1'!J30,'B2'!J30,'B3'!J30),0)</f>
        <v>0</v>
      </c>
      <c r="K92" s="123">
        <f>IFERROR(MIN('B1'!K30,'B2'!K30,'B3'!K30),0)</f>
        <v>0</v>
      </c>
      <c r="L92" s="123">
        <f>IFERROR(MIN('B1'!L30,'B2'!L30,'B3'!L30),0)</f>
        <v>0</v>
      </c>
      <c r="M92" s="123">
        <f>IFERROR(MIN('B1'!M30,'B2'!M30,'B3'!M30),0)</f>
        <v>0</v>
      </c>
      <c r="N92" s="123">
        <f>IFERROR(MIN('B1'!N30,'B2'!N30,'B3'!N30),0)</f>
        <v>0</v>
      </c>
      <c r="O92" s="123">
        <f>IFERROR(MIN('B1'!O30,'B2'!O30,'B3'!O30),0)</f>
        <v>0</v>
      </c>
      <c r="P92" s="123">
        <f>IFERROR(MIN('B1'!P30,'B2'!P30,'B3'!P30),0)</f>
        <v>0</v>
      </c>
      <c r="Q92" s="123">
        <f>IFERROR(MIN('B1'!Q30,'B2'!Q30,'B3'!Q30),0)</f>
        <v>0</v>
      </c>
      <c r="R92" s="123">
        <f>IFERROR(MIN('B1'!R30,'B2'!R30,'B3'!R30),0)</f>
        <v>0</v>
      </c>
      <c r="S92" s="123">
        <f>IFERROR(MIN('B1'!S30,'B2'!S30,'B3'!S30),0)</f>
        <v>0</v>
      </c>
      <c r="T92" s="123">
        <f>IFERROR(MIN('B1'!T30,'B2'!T30,'B3'!T30),0)</f>
        <v>0</v>
      </c>
      <c r="U92" s="123">
        <f>IFERROR(MIN('B1'!U30,'B2'!U30,'B3'!U30),0)</f>
        <v>0</v>
      </c>
      <c r="V92" s="123">
        <f>IFERROR(MIN('B1'!V30,'B2'!V30,'B3'!V30),0)</f>
        <v>0</v>
      </c>
      <c r="W92" s="123">
        <f>IFERROR(MIN('B1'!W30,'B2'!W30,'B3'!W30),0)</f>
        <v>0</v>
      </c>
      <c r="X92" s="123">
        <f>IFERROR(MIN('B1'!X30,'B2'!X30,'B3'!X30),0)</f>
        <v>0</v>
      </c>
      <c r="Y92" s="123">
        <f>IFERROR(MIN('B1'!Y30,'B2'!Y30,'B3'!Y30),0)</f>
        <v>0</v>
      </c>
      <c r="Z92" s="123">
        <f>IFERROR(MIN('B1'!Z30,'B2'!Z30,'B3'!Z30),0)</f>
        <v>0</v>
      </c>
      <c r="AA92" s="123">
        <f>IFERROR(MIN('B1'!AB30,'B2'!AA30,'B3'!AA30),0)</f>
        <v>0</v>
      </c>
      <c r="AB92" s="123">
        <f>IFERROR(MIN('B1'!AC30,'B2'!AB30,'B3'!AB30),0)</f>
        <v>0</v>
      </c>
      <c r="AC92" s="123">
        <f>IFERROR(MIN('B1'!AD30,'B2'!AC30,'B3'!AC30),0)</f>
        <v>0</v>
      </c>
      <c r="AD92" s="123">
        <f>IFERROR(MIN('B1'!AE30,'B2'!AD30,'B3'!AD30),0)</f>
        <v>0</v>
      </c>
      <c r="AE92" s="123">
        <f>IFERROR(MIN('B1'!AF30,'B2'!AE30,'B3'!AE30),0)</f>
        <v>0</v>
      </c>
      <c r="AF92" s="123">
        <f>IFERROR(MIN('B1'!AG30,'B2'!AF30,'B3'!AF30),0)</f>
        <v>0</v>
      </c>
      <c r="AG92" s="123">
        <f>IFERROR(MIN('B1'!AH30,'B2'!AG30,'B3'!AG30),0)</f>
        <v>0</v>
      </c>
      <c r="AH92" s="123">
        <f>IFERROR(MIN('B1'!AI30,'B2'!AH30,'B3'!AH30),0)</f>
        <v>0</v>
      </c>
      <c r="AI92" s="123">
        <f>IFERROR(MIN('B1'!AJ30,'B2'!AI30,'B3'!AI30),0)</f>
        <v>0</v>
      </c>
      <c r="AJ92" s="123">
        <f>IFERROR(MIN('B1'!AK30,'B2'!AJ30,'B3'!AJ30),0)</f>
        <v>0</v>
      </c>
      <c r="AK92" s="123">
        <f>IFERROR(MIN('B1'!AL30,'B2'!AK30,'B3'!AK30),0)</f>
        <v>0</v>
      </c>
      <c r="AL92" s="123">
        <f>IFERROR(MIN('B1'!AM30,'B2'!AL30,'B3'!AL30),0)</f>
        <v>0</v>
      </c>
      <c r="AM92" s="123">
        <f>IFERROR(MIN('B1'!AN30,'B2'!AM30,'B3'!AM30),0)</f>
        <v>0</v>
      </c>
      <c r="AN92" s="123">
        <f>IFERROR(MIN('B1'!AO30,'B2'!AN30,'B3'!AN30),0)</f>
        <v>0</v>
      </c>
      <c r="AO92" s="123">
        <f>IFERROR(MIN('B1'!AP30,'B2'!AO30,'B3'!AO30),0)</f>
        <v>0</v>
      </c>
      <c r="AP92" s="123">
        <f>IFERROR(MIN('B1'!AQ30,'B2'!AP30,'B3'!AP30),0)</f>
        <v>0</v>
      </c>
      <c r="AQ92" s="123">
        <f>IFERROR(MIN('B1'!AR30,'B2'!AQ30,'B3'!AQ30),0)</f>
        <v>0</v>
      </c>
      <c r="AR92" s="123">
        <f>IFERROR(MIN('B1'!AS30,'B2'!AR30,'B3'!AR30),0)</f>
        <v>0</v>
      </c>
      <c r="AS92" s="123">
        <f>IFERROR(MIN('B1'!AT30,'B2'!AS30,'B3'!AS30),0)</f>
        <v>0</v>
      </c>
      <c r="AT92" s="123">
        <f>IFERROR(MIN('B1'!AU30,'B2'!AT30,'B3'!AT30),0)</f>
        <v>0</v>
      </c>
      <c r="AU92" s="123">
        <f>IFERROR(MIN('B1'!AV30,'B2'!AU30,'B3'!AU30),0)</f>
        <v>0</v>
      </c>
      <c r="AV92" s="123">
        <f>IFERROR(MIN('B1'!AW30,'B2'!AV30,'B3'!AV30),0)</f>
        <v>0</v>
      </c>
      <c r="AW92" s="123">
        <f>IFERROR(MIN('B1'!AX30,'B2'!AW30,'B3'!AW30),0)</f>
        <v>0</v>
      </c>
      <c r="AX92" s="123">
        <f>IFERROR(MIN('B1'!AY30,'B2'!AX30,'B3'!AX30),0)</f>
        <v>0</v>
      </c>
      <c r="AY92" s="123">
        <f>IFERROR(MIN('B1'!AZ30,'B2'!AY30,'B3'!AY30),0)</f>
        <v>0</v>
      </c>
      <c r="AZ92" s="123">
        <f>IFERROR(MIN('B1'!BA30,'B2'!AZ30,'B3'!AZ30),0)</f>
        <v>0</v>
      </c>
      <c r="BA92" s="123">
        <f>IFERROR(MIN('B1'!BB30,'B2'!BA30,'B3'!BA30),0)</f>
        <v>0</v>
      </c>
      <c r="BB92" s="123">
        <f>IFERROR(MIN('B1'!#REF!,'B2'!#REF!,'B3'!#REF!),0)</f>
        <v>0</v>
      </c>
      <c r="BC92" s="123">
        <f>IFERROR(MIN('B1'!#REF!,'B2'!#REF!,'B3'!#REF!),0)</f>
        <v>0</v>
      </c>
      <c r="BD92" s="123">
        <f>IFERROR(MIN('B1'!#REF!,'B2'!#REF!,'B3'!#REF!),0)</f>
        <v>0</v>
      </c>
      <c r="BE92" s="123">
        <f>IFERROR(MIN('B1'!#REF!,'B2'!#REF!,'B3'!#REF!),0)</f>
        <v>0</v>
      </c>
      <c r="BF92" s="123">
        <f>IFERROR(MIN('B1'!#REF!,'B2'!#REF!,'B3'!#REF!),0)</f>
        <v>0</v>
      </c>
      <c r="BG92" s="123">
        <f>IFERROR(MIN('B1'!#REF!,'B2'!#REF!,'B3'!#REF!),0)</f>
        <v>0</v>
      </c>
      <c r="BH92" s="123">
        <f>IFERROR(MIN('B1'!#REF!,'B2'!#REF!,'B3'!#REF!),0)</f>
        <v>0</v>
      </c>
      <c r="BI92" s="123">
        <f>IFERROR(MIN('B1'!#REF!,'B2'!#REF!,'B3'!#REF!),0)</f>
        <v>0</v>
      </c>
      <c r="BJ92" s="123">
        <f>IFERROR(MIN('B1'!#REF!,'B2'!#REF!,'B3'!#REF!),0)</f>
        <v>0</v>
      </c>
      <c r="BK92" s="123">
        <f>IFERROR(MIN('B1'!#REF!,'B2'!#REF!,'B3'!#REF!),0)</f>
        <v>0</v>
      </c>
      <c r="BL92" s="123">
        <f>IFERROR(MIN('B1'!#REF!,'B2'!#REF!,'B3'!#REF!),0)</f>
        <v>0</v>
      </c>
      <c r="BM92" s="123">
        <f>IFERROR(MIN('B1'!#REF!,'B2'!#REF!,'B3'!#REF!),0)</f>
        <v>0</v>
      </c>
      <c r="BN92" s="123">
        <f>IFERROR(MIN('B1'!#REF!,'B2'!#REF!,'B3'!#REF!),0)</f>
        <v>0</v>
      </c>
      <c r="BO92" s="123">
        <f>IFERROR(MIN('B1'!#REF!,'B2'!#REF!,'B3'!#REF!),0)</f>
        <v>0</v>
      </c>
      <c r="BP92" s="123">
        <f>IFERROR(MIN('B1'!#REF!,'B2'!#REF!,'B3'!#REF!),0)</f>
        <v>0</v>
      </c>
      <c r="BQ92" s="123">
        <f>IFERROR(MIN('B1'!#REF!,'B2'!#REF!,'B3'!#REF!),0)</f>
        <v>0</v>
      </c>
      <c r="BR92" s="123">
        <f>IFERROR(MIN('B1'!#REF!,'B2'!#REF!,'B3'!#REF!),0)</f>
        <v>0</v>
      </c>
      <c r="BS92" s="123">
        <f>IFERROR(MIN('B1'!#REF!,'B2'!#REF!,'B3'!#REF!),0)</f>
        <v>0</v>
      </c>
      <c r="BT92" s="123"/>
      <c r="BU92" s="123">
        <f>IFERROR(MIN('B1'!#REF!,'B2'!#REF!,'B3'!#REF!),0)</f>
        <v>0</v>
      </c>
      <c r="BV92" s="123">
        <f>IFERROR(MIN('B1'!#REF!,'B2'!#REF!,'B3'!#REF!),0)</f>
        <v>0</v>
      </c>
      <c r="BW92" s="123">
        <f>IFERROR(MIN('B1'!#REF!,'B2'!#REF!,'B3'!#REF!),0)</f>
        <v>0</v>
      </c>
      <c r="BX92" s="123">
        <f>IFERROR(MIN('B1'!#REF!,'B2'!#REF!,'B3'!#REF!),0)</f>
        <v>0</v>
      </c>
    </row>
    <row r="93" spans="1:76" s="47" customFormat="1" ht="16" thickBot="1" x14ac:dyDescent="0.4">
      <c r="A93" s="63">
        <f t="shared" si="20"/>
        <v>0</v>
      </c>
      <c r="B93" s="137">
        <f t="shared" si="20"/>
        <v>0</v>
      </c>
      <c r="C93" s="41">
        <f t="shared" si="19"/>
        <v>0</v>
      </c>
      <c r="D93" s="123">
        <f>IFERROR(MIN('B1'!D31,'B2'!D31,'B3'!D31),0)</f>
        <v>0</v>
      </c>
      <c r="E93" s="123">
        <f>IFERROR(MIN('B1'!E31,'B2'!E31,'B3'!E31),0)</f>
        <v>0</v>
      </c>
      <c r="F93" s="123">
        <f>IFERROR(MIN('B1'!F31,'B2'!F31,'B3'!F31),0)</f>
        <v>0</v>
      </c>
      <c r="G93" s="123">
        <f>IFERROR(MIN('B1'!G31,'B2'!G31,'B3'!G31),0)</f>
        <v>0</v>
      </c>
      <c r="H93" s="123">
        <f>IFERROR(MIN('B1'!H31,'B2'!H31,'B3'!H31),0)</f>
        <v>0</v>
      </c>
      <c r="I93" s="123">
        <f>IFERROR(MIN('B1'!I31,'B2'!I31,'B3'!I31),0)</f>
        <v>0</v>
      </c>
      <c r="J93" s="123">
        <f>IFERROR(MIN('B1'!J31,'B2'!J31,'B3'!J31),0)</f>
        <v>0</v>
      </c>
      <c r="K93" s="123">
        <f>IFERROR(MIN('B1'!K31,'B2'!K31,'B3'!K31),0)</f>
        <v>0</v>
      </c>
      <c r="L93" s="123">
        <f>IFERROR(MIN('B1'!L31,'B2'!L31,'B3'!L31),0)</f>
        <v>0</v>
      </c>
      <c r="M93" s="123">
        <f>IFERROR(MIN('B1'!M31,'B2'!M31,'B3'!M31),0)</f>
        <v>0</v>
      </c>
      <c r="N93" s="123">
        <f>IFERROR(MIN('B1'!N31,'B2'!N31,'B3'!N31),0)</f>
        <v>0</v>
      </c>
      <c r="O93" s="123">
        <f>IFERROR(MIN('B1'!O31,'B2'!O31,'B3'!O31),0)</f>
        <v>0</v>
      </c>
      <c r="P93" s="123">
        <f>IFERROR(MIN('B1'!P31,'B2'!P31,'B3'!P31),0)</f>
        <v>0</v>
      </c>
      <c r="Q93" s="123">
        <f>IFERROR(MIN('B1'!Q31,'B2'!Q31,'B3'!Q31),0)</f>
        <v>0</v>
      </c>
      <c r="R93" s="123">
        <f>IFERROR(MIN('B1'!R31,'B2'!R31,'B3'!R31),0)</f>
        <v>0</v>
      </c>
      <c r="S93" s="123">
        <f>IFERROR(MIN('B1'!S31,'B2'!S31,'B3'!S31),0)</f>
        <v>0</v>
      </c>
      <c r="T93" s="123">
        <f>IFERROR(MIN('B1'!T31,'B2'!T31,'B3'!T31),0)</f>
        <v>0</v>
      </c>
      <c r="U93" s="123">
        <f>IFERROR(MIN('B1'!U31,'B2'!U31,'B3'!U31),0)</f>
        <v>0</v>
      </c>
      <c r="V93" s="123">
        <f>IFERROR(MIN('B1'!V31,'B2'!V31,'B3'!V31),0)</f>
        <v>0</v>
      </c>
      <c r="W93" s="123">
        <f>IFERROR(MIN('B1'!W31,'B2'!W31,'B3'!W31),0)</f>
        <v>0</v>
      </c>
      <c r="X93" s="123">
        <f>IFERROR(MIN('B1'!X31,'B2'!X31,'B3'!X31),0)</f>
        <v>0</v>
      </c>
      <c r="Y93" s="123">
        <f>IFERROR(MIN('B1'!Y31,'B2'!Y31,'B3'!Y31),0)</f>
        <v>0</v>
      </c>
      <c r="Z93" s="123">
        <f>IFERROR(MIN('B1'!Z31,'B2'!Z31,'B3'!Z31),0)</f>
        <v>0</v>
      </c>
      <c r="AA93" s="123">
        <f>IFERROR(MIN('B1'!AB31,'B2'!AA31,'B3'!AA31),0)</f>
        <v>0</v>
      </c>
      <c r="AB93" s="123">
        <f>IFERROR(MIN('B1'!AC31,'B2'!AB31,'B3'!AB31),0)</f>
        <v>0</v>
      </c>
      <c r="AC93" s="123">
        <f>IFERROR(MIN('B1'!AD31,'B2'!AC31,'B3'!AC31),0)</f>
        <v>0</v>
      </c>
      <c r="AD93" s="123">
        <f>IFERROR(MIN('B1'!AE31,'B2'!AD31,'B3'!AD31),0)</f>
        <v>0</v>
      </c>
      <c r="AE93" s="123">
        <f>IFERROR(MIN('B1'!AF31,'B2'!AE31,'B3'!AE31),0)</f>
        <v>0</v>
      </c>
      <c r="AF93" s="123">
        <f>IFERROR(MIN('B1'!AG31,'B2'!AF31,'B3'!AF31),0)</f>
        <v>0</v>
      </c>
      <c r="AG93" s="123">
        <f>IFERROR(MIN('B1'!AH31,'B2'!AG31,'B3'!AG31),0)</f>
        <v>0</v>
      </c>
      <c r="AH93" s="123">
        <f>IFERROR(MIN('B1'!AI31,'B2'!AH31,'B3'!AH31),0)</f>
        <v>0</v>
      </c>
      <c r="AI93" s="123">
        <f>IFERROR(MIN('B1'!AJ31,'B2'!AI31,'B3'!AI31),0)</f>
        <v>0</v>
      </c>
      <c r="AJ93" s="123">
        <f>IFERROR(MIN('B1'!AK31,'B2'!AJ31,'B3'!AJ31),0)</f>
        <v>0</v>
      </c>
      <c r="AK93" s="123">
        <f>IFERROR(MIN('B1'!AL31,'B2'!AK31,'B3'!AK31),0)</f>
        <v>0</v>
      </c>
      <c r="AL93" s="123">
        <f>IFERROR(MIN('B1'!AM31,'B2'!AL31,'B3'!AL31),0)</f>
        <v>0</v>
      </c>
      <c r="AM93" s="123">
        <f>IFERROR(MIN('B1'!AN31,'B2'!AM31,'B3'!AM31),0)</f>
        <v>0</v>
      </c>
      <c r="AN93" s="123">
        <f>IFERROR(MIN('B1'!AO31,'B2'!AN31,'B3'!AN31),0)</f>
        <v>0</v>
      </c>
      <c r="AO93" s="123">
        <f>IFERROR(MIN('B1'!AP31,'B2'!AO31,'B3'!AO31),0)</f>
        <v>0</v>
      </c>
      <c r="AP93" s="123">
        <f>IFERROR(MIN('B1'!AQ31,'B2'!AP31,'B3'!AP31),0)</f>
        <v>0</v>
      </c>
      <c r="AQ93" s="123">
        <f>IFERROR(MIN('B1'!AR31,'B2'!AQ31,'B3'!AQ31),0)</f>
        <v>0</v>
      </c>
      <c r="AR93" s="123">
        <f>IFERROR(MIN('B1'!AS31,'B2'!AR31,'B3'!AR31),0)</f>
        <v>0</v>
      </c>
      <c r="AS93" s="123">
        <f>IFERROR(MIN('B1'!AT31,'B2'!AS31,'B3'!AS31),0)</f>
        <v>0</v>
      </c>
      <c r="AT93" s="123">
        <f>IFERROR(MIN('B1'!AU31,'B2'!AT31,'B3'!AT31),0)</f>
        <v>0</v>
      </c>
      <c r="AU93" s="123">
        <f>IFERROR(MIN('B1'!AV31,'B2'!AU31,'B3'!AU31),0)</f>
        <v>0</v>
      </c>
      <c r="AV93" s="123">
        <f>IFERROR(MIN('B1'!AW31,'B2'!AV31,'B3'!AV31),0)</f>
        <v>0</v>
      </c>
      <c r="AW93" s="123">
        <f>IFERROR(MIN('B1'!AX31,'B2'!AW31,'B3'!AW31),0)</f>
        <v>0</v>
      </c>
      <c r="AX93" s="123">
        <f>IFERROR(MIN('B1'!AY31,'B2'!AX31,'B3'!AX31),0)</f>
        <v>0</v>
      </c>
      <c r="AY93" s="123">
        <f>IFERROR(MIN('B1'!AZ31,'B2'!AY31,'B3'!AY31),0)</f>
        <v>0</v>
      </c>
      <c r="AZ93" s="123">
        <f>IFERROR(MIN('B1'!BA31,'B2'!AZ31,'B3'!AZ31),0)</f>
        <v>0</v>
      </c>
      <c r="BA93" s="123">
        <f>IFERROR(MIN('B1'!BB31,'B2'!BA31,'B3'!BA31),0)</f>
        <v>0</v>
      </c>
      <c r="BB93" s="123">
        <f>IFERROR(MIN('B1'!#REF!,'B2'!#REF!,'B3'!#REF!),0)</f>
        <v>0</v>
      </c>
      <c r="BC93" s="123">
        <f>IFERROR(MIN('B1'!#REF!,'B2'!#REF!,'B3'!#REF!),0)</f>
        <v>0</v>
      </c>
      <c r="BD93" s="123">
        <f>IFERROR(MIN('B1'!#REF!,'B2'!#REF!,'B3'!#REF!),0)</f>
        <v>0</v>
      </c>
      <c r="BE93" s="123">
        <f>IFERROR(MIN('B1'!#REF!,'B2'!#REF!,'B3'!#REF!),0)</f>
        <v>0</v>
      </c>
      <c r="BF93" s="123">
        <f>IFERROR(MIN('B1'!#REF!,'B2'!#REF!,'B3'!#REF!),0)</f>
        <v>0</v>
      </c>
      <c r="BG93" s="123">
        <f>IFERROR(MIN('B1'!#REF!,'B2'!#REF!,'B3'!#REF!),0)</f>
        <v>0</v>
      </c>
      <c r="BH93" s="123">
        <f>IFERROR(MIN('B1'!#REF!,'B2'!#REF!,'B3'!#REF!),0)</f>
        <v>0</v>
      </c>
      <c r="BI93" s="123">
        <f>IFERROR(MIN('B1'!#REF!,'B2'!#REF!,'B3'!#REF!),0)</f>
        <v>0</v>
      </c>
      <c r="BJ93" s="123">
        <f>IFERROR(MIN('B1'!#REF!,'B2'!#REF!,'B3'!#REF!),0)</f>
        <v>0</v>
      </c>
      <c r="BK93" s="123">
        <f>IFERROR(MIN('B1'!#REF!,'B2'!#REF!,'B3'!#REF!),0)</f>
        <v>0</v>
      </c>
      <c r="BL93" s="123">
        <f>IFERROR(MIN('B1'!#REF!,'B2'!#REF!,'B3'!#REF!),0)</f>
        <v>0</v>
      </c>
      <c r="BM93" s="123">
        <f>IFERROR(MIN('B1'!#REF!,'B2'!#REF!,'B3'!#REF!),0)</f>
        <v>0</v>
      </c>
      <c r="BN93" s="123">
        <f>IFERROR(MIN('B1'!#REF!,'B2'!#REF!,'B3'!#REF!),0)</f>
        <v>0</v>
      </c>
      <c r="BO93" s="123">
        <f>IFERROR(MIN('B1'!#REF!,'B2'!#REF!,'B3'!#REF!),0)</f>
        <v>0</v>
      </c>
      <c r="BP93" s="123">
        <f>IFERROR(MIN('B1'!#REF!,'B2'!#REF!,'B3'!#REF!),0)</f>
        <v>0</v>
      </c>
      <c r="BQ93" s="123">
        <f>IFERROR(MIN('B1'!#REF!,'B2'!#REF!,'B3'!#REF!),0)</f>
        <v>0</v>
      </c>
      <c r="BR93" s="123">
        <f>IFERROR(MIN('B1'!#REF!,'B2'!#REF!,'B3'!#REF!),0)</f>
        <v>0</v>
      </c>
      <c r="BS93" s="123">
        <f>IFERROR(MIN('B1'!#REF!,'B2'!#REF!,'B3'!#REF!),0)</f>
        <v>0</v>
      </c>
      <c r="BT93" s="123"/>
      <c r="BU93" s="123">
        <f>IFERROR(MIN('B1'!#REF!,'B2'!#REF!,'B3'!#REF!),0)</f>
        <v>0</v>
      </c>
      <c r="BV93" s="123">
        <f>IFERROR(MIN('B1'!#REF!,'B2'!#REF!,'B3'!#REF!),0)</f>
        <v>0</v>
      </c>
      <c r="BW93" s="123">
        <f>IFERROR(MIN('B1'!#REF!,'B2'!#REF!,'B3'!#REF!),0)</f>
        <v>0</v>
      </c>
      <c r="BX93" s="123">
        <f>IFERROR(MIN('B1'!#REF!,'B2'!#REF!,'B3'!#REF!),0)</f>
        <v>0</v>
      </c>
    </row>
    <row r="94" spans="1:76" s="66" customFormat="1" ht="16" thickBot="1" x14ac:dyDescent="0.4">
      <c r="A94" s="63">
        <f t="shared" si="20"/>
        <v>0</v>
      </c>
      <c r="B94" s="137">
        <f t="shared" si="20"/>
        <v>0</v>
      </c>
      <c r="C94" s="41">
        <f t="shared" si="19"/>
        <v>0</v>
      </c>
      <c r="D94" s="18">
        <f>IFERROR(_xlfn.STDEV.S('B1'!D62,'B2'!D62,'B3'!D62),0)</f>
        <v>0</v>
      </c>
      <c r="E94" s="18">
        <f>IFERROR(_xlfn.STDEV.S('B1'!E62,'B2'!E62,'B3'!E62),0)</f>
        <v>0</v>
      </c>
      <c r="F94" s="18">
        <f>IFERROR(_xlfn.STDEV.S('B1'!F62,'B2'!F62,'B3'!F62),0)</f>
        <v>0</v>
      </c>
      <c r="G94" s="18">
        <f>IFERROR(_xlfn.STDEV.S('B1'!G62,'B2'!G62,'B3'!G62),0)</f>
        <v>0</v>
      </c>
      <c r="H94" s="18">
        <f>IFERROR(_xlfn.STDEV.S('B1'!H62,'B2'!H62,'B3'!H62),0)</f>
        <v>0</v>
      </c>
      <c r="I94" s="18">
        <f>IFERROR(_xlfn.STDEV.S('B1'!I62,'B2'!I62,'B3'!I62),0)</f>
        <v>0</v>
      </c>
      <c r="J94" s="18">
        <f>IFERROR(_xlfn.STDEV.S('B1'!J62,'B2'!J62,'B3'!J62),0)</f>
        <v>0</v>
      </c>
      <c r="K94" s="18">
        <f>IFERROR(_xlfn.STDEV.S('B1'!K62,'B2'!K62,'B3'!K62),0)</f>
        <v>0</v>
      </c>
      <c r="L94" s="18">
        <f>IFERROR(_xlfn.STDEV.S('B1'!L62,'B2'!L62,'B3'!L62),0)</f>
        <v>0</v>
      </c>
      <c r="M94" s="18">
        <f>IFERROR(_xlfn.STDEV.S('B1'!M62,'B2'!M62,'B3'!M62),0)</f>
        <v>0</v>
      </c>
      <c r="N94" s="18">
        <f>IFERROR(_xlfn.STDEV.S('B1'!N62,'B2'!N62,'B3'!N62),0)</f>
        <v>0</v>
      </c>
      <c r="O94" s="18">
        <f>IFERROR(_xlfn.STDEV.S('B1'!O62,'B2'!O62,'B3'!O62),0)</f>
        <v>0</v>
      </c>
      <c r="P94" s="18">
        <f>IFERROR(_xlfn.STDEV.S('B1'!P62,'B2'!P62,'B3'!P62),0)</f>
        <v>0</v>
      </c>
      <c r="Q94" s="18">
        <f>IFERROR(_xlfn.STDEV.S('B1'!Q62,'B2'!Q62,'B3'!Q62),0)</f>
        <v>0</v>
      </c>
      <c r="R94" s="18">
        <f>IFERROR(_xlfn.STDEV.S('B1'!R62,'B2'!R62,'B3'!R62),0)</f>
        <v>0</v>
      </c>
      <c r="S94" s="18">
        <f>IFERROR(_xlfn.STDEV.S('B1'!S62,'B2'!S62,'B3'!S62),0)</f>
        <v>0</v>
      </c>
      <c r="T94" s="18">
        <f>IFERROR(_xlfn.STDEV.S('B1'!T62,'B2'!T62,'B3'!T62),0)</f>
        <v>0</v>
      </c>
      <c r="U94" s="18">
        <f>IFERROR(_xlfn.STDEV.S('B1'!U62,'B2'!U62,'B3'!U62),0)</f>
        <v>0</v>
      </c>
      <c r="V94" s="18">
        <f>IFERROR(_xlfn.STDEV.S('B1'!V62,'B2'!V62,'B3'!V62),0)</f>
        <v>0</v>
      </c>
      <c r="W94" s="18">
        <f>IFERROR(_xlfn.STDEV.S('B1'!W62,'B2'!W62,'B3'!W62),0)</f>
        <v>0</v>
      </c>
      <c r="X94" s="18">
        <f>IFERROR(_xlfn.STDEV.S('B1'!X62,'B2'!X62,'B3'!X62),0)</f>
        <v>0</v>
      </c>
      <c r="Y94" s="18">
        <f>IFERROR(_xlfn.STDEV.S('B1'!Y62,'B2'!Y62,'B3'!Y62),0)</f>
        <v>0</v>
      </c>
      <c r="Z94" s="18">
        <f>IFERROR(_xlfn.STDEV.S('B1'!Z62,'B2'!Z62,'B3'!Z62),0)</f>
        <v>0</v>
      </c>
      <c r="AA94" s="18">
        <f>IFERROR(_xlfn.STDEV.S('B1'!AB62,'B2'!AA62,'B3'!AA62),0)</f>
        <v>0</v>
      </c>
      <c r="AB94" s="18">
        <f>IFERROR(_xlfn.STDEV.S('B1'!AC62,'B2'!AB62,'B3'!AB62),0)</f>
        <v>0</v>
      </c>
      <c r="AC94" s="18">
        <f>IFERROR(_xlfn.STDEV.S('B1'!AD62,'B2'!AC62,'B3'!AC62),0)</f>
        <v>0</v>
      </c>
      <c r="AD94" s="18">
        <f>IFERROR(_xlfn.STDEV.S('B1'!AE62,'B2'!AD62,'B3'!AD62),0)</f>
        <v>0</v>
      </c>
      <c r="AE94" s="18">
        <f>IFERROR(_xlfn.STDEV.S('B1'!AF62,'B2'!AE62,'B3'!AE62),0)</f>
        <v>0</v>
      </c>
      <c r="AF94" s="18">
        <f>IFERROR(_xlfn.STDEV.S('B1'!AG62,'B2'!AF62,'B3'!AF62),0)</f>
        <v>0</v>
      </c>
      <c r="AG94" s="18">
        <f>IFERROR(_xlfn.STDEV.S('B1'!AH62,'B2'!AG62,'B3'!AG62),0)</f>
        <v>0</v>
      </c>
      <c r="AH94" s="18">
        <f>IFERROR(_xlfn.STDEV.S('B1'!AI62,'B2'!AH62,'B3'!AH62),0)</f>
        <v>0</v>
      </c>
      <c r="AI94" s="18">
        <f>IFERROR(_xlfn.STDEV.S('B1'!AJ62,'B2'!AI62,'B3'!AI62),0)</f>
        <v>0</v>
      </c>
      <c r="AJ94" s="18">
        <f>IFERROR(_xlfn.STDEV.S('B1'!AK62,'B2'!AJ62,'B3'!AJ62),0)</f>
        <v>0</v>
      </c>
      <c r="AK94" s="18">
        <f>IFERROR(_xlfn.STDEV.S('B1'!AL62,'B2'!AK62,'B3'!AK62),0)</f>
        <v>0</v>
      </c>
      <c r="AL94" s="18">
        <f>IFERROR(_xlfn.STDEV.S('B1'!AM62,'B2'!AL62,'B3'!AL62),0)</f>
        <v>0</v>
      </c>
      <c r="AM94" s="18">
        <f>IFERROR(_xlfn.STDEV.S('B1'!AN62,'B2'!AM62,'B3'!AM62),0)</f>
        <v>0</v>
      </c>
      <c r="AN94" s="18">
        <f>IFERROR(_xlfn.STDEV.S('B1'!AO62,'B2'!AN62,'B3'!AN62),0)</f>
        <v>0</v>
      </c>
      <c r="AO94" s="18">
        <f>IFERROR(_xlfn.STDEV.S('B1'!AP62,'B2'!AO62,'B3'!AO62),0)</f>
        <v>0</v>
      </c>
      <c r="AP94" s="18">
        <f>IFERROR(_xlfn.STDEV.S('B1'!AQ62,'B2'!AP62,'B3'!AP62),0)</f>
        <v>0</v>
      </c>
      <c r="AQ94" s="18">
        <f>IFERROR(_xlfn.STDEV.S('B1'!AR62,'B2'!AQ62,'B3'!AQ62),0)</f>
        <v>0</v>
      </c>
      <c r="AR94" s="18">
        <f>IFERROR(_xlfn.STDEV.S('B1'!AS62,'B2'!AR62,'B3'!AR62),0)</f>
        <v>0</v>
      </c>
      <c r="AS94" s="18">
        <f>IFERROR(_xlfn.STDEV.S('B1'!AT62,'B2'!AS62,'B3'!AS62),0)</f>
        <v>0</v>
      </c>
      <c r="AT94" s="18">
        <f>IFERROR(_xlfn.STDEV.S('B1'!AU62,'B2'!AT62,'B3'!AT62),0)</f>
        <v>0</v>
      </c>
      <c r="AU94" s="18">
        <f>IFERROR(_xlfn.STDEV.S('B1'!AV62,'B2'!AU62,'B3'!AU62),0)</f>
        <v>0</v>
      </c>
      <c r="AV94" s="18">
        <f>IFERROR(_xlfn.STDEV.S('B1'!AW62,'B2'!AV62,'B3'!AV62),0)</f>
        <v>0</v>
      </c>
      <c r="AW94" s="123">
        <f>IFERROR(MIN('B1'!AX32,'B2'!AW32,'B3'!AW32),0)</f>
        <v>0</v>
      </c>
      <c r="AX94" s="123">
        <f>IFERROR(MIN('B1'!AY32,'B2'!AX32,'B3'!AX32),0)</f>
        <v>0</v>
      </c>
      <c r="AY94" s="123">
        <f>IFERROR(MIN('B1'!AZ32,'B2'!AY32,'B3'!AY32),0)</f>
        <v>0</v>
      </c>
      <c r="AZ94" s="123">
        <f>IFERROR(MIN('B1'!BA32,'B2'!AZ32,'B3'!AZ32),0)</f>
        <v>0</v>
      </c>
      <c r="BA94" s="123">
        <f>IFERROR(MIN('B1'!BB32,'B2'!BA32,'B3'!BA32),0)</f>
        <v>0</v>
      </c>
      <c r="BB94" s="123">
        <f>IFERROR(MIN('B1'!#REF!,'B2'!#REF!,'B3'!#REF!),0)</f>
        <v>0</v>
      </c>
      <c r="BC94" s="123">
        <f>IFERROR(MIN('B1'!#REF!,'B2'!#REF!,'B3'!#REF!),0)</f>
        <v>0</v>
      </c>
      <c r="BD94" s="123">
        <f>IFERROR(MIN('B1'!#REF!,'B2'!#REF!,'B3'!#REF!),0)</f>
        <v>0</v>
      </c>
      <c r="BE94" s="123">
        <f>IFERROR(MIN('B1'!#REF!,'B2'!#REF!,'B3'!#REF!),0)</f>
        <v>0</v>
      </c>
      <c r="BF94" s="123">
        <f>IFERROR(MIN('B1'!#REF!,'B2'!#REF!,'B3'!#REF!),0)</f>
        <v>0</v>
      </c>
      <c r="BG94" s="123">
        <f>IFERROR(MIN('B1'!#REF!,'B2'!#REF!,'B3'!#REF!),0)</f>
        <v>0</v>
      </c>
      <c r="BH94" s="123">
        <f>IFERROR(MIN('B1'!#REF!,'B2'!#REF!,'B3'!#REF!),0)</f>
        <v>0</v>
      </c>
      <c r="BI94" s="123">
        <f>IFERROR(MIN('B1'!#REF!,'B2'!#REF!,'B3'!#REF!),0)</f>
        <v>0</v>
      </c>
      <c r="BJ94" s="123">
        <f>IFERROR(MIN('B1'!#REF!,'B2'!#REF!,'B3'!#REF!),0)</f>
        <v>0</v>
      </c>
      <c r="BK94" s="123">
        <f>IFERROR(MIN('B1'!#REF!,'B2'!#REF!,'B3'!#REF!),0)</f>
        <v>0</v>
      </c>
      <c r="BL94" s="123">
        <f>IFERROR(MIN('B1'!#REF!,'B2'!#REF!,'B3'!#REF!),0)</f>
        <v>0</v>
      </c>
      <c r="BM94" s="123">
        <f>IFERROR(MIN('B1'!#REF!,'B2'!#REF!,'B3'!#REF!),0)</f>
        <v>0</v>
      </c>
      <c r="BN94" s="123">
        <f>IFERROR(MIN('B1'!#REF!,'B2'!#REF!,'B3'!#REF!),0)</f>
        <v>0</v>
      </c>
      <c r="BO94" s="123">
        <f>IFERROR(MIN('B1'!#REF!,'B2'!#REF!,'B3'!#REF!),0)</f>
        <v>0</v>
      </c>
      <c r="BP94" s="123">
        <f>IFERROR(MIN('B1'!#REF!,'B2'!#REF!,'B3'!#REF!),0)</f>
        <v>0</v>
      </c>
      <c r="BQ94" s="123">
        <f>IFERROR(MIN('B1'!#REF!,'B2'!#REF!,'B3'!#REF!),0)</f>
        <v>0</v>
      </c>
      <c r="BR94" s="123">
        <f>IFERROR(MIN('B1'!#REF!,'B2'!#REF!,'B3'!#REF!),0)</f>
        <v>0</v>
      </c>
      <c r="BS94" s="123">
        <f>IFERROR(MIN('B1'!#REF!,'B2'!#REF!,'B3'!#REF!),0)</f>
        <v>0</v>
      </c>
      <c r="BT94" s="123"/>
      <c r="BU94" s="123">
        <f>IFERROR(MIN('B1'!#REF!,'B2'!#REF!,'B3'!#REF!),0)</f>
        <v>0</v>
      </c>
      <c r="BV94" s="123">
        <f>IFERROR(MIN('B1'!#REF!,'B2'!#REF!,'B3'!#REF!),0)</f>
        <v>0</v>
      </c>
      <c r="BW94" s="123">
        <f>IFERROR(MIN('B1'!#REF!,'B2'!#REF!,'B3'!#REF!),0)</f>
        <v>0</v>
      </c>
      <c r="BX94" s="123">
        <f>IFERROR(MIN('B1'!#REF!,'B2'!#REF!,'B3'!#REF!),0)</f>
        <v>0</v>
      </c>
    </row>
    <row r="95" spans="1:76" s="47" customFormat="1" ht="16" thickBot="1" x14ac:dyDescent="0.4">
      <c r="A95" s="63">
        <f t="shared" si="20"/>
        <v>0</v>
      </c>
      <c r="B95" s="137">
        <f t="shared" si="20"/>
        <v>0</v>
      </c>
      <c r="C95" s="41">
        <f t="shared" si="19"/>
        <v>0</v>
      </c>
      <c r="D95" s="18">
        <f>IFERROR(_xlfn.STDEV.S('B1'!D63,'B2'!D63,'B3'!D63),0)</f>
        <v>0</v>
      </c>
      <c r="E95" s="18">
        <f>IFERROR(_xlfn.STDEV.S('B1'!E63,'B2'!E63,'B3'!E63),0)</f>
        <v>0</v>
      </c>
      <c r="F95" s="18">
        <f>IFERROR(_xlfn.STDEV.S('B1'!F63,'B2'!F63,'B3'!F63),0)</f>
        <v>0</v>
      </c>
      <c r="G95" s="18">
        <f>IFERROR(_xlfn.STDEV.S('B1'!G63,'B2'!G63,'B3'!G63),0)</f>
        <v>0</v>
      </c>
      <c r="H95" s="18">
        <f>IFERROR(_xlfn.STDEV.S('B1'!H63,'B2'!H63,'B3'!H63),0)</f>
        <v>0</v>
      </c>
      <c r="I95" s="18">
        <f>IFERROR(_xlfn.STDEV.S('B1'!I63,'B2'!I63,'B3'!I63),0)</f>
        <v>0</v>
      </c>
      <c r="J95" s="18">
        <f>IFERROR(_xlfn.STDEV.S('B1'!J63,'B2'!J63,'B3'!J63),0)</f>
        <v>0</v>
      </c>
      <c r="K95" s="18">
        <f>IFERROR(_xlfn.STDEV.S('B1'!K63,'B2'!K63,'B3'!K63),0)</f>
        <v>0</v>
      </c>
      <c r="L95" s="18">
        <f>IFERROR(_xlfn.STDEV.S('B1'!L63,'B2'!L63,'B3'!L63),0)</f>
        <v>0</v>
      </c>
      <c r="M95" s="18">
        <f>IFERROR(_xlfn.STDEV.S('B1'!M63,'B2'!M63,'B3'!M63),0)</f>
        <v>0</v>
      </c>
      <c r="N95" s="18">
        <f>IFERROR(_xlfn.STDEV.S('B1'!N63,'B2'!N63,'B3'!N63),0)</f>
        <v>0</v>
      </c>
      <c r="O95" s="18">
        <f>IFERROR(_xlfn.STDEV.S('B1'!O63,'B2'!O63,'B3'!O63),0)</f>
        <v>0</v>
      </c>
      <c r="P95" s="18">
        <f>IFERROR(_xlfn.STDEV.S('B1'!P63,'B2'!P63,'B3'!P63),0)</f>
        <v>0</v>
      </c>
      <c r="Q95" s="18">
        <f>IFERROR(_xlfn.STDEV.S('B1'!Q63,'B2'!Q63,'B3'!Q63),0)</f>
        <v>0</v>
      </c>
      <c r="R95" s="18">
        <f>IFERROR(_xlfn.STDEV.S('B1'!R63,'B2'!R63,'B3'!R63),0)</f>
        <v>0</v>
      </c>
      <c r="S95" s="18">
        <f>IFERROR(_xlfn.STDEV.S('B1'!S63,'B2'!S63,'B3'!S63),0)</f>
        <v>0</v>
      </c>
      <c r="T95" s="18">
        <f>IFERROR(_xlfn.STDEV.S('B1'!T63,'B2'!T63,'B3'!T63),0)</f>
        <v>0</v>
      </c>
      <c r="U95" s="18">
        <f>IFERROR(_xlfn.STDEV.S('B1'!U63,'B2'!U63,'B3'!U63),0)</f>
        <v>0</v>
      </c>
      <c r="V95" s="18">
        <f>IFERROR(_xlfn.STDEV.S('B1'!V63,'B2'!V63,'B3'!V63),0)</f>
        <v>0</v>
      </c>
      <c r="W95" s="18">
        <f>IFERROR(_xlfn.STDEV.S('B1'!W63,'B2'!W63,'B3'!W63),0)</f>
        <v>0</v>
      </c>
      <c r="X95" s="18">
        <f>IFERROR(_xlfn.STDEV.S('B1'!X63,'B2'!X63,'B3'!X63),0)</f>
        <v>0</v>
      </c>
      <c r="Y95" s="18">
        <f>IFERROR(_xlfn.STDEV.S('B1'!Y63,'B2'!Y63,'B3'!Y63),0)</f>
        <v>0</v>
      </c>
      <c r="Z95" s="18">
        <f>IFERROR(_xlfn.STDEV.S('B1'!Z63,'B2'!Z63,'B3'!Z63),0)</f>
        <v>0</v>
      </c>
      <c r="AA95" s="18">
        <f>IFERROR(_xlfn.STDEV.S('B1'!AB63,'B2'!AA63,'B3'!AA63),0)</f>
        <v>0</v>
      </c>
      <c r="AB95" s="18">
        <f>IFERROR(_xlfn.STDEV.S('B1'!AC63,'B2'!AB63,'B3'!AB63),0)</f>
        <v>0</v>
      </c>
      <c r="AC95" s="18">
        <f>IFERROR(_xlfn.STDEV.S('B1'!AD63,'B2'!AC63,'B3'!AC63),0)</f>
        <v>0</v>
      </c>
      <c r="AD95" s="18">
        <f>IFERROR(_xlfn.STDEV.S('B1'!AE63,'B2'!AD63,'B3'!AD63),0)</f>
        <v>0</v>
      </c>
      <c r="AE95" s="18">
        <f>IFERROR(_xlfn.STDEV.S('B1'!AF63,'B2'!AE63,'B3'!AE63),0)</f>
        <v>0</v>
      </c>
      <c r="AF95" s="18">
        <f>IFERROR(_xlfn.STDEV.S('B1'!AG63,'B2'!AF63,'B3'!AF63),0)</f>
        <v>0</v>
      </c>
      <c r="AG95" s="18">
        <f>IFERROR(_xlfn.STDEV.S('B1'!AH63,'B2'!AG63,'B3'!AG63),0)</f>
        <v>0</v>
      </c>
      <c r="AH95" s="18">
        <f>IFERROR(_xlfn.STDEV.S('B1'!AI63,'B2'!AH63,'B3'!AH63),0)</f>
        <v>0</v>
      </c>
      <c r="AI95" s="18">
        <f>IFERROR(_xlfn.STDEV.S('B1'!AJ63,'B2'!AI63,'B3'!AI63),0)</f>
        <v>0</v>
      </c>
      <c r="AJ95" s="18">
        <f>IFERROR(_xlfn.STDEV.S('B1'!AK63,'B2'!AJ63,'B3'!AJ63),0)</f>
        <v>0</v>
      </c>
      <c r="AK95" s="18">
        <f>IFERROR(_xlfn.STDEV.S('B1'!AL63,'B2'!AK63,'B3'!AK63),0)</f>
        <v>0</v>
      </c>
      <c r="AL95" s="18">
        <f>IFERROR(_xlfn.STDEV.S('B1'!AM63,'B2'!AL63,'B3'!AL63),0)</f>
        <v>0</v>
      </c>
      <c r="AM95" s="18">
        <f>IFERROR(_xlfn.STDEV.S('B1'!AN63,'B2'!AM63,'B3'!AM63),0)</f>
        <v>0</v>
      </c>
      <c r="AN95" s="18">
        <f>IFERROR(_xlfn.STDEV.S('B1'!AO63,'B2'!AN63,'B3'!AN63),0)</f>
        <v>0</v>
      </c>
      <c r="AO95" s="18">
        <f>IFERROR(_xlfn.STDEV.S('B1'!AP63,'B2'!AO63,'B3'!AO63),0)</f>
        <v>0</v>
      </c>
      <c r="AP95" s="18">
        <f>IFERROR(_xlfn.STDEV.S('B1'!AQ63,'B2'!AP63,'B3'!AP63),0)</f>
        <v>0</v>
      </c>
      <c r="AQ95" s="18">
        <f>IFERROR(_xlfn.STDEV.S('B1'!AR63,'B2'!AQ63,'B3'!AQ63),0)</f>
        <v>0</v>
      </c>
      <c r="AR95" s="18">
        <f>IFERROR(_xlfn.STDEV.S('B1'!AS63,'B2'!AR63,'B3'!AR63),0)</f>
        <v>0</v>
      </c>
      <c r="AS95" s="18">
        <f>IFERROR(_xlfn.STDEV.S('B1'!AT63,'B2'!AS63,'B3'!AS63),0)</f>
        <v>0</v>
      </c>
      <c r="AT95" s="18">
        <f>IFERROR(_xlfn.STDEV.S('B1'!AU63,'B2'!AT63,'B3'!AT63),0)</f>
        <v>0</v>
      </c>
      <c r="AU95" s="18">
        <f>IFERROR(_xlfn.STDEV.S('B1'!AV63,'B2'!AU63,'B3'!AU63),0)</f>
        <v>0</v>
      </c>
      <c r="AV95" s="18">
        <f>IFERROR(_xlfn.STDEV.S('B1'!AW63,'B2'!AV63,'B3'!AV63),0)</f>
        <v>0</v>
      </c>
      <c r="AW95" s="123">
        <f>IFERROR(MIN('B1'!AX33,'B2'!AW33,'B3'!AW33),0)</f>
        <v>0</v>
      </c>
      <c r="AX95" s="123">
        <f>IFERROR(MIN('B1'!AY33,'B2'!AX33,'B3'!AX33),0)</f>
        <v>0</v>
      </c>
      <c r="AY95" s="123">
        <f>IFERROR(MIN('B1'!AZ33,'B2'!AY33,'B3'!AY33),0)</f>
        <v>0</v>
      </c>
      <c r="AZ95" s="123">
        <f>IFERROR(MIN('B1'!BA33,'B2'!AZ33,'B3'!AZ33),0)</f>
        <v>0</v>
      </c>
      <c r="BA95" s="123">
        <f>IFERROR(MIN('B1'!BB33,'B2'!BA33,'B3'!BA33),0)</f>
        <v>0</v>
      </c>
      <c r="BB95" s="123">
        <f>IFERROR(MIN('B1'!#REF!,'B2'!#REF!,'B3'!#REF!),0)</f>
        <v>0</v>
      </c>
      <c r="BC95" s="123">
        <f>IFERROR(MIN('B1'!#REF!,'B2'!#REF!,'B3'!#REF!),0)</f>
        <v>0</v>
      </c>
      <c r="BD95" s="123">
        <f>IFERROR(MIN('B1'!#REF!,'B2'!#REF!,'B3'!#REF!),0)</f>
        <v>0</v>
      </c>
      <c r="BE95" s="123">
        <f>IFERROR(MIN('B1'!#REF!,'B2'!#REF!,'B3'!#REF!),0)</f>
        <v>0</v>
      </c>
      <c r="BF95" s="123">
        <f>IFERROR(MIN('B1'!#REF!,'B2'!#REF!,'B3'!#REF!),0)</f>
        <v>0</v>
      </c>
      <c r="BG95" s="123">
        <f>IFERROR(MIN('B1'!#REF!,'B2'!#REF!,'B3'!#REF!),0)</f>
        <v>0</v>
      </c>
      <c r="BH95" s="123">
        <f>IFERROR(MIN('B1'!#REF!,'B2'!#REF!,'B3'!#REF!),0)</f>
        <v>0</v>
      </c>
      <c r="BI95" s="123">
        <f>IFERROR(MIN('B1'!#REF!,'B2'!#REF!,'B3'!#REF!),0)</f>
        <v>0</v>
      </c>
      <c r="BJ95" s="123">
        <f>IFERROR(MIN('B1'!#REF!,'B2'!#REF!,'B3'!#REF!),0)</f>
        <v>0</v>
      </c>
      <c r="BK95" s="123">
        <f>IFERROR(MIN('B1'!#REF!,'B2'!#REF!,'B3'!#REF!),0)</f>
        <v>0</v>
      </c>
      <c r="BL95" s="123">
        <f>IFERROR(MIN('B1'!#REF!,'B2'!#REF!,'B3'!#REF!),0)</f>
        <v>0</v>
      </c>
      <c r="BM95" s="123">
        <f>IFERROR(MIN('B1'!#REF!,'B2'!#REF!,'B3'!#REF!),0)</f>
        <v>0</v>
      </c>
      <c r="BN95" s="123">
        <f>IFERROR(MIN('B1'!#REF!,'B2'!#REF!,'B3'!#REF!),0)</f>
        <v>0</v>
      </c>
      <c r="BO95" s="123">
        <f>IFERROR(MIN('B1'!#REF!,'B2'!#REF!,'B3'!#REF!),0)</f>
        <v>0</v>
      </c>
      <c r="BP95" s="123">
        <f>IFERROR(MIN('B1'!#REF!,'B2'!#REF!,'B3'!#REF!),0)</f>
        <v>0</v>
      </c>
      <c r="BQ95" s="123">
        <f>IFERROR(MIN('B1'!#REF!,'B2'!#REF!,'B3'!#REF!),0)</f>
        <v>0</v>
      </c>
      <c r="BR95" s="123">
        <f>IFERROR(MIN('B1'!#REF!,'B2'!#REF!,'B3'!#REF!),0)</f>
        <v>0</v>
      </c>
      <c r="BS95" s="123">
        <f>IFERROR(MIN('B1'!#REF!,'B2'!#REF!,'B3'!#REF!),0)</f>
        <v>0</v>
      </c>
      <c r="BT95" s="123"/>
      <c r="BU95" s="123">
        <f>IFERROR(MIN('B1'!#REF!,'B2'!#REF!,'B3'!#REF!),0)</f>
        <v>0</v>
      </c>
      <c r="BV95" s="123">
        <f>IFERROR(MIN('B1'!#REF!,'B2'!#REF!,'B3'!#REF!),0)</f>
        <v>0</v>
      </c>
      <c r="BW95" s="123">
        <f>IFERROR(MIN('B1'!#REF!,'B2'!#REF!,'B3'!#REF!),0)</f>
        <v>0</v>
      </c>
      <c r="BX95" s="123">
        <f>IFERROR(MIN('B1'!#REF!,'B2'!#REF!,'B3'!#REF!),0)</f>
        <v>0</v>
      </c>
    </row>
    <row r="97" spans="1:76" x14ac:dyDescent="0.35">
      <c r="A97" t="s">
        <v>155</v>
      </c>
    </row>
    <row r="98" spans="1:76" ht="15" thickBot="1" x14ac:dyDescent="0.4"/>
    <row r="99" spans="1:76" x14ac:dyDescent="0.35">
      <c r="C99" s="5" t="s">
        <v>3</v>
      </c>
      <c r="D99" s="6" t="s">
        <v>4</v>
      </c>
      <c r="E99" s="6" t="s">
        <v>90</v>
      </c>
      <c r="F99" s="6" t="s">
        <v>91</v>
      </c>
      <c r="G99" s="6" t="s">
        <v>92</v>
      </c>
      <c r="H99" s="6" t="s">
        <v>93</v>
      </c>
      <c r="I99" s="6" t="s">
        <v>94</v>
      </c>
      <c r="J99" s="6" t="s">
        <v>95</v>
      </c>
      <c r="K99" s="6" t="s">
        <v>96</v>
      </c>
      <c r="L99" s="6" t="s">
        <v>97</v>
      </c>
      <c r="M99" s="6" t="s">
        <v>98</v>
      </c>
      <c r="N99" s="6" t="s">
        <v>99</v>
      </c>
      <c r="O99" s="6" t="s">
        <v>100</v>
      </c>
      <c r="P99" s="6" t="s">
        <v>101</v>
      </c>
      <c r="Q99" s="6" t="s">
        <v>102</v>
      </c>
      <c r="R99" s="6" t="s">
        <v>103</v>
      </c>
      <c r="S99" s="7" t="s">
        <v>104</v>
      </c>
      <c r="T99" s="7" t="s">
        <v>105</v>
      </c>
      <c r="U99" s="7" t="s">
        <v>106</v>
      </c>
      <c r="V99" s="8" t="s">
        <v>107</v>
      </c>
      <c r="W99" s="36" t="s">
        <v>61</v>
      </c>
      <c r="X99" s="33" t="s">
        <v>108</v>
      </c>
      <c r="Y99" s="36" t="s">
        <v>62</v>
      </c>
      <c r="Z99" s="35" t="s">
        <v>109</v>
      </c>
      <c r="AA99" s="34" t="s">
        <v>110</v>
      </c>
      <c r="AB99" s="33" t="s">
        <v>111</v>
      </c>
      <c r="AC99" s="36" t="s">
        <v>112</v>
      </c>
      <c r="AD99" s="35" t="s">
        <v>113</v>
      </c>
      <c r="AE99" s="38" t="s">
        <v>68</v>
      </c>
      <c r="AF99" s="39" t="s">
        <v>70</v>
      </c>
      <c r="AG99" s="39" t="s">
        <v>71</v>
      </c>
      <c r="AH99" s="40" t="s">
        <v>32</v>
      </c>
      <c r="AI99" s="127" t="s">
        <v>136</v>
      </c>
      <c r="AJ99" s="69" t="s">
        <v>35</v>
      </c>
      <c r="AK99" s="70" t="s">
        <v>114</v>
      </c>
      <c r="AL99" s="70" t="s">
        <v>115</v>
      </c>
      <c r="AM99" s="70" t="s">
        <v>116</v>
      </c>
      <c r="AN99" s="70" t="s">
        <v>117</v>
      </c>
      <c r="AO99" s="70" t="s">
        <v>118</v>
      </c>
      <c r="AP99" s="70" t="s">
        <v>119</v>
      </c>
      <c r="AQ99" s="70" t="s">
        <v>120</v>
      </c>
      <c r="AR99" s="70" t="s">
        <v>121</v>
      </c>
      <c r="AS99" s="70" t="s">
        <v>122</v>
      </c>
      <c r="AT99" s="70" t="s">
        <v>123</v>
      </c>
      <c r="AU99" s="70" t="s">
        <v>124</v>
      </c>
      <c r="AV99" s="70" t="s">
        <v>125</v>
      </c>
      <c r="AW99" s="70" t="s">
        <v>126</v>
      </c>
      <c r="AX99" s="70" t="s">
        <v>127</v>
      </c>
      <c r="AY99" s="71" t="s">
        <v>128</v>
      </c>
      <c r="AZ99" s="72" t="s">
        <v>129</v>
      </c>
      <c r="BA99" s="85" t="s">
        <v>33</v>
      </c>
      <c r="BB99" s="85" t="s">
        <v>134</v>
      </c>
      <c r="BC99" s="88" t="s">
        <v>135</v>
      </c>
      <c r="BD99" s="69" t="s">
        <v>35</v>
      </c>
      <c r="BE99" s="70" t="s">
        <v>114</v>
      </c>
      <c r="BF99" s="70" t="s">
        <v>115</v>
      </c>
      <c r="BG99" s="70" t="s">
        <v>116</v>
      </c>
      <c r="BH99" s="70" t="s">
        <v>117</v>
      </c>
      <c r="BI99" s="70" t="s">
        <v>118</v>
      </c>
      <c r="BJ99" s="70" t="s">
        <v>119</v>
      </c>
      <c r="BK99" s="70" t="s">
        <v>120</v>
      </c>
      <c r="BL99" s="70" t="s">
        <v>121</v>
      </c>
      <c r="BM99" s="70" t="s">
        <v>122</v>
      </c>
      <c r="BN99" s="70" t="s">
        <v>123</v>
      </c>
      <c r="BO99" s="70" t="s">
        <v>124</v>
      </c>
      <c r="BP99" s="70" t="s">
        <v>125</v>
      </c>
      <c r="BQ99" s="70" t="s">
        <v>126</v>
      </c>
      <c r="BR99" s="70" t="s">
        <v>127</v>
      </c>
      <c r="BS99" s="71" t="s">
        <v>128</v>
      </c>
      <c r="BT99" s="88"/>
      <c r="BU99" s="72" t="s">
        <v>129</v>
      </c>
      <c r="BV99" s="85" t="s">
        <v>130</v>
      </c>
      <c r="BW99" s="85" t="s">
        <v>132</v>
      </c>
      <c r="BX99" s="85" t="s">
        <v>140</v>
      </c>
    </row>
    <row r="100" spans="1:76" x14ac:dyDescent="0.35">
      <c r="C100" s="9" t="s">
        <v>5</v>
      </c>
      <c r="D100" s="10" t="s">
        <v>7</v>
      </c>
      <c r="E100" s="10" t="s">
        <v>7</v>
      </c>
      <c r="F100" s="10" t="s">
        <v>7</v>
      </c>
      <c r="G100" s="10" t="s">
        <v>7</v>
      </c>
      <c r="H100" s="10" t="s">
        <v>7</v>
      </c>
      <c r="I100" s="10" t="s">
        <v>7</v>
      </c>
      <c r="J100" s="10" t="s">
        <v>7</v>
      </c>
      <c r="K100" s="10" t="s">
        <v>7</v>
      </c>
      <c r="L100" s="10" t="s">
        <v>7</v>
      </c>
      <c r="M100" s="10" t="s">
        <v>7</v>
      </c>
      <c r="N100" s="10" t="s">
        <v>7</v>
      </c>
      <c r="O100" s="10" t="s">
        <v>7</v>
      </c>
      <c r="P100" s="10" t="s">
        <v>7</v>
      </c>
      <c r="Q100" s="10" t="s">
        <v>7</v>
      </c>
      <c r="R100" s="10" t="s">
        <v>7</v>
      </c>
      <c r="S100" s="11" t="s">
        <v>7</v>
      </c>
      <c r="T100" s="11" t="s">
        <v>6</v>
      </c>
      <c r="U100" s="11" t="s">
        <v>6</v>
      </c>
      <c r="V100" s="12" t="s">
        <v>6</v>
      </c>
      <c r="W100" s="36" t="s">
        <v>63</v>
      </c>
      <c r="X100" s="33" t="s">
        <v>64</v>
      </c>
      <c r="Y100" s="36" t="s">
        <v>63</v>
      </c>
      <c r="Z100" s="35" t="s">
        <v>64</v>
      </c>
      <c r="AA100" s="34" t="s">
        <v>63</v>
      </c>
      <c r="AB100" s="33" t="s">
        <v>64</v>
      </c>
      <c r="AC100" s="36" t="s">
        <v>63</v>
      </c>
      <c r="AD100" s="35" t="s">
        <v>64</v>
      </c>
      <c r="AE100" s="38"/>
      <c r="AF100" s="39" t="s">
        <v>5</v>
      </c>
      <c r="AG100" s="39" t="s">
        <v>72</v>
      </c>
      <c r="AH100" s="40" t="s">
        <v>7</v>
      </c>
      <c r="AI100" s="39" t="s">
        <v>137</v>
      </c>
      <c r="AJ100" s="9" t="s">
        <v>36</v>
      </c>
      <c r="AK100" s="10" t="s">
        <v>36</v>
      </c>
      <c r="AL100" s="10" t="s">
        <v>36</v>
      </c>
      <c r="AM100" s="10" t="s">
        <v>36</v>
      </c>
      <c r="AN100" s="10" t="s">
        <v>36</v>
      </c>
      <c r="AO100" s="10" t="s">
        <v>36</v>
      </c>
      <c r="AP100" s="10" t="s">
        <v>36</v>
      </c>
      <c r="AQ100" s="10" t="s">
        <v>36</v>
      </c>
      <c r="AR100" s="10" t="s">
        <v>36</v>
      </c>
      <c r="AS100" s="10" t="s">
        <v>36</v>
      </c>
      <c r="AT100" s="10" t="s">
        <v>36</v>
      </c>
      <c r="AU100" s="10" t="s">
        <v>36</v>
      </c>
      <c r="AV100" s="10" t="s">
        <v>36</v>
      </c>
      <c r="AW100" s="10" t="s">
        <v>36</v>
      </c>
      <c r="AX100" s="10" t="s">
        <v>36</v>
      </c>
      <c r="AY100" s="12" t="s">
        <v>36</v>
      </c>
      <c r="AZ100" s="58" t="s">
        <v>36</v>
      </c>
      <c r="BA100" s="86" t="s">
        <v>152</v>
      </c>
      <c r="BB100" s="86" t="s">
        <v>36</v>
      </c>
      <c r="BC100" s="86" t="s">
        <v>36</v>
      </c>
      <c r="BD100" s="9" t="s">
        <v>89</v>
      </c>
      <c r="BE100" s="9" t="s">
        <v>89</v>
      </c>
      <c r="BF100" s="9" t="s">
        <v>89</v>
      </c>
      <c r="BG100" s="9" t="s">
        <v>89</v>
      </c>
      <c r="BH100" s="9" t="s">
        <v>89</v>
      </c>
      <c r="BI100" s="9" t="s">
        <v>89</v>
      </c>
      <c r="BJ100" s="9" t="s">
        <v>139</v>
      </c>
      <c r="BK100" s="9" t="s">
        <v>139</v>
      </c>
      <c r="BL100" s="9" t="s">
        <v>139</v>
      </c>
      <c r="BM100" s="9" t="s">
        <v>139</v>
      </c>
      <c r="BN100" s="9" t="s">
        <v>139</v>
      </c>
      <c r="BO100" s="9" t="s">
        <v>139</v>
      </c>
      <c r="BP100" s="9" t="s">
        <v>139</v>
      </c>
      <c r="BQ100" s="9" t="s">
        <v>139</v>
      </c>
      <c r="BR100" s="9" t="s">
        <v>139</v>
      </c>
      <c r="BS100" s="9" t="s">
        <v>139</v>
      </c>
      <c r="BT100" s="150"/>
      <c r="BU100" s="9" t="s">
        <v>89</v>
      </c>
      <c r="BV100" s="9" t="s">
        <v>89</v>
      </c>
      <c r="BW100" s="9" t="s">
        <v>89</v>
      </c>
      <c r="BX100" t="s">
        <v>139</v>
      </c>
    </row>
    <row r="101" spans="1:76" ht="16" thickBot="1" x14ac:dyDescent="0.4">
      <c r="A101" s="22" t="s">
        <v>0</v>
      </c>
      <c r="B101" s="73" t="s">
        <v>1</v>
      </c>
      <c r="C101" s="13" t="s">
        <v>6</v>
      </c>
      <c r="D101" s="14" t="s">
        <v>8</v>
      </c>
      <c r="E101" s="14" t="s">
        <v>9</v>
      </c>
      <c r="F101" s="14" t="s">
        <v>10</v>
      </c>
      <c r="G101" s="14" t="s">
        <v>11</v>
      </c>
      <c r="H101" s="14" t="s">
        <v>12</v>
      </c>
      <c r="I101" s="14" t="s">
        <v>13</v>
      </c>
      <c r="J101" s="14" t="s">
        <v>14</v>
      </c>
      <c r="K101" s="14" t="s">
        <v>15</v>
      </c>
      <c r="L101" s="14" t="s">
        <v>16</v>
      </c>
      <c r="M101" s="14" t="s">
        <v>17</v>
      </c>
      <c r="N101" s="14" t="s">
        <v>18</v>
      </c>
      <c r="O101" s="14" t="s">
        <v>19</v>
      </c>
      <c r="P101" s="14" t="s">
        <v>20</v>
      </c>
      <c r="Q101" s="14" t="s">
        <v>21</v>
      </c>
      <c r="R101" s="14" t="s">
        <v>22</v>
      </c>
      <c r="S101" s="15" t="s">
        <v>23</v>
      </c>
      <c r="T101" s="15" t="s">
        <v>24</v>
      </c>
      <c r="U101" s="15" t="s">
        <v>25</v>
      </c>
      <c r="V101" s="16" t="s">
        <v>26</v>
      </c>
      <c r="W101" s="36" t="s">
        <v>65</v>
      </c>
      <c r="X101" s="33" t="s">
        <v>65</v>
      </c>
      <c r="Y101" s="36" t="s">
        <v>66</v>
      </c>
      <c r="Z101" s="35" t="s">
        <v>66</v>
      </c>
      <c r="AA101" s="34" t="s">
        <v>55</v>
      </c>
      <c r="AB101" s="33" t="s">
        <v>55</v>
      </c>
      <c r="AC101" s="36" t="s">
        <v>67</v>
      </c>
      <c r="AD101" s="35" t="s">
        <v>67</v>
      </c>
      <c r="AE101" s="38"/>
      <c r="AF101" s="39"/>
      <c r="AG101" s="39" t="s">
        <v>63</v>
      </c>
      <c r="AH101" s="40" t="s">
        <v>73</v>
      </c>
      <c r="AI101" s="39" t="s">
        <v>145</v>
      </c>
      <c r="AJ101" s="13" t="s">
        <v>8</v>
      </c>
      <c r="AK101" s="14" t="s">
        <v>9</v>
      </c>
      <c r="AL101" s="14" t="s">
        <v>10</v>
      </c>
      <c r="AM101" s="14" t="s">
        <v>11</v>
      </c>
      <c r="AN101" s="14" t="s">
        <v>12</v>
      </c>
      <c r="AO101" s="14" t="s">
        <v>13</v>
      </c>
      <c r="AP101" s="14" t="s">
        <v>14</v>
      </c>
      <c r="AQ101" s="14" t="s">
        <v>15</v>
      </c>
      <c r="AR101" s="14" t="s">
        <v>16</v>
      </c>
      <c r="AS101" s="14" t="s">
        <v>17</v>
      </c>
      <c r="AT101" s="14" t="s">
        <v>18</v>
      </c>
      <c r="AU101" s="14" t="s">
        <v>19</v>
      </c>
      <c r="AV101" s="14" t="s">
        <v>20</v>
      </c>
      <c r="AW101" s="14" t="s">
        <v>21</v>
      </c>
      <c r="AX101" s="14" t="s">
        <v>22</v>
      </c>
      <c r="AY101" s="16" t="s">
        <v>23</v>
      </c>
      <c r="AZ101" s="59" t="s">
        <v>78</v>
      </c>
      <c r="BA101" s="87" t="s">
        <v>78</v>
      </c>
      <c r="BB101" s="87" t="s">
        <v>131</v>
      </c>
      <c r="BC101" s="87" t="s">
        <v>133</v>
      </c>
      <c r="BD101" s="13" t="s">
        <v>8</v>
      </c>
      <c r="BE101" s="14" t="s">
        <v>9</v>
      </c>
      <c r="BF101" s="14" t="s">
        <v>10</v>
      </c>
      <c r="BG101" s="14" t="s">
        <v>11</v>
      </c>
      <c r="BH101" s="14" t="s">
        <v>12</v>
      </c>
      <c r="BI101" s="14" t="s">
        <v>13</v>
      </c>
      <c r="BJ101" s="14" t="s">
        <v>14</v>
      </c>
      <c r="BK101" s="14" t="s">
        <v>15</v>
      </c>
      <c r="BL101" s="14" t="s">
        <v>16</v>
      </c>
      <c r="BM101" s="14" t="s">
        <v>17</v>
      </c>
      <c r="BN101" s="14" t="s">
        <v>18</v>
      </c>
      <c r="BO101" s="14" t="s">
        <v>19</v>
      </c>
      <c r="BP101" s="14" t="s">
        <v>20</v>
      </c>
      <c r="BQ101" s="14" t="s">
        <v>21</v>
      </c>
      <c r="BR101" s="14" t="s">
        <v>22</v>
      </c>
      <c r="BS101" s="16" t="s">
        <v>23</v>
      </c>
      <c r="BT101" s="151"/>
      <c r="BU101" s="59" t="s">
        <v>78</v>
      </c>
      <c r="BV101" t="s">
        <v>131</v>
      </c>
      <c r="BW101" t="s">
        <v>133</v>
      </c>
      <c r="BX101" t="s">
        <v>141</v>
      </c>
    </row>
    <row r="102" spans="1:76" s="47" customFormat="1" ht="16" thickBot="1" x14ac:dyDescent="0.4">
      <c r="A102" s="63" t="str">
        <f>A9</f>
        <v>20-03-18</v>
      </c>
      <c r="B102" s="129">
        <f>B9</f>
        <v>0</v>
      </c>
      <c r="C102" s="41" t="str">
        <f t="shared" ref="C102:C126" si="21">C70</f>
        <v/>
      </c>
      <c r="D102" s="123">
        <f>IFERROR(MAX('B1'!D9,'B2'!D9,'B3'!D9),0)</f>
        <v>0</v>
      </c>
      <c r="E102" s="123">
        <f>IFERROR(MAX('B1'!E9,'B2'!E9,'B3'!E9),0)</f>
        <v>0</v>
      </c>
      <c r="F102" s="123">
        <f>IFERROR(MAX('B1'!F9,'B2'!F9,'B3'!F9),0)</f>
        <v>0</v>
      </c>
      <c r="G102" s="123">
        <f>IFERROR(MAX('B1'!G9,'B2'!G9,'B3'!G9),0)</f>
        <v>0</v>
      </c>
      <c r="H102" s="123">
        <f>IFERROR(MAX('B1'!H9,'B2'!H9,'B3'!H9),0)</f>
        <v>0</v>
      </c>
      <c r="I102" s="123">
        <f>IFERROR(MAX('B1'!I9,'B2'!I9,'B3'!I9),0)</f>
        <v>0</v>
      </c>
      <c r="J102" s="123">
        <f>IFERROR(MAX('B1'!J9,'B2'!J9,'B3'!J9),0)</f>
        <v>0</v>
      </c>
      <c r="K102" s="123">
        <f>IFERROR(MAX('B1'!K9,'B2'!K9,'B3'!K9),0)</f>
        <v>0</v>
      </c>
      <c r="L102" s="123">
        <f>IFERROR(MAX('B1'!L9,'B2'!L9,'B3'!L9),0)</f>
        <v>0</v>
      </c>
      <c r="M102" s="123">
        <f>IFERROR(MAX('B1'!M9,'B2'!M9,'B3'!M9),0)</f>
        <v>0</v>
      </c>
      <c r="N102" s="123">
        <f>IFERROR(MAX('B1'!N9,'B2'!N9,'B3'!N9),0)</f>
        <v>0</v>
      </c>
      <c r="O102" s="123">
        <f>IFERROR(MAX('B1'!O9,'B2'!O9,'B3'!O9),0)</f>
        <v>0</v>
      </c>
      <c r="P102" s="123">
        <f>IFERROR(MAX('B1'!P9,'B2'!P9,'B3'!P9),0)</f>
        <v>0</v>
      </c>
      <c r="Q102" s="123">
        <f>IFERROR(MAX('B1'!Q9,'B2'!Q9,'B3'!Q9),0)</f>
        <v>0</v>
      </c>
      <c r="R102" s="123">
        <f>IFERROR(MAX('B1'!R9,'B2'!R9,'B3'!R9),0)</f>
        <v>0</v>
      </c>
      <c r="S102" s="123">
        <f>IFERROR(MAX('B1'!S9,'B2'!S9,'B3'!S9),0)</f>
        <v>0</v>
      </c>
      <c r="T102" s="123">
        <f>IFERROR(MAX('B1'!T9,'B2'!T9,'B3'!T9),0)</f>
        <v>0</v>
      </c>
      <c r="U102" s="123">
        <f>IFERROR(MAX('B1'!U9,'B2'!U9,'B3'!U9),0)</f>
        <v>0</v>
      </c>
      <c r="V102" s="123">
        <f>IFERROR(MAX('B1'!V9,'B2'!V9,'B3'!V9),0)</f>
        <v>0</v>
      </c>
      <c r="W102" s="123">
        <f>IFERROR(MAX('B1'!W9,'B2'!W9,'B3'!W9),0)</f>
        <v>0</v>
      </c>
      <c r="X102" s="123">
        <f>IFERROR(MAX('B1'!X9,'B2'!X9,'B3'!X9),0)</f>
        <v>0</v>
      </c>
      <c r="Y102" s="123">
        <f>IFERROR(MAX('B1'!Y9,'B2'!Y9,'B3'!Y9),0)</f>
        <v>0</v>
      </c>
      <c r="Z102" s="123">
        <f>IFERROR(MAX('B1'!Z9,'B2'!Z9,'B3'!Z9),0)</f>
        <v>0</v>
      </c>
      <c r="AA102" s="123">
        <f>IFERROR(MAX('B1'!AB9,'B2'!AA9,'B3'!AA9),0)</f>
        <v>0</v>
      </c>
      <c r="AB102" s="123">
        <f>IFERROR(MAX('B1'!AC9,'B2'!AB9,'B3'!AB9),0)</f>
        <v>0</v>
      </c>
      <c r="AC102" s="123">
        <f>IFERROR(MAX('B1'!AD9,'B2'!AC9,'B3'!AC9),0)</f>
        <v>0</v>
      </c>
      <c r="AD102" s="123">
        <f>IFERROR(MAX('B1'!AE9,'B2'!AD9,'B3'!AD9),0)</f>
        <v>0</v>
      </c>
      <c r="AE102" s="123">
        <f>IFERROR(MAX('B1'!AF9,'B2'!AE9,'B3'!AE9),0)</f>
        <v>7</v>
      </c>
      <c r="AF102" s="123">
        <f>IFERROR(MAX('B1'!AG9,'B2'!AF9,'B3'!AF9),0)</f>
        <v>0</v>
      </c>
      <c r="AG102" s="123">
        <f>IFERROR(MAX('B1'!AH9,'B2'!AG9,'B3'!AG9),0)</f>
        <v>1</v>
      </c>
      <c r="AH102" s="123">
        <f>IFERROR(MAX('B1'!AI9,'B2'!AH9,'B3'!AH9),0)</f>
        <v>0</v>
      </c>
      <c r="AI102" s="123">
        <f>IFERROR(MAX('B1'!AJ9,'B2'!AI9,'B3'!AI9),0)</f>
        <v>0</v>
      </c>
      <c r="AJ102" s="123">
        <f>IFERROR(MAX('B1'!AK9,'B2'!AJ9,'B3'!AJ9),0)</f>
        <v>0</v>
      </c>
      <c r="AK102" s="123">
        <f>IFERROR(MAX('B1'!AL9,'B2'!AK9,'B3'!AK9),0)</f>
        <v>0</v>
      </c>
      <c r="AL102" s="123">
        <f>IFERROR(MAX('B1'!AM9,'B2'!AL9,'B3'!AL9),0)</f>
        <v>0</v>
      </c>
      <c r="AM102" s="123">
        <f>IFERROR(MAX('B1'!AN9,'B2'!AM9,'B3'!AM9),0)</f>
        <v>0</v>
      </c>
      <c r="AN102" s="123">
        <f>IFERROR(MAX('B1'!AO9,'B2'!AN9,'B3'!AN9),0)</f>
        <v>0</v>
      </c>
      <c r="AO102" s="123">
        <f>IFERROR(MAX('B1'!AP9,'B2'!AO9,'B3'!AO9),0)</f>
        <v>0</v>
      </c>
      <c r="AP102" s="123">
        <f>IFERROR(MAX('B1'!AQ9,'B2'!AP9,'B3'!AP9),0)</f>
        <v>0</v>
      </c>
      <c r="AQ102" s="123">
        <f>IFERROR(MAX('B1'!AR9,'B2'!AQ9,'B3'!AQ9),0)</f>
        <v>0</v>
      </c>
      <c r="AR102" s="123">
        <f>IFERROR(MAX('B1'!AS9,'B2'!AR9,'B3'!AR9),0)</f>
        <v>0</v>
      </c>
      <c r="AS102" s="123">
        <f>IFERROR(MAX('B1'!AT9,'B2'!AS9,'B3'!AS9),0)</f>
        <v>0</v>
      </c>
      <c r="AT102" s="123">
        <f>IFERROR(MAX('B1'!AU9,'B2'!AT9,'B3'!AT9),0)</f>
        <v>0</v>
      </c>
      <c r="AU102" s="123">
        <f>IFERROR(MAX('B1'!AV9,'B2'!AU9,'B3'!AU9),0)</f>
        <v>0</v>
      </c>
      <c r="AV102" s="123">
        <f>IFERROR(MAX('B1'!AW9,'B2'!AV9,'B3'!AV9),0)</f>
        <v>0</v>
      </c>
      <c r="AW102" s="123">
        <f>IFERROR(MAX('B1'!AX9,'B2'!AW9,'B3'!AW9),0)</f>
        <v>0</v>
      </c>
      <c r="AX102" s="123">
        <f>IFERROR(MAX('B1'!AY9,'B2'!AX9,'B3'!AX9),0)</f>
        <v>0</v>
      </c>
      <c r="AY102" s="123">
        <f>IFERROR(MAX('B1'!AZ9,'B2'!AY9,'B3'!AY9),0)</f>
        <v>0</v>
      </c>
      <c r="AZ102" s="123">
        <f>IFERROR(MAX('B1'!BA9,'B2'!AZ9,'B3'!AZ9),0)</f>
        <v>0</v>
      </c>
      <c r="BA102" s="123">
        <f>IFERROR(MAX('B1'!BB9,'B2'!BA9,'B3'!BA9),0)</f>
        <v>0</v>
      </c>
      <c r="BB102" s="123">
        <f>IFERROR(MAX('B1'!#REF!,'B2'!#REF!,'B3'!#REF!),0)</f>
        <v>0</v>
      </c>
      <c r="BC102" s="123">
        <f>IFERROR(MAX('B1'!#REF!,'B2'!#REF!,'B3'!#REF!),0)</f>
        <v>0</v>
      </c>
      <c r="BD102" s="123">
        <f>IFERROR(MAX('B1'!#REF!,'B2'!#REF!,'B3'!#REF!),0)</f>
        <v>0</v>
      </c>
      <c r="BE102" s="123">
        <f>IFERROR(MAX('B1'!#REF!,'B2'!#REF!,'B3'!#REF!),0)</f>
        <v>0</v>
      </c>
      <c r="BF102" s="123">
        <f>IFERROR(MAX('B1'!#REF!,'B2'!#REF!,'B3'!#REF!),0)</f>
        <v>0</v>
      </c>
      <c r="BG102" s="123">
        <f>IFERROR(MAX('B1'!#REF!,'B2'!#REF!,'B3'!#REF!),0)</f>
        <v>0</v>
      </c>
      <c r="BH102" s="123">
        <f>IFERROR(MAX('B1'!#REF!,'B2'!#REF!,'B3'!#REF!),0)</f>
        <v>0</v>
      </c>
      <c r="BI102" s="123">
        <f>IFERROR(MAX('B1'!#REF!,'B2'!#REF!,'B3'!#REF!),0)</f>
        <v>0</v>
      </c>
      <c r="BJ102" s="123">
        <f>IFERROR(MAX('B1'!#REF!,'B2'!#REF!,'B3'!#REF!),0)</f>
        <v>0</v>
      </c>
      <c r="BK102" s="123">
        <f>IFERROR(MAX('B1'!#REF!,'B2'!#REF!,'B3'!#REF!),0)</f>
        <v>0</v>
      </c>
      <c r="BL102" s="123">
        <f>IFERROR(MAX('B1'!#REF!,'B2'!#REF!,'B3'!#REF!),0)</f>
        <v>0</v>
      </c>
      <c r="BM102" s="123">
        <f>IFERROR(MAX('B1'!#REF!,'B2'!#REF!,'B3'!#REF!),0)</f>
        <v>0</v>
      </c>
      <c r="BN102" s="123">
        <f>IFERROR(MAX('B1'!#REF!,'B2'!#REF!,'B3'!#REF!),0)</f>
        <v>0</v>
      </c>
      <c r="BO102" s="123">
        <f>IFERROR(MAX('B1'!#REF!,'B2'!#REF!,'B3'!#REF!),0)</f>
        <v>0</v>
      </c>
      <c r="BP102" s="123">
        <f>IFERROR(MAX('B1'!#REF!,'B2'!#REF!,'B3'!#REF!),0)</f>
        <v>0</v>
      </c>
      <c r="BQ102" s="123">
        <f>IFERROR(MAX('B1'!#REF!,'B2'!#REF!,'B3'!#REF!),0)</f>
        <v>0</v>
      </c>
      <c r="BR102" s="123">
        <f>IFERROR(MAX('B1'!#REF!,'B2'!#REF!,'B3'!#REF!),0)</f>
        <v>0</v>
      </c>
      <c r="BS102" s="123">
        <f>IFERROR(MAX('B1'!#REF!,'B2'!#REF!,'B3'!#REF!),0)</f>
        <v>0</v>
      </c>
      <c r="BT102" s="123"/>
      <c r="BU102" s="123">
        <f>IFERROR(MAX('B1'!#REF!,'B2'!#REF!,'B3'!#REF!),0)</f>
        <v>0</v>
      </c>
      <c r="BV102" s="123">
        <f>IFERROR(MAX('B1'!#REF!,'B2'!#REF!,'B3'!#REF!),0)</f>
        <v>0</v>
      </c>
      <c r="BW102" s="123">
        <f>IFERROR(MAX('B1'!#REF!,'B2'!#REF!,'B3'!#REF!),0)</f>
        <v>0</v>
      </c>
      <c r="BX102" s="123">
        <f>IFERROR(MAX('B1'!#REF!,'B2'!#REF!,'B3'!#REF!),0)</f>
        <v>0</v>
      </c>
    </row>
    <row r="103" spans="1:76" s="66" customFormat="1" ht="16" thickBot="1" x14ac:dyDescent="0.4">
      <c r="A103" s="63" t="str">
        <f t="shared" ref="A103:B126" si="22">A10</f>
        <v>22-03-18</v>
      </c>
      <c r="B103" s="129">
        <f t="shared" si="22"/>
        <v>2</v>
      </c>
      <c r="C103" s="41" t="str">
        <f t="shared" si="21"/>
        <v>factor</v>
      </c>
      <c r="D103" s="123">
        <f>IFERROR(MAX('B1'!D10,'B2'!D10,'B3'!D10),0)</f>
        <v>0</v>
      </c>
      <c r="E103" s="123">
        <f>IFERROR(MAX('B1'!E10,'B2'!E10,'B3'!E10),0)</f>
        <v>0</v>
      </c>
      <c r="F103" s="123">
        <f>IFERROR(MAX('B1'!F10,'B2'!F10,'B3'!F10),0)</f>
        <v>0</v>
      </c>
      <c r="G103" s="123">
        <f>IFERROR(MAX('B1'!G10,'B2'!G10,'B3'!G10),0)</f>
        <v>0</v>
      </c>
      <c r="H103" s="123">
        <f>IFERROR(MAX('B1'!H10,'B2'!H10,'B3'!H10),0)</f>
        <v>0</v>
      </c>
      <c r="I103" s="123">
        <f>IFERROR(MAX('B1'!I10,'B2'!I10,'B3'!I10),0)</f>
        <v>0</v>
      </c>
      <c r="J103" s="123">
        <f>IFERROR(MAX('B1'!J10,'B2'!J10,'B3'!J10),0)</f>
        <v>0</v>
      </c>
      <c r="K103" s="123">
        <f>IFERROR(MAX('B1'!K10,'B2'!K10,'B3'!K10),0)</f>
        <v>0</v>
      </c>
      <c r="L103" s="123">
        <f>IFERROR(MAX('B1'!L10,'B2'!L10,'B3'!L10),0)</f>
        <v>0</v>
      </c>
      <c r="M103" s="123">
        <f>IFERROR(MAX('B1'!M10,'B2'!M10,'B3'!M10),0)</f>
        <v>0</v>
      </c>
      <c r="N103" s="123">
        <f>IFERROR(MAX('B1'!N10,'B2'!N10,'B3'!N10),0)</f>
        <v>0</v>
      </c>
      <c r="O103" s="123">
        <f>IFERROR(MAX('B1'!O10,'B2'!O10,'B3'!O10),0)</f>
        <v>0</v>
      </c>
      <c r="P103" s="123">
        <f>IFERROR(MAX('B1'!P10,'B2'!P10,'B3'!P10),0)</f>
        <v>0</v>
      </c>
      <c r="Q103" s="123">
        <f>IFERROR(MAX('B1'!Q10,'B2'!Q10,'B3'!Q10),0)</f>
        <v>0</v>
      </c>
      <c r="R103" s="123">
        <f>IFERROR(MAX('B1'!R10,'B2'!R10,'B3'!R10),0)</f>
        <v>0</v>
      </c>
      <c r="S103" s="123">
        <f>IFERROR(MAX('B1'!S10,'B2'!S10,'B3'!S10),0)</f>
        <v>0</v>
      </c>
      <c r="T103" s="123">
        <f>IFERROR(MAX('B1'!T10,'B2'!T10,'B3'!T10),0)</f>
        <v>0</v>
      </c>
      <c r="U103" s="123">
        <f>IFERROR(MAX('B1'!U10,'B2'!U10,'B3'!U10),0)</f>
        <v>0</v>
      </c>
      <c r="V103" s="123">
        <f>IFERROR(MAX('B1'!V10,'B2'!V10,'B3'!V10),0)</f>
        <v>0</v>
      </c>
      <c r="W103" s="123">
        <f>IFERROR(MAX('B1'!W10,'B2'!W10,'B3'!W10),0)</f>
        <v>0</v>
      </c>
      <c r="X103" s="123">
        <f>IFERROR(MAX('B1'!X10,'B2'!X10,'B3'!X10),0)</f>
        <v>0</v>
      </c>
      <c r="Y103" s="123">
        <f>IFERROR(MAX('B1'!Y10,'B2'!Y10,'B3'!Y10),0)</f>
        <v>0</v>
      </c>
      <c r="Z103" s="123">
        <f>IFERROR(MAX('B1'!Z10,'B2'!Z10,'B3'!Z10),0)</f>
        <v>0</v>
      </c>
      <c r="AA103" s="123">
        <f>IFERROR(MAX('B1'!AB10,'B2'!AA10,'B3'!AA10),0)</f>
        <v>0</v>
      </c>
      <c r="AB103" s="123">
        <f>IFERROR(MAX('B1'!AC10,'B2'!AB10,'B3'!AB10),0)</f>
        <v>0</v>
      </c>
      <c r="AC103" s="123">
        <f>IFERROR(MAX('B1'!AD10,'B2'!AC10,'B3'!AC10),0)</f>
        <v>0</v>
      </c>
      <c r="AD103" s="123">
        <f>IFERROR(MAX('B1'!AE10,'B2'!AD10,'B3'!AD10),0)</f>
        <v>0</v>
      </c>
      <c r="AE103" s="123">
        <f>IFERROR(MAX('B1'!AF10,'B2'!AE10,'B3'!AE10),0)</f>
        <v>6.61</v>
      </c>
      <c r="AF103" s="123">
        <f>IFERROR(MAX('B1'!AG10,'B2'!AF10,'B3'!AF10),0)</f>
        <v>10</v>
      </c>
      <c r="AG103" s="123">
        <f>IFERROR(MAX('B1'!AH10,'B2'!AG10,'B3'!AG10),0)</f>
        <v>1</v>
      </c>
      <c r="AH103" s="123">
        <f>IFERROR(MAX('B1'!AI10,'B2'!AH10,'B3'!AH10),0)</f>
        <v>18.07</v>
      </c>
      <c r="AI103" s="123">
        <f>IFERROR(MAX('B1'!AJ10,'B2'!AI10,'B3'!AI10),0)</f>
        <v>0</v>
      </c>
      <c r="AJ103" s="123">
        <f>IFERROR(MAX('B1'!AK10,'B2'!AJ10,'B3'!AJ10),0)</f>
        <v>0</v>
      </c>
      <c r="AK103" s="123">
        <f>IFERROR(MAX('B1'!AL10,'B2'!AK10,'B3'!AK10),0)</f>
        <v>0</v>
      </c>
      <c r="AL103" s="123">
        <f>IFERROR(MAX('B1'!AM10,'B2'!AL10,'B3'!AL10),0)</f>
        <v>0</v>
      </c>
      <c r="AM103" s="123">
        <f>IFERROR(MAX('B1'!AN10,'B2'!AM10,'B3'!AM10),0)</f>
        <v>0</v>
      </c>
      <c r="AN103" s="123">
        <f>IFERROR(MAX('B1'!AO10,'B2'!AN10,'B3'!AN10),0)</f>
        <v>0</v>
      </c>
      <c r="AO103" s="123">
        <f>IFERROR(MAX('B1'!AP10,'B2'!AO10,'B3'!AO10),0)</f>
        <v>0</v>
      </c>
      <c r="AP103" s="123">
        <f>IFERROR(MAX('B1'!AQ10,'B2'!AP10,'B3'!AP10),0)</f>
        <v>0</v>
      </c>
      <c r="AQ103" s="123">
        <f>IFERROR(MAX('B1'!AR10,'B2'!AQ10,'B3'!AQ10),0)</f>
        <v>0</v>
      </c>
      <c r="AR103" s="123">
        <f>IFERROR(MAX('B1'!AS10,'B2'!AR10,'B3'!AR10),0)</f>
        <v>0</v>
      </c>
      <c r="AS103" s="123">
        <f>IFERROR(MAX('B1'!AT10,'B2'!AS10,'B3'!AS10),0)</f>
        <v>0</v>
      </c>
      <c r="AT103" s="123">
        <f>IFERROR(MAX('B1'!AU10,'B2'!AT10,'B3'!AT10),0)</f>
        <v>0</v>
      </c>
      <c r="AU103" s="123">
        <f>IFERROR(MAX('B1'!AV10,'B2'!AU10,'B3'!AU10),0)</f>
        <v>0</v>
      </c>
      <c r="AV103" s="123">
        <f>IFERROR(MAX('B1'!AW10,'B2'!AV10,'B3'!AV10),0)</f>
        <v>0</v>
      </c>
      <c r="AW103" s="123">
        <f>IFERROR(MAX('B1'!AX10,'B2'!AW10,'B3'!AW10),0)</f>
        <v>0</v>
      </c>
      <c r="AX103" s="123">
        <f>IFERROR(MAX('B1'!AY10,'B2'!AX10,'B3'!AX10),0)</f>
        <v>0</v>
      </c>
      <c r="AY103" s="123">
        <f>IFERROR(MAX('B1'!AZ10,'B2'!AY10,'B3'!AY10),0)</f>
        <v>0</v>
      </c>
      <c r="AZ103" s="123">
        <f>IFERROR(MAX('B1'!BA10,'B2'!AZ10,'B3'!AZ10),0)</f>
        <v>2.0059946714031969</v>
      </c>
      <c r="BA103" s="123">
        <f>IFERROR(MAX('B1'!BB10,'B2'!BA10,'B3'!BA10),0)</f>
        <v>0.1807</v>
      </c>
      <c r="BB103" s="123">
        <f>IFERROR(MAX('B1'!#REF!,'B2'!#REF!,'B3'!#REF!),0)</f>
        <v>0</v>
      </c>
      <c r="BC103" s="123">
        <f>IFERROR(MAX('B1'!#REF!,'B2'!#REF!,'B3'!#REF!),0)</f>
        <v>0</v>
      </c>
      <c r="BD103" s="123">
        <f>IFERROR(MAX('B1'!#REF!,'B2'!#REF!,'B3'!#REF!),0)</f>
        <v>0</v>
      </c>
      <c r="BE103" s="123">
        <f>IFERROR(MAX('B1'!#REF!,'B2'!#REF!,'B3'!#REF!),0)</f>
        <v>0</v>
      </c>
      <c r="BF103" s="123">
        <f>IFERROR(MAX('B1'!#REF!,'B2'!#REF!,'B3'!#REF!),0)</f>
        <v>0</v>
      </c>
      <c r="BG103" s="123">
        <f>IFERROR(MAX('B1'!#REF!,'B2'!#REF!,'B3'!#REF!),0)</f>
        <v>0</v>
      </c>
      <c r="BH103" s="123">
        <f>IFERROR(MAX('B1'!#REF!,'B2'!#REF!,'B3'!#REF!),0)</f>
        <v>0</v>
      </c>
      <c r="BI103" s="123">
        <f>IFERROR(MAX('B1'!#REF!,'B2'!#REF!,'B3'!#REF!),0)</f>
        <v>0</v>
      </c>
      <c r="BJ103" s="123">
        <f>IFERROR(MAX('B1'!#REF!,'B2'!#REF!,'B3'!#REF!),0)</f>
        <v>0</v>
      </c>
      <c r="BK103" s="123">
        <f>IFERROR(MAX('B1'!#REF!,'B2'!#REF!,'B3'!#REF!),0)</f>
        <v>0</v>
      </c>
      <c r="BL103" s="123">
        <f>IFERROR(MAX('B1'!#REF!,'B2'!#REF!,'B3'!#REF!),0)</f>
        <v>0</v>
      </c>
      <c r="BM103" s="123">
        <f>IFERROR(MAX('B1'!#REF!,'B2'!#REF!,'B3'!#REF!),0)</f>
        <v>0</v>
      </c>
      <c r="BN103" s="123">
        <f>IFERROR(MAX('B1'!#REF!,'B2'!#REF!,'B3'!#REF!),0)</f>
        <v>0</v>
      </c>
      <c r="BO103" s="123">
        <f>IFERROR(MAX('B1'!#REF!,'B2'!#REF!,'B3'!#REF!),0)</f>
        <v>0</v>
      </c>
      <c r="BP103" s="123">
        <f>IFERROR(MAX('B1'!#REF!,'B2'!#REF!,'B3'!#REF!),0)</f>
        <v>0</v>
      </c>
      <c r="BQ103" s="123">
        <f>IFERROR(MAX('B1'!#REF!,'B2'!#REF!,'B3'!#REF!),0)</f>
        <v>0</v>
      </c>
      <c r="BR103" s="123">
        <f>IFERROR(MAX('B1'!#REF!,'B2'!#REF!,'B3'!#REF!),0)</f>
        <v>0</v>
      </c>
      <c r="BS103" s="123">
        <f>IFERROR(MAX('B1'!#REF!,'B2'!#REF!,'B3'!#REF!),0)</f>
        <v>0</v>
      </c>
      <c r="BT103" s="123"/>
      <c r="BU103" s="123">
        <f>IFERROR(MAX('B1'!#REF!,'B2'!#REF!,'B3'!#REF!),0)</f>
        <v>0</v>
      </c>
      <c r="BV103" s="123">
        <f>IFERROR(MAX('B1'!#REF!,'B2'!#REF!,'B3'!#REF!),0)</f>
        <v>0</v>
      </c>
      <c r="BW103" s="123">
        <f>IFERROR(MAX('B1'!#REF!,'B2'!#REF!,'B3'!#REF!),0)</f>
        <v>0</v>
      </c>
      <c r="BX103" s="123">
        <f>IFERROR(MAX('B1'!#REF!,'B2'!#REF!,'B3'!#REF!),0)</f>
        <v>0</v>
      </c>
    </row>
    <row r="104" spans="1:76" s="47" customFormat="1" ht="16" thickBot="1" x14ac:dyDescent="0.4">
      <c r="A104" s="63" t="str">
        <f t="shared" si="22"/>
        <v>23-03-18</v>
      </c>
      <c r="B104" s="129">
        <f t="shared" si="22"/>
        <v>3</v>
      </c>
      <c r="C104" s="41" t="str">
        <f t="shared" si="21"/>
        <v/>
      </c>
      <c r="D104" s="123">
        <f>IFERROR(MAX('B1'!D11,'B2'!D11,'B3'!D11),0)</f>
        <v>0</v>
      </c>
      <c r="E104" s="123">
        <f>IFERROR(MAX('B1'!E11,'B2'!E11,'B3'!E11),0)</f>
        <v>0</v>
      </c>
      <c r="F104" s="123">
        <f>IFERROR(MAX('B1'!F11,'B2'!F11,'B3'!F11),0)</f>
        <v>0</v>
      </c>
      <c r="G104" s="123">
        <f>IFERROR(MAX('B1'!G11,'B2'!G11,'B3'!G11),0)</f>
        <v>0</v>
      </c>
      <c r="H104" s="123">
        <f>IFERROR(MAX('B1'!H11,'B2'!H11,'B3'!H11),0)</f>
        <v>0</v>
      </c>
      <c r="I104" s="123">
        <f>IFERROR(MAX('B1'!I11,'B2'!I11,'B3'!I11),0)</f>
        <v>0</v>
      </c>
      <c r="J104" s="123">
        <f>IFERROR(MAX('B1'!J11,'B2'!J11,'B3'!J11),0)</f>
        <v>0</v>
      </c>
      <c r="K104" s="123">
        <f>IFERROR(MAX('B1'!K11,'B2'!K11,'B3'!K11),0)</f>
        <v>0</v>
      </c>
      <c r="L104" s="123">
        <f>IFERROR(MAX('B1'!L11,'B2'!L11,'B3'!L11),0)</f>
        <v>0</v>
      </c>
      <c r="M104" s="123">
        <f>IFERROR(MAX('B1'!M11,'B2'!M11,'B3'!M11),0)</f>
        <v>0</v>
      </c>
      <c r="N104" s="123">
        <f>IFERROR(MAX('B1'!N11,'B2'!N11,'B3'!N11),0)</f>
        <v>0</v>
      </c>
      <c r="O104" s="123">
        <f>IFERROR(MAX('B1'!O11,'B2'!O11,'B3'!O11),0)</f>
        <v>0</v>
      </c>
      <c r="P104" s="123">
        <f>IFERROR(MAX('B1'!P11,'B2'!P11,'B3'!P11),0)</f>
        <v>0</v>
      </c>
      <c r="Q104" s="123">
        <f>IFERROR(MAX('B1'!Q11,'B2'!Q11,'B3'!Q11),0)</f>
        <v>0</v>
      </c>
      <c r="R104" s="123">
        <f>IFERROR(MAX('B1'!R11,'B2'!R11,'B3'!R11),0)</f>
        <v>0</v>
      </c>
      <c r="S104" s="123">
        <f>IFERROR(MAX('B1'!S11,'B2'!S11,'B3'!S11),0)</f>
        <v>0</v>
      </c>
      <c r="T104" s="123">
        <f>IFERROR(MAX('B1'!T11,'B2'!T11,'B3'!T11),0)</f>
        <v>0</v>
      </c>
      <c r="U104" s="123">
        <f>IFERROR(MAX('B1'!U11,'B2'!U11,'B3'!U11),0)</f>
        <v>0</v>
      </c>
      <c r="V104" s="123">
        <f>IFERROR(MAX('B1'!V11,'B2'!V11,'B3'!V11),0)</f>
        <v>0</v>
      </c>
      <c r="W104" s="123">
        <f>IFERROR(MAX('B1'!W11,'B2'!W11,'B3'!W11),0)</f>
        <v>0</v>
      </c>
      <c r="X104" s="123">
        <f>IFERROR(MAX('B1'!X11,'B2'!X11,'B3'!X11),0)</f>
        <v>0</v>
      </c>
      <c r="Y104" s="123">
        <f>IFERROR(MAX('B1'!Y11,'B2'!Y11,'B3'!Y11),0)</f>
        <v>0</v>
      </c>
      <c r="Z104" s="123">
        <f>IFERROR(MAX('B1'!Z11,'B2'!Z11,'B3'!Z11),0)</f>
        <v>0</v>
      </c>
      <c r="AA104" s="123">
        <f>IFERROR(MAX('B1'!AB11,'B2'!AA11,'B3'!AA11),0)</f>
        <v>0</v>
      </c>
      <c r="AB104" s="123">
        <f>IFERROR(MAX('B1'!AC11,'B2'!AB11,'B3'!AB11),0)</f>
        <v>0</v>
      </c>
      <c r="AC104" s="123">
        <f>IFERROR(MAX('B1'!AD11,'B2'!AC11,'B3'!AC11),0)</f>
        <v>0</v>
      </c>
      <c r="AD104" s="123">
        <f>IFERROR(MAX('B1'!AE11,'B2'!AD11,'B3'!AD11),0)</f>
        <v>0</v>
      </c>
      <c r="AE104" s="123">
        <f>IFERROR(MAX('B1'!AF11,'B2'!AE11,'B3'!AE11),0)</f>
        <v>6.39</v>
      </c>
      <c r="AF104" s="123">
        <f>IFERROR(MAX('B1'!AG11,'B2'!AF11,'B3'!AF11),0)</f>
        <v>10</v>
      </c>
      <c r="AG104" s="123">
        <f>IFERROR(MAX('B1'!AH11,'B2'!AG11,'B3'!AG11),0)</f>
        <v>1</v>
      </c>
      <c r="AH104" s="123">
        <f>IFERROR(MAX('B1'!AI11,'B2'!AH11,'B3'!AH11),0)</f>
        <v>18.920000000000002</v>
      </c>
      <c r="AI104" s="123">
        <f>IFERROR(MAX('B1'!AJ11,'B2'!AI11,'B3'!AI11),0)</f>
        <v>0</v>
      </c>
      <c r="AJ104" s="123">
        <f>IFERROR(MAX('B1'!AK11,'B2'!AJ11,'B3'!AJ11),0)</f>
        <v>0</v>
      </c>
      <c r="AK104" s="123">
        <f>IFERROR(MAX('B1'!AL11,'B2'!AK11,'B3'!AK11),0)</f>
        <v>0</v>
      </c>
      <c r="AL104" s="123">
        <f>IFERROR(MAX('B1'!AM11,'B2'!AL11,'B3'!AL11),0)</f>
        <v>0</v>
      </c>
      <c r="AM104" s="123">
        <f>IFERROR(MAX('B1'!AN11,'B2'!AM11,'B3'!AM11),0)</f>
        <v>0</v>
      </c>
      <c r="AN104" s="123">
        <f>IFERROR(MAX('B1'!AO11,'B2'!AN11,'B3'!AN11),0)</f>
        <v>0</v>
      </c>
      <c r="AO104" s="123">
        <f>IFERROR(MAX('B1'!AP11,'B2'!AO11,'B3'!AO11),0)</f>
        <v>0</v>
      </c>
      <c r="AP104" s="123">
        <f>IFERROR(MAX('B1'!AQ11,'B2'!AP11,'B3'!AP11),0)</f>
        <v>0</v>
      </c>
      <c r="AQ104" s="123">
        <f>IFERROR(MAX('B1'!AR11,'B2'!AQ11,'B3'!AQ11),0)</f>
        <v>0</v>
      </c>
      <c r="AR104" s="123">
        <f>IFERROR(MAX('B1'!AS11,'B2'!AR11,'B3'!AR11),0)</f>
        <v>0</v>
      </c>
      <c r="AS104" s="123">
        <f>IFERROR(MAX('B1'!AT11,'B2'!AS11,'B3'!AS11),0)</f>
        <v>0</v>
      </c>
      <c r="AT104" s="123">
        <f>IFERROR(MAX('B1'!AU11,'B2'!AT11,'B3'!AT11),0)</f>
        <v>0</v>
      </c>
      <c r="AU104" s="123">
        <f>IFERROR(MAX('B1'!AV11,'B2'!AU11,'B3'!AU11),0)</f>
        <v>0</v>
      </c>
      <c r="AV104" s="123">
        <f>IFERROR(MAX('B1'!AW11,'B2'!AV11,'B3'!AV11),0)</f>
        <v>0</v>
      </c>
      <c r="AW104" s="123">
        <f>IFERROR(MAX('B1'!AX11,'B2'!AW11,'B3'!AW11),0)</f>
        <v>0</v>
      </c>
      <c r="AX104" s="123">
        <f>IFERROR(MAX('B1'!AY11,'B2'!AX11,'B3'!AX11),0)</f>
        <v>0</v>
      </c>
      <c r="AY104" s="123">
        <f>IFERROR(MAX('B1'!AZ11,'B2'!AY11,'B3'!AY11),0)</f>
        <v>0</v>
      </c>
      <c r="AZ104" s="123">
        <f>IFERROR(MAX('B1'!BA11,'B2'!AZ11,'B3'!AZ11),0)</f>
        <v>2.1003552397868566</v>
      </c>
      <c r="BA104" s="123">
        <f>IFERROR(MAX('B1'!BB11,'B2'!BA11,'B3'!BA11),0)</f>
        <v>0.18920000000000001</v>
      </c>
      <c r="BB104" s="123">
        <f>IFERROR(MAX('B1'!#REF!,'B2'!#REF!,'B3'!#REF!),0)</f>
        <v>0</v>
      </c>
      <c r="BC104" s="123">
        <f>IFERROR(MAX('B1'!#REF!,'B2'!#REF!,'B3'!#REF!),0)</f>
        <v>0</v>
      </c>
      <c r="BD104" s="123">
        <f>IFERROR(MAX('B1'!#REF!,'B2'!#REF!,'B3'!#REF!),0)</f>
        <v>0</v>
      </c>
      <c r="BE104" s="123">
        <f>IFERROR(MAX('B1'!#REF!,'B2'!#REF!,'B3'!#REF!),0)</f>
        <v>0</v>
      </c>
      <c r="BF104" s="123">
        <f>IFERROR(MAX('B1'!#REF!,'B2'!#REF!,'B3'!#REF!),0)</f>
        <v>0</v>
      </c>
      <c r="BG104" s="123">
        <f>IFERROR(MAX('B1'!#REF!,'B2'!#REF!,'B3'!#REF!),0)</f>
        <v>0</v>
      </c>
      <c r="BH104" s="123">
        <f>IFERROR(MAX('B1'!#REF!,'B2'!#REF!,'B3'!#REF!),0)</f>
        <v>0</v>
      </c>
      <c r="BI104" s="123">
        <f>IFERROR(MAX('B1'!#REF!,'B2'!#REF!,'B3'!#REF!),0)</f>
        <v>0</v>
      </c>
      <c r="BJ104" s="123">
        <f>IFERROR(MAX('B1'!#REF!,'B2'!#REF!,'B3'!#REF!),0)</f>
        <v>0</v>
      </c>
      <c r="BK104" s="123">
        <f>IFERROR(MAX('B1'!#REF!,'B2'!#REF!,'B3'!#REF!),0)</f>
        <v>0</v>
      </c>
      <c r="BL104" s="123">
        <f>IFERROR(MAX('B1'!#REF!,'B2'!#REF!,'B3'!#REF!),0)</f>
        <v>0</v>
      </c>
      <c r="BM104" s="123">
        <f>IFERROR(MAX('B1'!#REF!,'B2'!#REF!,'B3'!#REF!),0)</f>
        <v>0</v>
      </c>
      <c r="BN104" s="123">
        <f>IFERROR(MAX('B1'!#REF!,'B2'!#REF!,'B3'!#REF!),0)</f>
        <v>0</v>
      </c>
      <c r="BO104" s="123">
        <f>IFERROR(MAX('B1'!#REF!,'B2'!#REF!,'B3'!#REF!),0)</f>
        <v>0</v>
      </c>
      <c r="BP104" s="123">
        <f>IFERROR(MAX('B1'!#REF!,'B2'!#REF!,'B3'!#REF!),0)</f>
        <v>0</v>
      </c>
      <c r="BQ104" s="123">
        <f>IFERROR(MAX('B1'!#REF!,'B2'!#REF!,'B3'!#REF!),0)</f>
        <v>0</v>
      </c>
      <c r="BR104" s="123">
        <f>IFERROR(MAX('B1'!#REF!,'B2'!#REF!,'B3'!#REF!),0)</f>
        <v>0</v>
      </c>
      <c r="BS104" s="123">
        <f>IFERROR(MAX('B1'!#REF!,'B2'!#REF!,'B3'!#REF!),0)</f>
        <v>0</v>
      </c>
      <c r="BT104" s="123"/>
      <c r="BU104" s="123">
        <f>IFERROR(MAX('B1'!#REF!,'B2'!#REF!,'B3'!#REF!),0)</f>
        <v>0</v>
      </c>
      <c r="BV104" s="123">
        <f>IFERROR(MAX('B1'!#REF!,'B2'!#REF!,'B3'!#REF!),0)</f>
        <v>0</v>
      </c>
      <c r="BW104" s="123">
        <f>IFERROR(MAX('B1'!#REF!,'B2'!#REF!,'B3'!#REF!),0)</f>
        <v>0</v>
      </c>
      <c r="BX104" s="123">
        <f>IFERROR(MAX('B1'!#REF!,'B2'!#REF!,'B3'!#REF!),0)</f>
        <v>0</v>
      </c>
    </row>
    <row r="105" spans="1:76" s="66" customFormat="1" ht="16" thickBot="1" x14ac:dyDescent="0.4">
      <c r="A105" s="63" t="str">
        <f t="shared" si="22"/>
        <v>26-03-18</v>
      </c>
      <c r="B105" s="129">
        <f t="shared" si="22"/>
        <v>6</v>
      </c>
      <c r="C105" s="41">
        <f t="shared" si="21"/>
        <v>0</v>
      </c>
      <c r="D105" s="123">
        <f>IFERROR(MAX('B1'!D12,'B2'!D12,'B3'!D12),0)</f>
        <v>0</v>
      </c>
      <c r="E105" s="123">
        <f>IFERROR(MAX('B1'!E12,'B2'!E12,'B3'!E12),0)</f>
        <v>0</v>
      </c>
      <c r="F105" s="123">
        <f>IFERROR(MAX('B1'!F12,'B2'!F12,'B3'!F12),0)</f>
        <v>0</v>
      </c>
      <c r="G105" s="123">
        <f>IFERROR(MAX('B1'!G12,'B2'!G12,'B3'!G12),0)</f>
        <v>0</v>
      </c>
      <c r="H105" s="123">
        <f>IFERROR(MAX('B1'!H12,'B2'!H12,'B3'!H12),0)</f>
        <v>0</v>
      </c>
      <c r="I105" s="123">
        <f>IFERROR(MAX('B1'!I12,'B2'!I12,'B3'!I12),0)</f>
        <v>0</v>
      </c>
      <c r="J105" s="123">
        <f>IFERROR(MAX('B1'!J12,'B2'!J12,'B3'!J12),0)</f>
        <v>0</v>
      </c>
      <c r="K105" s="123">
        <f>IFERROR(MAX('B1'!K12,'B2'!K12,'B3'!K12),0)</f>
        <v>0</v>
      </c>
      <c r="L105" s="123">
        <f>IFERROR(MAX('B1'!L12,'B2'!L12,'B3'!L12),0)</f>
        <v>0</v>
      </c>
      <c r="M105" s="123">
        <f>IFERROR(MAX('B1'!M12,'B2'!M12,'B3'!M12),0)</f>
        <v>0</v>
      </c>
      <c r="N105" s="123">
        <f>IFERROR(MAX('B1'!N12,'B2'!N12,'B3'!N12),0)</f>
        <v>0</v>
      </c>
      <c r="O105" s="123">
        <f>IFERROR(MAX('B1'!O12,'B2'!O12,'B3'!O12),0)</f>
        <v>0</v>
      </c>
      <c r="P105" s="123">
        <f>IFERROR(MAX('B1'!P12,'B2'!P12,'B3'!P12),0)</f>
        <v>0</v>
      </c>
      <c r="Q105" s="123">
        <f>IFERROR(MAX('B1'!Q12,'B2'!Q12,'B3'!Q12),0)</f>
        <v>0</v>
      </c>
      <c r="R105" s="123">
        <f>IFERROR(MAX('B1'!R12,'B2'!R12,'B3'!R12),0)</f>
        <v>0</v>
      </c>
      <c r="S105" s="123">
        <f>IFERROR(MAX('B1'!S12,'B2'!S12,'B3'!S12),0)</f>
        <v>0</v>
      </c>
      <c r="T105" s="123">
        <f>IFERROR(MAX('B1'!T12,'B2'!T12,'B3'!T12),0)</f>
        <v>0</v>
      </c>
      <c r="U105" s="123">
        <f>IFERROR(MAX('B1'!U12,'B2'!U12,'B3'!U12),0)</f>
        <v>0</v>
      </c>
      <c r="V105" s="123">
        <f>IFERROR(MAX('B1'!V12,'B2'!V12,'B3'!V12),0)</f>
        <v>0</v>
      </c>
      <c r="W105" s="123">
        <f>IFERROR(MAX('B1'!W12,'B2'!W12,'B3'!W12),0)</f>
        <v>0</v>
      </c>
      <c r="X105" s="123">
        <f>IFERROR(MAX('B1'!X12,'B2'!X12,'B3'!X12),0)</f>
        <v>0</v>
      </c>
      <c r="Y105" s="123">
        <f>IFERROR(MAX('B1'!Y12,'B2'!Y12,'B3'!Y12),0)</f>
        <v>0</v>
      </c>
      <c r="Z105" s="123">
        <f>IFERROR(MAX('B1'!Z12,'B2'!Z12,'B3'!Z12),0)</f>
        <v>0</v>
      </c>
      <c r="AA105" s="123">
        <f>IFERROR(MAX('B1'!AB12,'B2'!AA12,'B3'!AA12),0)</f>
        <v>0</v>
      </c>
      <c r="AB105" s="123">
        <f>IFERROR(MAX('B1'!AC12,'B2'!AB12,'B3'!AB12),0)</f>
        <v>0</v>
      </c>
      <c r="AC105" s="123">
        <f>IFERROR(MAX('B1'!AD12,'B2'!AC12,'B3'!AC12),0)</f>
        <v>0</v>
      </c>
      <c r="AD105" s="123">
        <f>IFERROR(MAX('B1'!AE12,'B2'!AD12,'B3'!AD12),0)</f>
        <v>0</v>
      </c>
      <c r="AE105" s="123">
        <f>IFERROR(MAX('B1'!AF12,'B2'!AE12,'B3'!AE12),0)</f>
        <v>3.31</v>
      </c>
      <c r="AF105" s="123">
        <f>IFERROR(MAX('B1'!AG12,'B2'!AF12,'B3'!AF12),0)</f>
        <v>100</v>
      </c>
      <c r="AG105" s="123">
        <f>IFERROR(MAX('B1'!AH12,'B2'!AG12,'B3'!AG12),0)</f>
        <v>1</v>
      </c>
      <c r="AH105" s="123">
        <f>IFERROR(MAX('B1'!AI12,'B2'!AH12,'B3'!AH12),0)</f>
        <v>14.057399999999999</v>
      </c>
      <c r="AI105" s="123">
        <f>IFERROR(MAX('B1'!AJ12,'B2'!AI12,'B3'!AI12),0)</f>
        <v>0</v>
      </c>
      <c r="AJ105" s="123">
        <f>IFERROR(MAX('B1'!AK12,'B2'!AJ12,'B3'!AJ12),0)</f>
        <v>0</v>
      </c>
      <c r="AK105" s="123">
        <f>IFERROR(MAX('B1'!AL12,'B2'!AK12,'B3'!AK12),0)</f>
        <v>0</v>
      </c>
      <c r="AL105" s="123">
        <f>IFERROR(MAX('B1'!AM12,'B2'!AL12,'B3'!AL12),0)</f>
        <v>0</v>
      </c>
      <c r="AM105" s="123">
        <f>IFERROR(MAX('B1'!AN12,'B2'!AM12,'B3'!AM12),0)</f>
        <v>0</v>
      </c>
      <c r="AN105" s="123">
        <f>IFERROR(MAX('B1'!AO12,'B2'!AN12,'B3'!AN12),0)</f>
        <v>0</v>
      </c>
      <c r="AO105" s="123">
        <f>IFERROR(MAX('B1'!AP12,'B2'!AO12,'B3'!AO12),0)</f>
        <v>0</v>
      </c>
      <c r="AP105" s="123">
        <f>IFERROR(MAX('B1'!AQ12,'B2'!AP12,'B3'!AP12),0)</f>
        <v>0</v>
      </c>
      <c r="AQ105" s="123">
        <f>IFERROR(MAX('B1'!AR12,'B2'!AQ12,'B3'!AQ12),0)</f>
        <v>0</v>
      </c>
      <c r="AR105" s="123">
        <f>IFERROR(MAX('B1'!AS12,'B2'!AR12,'B3'!AR12),0)</f>
        <v>0</v>
      </c>
      <c r="AS105" s="123">
        <f>IFERROR(MAX('B1'!AT12,'B2'!AS12,'B3'!AS12),0)</f>
        <v>0</v>
      </c>
      <c r="AT105" s="123">
        <f>IFERROR(MAX('B1'!AU12,'B2'!AT12,'B3'!AT12),0)</f>
        <v>0</v>
      </c>
      <c r="AU105" s="123">
        <f>IFERROR(MAX('B1'!AV12,'B2'!AU12,'B3'!AU12),0)</f>
        <v>0</v>
      </c>
      <c r="AV105" s="123">
        <f>IFERROR(MAX('B1'!AW12,'B2'!AV12,'B3'!AV12),0)</f>
        <v>0</v>
      </c>
      <c r="AW105" s="123">
        <f>IFERROR(MAX('B1'!AX12,'B2'!AW12,'B3'!AW12),0)</f>
        <v>0</v>
      </c>
      <c r="AX105" s="123">
        <f>IFERROR(MAX('B1'!AY12,'B2'!AX12,'B3'!AX12),0)</f>
        <v>0</v>
      </c>
      <c r="AY105" s="123">
        <f>IFERROR(MAX('B1'!AZ12,'B2'!AY12,'B3'!AY12),0)</f>
        <v>0</v>
      </c>
      <c r="AZ105" s="123">
        <f>IFERROR(MAX('B1'!BA12,'B2'!AZ12,'B3'!AZ12),0)</f>
        <v>15.605461811722913</v>
      </c>
      <c r="BA105" s="123">
        <f>IFERROR(MAX('B1'!BB12,'B2'!BA12,'B3'!BA12),0)</f>
        <v>1.40574</v>
      </c>
      <c r="BB105" s="123">
        <f>IFERROR(MAX('B1'!#REF!,'B2'!#REF!,'B3'!#REF!),0)</f>
        <v>0</v>
      </c>
      <c r="BC105" s="123">
        <f>IFERROR(MAX('B1'!#REF!,'B2'!#REF!,'B3'!#REF!),0)</f>
        <v>0</v>
      </c>
      <c r="BD105" s="123">
        <f>IFERROR(MAX('B1'!#REF!,'B2'!#REF!,'B3'!#REF!),0)</f>
        <v>0</v>
      </c>
      <c r="BE105" s="123">
        <f>IFERROR(MAX('B1'!#REF!,'B2'!#REF!,'B3'!#REF!),0)</f>
        <v>0</v>
      </c>
      <c r="BF105" s="123">
        <f>IFERROR(MAX('B1'!#REF!,'B2'!#REF!,'B3'!#REF!),0)</f>
        <v>0</v>
      </c>
      <c r="BG105" s="123">
        <f>IFERROR(MAX('B1'!#REF!,'B2'!#REF!,'B3'!#REF!),0)</f>
        <v>0</v>
      </c>
      <c r="BH105" s="123">
        <f>IFERROR(MAX('B1'!#REF!,'B2'!#REF!,'B3'!#REF!),0)</f>
        <v>0</v>
      </c>
      <c r="BI105" s="123">
        <f>IFERROR(MAX('B1'!#REF!,'B2'!#REF!,'B3'!#REF!),0)</f>
        <v>0</v>
      </c>
      <c r="BJ105" s="123">
        <f>IFERROR(MAX('B1'!#REF!,'B2'!#REF!,'B3'!#REF!),0)</f>
        <v>0</v>
      </c>
      <c r="BK105" s="123">
        <f>IFERROR(MAX('B1'!#REF!,'B2'!#REF!,'B3'!#REF!),0)</f>
        <v>0</v>
      </c>
      <c r="BL105" s="123">
        <f>IFERROR(MAX('B1'!#REF!,'B2'!#REF!,'B3'!#REF!),0)</f>
        <v>0</v>
      </c>
      <c r="BM105" s="123">
        <f>IFERROR(MAX('B1'!#REF!,'B2'!#REF!,'B3'!#REF!),0)</f>
        <v>0</v>
      </c>
      <c r="BN105" s="123">
        <f>IFERROR(MAX('B1'!#REF!,'B2'!#REF!,'B3'!#REF!),0)</f>
        <v>0</v>
      </c>
      <c r="BO105" s="123">
        <f>IFERROR(MAX('B1'!#REF!,'B2'!#REF!,'B3'!#REF!),0)</f>
        <v>0</v>
      </c>
      <c r="BP105" s="123">
        <f>IFERROR(MAX('B1'!#REF!,'B2'!#REF!,'B3'!#REF!),0)</f>
        <v>0</v>
      </c>
      <c r="BQ105" s="123">
        <f>IFERROR(MAX('B1'!#REF!,'B2'!#REF!,'B3'!#REF!),0)</f>
        <v>0</v>
      </c>
      <c r="BR105" s="123">
        <f>IFERROR(MAX('B1'!#REF!,'B2'!#REF!,'B3'!#REF!),0)</f>
        <v>0</v>
      </c>
      <c r="BS105" s="123">
        <f>IFERROR(MAX('B1'!#REF!,'B2'!#REF!,'B3'!#REF!),0)</f>
        <v>0</v>
      </c>
      <c r="BT105" s="123"/>
      <c r="BU105" s="123">
        <f>IFERROR(MAX('B1'!#REF!,'B2'!#REF!,'B3'!#REF!),0)</f>
        <v>0</v>
      </c>
      <c r="BV105" s="123">
        <f>IFERROR(MAX('B1'!#REF!,'B2'!#REF!,'B3'!#REF!),0)</f>
        <v>0</v>
      </c>
      <c r="BW105" s="123">
        <f>IFERROR(MAX('B1'!#REF!,'B2'!#REF!,'B3'!#REF!),0)</f>
        <v>0</v>
      </c>
      <c r="BX105" s="123">
        <f>IFERROR(MAX('B1'!#REF!,'B2'!#REF!,'B3'!#REF!),0)</f>
        <v>0</v>
      </c>
    </row>
    <row r="106" spans="1:76" s="47" customFormat="1" ht="16" thickBot="1" x14ac:dyDescent="0.4">
      <c r="A106" s="63" t="str">
        <f t="shared" si="22"/>
        <v>29-03-18</v>
      </c>
      <c r="B106" s="129">
        <f t="shared" si="22"/>
        <v>9</v>
      </c>
      <c r="C106" s="41">
        <f t="shared" si="21"/>
        <v>0</v>
      </c>
      <c r="D106" s="123">
        <f>IFERROR(MAX('B1'!D13,'B2'!D13,'B3'!D13),0)</f>
        <v>0</v>
      </c>
      <c r="E106" s="123">
        <f>IFERROR(MAX('B1'!E13,'B2'!E13,'B3'!E13),0)</f>
        <v>0</v>
      </c>
      <c r="F106" s="123">
        <f>IFERROR(MAX('B1'!F13,'B2'!F13,'B3'!F13),0)</f>
        <v>0</v>
      </c>
      <c r="G106" s="123">
        <f>IFERROR(MAX('B1'!G13,'B2'!G13,'B3'!G13),0)</f>
        <v>0</v>
      </c>
      <c r="H106" s="123">
        <f>IFERROR(MAX('B1'!H13,'B2'!H13,'B3'!H13),0)</f>
        <v>0</v>
      </c>
      <c r="I106" s="123">
        <f>IFERROR(MAX('B1'!I13,'B2'!I13,'B3'!I13),0)</f>
        <v>0</v>
      </c>
      <c r="J106" s="123">
        <f>IFERROR(MAX('B1'!J13,'B2'!J13,'B3'!J13),0)</f>
        <v>0</v>
      </c>
      <c r="K106" s="123">
        <f>IFERROR(MAX('B1'!K13,'B2'!K13,'B3'!K13),0)</f>
        <v>0</v>
      </c>
      <c r="L106" s="123">
        <f>IFERROR(MAX('B1'!L13,'B2'!L13,'B3'!L13),0)</f>
        <v>0</v>
      </c>
      <c r="M106" s="123">
        <f>IFERROR(MAX('B1'!M13,'B2'!M13,'B3'!M13),0)</f>
        <v>0</v>
      </c>
      <c r="N106" s="123">
        <f>IFERROR(MAX('B1'!N13,'B2'!N13,'B3'!N13),0)</f>
        <v>0</v>
      </c>
      <c r="O106" s="123">
        <f>IFERROR(MAX('B1'!O13,'B2'!O13,'B3'!O13),0)</f>
        <v>0</v>
      </c>
      <c r="P106" s="123">
        <f>IFERROR(MAX('B1'!P13,'B2'!P13,'B3'!P13),0)</f>
        <v>0</v>
      </c>
      <c r="Q106" s="123">
        <f>IFERROR(MAX('B1'!Q13,'B2'!Q13,'B3'!Q13),0)</f>
        <v>0</v>
      </c>
      <c r="R106" s="123">
        <f>IFERROR(MAX('B1'!R13,'B2'!R13,'B3'!R13),0)</f>
        <v>0</v>
      </c>
      <c r="S106" s="123">
        <f>IFERROR(MAX('B1'!S13,'B2'!S13,'B3'!S13),0)</f>
        <v>0</v>
      </c>
      <c r="T106" s="123">
        <f>IFERROR(MAX('B1'!T13,'B2'!T13,'B3'!T13),0)</f>
        <v>0</v>
      </c>
      <c r="U106" s="123">
        <f>IFERROR(MAX('B1'!U13,'B2'!U13,'B3'!U13),0)</f>
        <v>0</v>
      </c>
      <c r="V106" s="123">
        <f>IFERROR(MAX('B1'!V13,'B2'!V13,'B3'!V13),0)</f>
        <v>0</v>
      </c>
      <c r="W106" s="123">
        <f>IFERROR(MAX('B1'!W13,'B2'!W13,'B3'!W13),0)</f>
        <v>0</v>
      </c>
      <c r="X106" s="123">
        <f>IFERROR(MAX('B1'!X13,'B2'!X13,'B3'!X13),0)</f>
        <v>0</v>
      </c>
      <c r="Y106" s="123">
        <f>IFERROR(MAX('B1'!Y13,'B2'!Y13,'B3'!Y13),0)</f>
        <v>0</v>
      </c>
      <c r="Z106" s="123">
        <f>IFERROR(MAX('B1'!Z13,'B2'!Z13,'B3'!Z13),0)</f>
        <v>0</v>
      </c>
      <c r="AA106" s="123">
        <f>IFERROR(MAX('B1'!AB13,'B2'!AA13,'B3'!AA13),0)</f>
        <v>0</v>
      </c>
      <c r="AB106" s="123">
        <f>IFERROR(MAX('B1'!AC13,'B2'!AB13,'B3'!AB13),0)</f>
        <v>0</v>
      </c>
      <c r="AC106" s="123">
        <f>IFERROR(MAX('B1'!AD13,'B2'!AC13,'B3'!AC13),0)</f>
        <v>0</v>
      </c>
      <c r="AD106" s="123">
        <f>IFERROR(MAX('B1'!AE13,'B2'!AD13,'B3'!AD13),0)</f>
        <v>0</v>
      </c>
      <c r="AE106" s="123">
        <f>IFERROR(MAX('B1'!AF13,'B2'!AE13,'B3'!AE13),0)</f>
        <v>2.74</v>
      </c>
      <c r="AF106" s="123">
        <f>IFERROR(MAX('B1'!AG13,'B2'!AF13,'B3'!AF13),0)</f>
        <v>100</v>
      </c>
      <c r="AG106" s="123">
        <f>IFERROR(MAX('B1'!AH13,'B2'!AG13,'B3'!AG13),0)</f>
        <v>1</v>
      </c>
      <c r="AH106" s="123">
        <f>IFERROR(MAX('B1'!AI13,'B2'!AH13,'B3'!AH13),0)</f>
        <v>58.773699999999998</v>
      </c>
      <c r="AI106" s="123">
        <f>IFERROR(MAX('B1'!AJ13,'B2'!AI13,'B3'!AI13),0)</f>
        <v>0</v>
      </c>
      <c r="AJ106" s="123">
        <f>IFERROR(MAX('B1'!AK13,'B2'!AJ13,'B3'!AJ13),0)</f>
        <v>0</v>
      </c>
      <c r="AK106" s="123">
        <f>IFERROR(MAX('B1'!AL13,'B2'!AK13,'B3'!AK13),0)</f>
        <v>0</v>
      </c>
      <c r="AL106" s="123">
        <f>IFERROR(MAX('B1'!AM13,'B2'!AL13,'B3'!AL13),0)</f>
        <v>0</v>
      </c>
      <c r="AM106" s="123">
        <f>IFERROR(MAX('B1'!AN13,'B2'!AM13,'B3'!AM13),0)</f>
        <v>0</v>
      </c>
      <c r="AN106" s="123">
        <f>IFERROR(MAX('B1'!AO13,'B2'!AN13,'B3'!AN13),0)</f>
        <v>0</v>
      </c>
      <c r="AO106" s="123">
        <f>IFERROR(MAX('B1'!AP13,'B2'!AO13,'B3'!AO13),0)</f>
        <v>0</v>
      </c>
      <c r="AP106" s="123">
        <f>IFERROR(MAX('B1'!AQ13,'B2'!AP13,'B3'!AP13),0)</f>
        <v>0</v>
      </c>
      <c r="AQ106" s="123">
        <f>IFERROR(MAX('B1'!AR13,'B2'!AQ13,'B3'!AQ13),0)</f>
        <v>0</v>
      </c>
      <c r="AR106" s="123">
        <f>IFERROR(MAX('B1'!AS13,'B2'!AR13,'B3'!AR13),0)</f>
        <v>0</v>
      </c>
      <c r="AS106" s="123">
        <f>IFERROR(MAX('B1'!AT13,'B2'!AS13,'B3'!AS13),0)</f>
        <v>0</v>
      </c>
      <c r="AT106" s="123">
        <f>IFERROR(MAX('B1'!AU13,'B2'!AT13,'B3'!AT13),0)</f>
        <v>0</v>
      </c>
      <c r="AU106" s="123">
        <f>IFERROR(MAX('B1'!AV13,'B2'!AU13,'B3'!AU13),0)</f>
        <v>0</v>
      </c>
      <c r="AV106" s="123">
        <f>IFERROR(MAX('B1'!AW13,'B2'!AV13,'B3'!AV13),0)</f>
        <v>0</v>
      </c>
      <c r="AW106" s="123">
        <f>IFERROR(MAX('B1'!AX13,'B2'!AW13,'B3'!AW13),0)</f>
        <v>0</v>
      </c>
      <c r="AX106" s="123">
        <f>IFERROR(MAX('B1'!AY13,'B2'!AX13,'B3'!AX13),0)</f>
        <v>0</v>
      </c>
      <c r="AY106" s="123">
        <f>IFERROR(MAX('B1'!AZ13,'B2'!AY13,'B3'!AY13),0)</f>
        <v>0</v>
      </c>
      <c r="AZ106" s="123">
        <f>IFERROR(MAX('B1'!BA13,'B2'!AZ13,'B3'!AZ13),0)</f>
        <v>65.246114564831259</v>
      </c>
      <c r="BA106" s="123">
        <f>IFERROR(MAX('B1'!BB13,'B2'!BA13,'B3'!BA13),0)</f>
        <v>5.87737</v>
      </c>
      <c r="BB106" s="123">
        <f>IFERROR(MAX('B1'!#REF!,'B2'!#REF!,'B3'!#REF!),0)</f>
        <v>0</v>
      </c>
      <c r="BC106" s="123">
        <f>IFERROR(MAX('B1'!#REF!,'B2'!#REF!,'B3'!#REF!),0)</f>
        <v>0</v>
      </c>
      <c r="BD106" s="123">
        <f>IFERROR(MAX('B1'!#REF!,'B2'!#REF!,'B3'!#REF!),0)</f>
        <v>0</v>
      </c>
      <c r="BE106" s="123">
        <f>IFERROR(MAX('B1'!#REF!,'B2'!#REF!,'B3'!#REF!),0)</f>
        <v>0</v>
      </c>
      <c r="BF106" s="123">
        <f>IFERROR(MAX('B1'!#REF!,'B2'!#REF!,'B3'!#REF!),0)</f>
        <v>0</v>
      </c>
      <c r="BG106" s="123">
        <f>IFERROR(MAX('B1'!#REF!,'B2'!#REF!,'B3'!#REF!),0)</f>
        <v>0</v>
      </c>
      <c r="BH106" s="123">
        <f>IFERROR(MAX('B1'!#REF!,'B2'!#REF!,'B3'!#REF!),0)</f>
        <v>0</v>
      </c>
      <c r="BI106" s="123">
        <f>IFERROR(MAX('B1'!#REF!,'B2'!#REF!,'B3'!#REF!),0)</f>
        <v>0</v>
      </c>
      <c r="BJ106" s="123">
        <f>IFERROR(MAX('B1'!#REF!,'B2'!#REF!,'B3'!#REF!),0)</f>
        <v>0</v>
      </c>
      <c r="BK106" s="123">
        <f>IFERROR(MAX('B1'!#REF!,'B2'!#REF!,'B3'!#REF!),0)</f>
        <v>0</v>
      </c>
      <c r="BL106" s="123">
        <f>IFERROR(MAX('B1'!#REF!,'B2'!#REF!,'B3'!#REF!),0)</f>
        <v>0</v>
      </c>
      <c r="BM106" s="123">
        <f>IFERROR(MAX('B1'!#REF!,'B2'!#REF!,'B3'!#REF!),0)</f>
        <v>0</v>
      </c>
      <c r="BN106" s="123">
        <f>IFERROR(MAX('B1'!#REF!,'B2'!#REF!,'B3'!#REF!),0)</f>
        <v>0</v>
      </c>
      <c r="BO106" s="123">
        <f>IFERROR(MAX('B1'!#REF!,'B2'!#REF!,'B3'!#REF!),0)</f>
        <v>0</v>
      </c>
      <c r="BP106" s="123">
        <f>IFERROR(MAX('B1'!#REF!,'B2'!#REF!,'B3'!#REF!),0)</f>
        <v>0</v>
      </c>
      <c r="BQ106" s="123">
        <f>IFERROR(MAX('B1'!#REF!,'B2'!#REF!,'B3'!#REF!),0)</f>
        <v>0</v>
      </c>
      <c r="BR106" s="123">
        <f>IFERROR(MAX('B1'!#REF!,'B2'!#REF!,'B3'!#REF!),0)</f>
        <v>0</v>
      </c>
      <c r="BS106" s="123">
        <f>IFERROR(MAX('B1'!#REF!,'B2'!#REF!,'B3'!#REF!),0)</f>
        <v>0</v>
      </c>
      <c r="BT106" s="123"/>
      <c r="BU106" s="123">
        <f>IFERROR(MAX('B1'!#REF!,'B2'!#REF!,'B3'!#REF!),0)</f>
        <v>0</v>
      </c>
      <c r="BV106" s="123">
        <f>IFERROR(MAX('B1'!#REF!,'B2'!#REF!,'B3'!#REF!),0)</f>
        <v>0</v>
      </c>
      <c r="BW106" s="123">
        <f>IFERROR(MAX('B1'!#REF!,'B2'!#REF!,'B3'!#REF!),0)</f>
        <v>0</v>
      </c>
      <c r="BX106" s="123">
        <f>IFERROR(MAX('B1'!#REF!,'B2'!#REF!,'B3'!#REF!),0)</f>
        <v>0</v>
      </c>
    </row>
    <row r="107" spans="1:76" s="66" customFormat="1" ht="16" thickBot="1" x14ac:dyDescent="0.4">
      <c r="A107" s="63">
        <f t="shared" si="22"/>
        <v>43163</v>
      </c>
      <c r="B107" s="129">
        <f t="shared" si="22"/>
        <v>15</v>
      </c>
      <c r="C107" s="41">
        <f t="shared" si="21"/>
        <v>0</v>
      </c>
      <c r="D107" s="123">
        <f>IFERROR(MAX('B1'!D14,'B2'!D14,'B3'!D14),0)</f>
        <v>0</v>
      </c>
      <c r="E107" s="123">
        <f>IFERROR(MAX('B1'!E14,'B2'!E14,'B3'!E14),0)</f>
        <v>0</v>
      </c>
      <c r="F107" s="123">
        <f>IFERROR(MAX('B1'!F14,'B2'!F14,'B3'!F14),0)</f>
        <v>0</v>
      </c>
      <c r="G107" s="123">
        <f>IFERROR(MAX('B1'!G14,'B2'!G14,'B3'!G14),0)</f>
        <v>0</v>
      </c>
      <c r="H107" s="123">
        <f>IFERROR(MAX('B1'!H14,'B2'!H14,'B3'!H14),0)</f>
        <v>0</v>
      </c>
      <c r="I107" s="123">
        <f>IFERROR(MAX('B1'!I14,'B2'!I14,'B3'!I14),0)</f>
        <v>0</v>
      </c>
      <c r="J107" s="123">
        <f>IFERROR(MAX('B1'!J14,'B2'!J14,'B3'!J14),0)</f>
        <v>0</v>
      </c>
      <c r="K107" s="123">
        <f>IFERROR(MAX('B1'!K14,'B2'!K14,'B3'!K14),0)</f>
        <v>0</v>
      </c>
      <c r="L107" s="123">
        <f>IFERROR(MAX('B1'!L14,'B2'!L14,'B3'!L14),0)</f>
        <v>0</v>
      </c>
      <c r="M107" s="123">
        <f>IFERROR(MAX('B1'!M14,'B2'!M14,'B3'!M14),0)</f>
        <v>0</v>
      </c>
      <c r="N107" s="123">
        <f>IFERROR(MAX('B1'!N14,'B2'!N14,'B3'!N14),0)</f>
        <v>0</v>
      </c>
      <c r="O107" s="123">
        <f>IFERROR(MAX('B1'!O14,'B2'!O14,'B3'!O14),0)</f>
        <v>0</v>
      </c>
      <c r="P107" s="123">
        <f>IFERROR(MAX('B1'!P14,'B2'!P14,'B3'!P14),0)</f>
        <v>0</v>
      </c>
      <c r="Q107" s="123">
        <f>IFERROR(MAX('B1'!Q14,'B2'!Q14,'B3'!Q14),0)</f>
        <v>0</v>
      </c>
      <c r="R107" s="123">
        <f>IFERROR(MAX('B1'!R14,'B2'!R14,'B3'!R14),0)</f>
        <v>0</v>
      </c>
      <c r="S107" s="123">
        <f>IFERROR(MAX('B1'!S14,'B2'!S14,'B3'!S14),0)</f>
        <v>0</v>
      </c>
      <c r="T107" s="123">
        <f>IFERROR(MAX('B1'!T14,'B2'!T14,'B3'!T14),0)</f>
        <v>0</v>
      </c>
      <c r="U107" s="123">
        <f>IFERROR(MAX('B1'!U14,'B2'!U14,'B3'!U14),0)</f>
        <v>0</v>
      </c>
      <c r="V107" s="123">
        <f>IFERROR(MAX('B1'!V14,'B2'!V14,'B3'!V14),0)</f>
        <v>0</v>
      </c>
      <c r="W107" s="123">
        <f>IFERROR(MAX('B1'!W14,'B2'!W14,'B3'!W14),0)</f>
        <v>0</v>
      </c>
      <c r="X107" s="123">
        <f>IFERROR(MAX('B1'!X14,'B2'!X14,'B3'!X14),0)</f>
        <v>0</v>
      </c>
      <c r="Y107" s="123">
        <f>IFERROR(MAX('B1'!Y14,'B2'!Y14,'B3'!Y14),0)</f>
        <v>0</v>
      </c>
      <c r="Z107" s="123">
        <f>IFERROR(MAX('B1'!Z14,'B2'!Z14,'B3'!Z14),0)</f>
        <v>0</v>
      </c>
      <c r="AA107" s="123">
        <f>IFERROR(MAX('B1'!AB14,'B2'!AA14,'B3'!AA14),0)</f>
        <v>0</v>
      </c>
      <c r="AB107" s="123">
        <f>IFERROR(MAX('B1'!AC14,'B2'!AB14,'B3'!AB14),0)</f>
        <v>0</v>
      </c>
      <c r="AC107" s="123">
        <f>IFERROR(MAX('B1'!AD14,'B2'!AC14,'B3'!AC14),0)</f>
        <v>0</v>
      </c>
      <c r="AD107" s="123">
        <f>IFERROR(MAX('B1'!AE14,'B2'!AD14,'B3'!AD14),0)</f>
        <v>0</v>
      </c>
      <c r="AE107" s="123">
        <f>IFERROR(MAX('B1'!AF14,'B2'!AE14,'B3'!AE14),0)</f>
        <v>2.48</v>
      </c>
      <c r="AF107" s="123">
        <f>IFERROR(MAX('B1'!AG14,'B2'!AF14,'B3'!AF14),0)</f>
        <v>200</v>
      </c>
      <c r="AG107" s="123">
        <f>IFERROR(MAX('B1'!AH14,'B2'!AG14,'B3'!AG14),0)</f>
        <v>1</v>
      </c>
      <c r="AH107" s="123">
        <f>IFERROR(MAX('B1'!AI14,'B2'!AH14,'B3'!AH14),0)</f>
        <v>122.11709999999999</v>
      </c>
      <c r="AI107" s="123">
        <f>IFERROR(MAX('B1'!AJ14,'B2'!AI14,'B3'!AI14),0)</f>
        <v>0</v>
      </c>
      <c r="AJ107" s="123">
        <f>IFERROR(MAX('B1'!AK14,'B2'!AJ14,'B3'!AJ14),0)</f>
        <v>0</v>
      </c>
      <c r="AK107" s="123">
        <f>IFERROR(MAX('B1'!AL14,'B2'!AK14,'B3'!AK14),0)</f>
        <v>0</v>
      </c>
      <c r="AL107" s="123">
        <f>IFERROR(MAX('B1'!AM14,'B2'!AL14,'B3'!AL14),0)</f>
        <v>0</v>
      </c>
      <c r="AM107" s="123">
        <f>IFERROR(MAX('B1'!AN14,'B2'!AM14,'B3'!AM14),0)</f>
        <v>0</v>
      </c>
      <c r="AN107" s="123">
        <f>IFERROR(MAX('B1'!AO14,'B2'!AN14,'B3'!AN14),0)</f>
        <v>0</v>
      </c>
      <c r="AO107" s="123">
        <f>IFERROR(MAX('B1'!AP14,'B2'!AO14,'B3'!AO14),0)</f>
        <v>0</v>
      </c>
      <c r="AP107" s="123">
        <f>IFERROR(MAX('B1'!AQ14,'B2'!AP14,'B3'!AP14),0)</f>
        <v>0</v>
      </c>
      <c r="AQ107" s="123">
        <f>IFERROR(MAX('B1'!AR14,'B2'!AQ14,'B3'!AQ14),0)</f>
        <v>0</v>
      </c>
      <c r="AR107" s="123">
        <f>IFERROR(MAX('B1'!AS14,'B2'!AR14,'B3'!AR14),0)</f>
        <v>0</v>
      </c>
      <c r="AS107" s="123">
        <f>IFERROR(MAX('B1'!AT14,'B2'!AS14,'B3'!AS14),0)</f>
        <v>0</v>
      </c>
      <c r="AT107" s="123">
        <f>IFERROR(MAX('B1'!AU14,'B2'!AT14,'B3'!AT14),0)</f>
        <v>0</v>
      </c>
      <c r="AU107" s="123">
        <f>IFERROR(MAX('B1'!AV14,'B2'!AU14,'B3'!AU14),0)</f>
        <v>0</v>
      </c>
      <c r="AV107" s="123">
        <f>IFERROR(MAX('B1'!AW14,'B2'!AV14,'B3'!AV14),0)</f>
        <v>0</v>
      </c>
      <c r="AW107" s="123">
        <f>IFERROR(MAX('B1'!AX14,'B2'!AW14,'B3'!AW14),0)</f>
        <v>0</v>
      </c>
      <c r="AX107" s="123">
        <f>IFERROR(MAX('B1'!AY14,'B2'!AX14,'B3'!AX14),0)</f>
        <v>0</v>
      </c>
      <c r="AY107" s="123">
        <f>IFERROR(MAX('B1'!AZ14,'B2'!AY14,'B3'!AY14),0)</f>
        <v>0</v>
      </c>
      <c r="AZ107" s="123">
        <f>IFERROR(MAX('B1'!BA14,'B2'!AZ14,'B3'!AZ14),0)</f>
        <v>271.13032859680283</v>
      </c>
      <c r="BA107" s="123">
        <f>IFERROR(MAX('B1'!BB14,'B2'!BA14,'B3'!BA14),0)</f>
        <v>24.423419999999997</v>
      </c>
      <c r="BB107" s="123">
        <f>IFERROR(MAX('B1'!#REF!,'B2'!#REF!,'B3'!#REF!),0)</f>
        <v>0</v>
      </c>
      <c r="BC107" s="123">
        <f>IFERROR(MAX('B1'!#REF!,'B2'!#REF!,'B3'!#REF!),0)</f>
        <v>0</v>
      </c>
      <c r="BD107" s="123">
        <f>IFERROR(MAX('B1'!#REF!,'B2'!#REF!,'B3'!#REF!),0)</f>
        <v>0</v>
      </c>
      <c r="BE107" s="123">
        <f>IFERROR(MAX('B1'!#REF!,'B2'!#REF!,'B3'!#REF!),0)</f>
        <v>0</v>
      </c>
      <c r="BF107" s="123">
        <f>IFERROR(MAX('B1'!#REF!,'B2'!#REF!,'B3'!#REF!),0)</f>
        <v>0</v>
      </c>
      <c r="BG107" s="123">
        <f>IFERROR(MAX('B1'!#REF!,'B2'!#REF!,'B3'!#REF!),0)</f>
        <v>0</v>
      </c>
      <c r="BH107" s="123">
        <f>IFERROR(MAX('B1'!#REF!,'B2'!#REF!,'B3'!#REF!),0)</f>
        <v>0</v>
      </c>
      <c r="BI107" s="123">
        <f>IFERROR(MAX('B1'!#REF!,'B2'!#REF!,'B3'!#REF!),0)</f>
        <v>0</v>
      </c>
      <c r="BJ107" s="123">
        <f>IFERROR(MAX('B1'!#REF!,'B2'!#REF!,'B3'!#REF!),0)</f>
        <v>0</v>
      </c>
      <c r="BK107" s="123">
        <f>IFERROR(MAX('B1'!#REF!,'B2'!#REF!,'B3'!#REF!),0)</f>
        <v>0</v>
      </c>
      <c r="BL107" s="123">
        <f>IFERROR(MAX('B1'!#REF!,'B2'!#REF!,'B3'!#REF!),0)</f>
        <v>0</v>
      </c>
      <c r="BM107" s="123">
        <f>IFERROR(MAX('B1'!#REF!,'B2'!#REF!,'B3'!#REF!),0)</f>
        <v>0</v>
      </c>
      <c r="BN107" s="123">
        <f>IFERROR(MAX('B1'!#REF!,'B2'!#REF!,'B3'!#REF!),0)</f>
        <v>0</v>
      </c>
      <c r="BO107" s="123">
        <f>IFERROR(MAX('B1'!#REF!,'B2'!#REF!,'B3'!#REF!),0)</f>
        <v>0</v>
      </c>
      <c r="BP107" s="123">
        <f>IFERROR(MAX('B1'!#REF!,'B2'!#REF!,'B3'!#REF!),0)</f>
        <v>0</v>
      </c>
      <c r="BQ107" s="123">
        <f>IFERROR(MAX('B1'!#REF!,'B2'!#REF!,'B3'!#REF!),0)</f>
        <v>0</v>
      </c>
      <c r="BR107" s="123">
        <f>IFERROR(MAX('B1'!#REF!,'B2'!#REF!,'B3'!#REF!),0)</f>
        <v>0</v>
      </c>
      <c r="BS107" s="123">
        <f>IFERROR(MAX('B1'!#REF!,'B2'!#REF!,'B3'!#REF!),0)</f>
        <v>0</v>
      </c>
      <c r="BT107" s="123"/>
      <c r="BU107" s="123">
        <f>IFERROR(MAX('B1'!#REF!,'B2'!#REF!,'B3'!#REF!),0)</f>
        <v>0</v>
      </c>
      <c r="BV107" s="123">
        <f>IFERROR(MAX('B1'!#REF!,'B2'!#REF!,'B3'!#REF!),0)</f>
        <v>0</v>
      </c>
      <c r="BW107" s="123">
        <f>IFERROR(MAX('B1'!#REF!,'B2'!#REF!,'B3'!#REF!),0)</f>
        <v>0</v>
      </c>
      <c r="BX107" s="123">
        <f>IFERROR(MAX('B1'!#REF!,'B2'!#REF!,'B3'!#REF!),0)</f>
        <v>0</v>
      </c>
    </row>
    <row r="108" spans="1:76" s="47" customFormat="1" ht="16" thickBot="1" x14ac:dyDescent="0.4">
      <c r="A108" s="63">
        <f t="shared" si="22"/>
        <v>43347</v>
      </c>
      <c r="B108" s="129">
        <f t="shared" si="22"/>
        <v>21</v>
      </c>
      <c r="C108" s="41">
        <f t="shared" si="21"/>
        <v>0</v>
      </c>
      <c r="D108" s="123">
        <f>IFERROR(MAX('B1'!D15,'B2'!D15,'B3'!D15),0)</f>
        <v>0</v>
      </c>
      <c r="E108" s="123">
        <f>IFERROR(MAX('B1'!E15,'B2'!E15,'B3'!E15),0)</f>
        <v>0</v>
      </c>
      <c r="F108" s="123">
        <f>IFERROR(MAX('B1'!F15,'B2'!F15,'B3'!F15),0)</f>
        <v>0</v>
      </c>
      <c r="G108" s="123">
        <f>IFERROR(MAX('B1'!G15,'B2'!G15,'B3'!G15),0)</f>
        <v>0</v>
      </c>
      <c r="H108" s="123">
        <f>IFERROR(MAX('B1'!H15,'B2'!H15,'B3'!H15),0)</f>
        <v>0</v>
      </c>
      <c r="I108" s="123">
        <f>IFERROR(MAX('B1'!I15,'B2'!I15,'B3'!I15),0)</f>
        <v>0</v>
      </c>
      <c r="J108" s="123">
        <f>IFERROR(MAX('B1'!J15,'B2'!J15,'B3'!J15),0)</f>
        <v>0</v>
      </c>
      <c r="K108" s="123">
        <f>IFERROR(MAX('B1'!K15,'B2'!K15,'B3'!K15),0)</f>
        <v>0</v>
      </c>
      <c r="L108" s="123">
        <f>IFERROR(MAX('B1'!L15,'B2'!L15,'B3'!L15),0)</f>
        <v>0</v>
      </c>
      <c r="M108" s="123">
        <f>IFERROR(MAX('B1'!M15,'B2'!M15,'B3'!M15),0)</f>
        <v>0</v>
      </c>
      <c r="N108" s="123">
        <f>IFERROR(MAX('B1'!N15,'B2'!N15,'B3'!N15),0)</f>
        <v>0</v>
      </c>
      <c r="O108" s="123">
        <f>IFERROR(MAX('B1'!O15,'B2'!O15,'B3'!O15),0)</f>
        <v>0</v>
      </c>
      <c r="P108" s="123">
        <f>IFERROR(MAX('B1'!P15,'B2'!P15,'B3'!P15),0)</f>
        <v>0</v>
      </c>
      <c r="Q108" s="123">
        <f>IFERROR(MAX('B1'!Q15,'B2'!Q15,'B3'!Q15),0)</f>
        <v>0</v>
      </c>
      <c r="R108" s="123">
        <f>IFERROR(MAX('B1'!R15,'B2'!R15,'B3'!R15),0)</f>
        <v>0</v>
      </c>
      <c r="S108" s="123">
        <f>IFERROR(MAX('B1'!S15,'B2'!S15,'B3'!S15),0)</f>
        <v>0</v>
      </c>
      <c r="T108" s="123">
        <f>IFERROR(MAX('B1'!T15,'B2'!T15,'B3'!T15),0)</f>
        <v>0</v>
      </c>
      <c r="U108" s="123">
        <f>IFERROR(MAX('B1'!U15,'B2'!U15,'B3'!U15),0)</f>
        <v>0</v>
      </c>
      <c r="V108" s="123">
        <f>IFERROR(MAX('B1'!V15,'B2'!V15,'B3'!V15),0)</f>
        <v>0</v>
      </c>
      <c r="W108" s="123">
        <f>IFERROR(MAX('B1'!W15,'B2'!W15,'B3'!W15),0)</f>
        <v>0</v>
      </c>
      <c r="X108" s="123">
        <f>IFERROR(MAX('B1'!X15,'B2'!X15,'B3'!X15),0)</f>
        <v>0</v>
      </c>
      <c r="Y108" s="123">
        <f>IFERROR(MAX('B1'!Y15,'B2'!Y15,'B3'!Y15),0)</f>
        <v>0</v>
      </c>
      <c r="Z108" s="123">
        <f>IFERROR(MAX('B1'!Z15,'B2'!Z15,'B3'!Z15),0)</f>
        <v>0</v>
      </c>
      <c r="AA108" s="123">
        <f>IFERROR(MAX('B1'!AB15,'B2'!AA15,'B3'!AA15),0)</f>
        <v>0</v>
      </c>
      <c r="AB108" s="123">
        <f>IFERROR(MAX('B1'!AC15,'B2'!AB15,'B3'!AB15),0)</f>
        <v>0</v>
      </c>
      <c r="AC108" s="123">
        <f>IFERROR(MAX('B1'!AD15,'B2'!AC15,'B3'!AC15),0)</f>
        <v>0</v>
      </c>
      <c r="AD108" s="123">
        <f>IFERROR(MAX('B1'!AE15,'B2'!AD15,'B3'!AD15),0)</f>
        <v>0</v>
      </c>
      <c r="AE108" s="123">
        <f>IFERROR(MAX('B1'!AF15,'B2'!AE15,'B3'!AE15),0)</f>
        <v>2.44</v>
      </c>
      <c r="AF108" s="123">
        <f>IFERROR(MAX('B1'!AG15,'B2'!AF15,'B3'!AF15),0)</f>
        <v>300</v>
      </c>
      <c r="AG108" s="123">
        <f>IFERROR(MAX('B1'!AH15,'B2'!AG15,'B3'!AG15),0)</f>
        <v>1</v>
      </c>
      <c r="AH108" s="123">
        <f>IFERROR(MAX('B1'!AI15,'B2'!AH15,'B3'!AH15),0)</f>
        <v>286.89999999999998</v>
      </c>
      <c r="AI108" s="123">
        <f>IFERROR(MAX('B1'!AJ15,'B2'!AI15,'B3'!AI15),0)</f>
        <v>0</v>
      </c>
      <c r="AJ108" s="123">
        <f>IFERROR(MAX('B1'!AK15,'B2'!AJ15,'B3'!AJ15),0)</f>
        <v>0</v>
      </c>
      <c r="AK108" s="123">
        <f>IFERROR(MAX('B1'!AL15,'B2'!AK15,'B3'!AK15),0)</f>
        <v>0</v>
      </c>
      <c r="AL108" s="123">
        <f>IFERROR(MAX('B1'!AM15,'B2'!AL15,'B3'!AL15),0)</f>
        <v>0</v>
      </c>
      <c r="AM108" s="123">
        <f>IFERROR(MAX('B1'!AN15,'B2'!AM15,'B3'!AM15),0)</f>
        <v>0</v>
      </c>
      <c r="AN108" s="123">
        <f>IFERROR(MAX('B1'!AO15,'B2'!AN15,'B3'!AN15),0)</f>
        <v>0</v>
      </c>
      <c r="AO108" s="123">
        <f>IFERROR(MAX('B1'!AP15,'B2'!AO15,'B3'!AO15),0)</f>
        <v>0</v>
      </c>
      <c r="AP108" s="123">
        <f>IFERROR(MAX('B1'!AQ15,'B2'!AP15,'B3'!AP15),0)</f>
        <v>0</v>
      </c>
      <c r="AQ108" s="123">
        <f>IFERROR(MAX('B1'!AR15,'B2'!AQ15,'B3'!AQ15),0)</f>
        <v>0</v>
      </c>
      <c r="AR108" s="123">
        <f>IFERROR(MAX('B1'!AS15,'B2'!AR15,'B3'!AR15),0)</f>
        <v>0</v>
      </c>
      <c r="AS108" s="123">
        <f>IFERROR(MAX('B1'!AT15,'B2'!AS15,'B3'!AS15),0)</f>
        <v>0</v>
      </c>
      <c r="AT108" s="123">
        <f>IFERROR(MAX('B1'!AU15,'B2'!AT15,'B3'!AT15),0)</f>
        <v>0</v>
      </c>
      <c r="AU108" s="123">
        <f>IFERROR(MAX('B1'!AV15,'B2'!AU15,'B3'!AU15),0)</f>
        <v>0</v>
      </c>
      <c r="AV108" s="123">
        <f>IFERROR(MAX('B1'!AW15,'B2'!AV15,'B3'!AV15),0)</f>
        <v>0</v>
      </c>
      <c r="AW108" s="123">
        <f>IFERROR(MAX('B1'!AX15,'B2'!AW15,'B3'!AW15),0)</f>
        <v>0</v>
      </c>
      <c r="AX108" s="123">
        <f>IFERROR(MAX('B1'!AY15,'B2'!AX15,'B3'!AX15),0)</f>
        <v>0</v>
      </c>
      <c r="AY108" s="123">
        <f>IFERROR(MAX('B1'!AZ15,'B2'!AY15,'B3'!AY15),0)</f>
        <v>0</v>
      </c>
      <c r="AZ108" s="123">
        <f>IFERROR(MAX('B1'!BA15,'B2'!AZ15,'B3'!AZ15),0)</f>
        <v>318.49467140319712</v>
      </c>
      <c r="BA108" s="123">
        <f>IFERROR(MAX('B1'!BB15,'B2'!BA15,'B3'!BA15),0)</f>
        <v>28.689999999999998</v>
      </c>
      <c r="BB108" s="123">
        <f>IFERROR(MAX('B1'!#REF!,'B2'!#REF!,'B3'!#REF!),0)</f>
        <v>0</v>
      </c>
      <c r="BC108" s="123">
        <f>IFERROR(MAX('B1'!#REF!,'B2'!#REF!,'B3'!#REF!),0)</f>
        <v>0</v>
      </c>
      <c r="BD108" s="123">
        <f>IFERROR(MAX('B1'!#REF!,'B2'!#REF!,'B3'!#REF!),0)</f>
        <v>0</v>
      </c>
      <c r="BE108" s="123">
        <f>IFERROR(MAX('B1'!#REF!,'B2'!#REF!,'B3'!#REF!),0)</f>
        <v>0</v>
      </c>
      <c r="BF108" s="123">
        <f>IFERROR(MAX('B1'!#REF!,'B2'!#REF!,'B3'!#REF!),0)</f>
        <v>0</v>
      </c>
      <c r="BG108" s="123">
        <f>IFERROR(MAX('B1'!#REF!,'B2'!#REF!,'B3'!#REF!),0)</f>
        <v>0</v>
      </c>
      <c r="BH108" s="123">
        <f>IFERROR(MAX('B1'!#REF!,'B2'!#REF!,'B3'!#REF!),0)</f>
        <v>0</v>
      </c>
      <c r="BI108" s="123">
        <f>IFERROR(MAX('B1'!#REF!,'B2'!#REF!,'B3'!#REF!),0)</f>
        <v>0</v>
      </c>
      <c r="BJ108" s="123">
        <f>IFERROR(MAX('B1'!#REF!,'B2'!#REF!,'B3'!#REF!),0)</f>
        <v>0</v>
      </c>
      <c r="BK108" s="123">
        <f>IFERROR(MAX('B1'!#REF!,'B2'!#REF!,'B3'!#REF!),0)</f>
        <v>0</v>
      </c>
      <c r="BL108" s="123">
        <f>IFERROR(MAX('B1'!#REF!,'B2'!#REF!,'B3'!#REF!),0)</f>
        <v>0</v>
      </c>
      <c r="BM108" s="123">
        <f>IFERROR(MAX('B1'!#REF!,'B2'!#REF!,'B3'!#REF!),0)</f>
        <v>0</v>
      </c>
      <c r="BN108" s="123">
        <f>IFERROR(MAX('B1'!#REF!,'B2'!#REF!,'B3'!#REF!),0)</f>
        <v>0</v>
      </c>
      <c r="BO108" s="123">
        <f>IFERROR(MAX('B1'!#REF!,'B2'!#REF!,'B3'!#REF!),0)</f>
        <v>0</v>
      </c>
      <c r="BP108" s="123">
        <f>IFERROR(MAX('B1'!#REF!,'B2'!#REF!,'B3'!#REF!),0)</f>
        <v>0</v>
      </c>
      <c r="BQ108" s="123">
        <f>IFERROR(MAX('B1'!#REF!,'B2'!#REF!,'B3'!#REF!),0)</f>
        <v>0</v>
      </c>
      <c r="BR108" s="123">
        <f>IFERROR(MAX('B1'!#REF!,'B2'!#REF!,'B3'!#REF!),0)</f>
        <v>0</v>
      </c>
      <c r="BS108" s="123">
        <f>IFERROR(MAX('B1'!#REF!,'B2'!#REF!,'B3'!#REF!),0)</f>
        <v>0</v>
      </c>
      <c r="BT108" s="123"/>
      <c r="BU108" s="123">
        <f>IFERROR(MAX('B1'!#REF!,'B2'!#REF!,'B3'!#REF!),0)</f>
        <v>0</v>
      </c>
      <c r="BV108" s="123">
        <f>IFERROR(MAX('B1'!#REF!,'B2'!#REF!,'B3'!#REF!),0)</f>
        <v>0</v>
      </c>
      <c r="BW108" s="123">
        <f>IFERROR(MAX('B1'!#REF!,'B2'!#REF!,'B3'!#REF!),0)</f>
        <v>0</v>
      </c>
      <c r="BX108" s="123">
        <f>IFERROR(MAX('B1'!#REF!,'B2'!#REF!,'B3'!#REF!),0)</f>
        <v>0</v>
      </c>
    </row>
    <row r="109" spans="1:76" s="66" customFormat="1" ht="16" thickBot="1" x14ac:dyDescent="0.4">
      <c r="A109" s="63">
        <f t="shared" si="22"/>
        <v>43347</v>
      </c>
      <c r="B109" s="129">
        <f t="shared" si="22"/>
        <v>21</v>
      </c>
      <c r="C109" s="41">
        <f t="shared" si="21"/>
        <v>0</v>
      </c>
      <c r="D109" s="123">
        <f>IFERROR(MAX('B1'!D16,'B2'!D16,'B3'!D16),0)</f>
        <v>0</v>
      </c>
      <c r="E109" s="123">
        <f>IFERROR(MAX('B1'!E16,'B2'!E16,'B3'!E16),0)</f>
        <v>0</v>
      </c>
      <c r="F109" s="123">
        <f>IFERROR(MAX('B1'!F16,'B2'!F16,'B3'!F16),0)</f>
        <v>0</v>
      </c>
      <c r="G109" s="123">
        <f>IFERROR(MAX('B1'!G16,'B2'!G16,'B3'!G16),0)</f>
        <v>0</v>
      </c>
      <c r="H109" s="123">
        <f>IFERROR(MAX('B1'!H16,'B2'!H16,'B3'!H16),0)</f>
        <v>0</v>
      </c>
      <c r="I109" s="123">
        <f>IFERROR(MAX('B1'!I16,'B2'!I16,'B3'!I16),0)</f>
        <v>4.9798049577185832</v>
      </c>
      <c r="J109" s="123">
        <f>IFERROR(MAX('B1'!J16,'B2'!J16,'B3'!J16),0)</f>
        <v>9.7104868727915612</v>
      </c>
      <c r="K109" s="123">
        <f>IFERROR(MAX('B1'!K16,'B2'!K16,'B3'!K16),0)</f>
        <v>37.087804704820073</v>
      </c>
      <c r="L109" s="123">
        <f>IFERROR(MAX('B1'!L16,'B2'!L16,'B3'!L16),0)</f>
        <v>0.21938818441171443</v>
      </c>
      <c r="M109" s="123">
        <f>IFERROR(MAX('B1'!M16,'B2'!M16,'B3'!M16),0)</f>
        <v>1.0016954690523519</v>
      </c>
      <c r="N109" s="123">
        <f>IFERROR(MAX('B1'!N16,'B2'!N16,'B3'!N16),0)</f>
        <v>0.25128733388472774</v>
      </c>
      <c r="O109" s="123">
        <f>IFERROR(MAX('B1'!O16,'B2'!O16,'B3'!O16),0)</f>
        <v>0</v>
      </c>
      <c r="P109" s="123">
        <f>IFERROR(MAX('B1'!P16,'B2'!P16,'B3'!P16),0)</f>
        <v>0</v>
      </c>
      <c r="Q109" s="123">
        <f>IFERROR(MAX('B1'!Q16,'B2'!Q16,'B3'!Q16),0)</f>
        <v>2.3831059495248059</v>
      </c>
      <c r="R109" s="123">
        <f>IFERROR(MAX('B1'!R16,'B2'!R16,'B3'!R16),0)</f>
        <v>0</v>
      </c>
      <c r="S109" s="123">
        <f>IFERROR(MAX('B1'!S16,'B2'!S16,'B3'!S16),0)</f>
        <v>8.5321181718988921</v>
      </c>
      <c r="T109" s="123">
        <f>IFERROR(MAX('B1'!T16,'B2'!T16,'B3'!T16),0)</f>
        <v>0</v>
      </c>
      <c r="U109" s="123">
        <f>IFERROR(MAX('B1'!U16,'B2'!U16,'B3'!U16),0)</f>
        <v>0</v>
      </c>
      <c r="V109" s="123">
        <f>IFERROR(MAX('B1'!V16,'B2'!V16,'B3'!V16),0)</f>
        <v>0</v>
      </c>
      <c r="W109" s="123">
        <f>IFERROR(MAX('B1'!W16,'B2'!W16,'B3'!W16),0)</f>
        <v>0</v>
      </c>
      <c r="X109" s="123">
        <f>IFERROR(MAX('B1'!X16,'B2'!X16,'B3'!X16),0)</f>
        <v>0</v>
      </c>
      <c r="Y109" s="123">
        <f>IFERROR(MAX('B1'!Y16,'B2'!Y16,'B3'!Y16),0)</f>
        <v>0</v>
      </c>
      <c r="Z109" s="123">
        <f>IFERROR(MAX('B1'!Z16,'B2'!Z16,'B3'!Z16),0)</f>
        <v>0</v>
      </c>
      <c r="AA109" s="123">
        <f>IFERROR(MAX('B1'!AB16,'B2'!AA16,'B3'!AA16),0)</f>
        <v>0</v>
      </c>
      <c r="AB109" s="123">
        <f>IFERROR(MAX('B1'!AC16,'B2'!AB16,'B3'!AB16),0)</f>
        <v>0</v>
      </c>
      <c r="AC109" s="123">
        <f>IFERROR(MAX('B1'!AD16,'B2'!AC16,'B3'!AC16),0)</f>
        <v>0</v>
      </c>
      <c r="AD109" s="123">
        <f>IFERROR(MAX('B1'!AE16,'B2'!AD16,'B3'!AD16),0)</f>
        <v>0</v>
      </c>
      <c r="AE109" s="123">
        <f>IFERROR(MAX('B1'!AF16,'B2'!AE16,'B3'!AE16),0)</f>
        <v>6.5</v>
      </c>
      <c r="AF109" s="123">
        <f>IFERROR(MAX('B1'!AG16,'B2'!AF16,'B3'!AF16),0)</f>
        <v>100</v>
      </c>
      <c r="AG109" s="123">
        <f>IFERROR(MAX('B1'!AH16,'B2'!AG16,'B3'!AG16),0)</f>
        <v>1</v>
      </c>
      <c r="AH109" s="123">
        <f>IFERROR(MAX('B1'!AI16,'B2'!AH16,'B3'!AH16),0)</f>
        <v>166.86750000000001</v>
      </c>
      <c r="AI109" s="123">
        <f>IFERROR(MAX('B1'!AJ16,'B2'!AI16,'B3'!AI16),0)</f>
        <v>0</v>
      </c>
      <c r="AJ109" s="123">
        <f>IFERROR(MAX('B1'!AK16,'B2'!AJ16,'B3'!AJ16),0)</f>
        <v>0</v>
      </c>
      <c r="AK109" s="123">
        <f>IFERROR(MAX('B1'!AL16,'B2'!AK16,'B3'!AK16),0)</f>
        <v>0</v>
      </c>
      <c r="AL109" s="123">
        <f>IFERROR(MAX('B1'!AM16,'B2'!AL16,'B3'!AL16),0)</f>
        <v>0</v>
      </c>
      <c r="AM109" s="123">
        <f>IFERROR(MAX('B1'!AN16,'B2'!AM16,'B3'!AM16),0)</f>
        <v>0</v>
      </c>
      <c r="AN109" s="123">
        <f>IFERROR(MAX('B1'!AO16,'B2'!AN16,'B3'!AN16),0)</f>
        <v>0</v>
      </c>
      <c r="AO109" s="123">
        <f>IFERROR(MAX('B1'!AP16,'B2'!AO16,'B3'!AO16),0)</f>
        <v>0</v>
      </c>
      <c r="AP109" s="123">
        <f>IFERROR(MAX('B1'!AQ16,'B2'!AP16,'B3'!AP16),0)</f>
        <v>9.7104868727915614E-2</v>
      </c>
      <c r="AQ109" s="123">
        <f>IFERROR(MAX('B1'!AR16,'B2'!AQ16,'B3'!AQ16),0)</f>
        <v>0.20170891165003182</v>
      </c>
      <c r="AR109" s="123">
        <f>IFERROR(MAX('B1'!AS16,'B2'!AR16,'B3'!AR16),0)</f>
        <v>0</v>
      </c>
      <c r="AS109" s="123">
        <f>IFERROR(MAX('B1'!AT16,'B2'!AS16,'B3'!AS16),0)</f>
        <v>0</v>
      </c>
      <c r="AT109" s="123">
        <f>IFERROR(MAX('B1'!AU16,'B2'!AT16,'B3'!AT16),0)</f>
        <v>0</v>
      </c>
      <c r="AU109" s="123">
        <f>IFERROR(MAX('B1'!AV16,'B2'!AU16,'B3'!AU16),0)</f>
        <v>0</v>
      </c>
      <c r="AV109" s="123">
        <f>IFERROR(MAX('B1'!AW16,'B2'!AV16,'B3'!AV16),0)</f>
        <v>0</v>
      </c>
      <c r="AW109" s="123">
        <f>IFERROR(MAX('B1'!AX16,'B2'!AW16,'B3'!AW16),0)</f>
        <v>0</v>
      </c>
      <c r="AX109" s="123">
        <f>IFERROR(MAX('B1'!AY16,'B2'!AX16,'B3'!AX16),0)</f>
        <v>0</v>
      </c>
      <c r="AY109" s="123">
        <f>IFERROR(MAX('B1'!AZ16,'B2'!AY16,'B3'!AY16),0)</f>
        <v>8.2108944157176691E-2</v>
      </c>
      <c r="AZ109" s="123">
        <f>IFERROR(MAX('B1'!BA16,'B2'!AZ16,'B3'!AZ16),0)</f>
        <v>185.24367229129663</v>
      </c>
      <c r="BA109" s="123">
        <f>IFERROR(MAX('B1'!BB16,'B2'!BA16,'B3'!BA16),0)</f>
        <v>16.68675</v>
      </c>
      <c r="BB109" s="123">
        <f>IFERROR(MAX('B1'!#REF!,'B2'!#REF!,'B3'!#REF!),0)</f>
        <v>0</v>
      </c>
      <c r="BC109" s="123">
        <f>IFERROR(MAX('B1'!#REF!,'B2'!#REF!,'B3'!#REF!),0)</f>
        <v>0</v>
      </c>
      <c r="BD109" s="123">
        <f>IFERROR(MAX('B1'!#REF!,'B2'!#REF!,'B3'!#REF!),0)</f>
        <v>0</v>
      </c>
      <c r="BE109" s="123">
        <f>IFERROR(MAX('B1'!#REF!,'B2'!#REF!,'B3'!#REF!),0)</f>
        <v>0</v>
      </c>
      <c r="BF109" s="123">
        <f>IFERROR(MAX('B1'!#REF!,'B2'!#REF!,'B3'!#REF!),0)</f>
        <v>0</v>
      </c>
      <c r="BG109" s="123">
        <f>IFERROR(MAX('B1'!#REF!,'B2'!#REF!,'B3'!#REF!),0)</f>
        <v>0</v>
      </c>
      <c r="BH109" s="123">
        <f>IFERROR(MAX('B1'!#REF!,'B2'!#REF!,'B3'!#REF!),0)</f>
        <v>0</v>
      </c>
      <c r="BI109" s="123">
        <f>IFERROR(MAX('B1'!#REF!,'B2'!#REF!,'B3'!#REF!),0)</f>
        <v>0</v>
      </c>
      <c r="BJ109" s="123">
        <f>IFERROR(MAX('B1'!#REF!,'B2'!#REF!,'B3'!#REF!),0)</f>
        <v>0</v>
      </c>
      <c r="BK109" s="123">
        <f>IFERROR(MAX('B1'!#REF!,'B2'!#REF!,'B3'!#REF!),0)</f>
        <v>0</v>
      </c>
      <c r="BL109" s="123">
        <f>IFERROR(MAX('B1'!#REF!,'B2'!#REF!,'B3'!#REF!),0)</f>
        <v>0</v>
      </c>
      <c r="BM109" s="123">
        <f>IFERROR(MAX('B1'!#REF!,'B2'!#REF!,'B3'!#REF!),0)</f>
        <v>0</v>
      </c>
      <c r="BN109" s="123">
        <f>IFERROR(MAX('B1'!#REF!,'B2'!#REF!,'B3'!#REF!),0)</f>
        <v>0</v>
      </c>
      <c r="BO109" s="123">
        <f>IFERROR(MAX('B1'!#REF!,'B2'!#REF!,'B3'!#REF!),0)</f>
        <v>0</v>
      </c>
      <c r="BP109" s="123">
        <f>IFERROR(MAX('B1'!#REF!,'B2'!#REF!,'B3'!#REF!),0)</f>
        <v>0</v>
      </c>
      <c r="BQ109" s="123">
        <f>IFERROR(MAX('B1'!#REF!,'B2'!#REF!,'B3'!#REF!),0)</f>
        <v>0</v>
      </c>
      <c r="BR109" s="123">
        <f>IFERROR(MAX('B1'!#REF!,'B2'!#REF!,'B3'!#REF!),0)</f>
        <v>0</v>
      </c>
      <c r="BS109" s="123">
        <f>IFERROR(MAX('B1'!#REF!,'B2'!#REF!,'B3'!#REF!),0)</f>
        <v>0</v>
      </c>
      <c r="BT109" s="123"/>
      <c r="BU109" s="123">
        <f>IFERROR(MAX('B1'!#REF!,'B2'!#REF!,'B3'!#REF!),0)</f>
        <v>0</v>
      </c>
      <c r="BV109" s="123">
        <f>IFERROR(MAX('B1'!#REF!,'B2'!#REF!,'B3'!#REF!),0)</f>
        <v>0</v>
      </c>
      <c r="BW109" s="123">
        <f>IFERROR(MAX('B1'!#REF!,'B2'!#REF!,'B3'!#REF!),0)</f>
        <v>0</v>
      </c>
      <c r="BX109" s="123">
        <f>IFERROR(MAX('B1'!#REF!,'B2'!#REF!,'B3'!#REF!),0)</f>
        <v>0</v>
      </c>
    </row>
    <row r="110" spans="1:76" s="47" customFormat="1" ht="16" thickBot="1" x14ac:dyDescent="0.4">
      <c r="A110" s="63" t="str">
        <f t="shared" si="22"/>
        <v>13-04</v>
      </c>
      <c r="B110" s="129">
        <f t="shared" si="22"/>
        <v>26</v>
      </c>
      <c r="C110" s="41">
        <f t="shared" si="21"/>
        <v>0</v>
      </c>
      <c r="D110" s="123">
        <f>IFERROR(MAX('B1'!D17,'B2'!D17,'B3'!D17),0)</f>
        <v>0</v>
      </c>
      <c r="E110" s="123">
        <f>IFERROR(MAX('B1'!E17,'B2'!E17,'B3'!E17),0)</f>
        <v>0</v>
      </c>
      <c r="F110" s="123">
        <f>IFERROR(MAX('B1'!F17,'B2'!F17,'B3'!F17),0)</f>
        <v>0</v>
      </c>
      <c r="G110" s="123">
        <f>IFERROR(MAX('B1'!G17,'B2'!G17,'B3'!G17),0)</f>
        <v>0</v>
      </c>
      <c r="H110" s="123">
        <f>IFERROR(MAX('B1'!H17,'B2'!H17,'B3'!H17),0)</f>
        <v>0</v>
      </c>
      <c r="I110" s="123">
        <f>IFERROR(MAX('B1'!I17,'B2'!I17,'B3'!I17),0)</f>
        <v>4.113200511730609</v>
      </c>
      <c r="J110" s="123">
        <f>IFERROR(MAX('B1'!J17,'B2'!J17,'B3'!J17),0)</f>
        <v>16.489595744872343</v>
      </c>
      <c r="K110" s="123">
        <f>IFERROR(MAX('B1'!K17,'B2'!K17,'B3'!K17),0)</f>
        <v>18.625695074206554</v>
      </c>
      <c r="L110" s="123">
        <f>IFERROR(MAX('B1'!L17,'B2'!L17,'B3'!L17),0)</f>
        <v>0</v>
      </c>
      <c r="M110" s="123">
        <f>IFERROR(MAX('B1'!M17,'B2'!M17,'B3'!M17),0)</f>
        <v>7.4194961311390459</v>
      </c>
      <c r="N110" s="123">
        <f>IFERROR(MAX('B1'!N17,'B2'!N17,'B3'!N17),0)</f>
        <v>0</v>
      </c>
      <c r="O110" s="123">
        <f>IFERROR(MAX('B1'!O17,'B2'!O17,'B3'!O17),0)</f>
        <v>0</v>
      </c>
      <c r="P110" s="123">
        <f>IFERROR(MAX('B1'!P17,'B2'!P17,'B3'!P17),0)</f>
        <v>0</v>
      </c>
      <c r="Q110" s="123">
        <f>IFERROR(MAX('B1'!Q17,'B2'!Q17,'B3'!Q17),0)</f>
        <v>1.3177666414325353</v>
      </c>
      <c r="R110" s="123">
        <f>IFERROR(MAX('B1'!R17,'B2'!R17,'B3'!R17),0)</f>
        <v>0</v>
      </c>
      <c r="S110" s="123">
        <f>IFERROR(MAX('B1'!S17,'B2'!S17,'B3'!S17),0)</f>
        <v>5.325342411792831</v>
      </c>
      <c r="T110" s="123">
        <f>IFERROR(MAX('B1'!T17,'B2'!T17,'B3'!T17),0)</f>
        <v>0</v>
      </c>
      <c r="U110" s="123">
        <f>IFERROR(MAX('B1'!U17,'B2'!U17,'B3'!U17),0)</f>
        <v>0</v>
      </c>
      <c r="V110" s="123">
        <f>IFERROR(MAX('B1'!V17,'B2'!V17,'B3'!V17),0)</f>
        <v>0</v>
      </c>
      <c r="W110" s="123">
        <f>IFERROR(MAX('B1'!W17,'B2'!W17,'B3'!W17),0)</f>
        <v>0</v>
      </c>
      <c r="X110" s="123">
        <f>IFERROR(MAX('B1'!X17,'B2'!X17,'B3'!X17),0)</f>
        <v>0</v>
      </c>
      <c r="Y110" s="123">
        <f>IFERROR(MAX('B1'!Y17,'B2'!Y17,'B3'!Y17),0)</f>
        <v>0</v>
      </c>
      <c r="Z110" s="123">
        <f>IFERROR(MAX('B1'!Z17,'B2'!Z17,'B3'!Z17),0)</f>
        <v>0</v>
      </c>
      <c r="AA110" s="123">
        <f>IFERROR(MAX('B1'!AB17,'B2'!AA17,'B3'!AA17),0)</f>
        <v>0</v>
      </c>
      <c r="AB110" s="123">
        <f>IFERROR(MAX('B1'!AC17,'B2'!AB17,'B3'!AB17),0)</f>
        <v>0</v>
      </c>
      <c r="AC110" s="123">
        <f>IFERROR(MAX('B1'!AD17,'B2'!AC17,'B3'!AC17),0)</f>
        <v>0</v>
      </c>
      <c r="AD110" s="123">
        <f>IFERROR(MAX('B1'!AE17,'B2'!AD17,'B3'!AD17),0)</f>
        <v>0</v>
      </c>
      <c r="AE110" s="123">
        <f>IFERROR(MAX('B1'!AF17,'B2'!AE17,'B3'!AE17),0)</f>
        <v>6.45</v>
      </c>
      <c r="AF110" s="123">
        <f>IFERROR(MAX('B1'!AG17,'B2'!AF17,'B3'!AF17),0)</f>
        <v>100</v>
      </c>
      <c r="AG110" s="123">
        <f>IFERROR(MAX('B1'!AH17,'B2'!AG17,'B3'!AG17),0)</f>
        <v>1</v>
      </c>
      <c r="AH110" s="123">
        <f>IFERROR(MAX('B1'!AI17,'B2'!AH17,'B3'!AH17),0)</f>
        <v>152.68</v>
      </c>
      <c r="AI110" s="123">
        <f>IFERROR(MAX('B1'!AJ17,'B2'!AI17,'B3'!AI17),0)</f>
        <v>0</v>
      </c>
      <c r="AJ110" s="123">
        <f>IFERROR(MAX('B1'!AK17,'B2'!AJ17,'B3'!AJ17),0)</f>
        <v>0</v>
      </c>
      <c r="AK110" s="123">
        <f>IFERROR(MAX('B1'!AL17,'B2'!AK17,'B3'!AK17),0)</f>
        <v>0</v>
      </c>
      <c r="AL110" s="123">
        <f>IFERROR(MAX('B1'!AM17,'B2'!AL17,'B3'!AL17),0)</f>
        <v>0</v>
      </c>
      <c r="AM110" s="123">
        <f>IFERROR(MAX('B1'!AN17,'B2'!AM17,'B3'!AM17),0)</f>
        <v>0</v>
      </c>
      <c r="AN110" s="123">
        <f>IFERROR(MAX('B1'!AO17,'B2'!AN17,'B3'!AN17),0)</f>
        <v>0</v>
      </c>
      <c r="AO110" s="123">
        <f>IFERROR(MAX('B1'!AP17,'B2'!AO17,'B3'!AO17),0)</f>
        <v>0</v>
      </c>
      <c r="AP110" s="123">
        <f>IFERROR(MAX('B1'!AQ17,'B2'!AP17,'B3'!AP17),0)</f>
        <v>0.16489595744872343</v>
      </c>
      <c r="AQ110" s="123">
        <f>IFERROR(MAX('B1'!AR17,'B2'!AQ17,'B3'!AQ17),0)</f>
        <v>0.18625695074206555</v>
      </c>
      <c r="AR110" s="123">
        <f>IFERROR(MAX('B1'!AS17,'B2'!AR17,'B3'!AR17),0)</f>
        <v>0</v>
      </c>
      <c r="AS110" s="123">
        <f>IFERROR(MAX('B1'!AT17,'B2'!AS17,'B3'!AS17),0)</f>
        <v>7.4194961311390459E-2</v>
      </c>
      <c r="AT110" s="123">
        <f>IFERROR(MAX('B1'!AU17,'B2'!AT17,'B3'!AT17),0)</f>
        <v>0</v>
      </c>
      <c r="AU110" s="123">
        <f>IFERROR(MAX('B1'!AV17,'B2'!AU17,'B3'!AU17),0)</f>
        <v>0</v>
      </c>
      <c r="AV110" s="123">
        <f>IFERROR(MAX('B1'!AW17,'B2'!AV17,'B3'!AV17),0)</f>
        <v>0</v>
      </c>
      <c r="AW110" s="123">
        <f>IFERROR(MAX('B1'!AX17,'B2'!AW17,'B3'!AW17),0)</f>
        <v>0</v>
      </c>
      <c r="AX110" s="123">
        <f>IFERROR(MAX('B1'!AY17,'B2'!AX17,'B3'!AX17),0)</f>
        <v>0</v>
      </c>
      <c r="AY110" s="123">
        <f>IFERROR(MAX('B1'!AZ17,'B2'!AY17,'B3'!AY17),0)</f>
        <v>5.3253424117928314E-2</v>
      </c>
      <c r="AZ110" s="123">
        <f>IFERROR(MAX('B1'!BA17,'B2'!AZ17,'B3'!AZ17),0)</f>
        <v>169.49378330373003</v>
      </c>
      <c r="BA110" s="123">
        <f>IFERROR(MAX('B1'!BB17,'B2'!BA17,'B3'!BA17),0)</f>
        <v>15.268000000000001</v>
      </c>
      <c r="BB110" s="123">
        <f>IFERROR(MAX('B1'!#REF!,'B2'!#REF!,'B3'!#REF!),0)</f>
        <v>0</v>
      </c>
      <c r="BC110" s="123">
        <f>IFERROR(MAX('B1'!#REF!,'B2'!#REF!,'B3'!#REF!),0)</f>
        <v>0</v>
      </c>
      <c r="BD110" s="123">
        <f>IFERROR(MAX('B1'!#REF!,'B2'!#REF!,'B3'!#REF!),0)</f>
        <v>0</v>
      </c>
      <c r="BE110" s="123">
        <f>IFERROR(MAX('B1'!#REF!,'B2'!#REF!,'B3'!#REF!),0)</f>
        <v>0</v>
      </c>
      <c r="BF110" s="123">
        <f>IFERROR(MAX('B1'!#REF!,'B2'!#REF!,'B3'!#REF!),0)</f>
        <v>0</v>
      </c>
      <c r="BG110" s="123">
        <f>IFERROR(MAX('B1'!#REF!,'B2'!#REF!,'B3'!#REF!),0)</f>
        <v>0</v>
      </c>
      <c r="BH110" s="123">
        <f>IFERROR(MAX('B1'!#REF!,'B2'!#REF!,'B3'!#REF!),0)</f>
        <v>0</v>
      </c>
      <c r="BI110" s="123">
        <f>IFERROR(MAX('B1'!#REF!,'B2'!#REF!,'B3'!#REF!),0)</f>
        <v>0</v>
      </c>
      <c r="BJ110" s="123">
        <f>IFERROR(MAX('B1'!#REF!,'B2'!#REF!,'B3'!#REF!),0)</f>
        <v>0</v>
      </c>
      <c r="BK110" s="123">
        <f>IFERROR(MAX('B1'!#REF!,'B2'!#REF!,'B3'!#REF!),0)</f>
        <v>0</v>
      </c>
      <c r="BL110" s="123">
        <f>IFERROR(MAX('B1'!#REF!,'B2'!#REF!,'B3'!#REF!),0)</f>
        <v>0</v>
      </c>
      <c r="BM110" s="123">
        <f>IFERROR(MAX('B1'!#REF!,'B2'!#REF!,'B3'!#REF!),0)</f>
        <v>0</v>
      </c>
      <c r="BN110" s="123">
        <f>IFERROR(MAX('B1'!#REF!,'B2'!#REF!,'B3'!#REF!),0)</f>
        <v>0</v>
      </c>
      <c r="BO110" s="123">
        <f>IFERROR(MAX('B1'!#REF!,'B2'!#REF!,'B3'!#REF!),0)</f>
        <v>0</v>
      </c>
      <c r="BP110" s="123">
        <f>IFERROR(MAX('B1'!#REF!,'B2'!#REF!,'B3'!#REF!),0)</f>
        <v>0</v>
      </c>
      <c r="BQ110" s="123">
        <f>IFERROR(MAX('B1'!#REF!,'B2'!#REF!,'B3'!#REF!),0)</f>
        <v>0</v>
      </c>
      <c r="BR110" s="123">
        <f>IFERROR(MAX('B1'!#REF!,'B2'!#REF!,'B3'!#REF!),0)</f>
        <v>0</v>
      </c>
      <c r="BS110" s="123">
        <f>IFERROR(MAX('B1'!#REF!,'B2'!#REF!,'B3'!#REF!),0)</f>
        <v>0</v>
      </c>
      <c r="BT110" s="123"/>
      <c r="BU110" s="123">
        <f>IFERROR(MAX('B1'!#REF!,'B2'!#REF!,'B3'!#REF!),0)</f>
        <v>0</v>
      </c>
      <c r="BV110" s="123">
        <f>IFERROR(MAX('B1'!#REF!,'B2'!#REF!,'B3'!#REF!),0)</f>
        <v>0</v>
      </c>
      <c r="BW110" s="123">
        <f>IFERROR(MAX('B1'!#REF!,'B2'!#REF!,'B3'!#REF!),0)</f>
        <v>0</v>
      </c>
      <c r="BX110" s="123">
        <f>IFERROR(MAX('B1'!#REF!,'B2'!#REF!,'B3'!#REF!),0)</f>
        <v>0</v>
      </c>
    </row>
    <row r="111" spans="1:76" s="126" customFormat="1" ht="16" thickBot="1" x14ac:dyDescent="0.4">
      <c r="A111" s="63" t="str">
        <f t="shared" si="22"/>
        <v>16-04</v>
      </c>
      <c r="B111" s="129">
        <f t="shared" si="22"/>
        <v>29</v>
      </c>
      <c r="C111" s="41">
        <f t="shared" si="21"/>
        <v>0</v>
      </c>
      <c r="D111" s="123">
        <f>IFERROR(MAX('B1'!D18,'B2'!D18,'B3'!D18),0)</f>
        <v>0</v>
      </c>
      <c r="E111" s="123">
        <f>IFERROR(MAX('B1'!E18,'B2'!E18,'B3'!E18),0)</f>
        <v>0</v>
      </c>
      <c r="F111" s="123">
        <f>IFERROR(MAX('B1'!F18,'B2'!F18,'B3'!F18),0)</f>
        <v>0</v>
      </c>
      <c r="G111" s="123">
        <f>IFERROR(MAX('B1'!G18,'B2'!G18,'B3'!G18),0)</f>
        <v>0</v>
      </c>
      <c r="H111" s="123">
        <f>IFERROR(MAX('B1'!H18,'B2'!H18,'B3'!H18),0)</f>
        <v>0</v>
      </c>
      <c r="I111" s="123">
        <f>IFERROR(MAX('B1'!I18,'B2'!I18,'B3'!I18),0)</f>
        <v>0</v>
      </c>
      <c r="J111" s="123">
        <f>IFERROR(MAX('B1'!J18,'B2'!J18,'B3'!J18),0)</f>
        <v>3.6131109404307566</v>
      </c>
      <c r="K111" s="123">
        <f>IFERROR(MAX('B1'!K18,'B2'!K18,'B3'!K18),0)</f>
        <v>0.14276196831597221</v>
      </c>
      <c r="L111" s="123">
        <f>IFERROR(MAX('B1'!L18,'B2'!L18,'B3'!L18),0)</f>
        <v>0</v>
      </c>
      <c r="M111" s="123">
        <f>IFERROR(MAX('B1'!M18,'B2'!M18,'B3'!M18),0)</f>
        <v>0.89140701581510817</v>
      </c>
      <c r="N111" s="123">
        <f>IFERROR(MAX('B1'!N18,'B2'!N18,'B3'!N18),0)</f>
        <v>0</v>
      </c>
      <c r="O111" s="123">
        <f>IFERROR(MAX('B1'!O18,'B2'!O18,'B3'!O18),0)</f>
        <v>0</v>
      </c>
      <c r="P111" s="123">
        <f>IFERROR(MAX('B1'!P18,'B2'!P18,'B3'!P18),0)</f>
        <v>0</v>
      </c>
      <c r="Q111" s="123">
        <f>IFERROR(MAX('B1'!Q18,'B2'!Q18,'B3'!Q18),0)</f>
        <v>8.1268446180555558E-3</v>
      </c>
      <c r="R111" s="123">
        <f>IFERROR(MAX('B1'!R18,'B2'!R18,'B3'!R18),0)</f>
        <v>5.4245768229166666E-3</v>
      </c>
      <c r="S111" s="123">
        <f>IFERROR(MAX('B1'!S18,'B2'!S18,'B3'!S18),0)</f>
        <v>4.166453993055555E-2</v>
      </c>
      <c r="T111" s="123">
        <f>IFERROR(MAX('B1'!T18,'B2'!T18,'B3'!T18),0)</f>
        <v>0</v>
      </c>
      <c r="U111" s="123">
        <f>IFERROR(MAX('B1'!U18,'B2'!U18,'B3'!U18),0)</f>
        <v>0</v>
      </c>
      <c r="V111" s="123">
        <f>IFERROR(MAX('B1'!V18,'B2'!V18,'B3'!V18),0)</f>
        <v>0</v>
      </c>
      <c r="W111" s="123">
        <f>IFERROR(MAX('B1'!W18,'B2'!W18,'B3'!W18),0)</f>
        <v>0</v>
      </c>
      <c r="X111" s="123">
        <f>IFERROR(MAX('B1'!X18,'B2'!X18,'B3'!X18),0)</f>
        <v>0</v>
      </c>
      <c r="Y111" s="123">
        <f>IFERROR(MAX('B1'!Y18,'B2'!Y18,'B3'!Y18),0)</f>
        <v>0</v>
      </c>
      <c r="Z111" s="123">
        <f>IFERROR(MAX('B1'!Z18,'B2'!Z18,'B3'!Z18),0)</f>
        <v>0</v>
      </c>
      <c r="AA111" s="123">
        <f>IFERROR(MAX('B1'!AB18,'B2'!AA18,'B3'!AA18),0)</f>
        <v>0</v>
      </c>
      <c r="AB111" s="123">
        <f>IFERROR(MAX('B1'!AC18,'B2'!AB18,'B3'!AB18),0)</f>
        <v>0</v>
      </c>
      <c r="AC111" s="123">
        <f>IFERROR(MAX('B1'!AD18,'B2'!AC18,'B3'!AC18),0)</f>
        <v>0</v>
      </c>
      <c r="AD111" s="123">
        <f>IFERROR(MAX('B1'!AE18,'B2'!AD18,'B3'!AD18),0)</f>
        <v>0</v>
      </c>
      <c r="AE111" s="123">
        <f>IFERROR(MAX('B1'!AF18,'B2'!AE18,'B3'!AE18),0)</f>
        <v>6.64</v>
      </c>
      <c r="AF111" s="123">
        <f>IFERROR(MAX('B1'!AG18,'B2'!AF18,'B3'!AF18),0)</f>
        <v>100</v>
      </c>
      <c r="AG111" s="123">
        <f>IFERROR(MAX('B1'!AH18,'B2'!AG18,'B3'!AG18),0)</f>
        <v>1</v>
      </c>
      <c r="AH111" s="123">
        <f>IFERROR(MAX('B1'!AI18,'B2'!AH18,'B3'!AH18),0)</f>
        <v>120.3366</v>
      </c>
      <c r="AI111" s="123">
        <f>IFERROR(MAX('B1'!AJ18,'B2'!AI18,'B3'!AI18),0)</f>
        <v>0</v>
      </c>
      <c r="AJ111" s="123">
        <f>IFERROR(MAX('B1'!AK18,'B2'!AJ18,'B3'!AJ18),0)</f>
        <v>0</v>
      </c>
      <c r="AK111" s="123">
        <f>IFERROR(MAX('B1'!AL18,'B2'!AK18,'B3'!AK18),0)</f>
        <v>0</v>
      </c>
      <c r="AL111" s="123">
        <f>IFERROR(MAX('B1'!AM18,'B2'!AL18,'B3'!AL18),0)</f>
        <v>0</v>
      </c>
      <c r="AM111" s="123">
        <f>IFERROR(MAX('B1'!AN18,'B2'!AM18,'B3'!AM18),0)</f>
        <v>0</v>
      </c>
      <c r="AN111" s="123">
        <f>IFERROR(MAX('B1'!AO18,'B2'!AN18,'B3'!AN18),0)</f>
        <v>0</v>
      </c>
      <c r="AO111" s="123">
        <f>IFERROR(MAX('B1'!AP18,'B2'!AO18,'B3'!AO18),0)</f>
        <v>0</v>
      </c>
      <c r="AP111" s="123">
        <f>IFERROR(MAX('B1'!AQ18,'B2'!AP18,'B3'!AP18),0)</f>
        <v>0</v>
      </c>
      <c r="AQ111" s="123">
        <f>IFERROR(MAX('B1'!AR18,'B2'!AQ18,'B3'!AQ18),0)</f>
        <v>0</v>
      </c>
      <c r="AR111" s="123">
        <f>IFERROR(MAX('B1'!AS18,'B2'!AR18,'B3'!AR18),0)</f>
        <v>0</v>
      </c>
      <c r="AS111" s="123">
        <f>IFERROR(MAX('B1'!AT18,'B2'!AS18,'B3'!AS18),0)</f>
        <v>0</v>
      </c>
      <c r="AT111" s="123">
        <f>IFERROR(MAX('B1'!AU18,'B2'!AT18,'B3'!AT18),0)</f>
        <v>0</v>
      </c>
      <c r="AU111" s="123">
        <f>IFERROR(MAX('B1'!AV18,'B2'!AU18,'B3'!AU18),0)</f>
        <v>0</v>
      </c>
      <c r="AV111" s="123">
        <f>IFERROR(MAX('B1'!AW18,'B2'!AV18,'B3'!AV18),0)</f>
        <v>0</v>
      </c>
      <c r="AW111" s="123">
        <f>IFERROR(MAX('B1'!AX18,'B2'!AW18,'B3'!AW18),0)</f>
        <v>0</v>
      </c>
      <c r="AX111" s="123">
        <f>IFERROR(MAX('B1'!AY18,'B2'!AX18,'B3'!AX18),0)</f>
        <v>0</v>
      </c>
      <c r="AY111" s="123">
        <f>IFERROR(MAX('B1'!AZ18,'B2'!AY18,'B3'!AY18),0)</f>
        <v>0</v>
      </c>
      <c r="AZ111" s="123">
        <f>IFERROR(MAX('B1'!BA18,'B2'!AZ18,'B3'!AZ18),0)</f>
        <v>133.58858792184725</v>
      </c>
      <c r="BA111" s="123">
        <f>IFERROR(MAX('B1'!BB18,'B2'!BA18,'B3'!BA18),0)</f>
        <v>12.033659999999999</v>
      </c>
      <c r="BB111" s="123">
        <f>IFERROR(MAX('B1'!#REF!,'B2'!#REF!,'B3'!#REF!),0)</f>
        <v>0</v>
      </c>
      <c r="BC111" s="123">
        <f>IFERROR(MAX('B1'!#REF!,'B2'!#REF!,'B3'!#REF!),0)</f>
        <v>0</v>
      </c>
      <c r="BD111" s="123">
        <f>IFERROR(MAX('B1'!#REF!,'B2'!#REF!,'B3'!#REF!),0)</f>
        <v>0</v>
      </c>
      <c r="BE111" s="123">
        <f>IFERROR(MAX('B1'!#REF!,'B2'!#REF!,'B3'!#REF!),0)</f>
        <v>0</v>
      </c>
      <c r="BF111" s="123">
        <f>IFERROR(MAX('B1'!#REF!,'B2'!#REF!,'B3'!#REF!),0)</f>
        <v>0</v>
      </c>
      <c r="BG111" s="123">
        <f>IFERROR(MAX('B1'!#REF!,'B2'!#REF!,'B3'!#REF!),0)</f>
        <v>0</v>
      </c>
      <c r="BH111" s="123">
        <f>IFERROR(MAX('B1'!#REF!,'B2'!#REF!,'B3'!#REF!),0)</f>
        <v>0</v>
      </c>
      <c r="BI111" s="123">
        <f>IFERROR(MAX('B1'!#REF!,'B2'!#REF!,'B3'!#REF!),0)</f>
        <v>0</v>
      </c>
      <c r="BJ111" s="123">
        <f>IFERROR(MAX('B1'!#REF!,'B2'!#REF!,'B3'!#REF!),0)</f>
        <v>0</v>
      </c>
      <c r="BK111" s="123">
        <f>IFERROR(MAX('B1'!#REF!,'B2'!#REF!,'B3'!#REF!),0)</f>
        <v>0</v>
      </c>
      <c r="BL111" s="123">
        <f>IFERROR(MAX('B1'!#REF!,'B2'!#REF!,'B3'!#REF!),0)</f>
        <v>0</v>
      </c>
      <c r="BM111" s="123">
        <f>IFERROR(MAX('B1'!#REF!,'B2'!#REF!,'B3'!#REF!),0)</f>
        <v>0</v>
      </c>
      <c r="BN111" s="123">
        <f>IFERROR(MAX('B1'!#REF!,'B2'!#REF!,'B3'!#REF!),0)</f>
        <v>0</v>
      </c>
      <c r="BO111" s="123">
        <f>IFERROR(MAX('B1'!#REF!,'B2'!#REF!,'B3'!#REF!),0)</f>
        <v>0</v>
      </c>
      <c r="BP111" s="123">
        <f>IFERROR(MAX('B1'!#REF!,'B2'!#REF!,'B3'!#REF!),0)</f>
        <v>0</v>
      </c>
      <c r="BQ111" s="123">
        <f>IFERROR(MAX('B1'!#REF!,'B2'!#REF!,'B3'!#REF!),0)</f>
        <v>0</v>
      </c>
      <c r="BR111" s="123">
        <f>IFERROR(MAX('B1'!#REF!,'B2'!#REF!,'B3'!#REF!),0)</f>
        <v>0</v>
      </c>
      <c r="BS111" s="123">
        <f>IFERROR(MAX('B1'!#REF!,'B2'!#REF!,'B3'!#REF!),0)</f>
        <v>0</v>
      </c>
      <c r="BT111" s="123"/>
      <c r="BU111" s="123">
        <f>IFERROR(MAX('B1'!#REF!,'B2'!#REF!,'B3'!#REF!),0)</f>
        <v>0</v>
      </c>
      <c r="BV111" s="123">
        <f>IFERROR(MAX('B1'!#REF!,'B2'!#REF!,'B3'!#REF!),0)</f>
        <v>0</v>
      </c>
      <c r="BW111" s="123">
        <f>IFERROR(MAX('B1'!#REF!,'B2'!#REF!,'B3'!#REF!),0)</f>
        <v>0</v>
      </c>
      <c r="BX111" s="123">
        <f>IFERROR(MAX('B1'!#REF!,'B2'!#REF!,'B3'!#REF!),0)</f>
        <v>0</v>
      </c>
    </row>
    <row r="112" spans="1:76" s="116" customFormat="1" ht="16" thickBot="1" x14ac:dyDescent="0.4">
      <c r="A112" s="63" t="str">
        <f t="shared" si="22"/>
        <v>19-04</v>
      </c>
      <c r="B112" s="129">
        <f t="shared" si="22"/>
        <v>32</v>
      </c>
      <c r="C112" s="41">
        <f t="shared" si="21"/>
        <v>10</v>
      </c>
      <c r="D112" s="123">
        <f>IFERROR(MAX('B1'!D19,'B2'!D19,'B3'!D19),0)</f>
        <v>0</v>
      </c>
      <c r="E112" s="123">
        <f>IFERROR(MAX('B1'!E19,'B2'!E19,'B3'!E19),0)</f>
        <v>0</v>
      </c>
      <c r="F112" s="123">
        <f>IFERROR(MAX('B1'!F19,'B2'!F19,'B3'!F19),0)</f>
        <v>0</v>
      </c>
      <c r="G112" s="123">
        <f>IFERROR(MAX('B1'!G19,'B2'!G19,'B3'!G19),0)</f>
        <v>0</v>
      </c>
      <c r="H112" s="123">
        <f>IFERROR(MAX('B1'!H19,'B2'!H19,'B3'!H19),0)</f>
        <v>0</v>
      </c>
      <c r="I112" s="123">
        <f>IFERROR(MAX('B1'!I19,'B2'!I19,'B3'!I19),0)</f>
        <v>0.79145241794554955</v>
      </c>
      <c r="J112" s="123">
        <f>IFERROR(MAX('B1'!J19,'B2'!J19,'B3'!J19),0)</f>
        <v>23.035643970611655</v>
      </c>
      <c r="K112" s="123">
        <f>IFERROR(MAX('B1'!K19,'B2'!K19,'B3'!K19),0)</f>
        <v>79.378528904893201</v>
      </c>
      <c r="L112" s="123">
        <f>IFERROR(MAX('B1'!L19,'B2'!L19,'B3'!L19),0)</f>
        <v>5.3977764785186686</v>
      </c>
      <c r="M112" s="123">
        <f>IFERROR(MAX('B1'!M19,'B2'!M19,'B3'!M19),0)</f>
        <v>154.55060253375925</v>
      </c>
      <c r="N112" s="123">
        <f>IFERROR(MAX('B1'!N19,'B2'!N19,'B3'!N19),0)</f>
        <v>0</v>
      </c>
      <c r="O112" s="123">
        <f>IFERROR(MAX('B1'!O19,'B2'!O19,'B3'!O19),0)</f>
        <v>4.8162970584782911</v>
      </c>
      <c r="P112" s="123">
        <f>IFERROR(MAX('B1'!P19,'B2'!P19,'B3'!P19),0)</f>
        <v>0.90594651643899338</v>
      </c>
      <c r="Q112" s="123">
        <f>IFERROR(MAX('B1'!Q19,'B2'!Q19,'B3'!Q19),0)</f>
        <v>1.2587116872866451</v>
      </c>
      <c r="R112" s="123">
        <f>IFERROR(MAX('B1'!R19,'B2'!R19,'B3'!R19),0)</f>
        <v>0</v>
      </c>
      <c r="S112" s="123">
        <f>IFERROR(MAX('B1'!S19,'B2'!S19,'B3'!S19),0)</f>
        <v>7.5505203976857072</v>
      </c>
      <c r="T112" s="123">
        <f>IFERROR(MAX('B1'!T19,'B2'!T19,'B3'!T19),0)</f>
        <v>0</v>
      </c>
      <c r="U112" s="123">
        <f>IFERROR(MAX('B1'!U19,'B2'!U19,'B3'!U19),0)</f>
        <v>0</v>
      </c>
      <c r="V112" s="123">
        <f>IFERROR(MAX('B1'!V19,'B2'!V19,'B3'!V19),0)</f>
        <v>0</v>
      </c>
      <c r="W112" s="123">
        <f>IFERROR(MAX('B1'!W19,'B2'!W19,'B3'!W19),0)</f>
        <v>0</v>
      </c>
      <c r="X112" s="123">
        <f>IFERROR(MAX('B1'!X19,'B2'!X19,'B3'!X19),0)</f>
        <v>0</v>
      </c>
      <c r="Y112" s="123">
        <f>IFERROR(MAX('B1'!Y19,'B2'!Y19,'B3'!Y19),0)</f>
        <v>0</v>
      </c>
      <c r="Z112" s="123">
        <f>IFERROR(MAX('B1'!Z19,'B2'!Z19,'B3'!Z19),0)</f>
        <v>0</v>
      </c>
      <c r="AA112" s="123">
        <f>IFERROR(MAX('B1'!AB19,'B2'!AA19,'B3'!AA19),0)</f>
        <v>0</v>
      </c>
      <c r="AB112" s="123">
        <f>IFERROR(MAX('B1'!AC19,'B2'!AB19,'B3'!AB19),0)</f>
        <v>0</v>
      </c>
      <c r="AC112" s="123">
        <f>IFERROR(MAX('B1'!AD19,'B2'!AC19,'B3'!AC19),0)</f>
        <v>0</v>
      </c>
      <c r="AD112" s="123">
        <f>IFERROR(MAX('B1'!AE19,'B2'!AD19,'B3'!AD19),0)</f>
        <v>0</v>
      </c>
      <c r="AE112" s="123">
        <f>IFERROR(MAX('B1'!AF19,'B2'!AE19,'B3'!AE19),0)</f>
        <v>7</v>
      </c>
      <c r="AF112" s="123">
        <f>IFERROR(MAX('B1'!AG19,'B2'!AF19,'B3'!AF19),0)</f>
        <v>100</v>
      </c>
      <c r="AG112" s="123">
        <f>IFERROR(MAX('B1'!AH19,'B2'!AG19,'B3'!AG19),0)</f>
        <v>1</v>
      </c>
      <c r="AH112" s="123">
        <f>IFERROR(MAX('B1'!AI19,'B2'!AH19,'B3'!AH19),0)</f>
        <v>139.91885235683995</v>
      </c>
      <c r="AI112" s="123">
        <f>IFERROR(MAX('B1'!AJ19,'B2'!AI19,'B3'!AI19),0)</f>
        <v>0</v>
      </c>
      <c r="AJ112" s="123">
        <f>IFERROR(MAX('B1'!AK19,'B2'!AJ19,'B3'!AJ19),0)</f>
        <v>0</v>
      </c>
      <c r="AK112" s="123">
        <f>IFERROR(MAX('B1'!AL19,'B2'!AK19,'B3'!AK19),0)</f>
        <v>0</v>
      </c>
      <c r="AL112" s="123">
        <f>IFERROR(MAX('B1'!AM19,'B2'!AL19,'B3'!AL19),0)</f>
        <v>0</v>
      </c>
      <c r="AM112" s="123">
        <f>IFERROR(MAX('B1'!AN19,'B2'!AM19,'B3'!AM19),0)</f>
        <v>0</v>
      </c>
      <c r="AN112" s="123">
        <f>IFERROR(MAX('B1'!AO19,'B2'!AN19,'B3'!AN19),0)</f>
        <v>0</v>
      </c>
      <c r="AO112" s="123">
        <f>IFERROR(MAX('B1'!AP19,'B2'!AO19,'B3'!AO19),0)</f>
        <v>0</v>
      </c>
      <c r="AP112" s="123">
        <f>IFERROR(MAX('B1'!AQ19,'B2'!AP19,'B3'!AP19),0)</f>
        <v>0.23035643970611655</v>
      </c>
      <c r="AQ112" s="123">
        <f>IFERROR(MAX('B1'!AR19,'B2'!AQ19,'B3'!AQ19),0)</f>
        <v>0.79378528904893197</v>
      </c>
      <c r="AR112" s="123">
        <f>IFERROR(MAX('B1'!AS19,'B2'!AR19,'B3'!AR19),0)</f>
        <v>5.3977764785186684E-2</v>
      </c>
      <c r="AS112" s="123">
        <f>IFERROR(MAX('B1'!AT19,'B2'!AS19,'B3'!AS19),0)</f>
        <v>1.5455060253375925</v>
      </c>
      <c r="AT112" s="123">
        <f>IFERROR(MAX('B1'!AU19,'B2'!AT19,'B3'!AT19),0)</f>
        <v>0</v>
      </c>
      <c r="AU112" s="123">
        <f>IFERROR(MAX('B1'!AV19,'B2'!AU19,'B3'!AU19),0)</f>
        <v>4.8162970584782909E-2</v>
      </c>
      <c r="AV112" s="123">
        <f>IFERROR(MAX('B1'!AW19,'B2'!AV19,'B3'!AV19),0)</f>
        <v>0</v>
      </c>
      <c r="AW112" s="123">
        <f>IFERROR(MAX('B1'!AX19,'B2'!AW19,'B3'!AW19),0)</f>
        <v>0</v>
      </c>
      <c r="AX112" s="123">
        <f>IFERROR(MAX('B1'!AY19,'B2'!AX19,'B3'!AX19),0)</f>
        <v>0</v>
      </c>
      <c r="AY112" s="123">
        <f>IFERROR(MAX('B1'!AZ19,'B2'!AY19,'B3'!AY19),0)</f>
        <v>7.5505203976857074E-2</v>
      </c>
      <c r="AZ112" s="123">
        <f>IFERROR(MAX('B1'!BA19,'B2'!AZ19,'B3'!AZ19),0)</f>
        <v>155.32732277624328</v>
      </c>
      <c r="BA112" s="123">
        <f>IFERROR(MAX('B1'!BB19,'B2'!BA19,'B3'!BA19),0)</f>
        <v>13.991885235683995</v>
      </c>
      <c r="BB112" s="123">
        <f>IFERROR(MAX('B1'!#REF!,'B2'!#REF!,'B3'!#REF!),0)</f>
        <v>0</v>
      </c>
      <c r="BC112" s="123">
        <f>IFERROR(MAX('B1'!#REF!,'B2'!#REF!,'B3'!#REF!),0)</f>
        <v>0</v>
      </c>
      <c r="BD112" s="123">
        <f>IFERROR(MAX('B1'!#REF!,'B2'!#REF!,'B3'!#REF!),0)</f>
        <v>0</v>
      </c>
      <c r="BE112" s="123">
        <f>IFERROR(MAX('B1'!#REF!,'B2'!#REF!,'B3'!#REF!),0)</f>
        <v>0</v>
      </c>
      <c r="BF112" s="123">
        <f>IFERROR(MAX('B1'!#REF!,'B2'!#REF!,'B3'!#REF!),0)</f>
        <v>0</v>
      </c>
      <c r="BG112" s="123">
        <f>IFERROR(MAX('B1'!#REF!,'B2'!#REF!,'B3'!#REF!),0)</f>
        <v>0</v>
      </c>
      <c r="BH112" s="123">
        <f>IFERROR(MAX('B1'!#REF!,'B2'!#REF!,'B3'!#REF!),0)</f>
        <v>0</v>
      </c>
      <c r="BI112" s="123">
        <f>IFERROR(MAX('B1'!#REF!,'B2'!#REF!,'B3'!#REF!),0)</f>
        <v>0</v>
      </c>
      <c r="BJ112" s="123">
        <f>IFERROR(MAX('B1'!#REF!,'B2'!#REF!,'B3'!#REF!),0)</f>
        <v>0</v>
      </c>
      <c r="BK112" s="123">
        <f>IFERROR(MAX('B1'!#REF!,'B2'!#REF!,'B3'!#REF!),0)</f>
        <v>0</v>
      </c>
      <c r="BL112" s="123">
        <f>IFERROR(MAX('B1'!#REF!,'B2'!#REF!,'B3'!#REF!),0)</f>
        <v>0</v>
      </c>
      <c r="BM112" s="123">
        <f>IFERROR(MAX('B1'!#REF!,'B2'!#REF!,'B3'!#REF!),0)</f>
        <v>0</v>
      </c>
      <c r="BN112" s="123">
        <f>IFERROR(MAX('B1'!#REF!,'B2'!#REF!,'B3'!#REF!),0)</f>
        <v>0</v>
      </c>
      <c r="BO112" s="123">
        <f>IFERROR(MAX('B1'!#REF!,'B2'!#REF!,'B3'!#REF!),0)</f>
        <v>0</v>
      </c>
      <c r="BP112" s="123">
        <f>IFERROR(MAX('B1'!#REF!,'B2'!#REF!,'B3'!#REF!),0)</f>
        <v>0</v>
      </c>
      <c r="BQ112" s="123">
        <f>IFERROR(MAX('B1'!#REF!,'B2'!#REF!,'B3'!#REF!),0)</f>
        <v>0</v>
      </c>
      <c r="BR112" s="123">
        <f>IFERROR(MAX('B1'!#REF!,'B2'!#REF!,'B3'!#REF!),0)</f>
        <v>0</v>
      </c>
      <c r="BS112" s="123">
        <f>IFERROR(MAX('B1'!#REF!,'B2'!#REF!,'B3'!#REF!),0)</f>
        <v>0</v>
      </c>
      <c r="BT112" s="123"/>
      <c r="BU112" s="123">
        <f>IFERROR(MAX('B1'!#REF!,'B2'!#REF!,'B3'!#REF!),0)</f>
        <v>0</v>
      </c>
      <c r="BV112" s="123">
        <f>IFERROR(MAX('B1'!#REF!,'B2'!#REF!,'B3'!#REF!),0)</f>
        <v>0</v>
      </c>
      <c r="BW112" s="123">
        <f>IFERROR(MAX('B1'!#REF!,'B2'!#REF!,'B3'!#REF!),0)</f>
        <v>0</v>
      </c>
      <c r="BX112" s="123">
        <f>IFERROR(MAX('B1'!#REF!,'B2'!#REF!,'B3'!#REF!),0)</f>
        <v>0</v>
      </c>
    </row>
    <row r="113" spans="1:76" s="66" customFormat="1" ht="16" thickBot="1" x14ac:dyDescent="0.4">
      <c r="A113" s="63" t="str">
        <f t="shared" si="22"/>
        <v>26-04</v>
      </c>
      <c r="B113" s="129">
        <f t="shared" si="22"/>
        <v>38</v>
      </c>
      <c r="C113" s="41">
        <f t="shared" si="21"/>
        <v>10</v>
      </c>
      <c r="D113" s="123">
        <f>IFERROR(MAX('B1'!D20,'B2'!D20,'B3'!D20),0)</f>
        <v>0</v>
      </c>
      <c r="E113" s="123">
        <f>IFERROR(MAX('B1'!E20,'B2'!E20,'B3'!E20),0)</f>
        <v>0</v>
      </c>
      <c r="F113" s="123">
        <f>IFERROR(MAX('B1'!F20,'B2'!F20,'B3'!F20),0)</f>
        <v>0</v>
      </c>
      <c r="G113" s="123">
        <f>IFERROR(MAX('B1'!G20,'B2'!G20,'B3'!G20),0)</f>
        <v>0</v>
      </c>
      <c r="H113" s="123">
        <f>IFERROR(MAX('B1'!H20,'B2'!H20,'B3'!H20),0)</f>
        <v>0</v>
      </c>
      <c r="I113" s="123">
        <f>IFERROR(MAX('B1'!I20,'B2'!I20,'B3'!I20),0)</f>
        <v>0.86911314806271667</v>
      </c>
      <c r="J113" s="123">
        <f>IFERROR(MAX('B1'!J20,'B2'!J20,'B3'!J20),0)</f>
        <v>134.57141977583652</v>
      </c>
      <c r="K113" s="123">
        <f>IFERROR(MAX('B1'!K20,'B2'!K20,'B3'!K20),0)</f>
        <v>151.36575065378926</v>
      </c>
      <c r="L113" s="123">
        <f>IFERROR(MAX('B1'!L20,'B2'!L20,'B3'!L20),0)</f>
        <v>99.57460759018754</v>
      </c>
      <c r="M113" s="123">
        <f>IFERROR(MAX('B1'!M20,'B2'!M20,'B3'!M20),0)</f>
        <v>609.59605876428486</v>
      </c>
      <c r="N113" s="123">
        <f>IFERROR(MAX('B1'!N20,'B2'!N20,'B3'!N20),0)</f>
        <v>6.2004268463559198</v>
      </c>
      <c r="O113" s="123">
        <f>IFERROR(MAX('B1'!O20,'B2'!O20,'B3'!O20),0)</f>
        <v>37.765888835874186</v>
      </c>
      <c r="P113" s="123">
        <f>IFERROR(MAX('B1'!P20,'B2'!P20,'B3'!P20),0)</f>
        <v>1.0563756865127807</v>
      </c>
      <c r="Q113" s="123">
        <f>IFERROR(MAX('B1'!Q20,'B2'!Q20,'B3'!Q20),0)</f>
        <v>8.5964984121192263</v>
      </c>
      <c r="R113" s="123">
        <f>IFERROR(MAX('B1'!R20,'B2'!R20,'B3'!R20),0)</f>
        <v>3.7059846931857843</v>
      </c>
      <c r="S113" s="123">
        <f>IFERROR(MAX('B1'!S20,'B2'!S20,'B3'!S20),0)</f>
        <v>1.1744737037078508</v>
      </c>
      <c r="T113" s="123">
        <f>IFERROR(MAX('B1'!T20,'B2'!T20,'B3'!T20),0)</f>
        <v>0</v>
      </c>
      <c r="U113" s="123">
        <f>IFERROR(MAX('B1'!U20,'B2'!U20,'B3'!U20),0)</f>
        <v>0</v>
      </c>
      <c r="V113" s="123">
        <f>IFERROR(MAX('B1'!V20,'B2'!V20,'B3'!V20),0)</f>
        <v>0</v>
      </c>
      <c r="W113" s="123">
        <f>IFERROR(MAX('B1'!W20,'B2'!W20,'B3'!W20),0)</f>
        <v>0</v>
      </c>
      <c r="X113" s="123">
        <f>IFERROR(MAX('B1'!X20,'B2'!X20,'B3'!X20),0)</f>
        <v>0</v>
      </c>
      <c r="Y113" s="123">
        <f>IFERROR(MAX('B1'!Y20,'B2'!Y20,'B3'!Y20),0)</f>
        <v>0</v>
      </c>
      <c r="Z113" s="123">
        <f>IFERROR(MAX('B1'!Z20,'B2'!Z20,'B3'!Z20),0)</f>
        <v>0</v>
      </c>
      <c r="AA113" s="123">
        <f>IFERROR(MAX('B1'!AB20,'B2'!AA20,'B3'!AA20),0)</f>
        <v>0</v>
      </c>
      <c r="AB113" s="123">
        <f>IFERROR(MAX('B1'!AC20,'B2'!AB20,'B3'!AB20),0)</f>
        <v>0</v>
      </c>
      <c r="AC113" s="123">
        <f>IFERROR(MAX('B1'!AD20,'B2'!AC20,'B3'!AC20),0)</f>
        <v>0</v>
      </c>
      <c r="AD113" s="123">
        <f>IFERROR(MAX('B1'!AE20,'B2'!AD20,'B3'!AD20),0)</f>
        <v>0</v>
      </c>
      <c r="AE113" s="123">
        <f>IFERROR(MAX('B1'!AF20,'B2'!AE20,'B3'!AE20),0)</f>
        <v>0</v>
      </c>
      <c r="AF113" s="123">
        <f>IFERROR(MAX('B1'!AG20,'B2'!AF20,'B3'!AF20),0)</f>
        <v>50</v>
      </c>
      <c r="AG113" s="123">
        <f>IFERROR(MAX('B1'!AH20,'B2'!AG20,'B3'!AG20),0)</f>
        <v>1</v>
      </c>
      <c r="AH113" s="123">
        <f>IFERROR(MAX('B1'!AI20,'B2'!AH20,'B3'!AH20),0)</f>
        <v>255.86103371418287</v>
      </c>
      <c r="AI113" s="123">
        <f>IFERROR(MAX('B1'!AJ20,'B2'!AI20,'B3'!AI20),0)</f>
        <v>0</v>
      </c>
      <c r="AJ113" s="123">
        <f>IFERROR(MAX('B1'!AK20,'B2'!AJ20,'B3'!AJ20),0)</f>
        <v>0</v>
      </c>
      <c r="AK113" s="123">
        <f>IFERROR(MAX('B1'!AL20,'B2'!AK20,'B3'!AK20),0)</f>
        <v>0</v>
      </c>
      <c r="AL113" s="123">
        <f>IFERROR(MAX('B1'!AM20,'B2'!AL20,'B3'!AL20),0)</f>
        <v>0</v>
      </c>
      <c r="AM113" s="123">
        <f>IFERROR(MAX('B1'!AN20,'B2'!AM20,'B3'!AM20),0)</f>
        <v>0</v>
      </c>
      <c r="AN113" s="123">
        <f>IFERROR(MAX('B1'!AO20,'B2'!AN20,'B3'!AN20),0)</f>
        <v>0</v>
      </c>
      <c r="AO113" s="123">
        <f>IFERROR(MAX('B1'!AP20,'B2'!AO20,'B3'!AO20),0)</f>
        <v>0</v>
      </c>
      <c r="AP113" s="123">
        <f>IFERROR(MAX('B1'!AQ20,'B2'!AP20,'B3'!AP20),0)</f>
        <v>1.3457141977583651</v>
      </c>
      <c r="AQ113" s="123">
        <f>IFERROR(MAX('B1'!AR20,'B2'!AQ20,'B3'!AQ20),0)</f>
        <v>1.5136575065378928</v>
      </c>
      <c r="AR113" s="123">
        <f>IFERROR(MAX('B1'!AS20,'B2'!AR20,'B3'!AR20),0)</f>
        <v>0.99574607590187547</v>
      </c>
      <c r="AS113" s="123">
        <f>IFERROR(MAX('B1'!AT20,'B2'!AS20,'B3'!AS20),0)</f>
        <v>6.0959605876428489</v>
      </c>
      <c r="AT113" s="123">
        <f>IFERROR(MAX('B1'!AU20,'B2'!AT20,'B3'!AT20),0)</f>
        <v>6.2004268463559199E-2</v>
      </c>
      <c r="AU113" s="123">
        <f>IFERROR(MAX('B1'!AV20,'B2'!AU20,'B3'!AU20),0)</f>
        <v>0.3776588883587419</v>
      </c>
      <c r="AV113" s="123">
        <f>IFERROR(MAX('B1'!AW20,'B2'!AV20,'B3'!AV20),0)</f>
        <v>0</v>
      </c>
      <c r="AW113" s="123">
        <f>IFERROR(MAX('B1'!AX20,'B2'!AW20,'B3'!AW20),0)</f>
        <v>8.5964984121192259E-2</v>
      </c>
      <c r="AX113" s="123">
        <f>IFERROR(MAX('B1'!AY20,'B2'!AX20,'B3'!AX20),0)</f>
        <v>3.7059846931857841E-2</v>
      </c>
      <c r="AY113" s="123">
        <f>IFERROR(MAX('B1'!AZ20,'B2'!AY20,'B3'!AY20),0)</f>
        <v>1.1744737037078509E-2</v>
      </c>
      <c r="AZ113" s="123">
        <f>IFERROR(MAX('B1'!BA20,'B2'!AZ20,'B3'!AZ20),0)</f>
        <v>142.01877981471074</v>
      </c>
      <c r="BA113" s="123">
        <f>IFERROR(MAX('B1'!BB20,'B2'!BA20,'B3'!BA20),0)</f>
        <v>12.793051685709143</v>
      </c>
      <c r="BB113" s="123">
        <f>IFERROR(MAX('B1'!#REF!,'B2'!#REF!,'B3'!#REF!),0)</f>
        <v>0</v>
      </c>
      <c r="BC113" s="123">
        <f>IFERROR(MAX('B1'!#REF!,'B2'!#REF!,'B3'!#REF!),0)</f>
        <v>0</v>
      </c>
      <c r="BD113" s="123">
        <f>IFERROR(MAX('B1'!#REF!,'B2'!#REF!,'B3'!#REF!),0)</f>
        <v>0</v>
      </c>
      <c r="BE113" s="123">
        <f>IFERROR(MAX('B1'!#REF!,'B2'!#REF!,'B3'!#REF!),0)</f>
        <v>0</v>
      </c>
      <c r="BF113" s="123">
        <f>IFERROR(MAX('B1'!#REF!,'B2'!#REF!,'B3'!#REF!),0)</f>
        <v>0</v>
      </c>
      <c r="BG113" s="123">
        <f>IFERROR(MAX('B1'!#REF!,'B2'!#REF!,'B3'!#REF!),0)</f>
        <v>0</v>
      </c>
      <c r="BH113" s="123">
        <f>IFERROR(MAX('B1'!#REF!,'B2'!#REF!,'B3'!#REF!),0)</f>
        <v>0</v>
      </c>
      <c r="BI113" s="123">
        <f>IFERROR(MAX('B1'!#REF!,'B2'!#REF!,'B3'!#REF!),0)</f>
        <v>0</v>
      </c>
      <c r="BJ113" s="123">
        <f>IFERROR(MAX('B1'!#REF!,'B2'!#REF!,'B3'!#REF!),0)</f>
        <v>0</v>
      </c>
      <c r="BK113" s="123">
        <f>IFERROR(MAX('B1'!#REF!,'B2'!#REF!,'B3'!#REF!),0)</f>
        <v>0</v>
      </c>
      <c r="BL113" s="123">
        <f>IFERROR(MAX('B1'!#REF!,'B2'!#REF!,'B3'!#REF!),0)</f>
        <v>0</v>
      </c>
      <c r="BM113" s="123">
        <f>IFERROR(MAX('B1'!#REF!,'B2'!#REF!,'B3'!#REF!),0)</f>
        <v>0</v>
      </c>
      <c r="BN113" s="123">
        <f>IFERROR(MAX('B1'!#REF!,'B2'!#REF!,'B3'!#REF!),0)</f>
        <v>0</v>
      </c>
      <c r="BO113" s="123">
        <f>IFERROR(MAX('B1'!#REF!,'B2'!#REF!,'B3'!#REF!),0)</f>
        <v>0</v>
      </c>
      <c r="BP113" s="123">
        <f>IFERROR(MAX('B1'!#REF!,'B2'!#REF!,'B3'!#REF!),0)</f>
        <v>0</v>
      </c>
      <c r="BQ113" s="123">
        <f>IFERROR(MAX('B1'!#REF!,'B2'!#REF!,'B3'!#REF!),0)</f>
        <v>0</v>
      </c>
      <c r="BR113" s="123">
        <f>IFERROR(MAX('B1'!#REF!,'B2'!#REF!,'B3'!#REF!),0)</f>
        <v>0</v>
      </c>
      <c r="BS113" s="123">
        <f>IFERROR(MAX('B1'!#REF!,'B2'!#REF!,'B3'!#REF!),0)</f>
        <v>0</v>
      </c>
      <c r="BT113" s="123"/>
      <c r="BU113" s="123">
        <f>IFERROR(MAX('B1'!#REF!,'B2'!#REF!,'B3'!#REF!),0)</f>
        <v>0</v>
      </c>
      <c r="BV113" s="123">
        <f>IFERROR(MAX('B1'!#REF!,'B2'!#REF!,'B3'!#REF!),0)</f>
        <v>0</v>
      </c>
      <c r="BW113" s="123">
        <f>IFERROR(MAX('B1'!#REF!,'B2'!#REF!,'B3'!#REF!),0)</f>
        <v>0</v>
      </c>
      <c r="BX113" s="123">
        <f>IFERROR(MAX('B1'!#REF!,'B2'!#REF!,'B3'!#REF!),0)</f>
        <v>0</v>
      </c>
    </row>
    <row r="114" spans="1:76" s="47" customFormat="1" ht="16" thickBot="1" x14ac:dyDescent="0.4">
      <c r="A114" s="63">
        <f t="shared" si="22"/>
        <v>43105</v>
      </c>
      <c r="B114" s="129">
        <f t="shared" si="22"/>
        <v>43</v>
      </c>
      <c r="C114" s="41">
        <f t="shared" si="21"/>
        <v>10</v>
      </c>
      <c r="D114" s="123">
        <f>IFERROR(MAX('B1'!D21,'B2'!D21,'B3'!D21),0)</f>
        <v>0</v>
      </c>
      <c r="E114" s="123">
        <f>IFERROR(MAX('B1'!E21,'B2'!E21,'B3'!E21),0)</f>
        <v>0</v>
      </c>
      <c r="F114" s="123">
        <f>IFERROR(MAX('B1'!F21,'B2'!F21,'B3'!F21),0)</f>
        <v>0</v>
      </c>
      <c r="G114" s="123">
        <f>IFERROR(MAX('B1'!G21,'B2'!G21,'B3'!G21),0)</f>
        <v>0</v>
      </c>
      <c r="H114" s="123">
        <f>IFERROR(MAX('B1'!H21,'B2'!H21,'B3'!H21),0)</f>
        <v>0</v>
      </c>
      <c r="I114" s="123">
        <f>IFERROR(MAX('B1'!I21,'B2'!I21,'B3'!I21),0)</f>
        <v>1.354669035692454</v>
      </c>
      <c r="J114" s="123">
        <f>IFERROR(MAX('B1'!J21,'B2'!J21,'B3'!J21),0)</f>
        <v>63.673558494754445</v>
      </c>
      <c r="K114" s="123">
        <f>IFERROR(MAX('B1'!K21,'B2'!K21,'B3'!K21),0)</f>
        <v>50.818613759655399</v>
      </c>
      <c r="L114" s="123">
        <f>IFERROR(MAX('B1'!L21,'B2'!L21,'B3'!L21),0)</f>
        <v>47.019329535795556</v>
      </c>
      <c r="M114" s="123">
        <f>IFERROR(MAX('B1'!M21,'B2'!M21,'B3'!M21),0)</f>
        <v>329.34393344434903</v>
      </c>
      <c r="N114" s="123">
        <f>IFERROR(MAX('B1'!N21,'B2'!N21,'B3'!N21),0)</f>
        <v>2.0217275007808193</v>
      </c>
      <c r="O114" s="123">
        <f>IFERROR(MAX('B1'!O21,'B2'!O21,'B3'!O21),0)</f>
        <v>14.454764522613178</v>
      </c>
      <c r="P114" s="123">
        <f>IFERROR(MAX('B1'!P21,'B2'!P21,'B3'!P21),0)</f>
        <v>0</v>
      </c>
      <c r="Q114" s="123">
        <f>IFERROR(MAX('B1'!Q21,'B2'!Q21,'B3'!Q21),0)</f>
        <v>11.692559822502673</v>
      </c>
      <c r="R114" s="123">
        <f>IFERROR(MAX('B1'!R21,'B2'!R21,'B3'!R21),0)</f>
        <v>0</v>
      </c>
      <c r="S114" s="123">
        <f>IFERROR(MAX('B1'!S21,'B2'!S21,'B3'!S21),0)</f>
        <v>0</v>
      </c>
      <c r="T114" s="123">
        <f>IFERROR(MAX('B1'!T21,'B2'!T21,'B3'!T21),0)</f>
        <v>0</v>
      </c>
      <c r="U114" s="123">
        <f>IFERROR(MAX('B1'!U21,'B2'!U21,'B3'!U21),0)</f>
        <v>0</v>
      </c>
      <c r="V114" s="123">
        <f>IFERROR(MAX('B1'!V21,'B2'!V21,'B3'!V21),0)</f>
        <v>0</v>
      </c>
      <c r="W114" s="123">
        <f>IFERROR(MAX('B1'!W21,'B2'!W21,'B3'!W21),0)</f>
        <v>0</v>
      </c>
      <c r="X114" s="123">
        <f>IFERROR(MAX('B1'!X21,'B2'!X21,'B3'!X21),0)</f>
        <v>0</v>
      </c>
      <c r="Y114" s="123">
        <f>IFERROR(MAX('B1'!Y21,'B2'!Y21,'B3'!Y21),0)</f>
        <v>0</v>
      </c>
      <c r="Z114" s="123">
        <f>IFERROR(MAX('B1'!Z21,'B2'!Z21,'B3'!Z21),0)</f>
        <v>0</v>
      </c>
      <c r="AA114" s="123">
        <f>IFERROR(MAX('B1'!AB21,'B2'!AA21,'B3'!AA21),0)</f>
        <v>0</v>
      </c>
      <c r="AB114" s="123">
        <f>IFERROR(MAX('B1'!AC21,'B2'!AB21,'B3'!AB21),0)</f>
        <v>0</v>
      </c>
      <c r="AC114" s="123">
        <f>IFERROR(MAX('B1'!AD21,'B2'!AC21,'B3'!AC21),0)</f>
        <v>0</v>
      </c>
      <c r="AD114" s="123">
        <f>IFERROR(MAX('B1'!AE21,'B2'!AD21,'B3'!AD21),0)</f>
        <v>0</v>
      </c>
      <c r="AE114" s="123">
        <f>IFERROR(MAX('B1'!AF21,'B2'!AE21,'B3'!AE21),0)</f>
        <v>7.56</v>
      </c>
      <c r="AF114" s="123">
        <f>IFERROR(MAX('B1'!AG21,'B2'!AF21,'B3'!AF21),0)</f>
        <v>20</v>
      </c>
      <c r="AG114" s="123">
        <f>IFERROR(MAX('B1'!AH21,'B2'!AG21,'B3'!AG21),0)</f>
        <v>1</v>
      </c>
      <c r="AH114" s="123">
        <f>IFERROR(MAX('B1'!AI21,'B2'!AH21,'B3'!AH21),0)</f>
        <v>438.4644041367992</v>
      </c>
      <c r="AI114" s="123">
        <f>IFERROR(MAX('B1'!AJ21,'B2'!AI21,'B3'!AI21),0)</f>
        <v>0</v>
      </c>
      <c r="AJ114" s="123">
        <f>IFERROR(MAX('B1'!AK21,'B2'!AJ21,'B3'!AJ21),0)</f>
        <v>0</v>
      </c>
      <c r="AK114" s="123">
        <f>IFERROR(MAX('B1'!AL21,'B2'!AK21,'B3'!AK21),0)</f>
        <v>0</v>
      </c>
      <c r="AL114" s="123">
        <f>IFERROR(MAX('B1'!AM21,'B2'!AL21,'B3'!AL21),0)</f>
        <v>0</v>
      </c>
      <c r="AM114" s="123">
        <f>IFERROR(MAX('B1'!AN21,'B2'!AM21,'B3'!AM21),0)</f>
        <v>0</v>
      </c>
      <c r="AN114" s="123">
        <f>IFERROR(MAX('B1'!AO21,'B2'!AN21,'B3'!AN21),0)</f>
        <v>0</v>
      </c>
      <c r="AO114" s="123">
        <f>IFERROR(MAX('B1'!AP21,'B2'!AO21,'B3'!AO21),0)</f>
        <v>0</v>
      </c>
      <c r="AP114" s="123">
        <f>IFERROR(MAX('B1'!AQ21,'B2'!AP21,'B3'!AP21),0)</f>
        <v>1.2734711698950889</v>
      </c>
      <c r="AQ114" s="123">
        <f>IFERROR(MAX('B1'!AR21,'B2'!AQ21,'B3'!AQ21),0)</f>
        <v>1.0163722751931079</v>
      </c>
      <c r="AR114" s="123">
        <f>IFERROR(MAX('B1'!AS21,'B2'!AR21,'B3'!AR21),0)</f>
        <v>0.94038659071591113</v>
      </c>
      <c r="AS114" s="123">
        <f>IFERROR(MAX('B1'!AT21,'B2'!AS21,'B3'!AS21),0)</f>
        <v>6.58687866888698</v>
      </c>
      <c r="AT114" s="123">
        <f>IFERROR(MAX('B1'!AU21,'B2'!AT21,'B3'!AT21),0)</f>
        <v>0</v>
      </c>
      <c r="AU114" s="123">
        <f>IFERROR(MAX('B1'!AV21,'B2'!AU21,'B3'!AU21),0)</f>
        <v>0.28909529045226356</v>
      </c>
      <c r="AV114" s="123">
        <f>IFERROR(MAX('B1'!AW21,'B2'!AV21,'B3'!AV21),0)</f>
        <v>0</v>
      </c>
      <c r="AW114" s="123">
        <f>IFERROR(MAX('B1'!AX21,'B2'!AW21,'B3'!AW21),0)</f>
        <v>0.23385119645005348</v>
      </c>
      <c r="AX114" s="123">
        <f>IFERROR(MAX('B1'!AY21,'B2'!AX21,'B3'!AX21),0)</f>
        <v>0</v>
      </c>
      <c r="AY114" s="123">
        <f>IFERROR(MAX('B1'!AZ21,'B2'!AY21,'B3'!AY21),0)</f>
        <v>0</v>
      </c>
      <c r="AZ114" s="123">
        <f>IFERROR(MAX('B1'!BA21,'B2'!AZ21,'B3'!AZ21),0)</f>
        <v>97.35000091847229</v>
      </c>
      <c r="BA114" s="123">
        <f>IFERROR(MAX('B1'!BB21,'B2'!BA21,'B3'!BA21),0)</f>
        <v>8.7692880827359847</v>
      </c>
      <c r="BB114" s="123">
        <f>IFERROR(MAX('B1'!#REF!,'B2'!#REF!,'B3'!#REF!),0)</f>
        <v>0</v>
      </c>
      <c r="BC114" s="123">
        <f>IFERROR(MAX('B1'!#REF!,'B2'!#REF!,'B3'!#REF!),0)</f>
        <v>0</v>
      </c>
      <c r="BD114" s="123">
        <f>IFERROR(MAX('B1'!#REF!,'B2'!#REF!,'B3'!#REF!),0)</f>
        <v>0</v>
      </c>
      <c r="BE114" s="123">
        <f>IFERROR(MAX('B1'!#REF!,'B2'!#REF!,'B3'!#REF!),0)</f>
        <v>0</v>
      </c>
      <c r="BF114" s="123">
        <f>IFERROR(MAX('B1'!#REF!,'B2'!#REF!,'B3'!#REF!),0)</f>
        <v>0</v>
      </c>
      <c r="BG114" s="123">
        <f>IFERROR(MAX('B1'!#REF!,'B2'!#REF!,'B3'!#REF!),0)</f>
        <v>0</v>
      </c>
      <c r="BH114" s="123">
        <f>IFERROR(MAX('B1'!#REF!,'B2'!#REF!,'B3'!#REF!),0)</f>
        <v>0</v>
      </c>
      <c r="BI114" s="123">
        <f>IFERROR(MAX('B1'!#REF!,'B2'!#REF!,'B3'!#REF!),0)</f>
        <v>0</v>
      </c>
      <c r="BJ114" s="123">
        <f>IFERROR(MAX('B1'!#REF!,'B2'!#REF!,'B3'!#REF!),0)</f>
        <v>0</v>
      </c>
      <c r="BK114" s="123">
        <f>IFERROR(MAX('B1'!#REF!,'B2'!#REF!,'B3'!#REF!),0)</f>
        <v>0</v>
      </c>
      <c r="BL114" s="123">
        <f>IFERROR(MAX('B1'!#REF!,'B2'!#REF!,'B3'!#REF!),0)</f>
        <v>0</v>
      </c>
      <c r="BM114" s="123">
        <f>IFERROR(MAX('B1'!#REF!,'B2'!#REF!,'B3'!#REF!),0)</f>
        <v>0</v>
      </c>
      <c r="BN114" s="123">
        <f>IFERROR(MAX('B1'!#REF!,'B2'!#REF!,'B3'!#REF!),0)</f>
        <v>0</v>
      </c>
      <c r="BO114" s="123">
        <f>IFERROR(MAX('B1'!#REF!,'B2'!#REF!,'B3'!#REF!),0)</f>
        <v>0</v>
      </c>
      <c r="BP114" s="123">
        <f>IFERROR(MAX('B1'!#REF!,'B2'!#REF!,'B3'!#REF!),0)</f>
        <v>0</v>
      </c>
      <c r="BQ114" s="123">
        <f>IFERROR(MAX('B1'!#REF!,'B2'!#REF!,'B3'!#REF!),0)</f>
        <v>0</v>
      </c>
      <c r="BR114" s="123">
        <f>IFERROR(MAX('B1'!#REF!,'B2'!#REF!,'B3'!#REF!),0)</f>
        <v>0</v>
      </c>
      <c r="BS114" s="123">
        <f>IFERROR(MAX('B1'!#REF!,'B2'!#REF!,'B3'!#REF!),0)</f>
        <v>0</v>
      </c>
      <c r="BT114" s="123"/>
      <c r="BU114" s="123">
        <f>IFERROR(MAX('B1'!#REF!,'B2'!#REF!,'B3'!#REF!),0)</f>
        <v>0</v>
      </c>
      <c r="BV114" s="123">
        <f>IFERROR(MAX('B1'!#REF!,'B2'!#REF!,'B3'!#REF!),0)</f>
        <v>0</v>
      </c>
      <c r="BW114" s="123">
        <f>IFERROR(MAX('B1'!#REF!,'B2'!#REF!,'B3'!#REF!),0)</f>
        <v>0</v>
      </c>
      <c r="BX114" s="123">
        <f>IFERROR(MAX('B1'!#REF!,'B2'!#REF!,'B3'!#REF!),0)</f>
        <v>0</v>
      </c>
    </row>
    <row r="115" spans="1:76" s="66" customFormat="1" ht="16" thickBot="1" x14ac:dyDescent="0.4">
      <c r="A115" s="63">
        <f t="shared" si="22"/>
        <v>43195</v>
      </c>
      <c r="B115" s="129">
        <f t="shared" si="22"/>
        <v>46</v>
      </c>
      <c r="C115" s="41">
        <f t="shared" si="21"/>
        <v>10</v>
      </c>
      <c r="D115" s="123">
        <f>IFERROR(MAX('B1'!D22,'B2'!D22,'B3'!D22),0)</f>
        <v>0</v>
      </c>
      <c r="E115" s="123">
        <f>IFERROR(MAX('B1'!E22,'B2'!E22,'B3'!E22),0)</f>
        <v>0.97150176436090374</v>
      </c>
      <c r="F115" s="123">
        <f>IFERROR(MAX('B1'!F22,'B2'!F22,'B3'!F22),0)</f>
        <v>0</v>
      </c>
      <c r="G115" s="123">
        <f>IFERROR(MAX('B1'!G22,'B2'!G22,'B3'!G22),0)</f>
        <v>0</v>
      </c>
      <c r="H115" s="123">
        <f>IFERROR(MAX('B1'!H22,'B2'!H22,'B3'!H22),0)</f>
        <v>0</v>
      </c>
      <c r="I115" s="123">
        <f>IFERROR(MAX('B1'!I22,'B2'!I22,'B3'!I22),0)</f>
        <v>0</v>
      </c>
      <c r="J115" s="123">
        <f>IFERROR(MAX('B1'!J22,'B2'!J22,'B3'!J22),0)</f>
        <v>71.344131499833239</v>
      </c>
      <c r="K115" s="123">
        <f>IFERROR(MAX('B1'!K22,'B2'!K22,'B3'!K22),0)</f>
        <v>82.265330004434688</v>
      </c>
      <c r="L115" s="123">
        <f>IFERROR(MAX('B1'!L22,'B2'!L22,'B3'!L22),0)</f>
        <v>49.670758397402274</v>
      </c>
      <c r="M115" s="123">
        <f>IFERROR(MAX('B1'!M22,'B2'!M22,'B3'!M22),0)</f>
        <v>338.04910829877957</v>
      </c>
      <c r="N115" s="123">
        <f>IFERROR(MAX('B1'!N22,'B2'!N22,'B3'!N22),0)</f>
        <v>3.5671276030818442</v>
      </c>
      <c r="O115" s="123">
        <f>IFERROR(MAX('B1'!O22,'B2'!O22,'B3'!O22),0)</f>
        <v>18.661666222688609</v>
      </c>
      <c r="P115" s="123">
        <f>IFERROR(MAX('B1'!P22,'B2'!P22,'B3'!P22),0)</f>
        <v>0</v>
      </c>
      <c r="Q115" s="123">
        <f>IFERROR(MAX('B1'!Q22,'B2'!Q22,'B3'!Q22),0)</f>
        <v>21.793188094542565</v>
      </c>
      <c r="R115" s="123">
        <f>IFERROR(MAX('B1'!R22,'B2'!R22,'B3'!R22),0)</f>
        <v>0.79938407915112641</v>
      </c>
      <c r="S115" s="123">
        <f>IFERROR(MAX('B1'!S22,'B2'!S22,'B3'!S22),0)</f>
        <v>0</v>
      </c>
      <c r="T115" s="123">
        <f>IFERROR(MAX('B1'!T22,'B2'!T22,'B3'!T22),0)</f>
        <v>0</v>
      </c>
      <c r="U115" s="123">
        <f>IFERROR(MAX('B1'!U22,'B2'!U22,'B3'!U22),0)</f>
        <v>0</v>
      </c>
      <c r="V115" s="123">
        <f>IFERROR(MAX('B1'!V22,'B2'!V22,'B3'!V22),0)</f>
        <v>0</v>
      </c>
      <c r="W115" s="123">
        <f>IFERROR(MAX('B1'!W22,'B2'!W22,'B3'!W22),0)</f>
        <v>0</v>
      </c>
      <c r="X115" s="123">
        <f>IFERROR(MAX('B1'!X22,'B2'!X22,'B3'!X22),0)</f>
        <v>0</v>
      </c>
      <c r="Y115" s="123">
        <f>IFERROR(MAX('B1'!Y22,'B2'!Y22,'B3'!Y22),0)</f>
        <v>0</v>
      </c>
      <c r="Z115" s="123">
        <f>IFERROR(MAX('B1'!Z22,'B2'!Z22,'B3'!Z22),0)</f>
        <v>0</v>
      </c>
      <c r="AA115" s="123">
        <f>IFERROR(MAX('B1'!AB22,'B2'!AA22,'B3'!AA22),0)</f>
        <v>0</v>
      </c>
      <c r="AB115" s="123">
        <f>IFERROR(MAX('B1'!AC22,'B2'!AB22,'B3'!AB22),0)</f>
        <v>0</v>
      </c>
      <c r="AC115" s="123">
        <f>IFERROR(MAX('B1'!AD22,'B2'!AC22,'B3'!AC22),0)</f>
        <v>0</v>
      </c>
      <c r="AD115" s="123">
        <f>IFERROR(MAX('B1'!AE22,'B2'!AD22,'B3'!AD22),0)</f>
        <v>0</v>
      </c>
      <c r="AE115" s="123">
        <f>IFERROR(MAX('B1'!AF22,'B2'!AE22,'B3'!AE22),0)</f>
        <v>7.28</v>
      </c>
      <c r="AF115" s="123">
        <f>IFERROR(MAX('B1'!AG22,'B2'!AF22,'B3'!AF22),0)</f>
        <v>20</v>
      </c>
      <c r="AG115" s="123">
        <f>IFERROR(MAX('B1'!AH22,'B2'!AG22,'B3'!AG22),0)</f>
        <v>1</v>
      </c>
      <c r="AH115" s="123">
        <f>IFERROR(MAX('B1'!AI22,'B2'!AH22,'B3'!AH22),0)</f>
        <v>210.13855108009867</v>
      </c>
      <c r="AI115" s="123">
        <f>IFERROR(MAX('B1'!AJ22,'B2'!AI22,'B3'!AI22),0)</f>
        <v>0</v>
      </c>
      <c r="AJ115" s="123">
        <f>IFERROR(MAX('B1'!AK22,'B2'!AJ22,'B3'!AJ22),0)</f>
        <v>0</v>
      </c>
      <c r="AK115" s="123">
        <f>IFERROR(MAX('B1'!AL22,'B2'!AK22,'B3'!AK22),0)</f>
        <v>0</v>
      </c>
      <c r="AL115" s="123">
        <f>IFERROR(MAX('B1'!AM22,'B2'!AL22,'B3'!AL22),0)</f>
        <v>0</v>
      </c>
      <c r="AM115" s="123">
        <f>IFERROR(MAX('B1'!AN22,'B2'!AM22,'B3'!AM22),0)</f>
        <v>0</v>
      </c>
      <c r="AN115" s="123">
        <f>IFERROR(MAX('B1'!AO22,'B2'!AN22,'B3'!AN22),0)</f>
        <v>0</v>
      </c>
      <c r="AO115" s="123">
        <f>IFERROR(MAX('B1'!AP22,'B2'!AO22,'B3'!AO22),0)</f>
        <v>0</v>
      </c>
      <c r="AP115" s="123">
        <f>IFERROR(MAX('B1'!AQ22,'B2'!AP22,'B3'!AP22),0)</f>
        <v>1.4268826299966648</v>
      </c>
      <c r="AQ115" s="123">
        <f>IFERROR(MAX('B1'!AR22,'B2'!AQ22,'B3'!AQ22),0)</f>
        <v>1.6453066000886938</v>
      </c>
      <c r="AR115" s="123">
        <f>IFERROR(MAX('B1'!AS22,'B2'!AR22,'B3'!AR22),0)</f>
        <v>0.99341516794804541</v>
      </c>
      <c r="AS115" s="123">
        <f>IFERROR(MAX('B1'!AT22,'B2'!AS22,'B3'!AS22),0)</f>
        <v>6.7609821659755918</v>
      </c>
      <c r="AT115" s="123">
        <f>IFERROR(MAX('B1'!AU22,'B2'!AT22,'B3'!AT22),0)</f>
        <v>7.134255206163688E-2</v>
      </c>
      <c r="AU115" s="123">
        <f>IFERROR(MAX('B1'!AV22,'B2'!AU22,'B3'!AU22),0)</f>
        <v>0.37323332445377216</v>
      </c>
      <c r="AV115" s="123">
        <f>IFERROR(MAX('B1'!AW22,'B2'!AV22,'B3'!AV22),0)</f>
        <v>0</v>
      </c>
      <c r="AW115" s="123">
        <f>IFERROR(MAX('B1'!AX22,'B2'!AW22,'B3'!AW22),0)</f>
        <v>0.43586376189085124</v>
      </c>
      <c r="AX115" s="123">
        <f>IFERROR(MAX('B1'!AY22,'B2'!AX22,'B3'!AX22),0)</f>
        <v>0</v>
      </c>
      <c r="AY115" s="123">
        <f>IFERROR(MAX('B1'!AZ22,'B2'!AY22,'B3'!AY22),0)</f>
        <v>0</v>
      </c>
      <c r="AZ115" s="123">
        <f>IFERROR(MAX('B1'!BA22,'B2'!AZ22,'B3'!AZ22),0)</f>
        <v>46.655983809968617</v>
      </c>
      <c r="BA115" s="123">
        <f>IFERROR(MAX('B1'!BB22,'B2'!BA22,'B3'!BA22),0)</f>
        <v>4.2027710216019729</v>
      </c>
      <c r="BB115" s="123">
        <f>IFERROR(MAX('B1'!#REF!,'B2'!#REF!,'B3'!#REF!),0)</f>
        <v>0</v>
      </c>
      <c r="BC115" s="123">
        <f>IFERROR(MAX('B1'!#REF!,'B2'!#REF!,'B3'!#REF!),0)</f>
        <v>0</v>
      </c>
      <c r="BD115" s="123">
        <f>IFERROR(MAX('B1'!#REF!,'B2'!#REF!,'B3'!#REF!),0)</f>
        <v>0</v>
      </c>
      <c r="BE115" s="123">
        <f>IFERROR(MAX('B1'!#REF!,'B2'!#REF!,'B3'!#REF!),0)</f>
        <v>0</v>
      </c>
      <c r="BF115" s="123">
        <f>IFERROR(MAX('B1'!#REF!,'B2'!#REF!,'B3'!#REF!),0)</f>
        <v>0</v>
      </c>
      <c r="BG115" s="123">
        <f>IFERROR(MAX('B1'!#REF!,'B2'!#REF!,'B3'!#REF!),0)</f>
        <v>0</v>
      </c>
      <c r="BH115" s="123">
        <f>IFERROR(MAX('B1'!#REF!,'B2'!#REF!,'B3'!#REF!),0)</f>
        <v>0</v>
      </c>
      <c r="BI115" s="123">
        <f>IFERROR(MAX('B1'!#REF!,'B2'!#REF!,'B3'!#REF!),0)</f>
        <v>0</v>
      </c>
      <c r="BJ115" s="123">
        <f>IFERROR(MAX('B1'!#REF!,'B2'!#REF!,'B3'!#REF!),0)</f>
        <v>0</v>
      </c>
      <c r="BK115" s="123">
        <f>IFERROR(MAX('B1'!#REF!,'B2'!#REF!,'B3'!#REF!),0)</f>
        <v>0</v>
      </c>
      <c r="BL115" s="123">
        <f>IFERROR(MAX('B1'!#REF!,'B2'!#REF!,'B3'!#REF!),0)</f>
        <v>0</v>
      </c>
      <c r="BM115" s="123">
        <f>IFERROR(MAX('B1'!#REF!,'B2'!#REF!,'B3'!#REF!),0)</f>
        <v>0</v>
      </c>
      <c r="BN115" s="123">
        <f>IFERROR(MAX('B1'!#REF!,'B2'!#REF!,'B3'!#REF!),0)</f>
        <v>0</v>
      </c>
      <c r="BO115" s="123">
        <f>IFERROR(MAX('B1'!#REF!,'B2'!#REF!,'B3'!#REF!),0)</f>
        <v>0</v>
      </c>
      <c r="BP115" s="123">
        <f>IFERROR(MAX('B1'!#REF!,'B2'!#REF!,'B3'!#REF!),0)</f>
        <v>0</v>
      </c>
      <c r="BQ115" s="123">
        <f>IFERROR(MAX('B1'!#REF!,'B2'!#REF!,'B3'!#REF!),0)</f>
        <v>0</v>
      </c>
      <c r="BR115" s="123">
        <f>IFERROR(MAX('B1'!#REF!,'B2'!#REF!,'B3'!#REF!),0)</f>
        <v>0</v>
      </c>
      <c r="BS115" s="123">
        <f>IFERROR(MAX('B1'!#REF!,'B2'!#REF!,'B3'!#REF!),0)</f>
        <v>0</v>
      </c>
      <c r="BT115" s="123"/>
      <c r="BU115" s="123">
        <f>IFERROR(MAX('B1'!#REF!,'B2'!#REF!,'B3'!#REF!),0)</f>
        <v>0</v>
      </c>
      <c r="BV115" s="123">
        <f>IFERROR(MAX('B1'!#REF!,'B2'!#REF!,'B3'!#REF!),0)</f>
        <v>0</v>
      </c>
      <c r="BW115" s="123">
        <f>IFERROR(MAX('B1'!#REF!,'B2'!#REF!,'B3'!#REF!),0)</f>
        <v>0</v>
      </c>
      <c r="BX115" s="123">
        <f>IFERROR(MAX('B1'!#REF!,'B2'!#REF!,'B3'!#REF!),0)</f>
        <v>0</v>
      </c>
    </row>
    <row r="116" spans="1:76" s="47" customFormat="1" ht="16" thickBot="1" x14ac:dyDescent="0.4">
      <c r="A116" s="63">
        <f t="shared" si="22"/>
        <v>43317</v>
      </c>
      <c r="B116" s="129">
        <f t="shared" si="22"/>
        <v>50</v>
      </c>
      <c r="C116" s="41">
        <f t="shared" si="21"/>
        <v>10</v>
      </c>
      <c r="D116" s="123">
        <f>IFERROR(MAX('B1'!D23,'B2'!D23,'B3'!D23),0)</f>
        <v>0</v>
      </c>
      <c r="E116" s="123">
        <f>IFERROR(MAX('B1'!E23,'B2'!E23,'B3'!E23),0)</f>
        <v>0.2807944415176486</v>
      </c>
      <c r="F116" s="123">
        <f>IFERROR(MAX('B1'!F23,'B2'!F23,'B3'!F23),0)</f>
        <v>0</v>
      </c>
      <c r="G116" s="123">
        <f>IFERROR(MAX('B1'!G23,'B2'!G23,'B3'!G23),0)</f>
        <v>0</v>
      </c>
      <c r="H116" s="123">
        <f>IFERROR(MAX('B1'!H23,'B2'!H23,'B3'!H23),0)</f>
        <v>0</v>
      </c>
      <c r="I116" s="123">
        <f>IFERROR(MAX('B1'!I23,'B2'!I23,'B3'!I23),0)</f>
        <v>0</v>
      </c>
      <c r="J116" s="123">
        <f>IFERROR(MAX('B1'!J23,'B2'!J23,'B3'!J23),0)</f>
        <v>27.745928999261487</v>
      </c>
      <c r="K116" s="123">
        <f>IFERROR(MAX('B1'!K23,'B2'!K23,'B3'!K23),0)</f>
        <v>46.280375809348435</v>
      </c>
      <c r="L116" s="123">
        <f>IFERROR(MAX('B1'!L23,'B2'!L23,'B3'!L23),0)</f>
        <v>20.214596395382127</v>
      </c>
      <c r="M116" s="123">
        <f>IFERROR(MAX('B1'!M23,'B2'!M23,'B3'!M23),0)</f>
        <v>132.83126860424417</v>
      </c>
      <c r="N116" s="123">
        <f>IFERROR(MAX('B1'!N23,'B2'!N23,'B3'!N23),0)</f>
        <v>1.3040540730611401</v>
      </c>
      <c r="O116" s="123">
        <f>IFERROR(MAX('B1'!O23,'B2'!O23,'B3'!O23),0)</f>
        <v>6.8303299459917373</v>
      </c>
      <c r="P116" s="123">
        <f>IFERROR(MAX('B1'!P23,'B2'!P23,'B3'!P23),0)</f>
        <v>0</v>
      </c>
      <c r="Q116" s="123">
        <f>IFERROR(MAX('B1'!Q23,'B2'!Q23,'B3'!Q23),0)</f>
        <v>6.6709978085933344</v>
      </c>
      <c r="R116" s="123">
        <f>IFERROR(MAX('B1'!R23,'B2'!R23,'B3'!R23),0)</f>
        <v>0</v>
      </c>
      <c r="S116" s="123">
        <f>IFERROR(MAX('B1'!S23,'B2'!S23,'B3'!S23),0)</f>
        <v>0</v>
      </c>
      <c r="T116" s="123">
        <f>IFERROR(MAX('B1'!T23,'B2'!T23,'B3'!T23),0)</f>
        <v>0</v>
      </c>
      <c r="U116" s="123">
        <f>IFERROR(MAX('B1'!U23,'B2'!U23,'B3'!U23),0)</f>
        <v>0</v>
      </c>
      <c r="V116" s="123">
        <f>IFERROR(MAX('B1'!V23,'B2'!V23,'B3'!V23),0)</f>
        <v>0</v>
      </c>
      <c r="W116" s="123">
        <f>IFERROR(MAX('B1'!W23,'B2'!W23,'B3'!W23),0)</f>
        <v>0</v>
      </c>
      <c r="X116" s="123">
        <f>IFERROR(MAX('B1'!X23,'B2'!X23,'B3'!X23),0)</f>
        <v>0</v>
      </c>
      <c r="Y116" s="123">
        <f>IFERROR(MAX('B1'!Y23,'B2'!Y23,'B3'!Y23),0)</f>
        <v>0</v>
      </c>
      <c r="Z116" s="123">
        <f>IFERROR(MAX('B1'!Z23,'B2'!Z23,'B3'!Z23),0)</f>
        <v>0</v>
      </c>
      <c r="AA116" s="123">
        <f>IFERROR(MAX('B1'!AB23,'B2'!AA23,'B3'!AA23),0)</f>
        <v>0</v>
      </c>
      <c r="AB116" s="123">
        <f>IFERROR(MAX('B1'!AC23,'B2'!AB23,'B3'!AB23),0)</f>
        <v>0</v>
      </c>
      <c r="AC116" s="123">
        <f>IFERROR(MAX('B1'!AD23,'B2'!AC23,'B3'!AC23),0)</f>
        <v>0</v>
      </c>
      <c r="AD116" s="123">
        <f>IFERROR(MAX('B1'!AE23,'B2'!AD23,'B3'!AD23),0)</f>
        <v>0</v>
      </c>
      <c r="AE116" s="123">
        <f>IFERROR(MAX('B1'!AF23,'B2'!AE23,'B3'!AE23),0)</f>
        <v>0</v>
      </c>
      <c r="AF116" s="123">
        <f>IFERROR(MAX('B1'!AG23,'B2'!AF23,'B3'!AF23),0)</f>
        <v>10</v>
      </c>
      <c r="AG116" s="123">
        <f>IFERROR(MAX('B1'!AH23,'B2'!AG23,'B3'!AG23),0)</f>
        <v>1</v>
      </c>
      <c r="AH116" s="123">
        <f>IFERROR(MAX('B1'!AI23,'B2'!AH23,'B3'!AH23),0)</f>
        <v>0</v>
      </c>
      <c r="AI116" s="123">
        <f>IFERROR(MAX('B1'!AJ23,'B2'!AI23,'B3'!AI23),0)</f>
        <v>0</v>
      </c>
      <c r="AJ116" s="123">
        <f>IFERROR(MAX('B1'!AK23,'B2'!AJ23,'B3'!AJ23),0)</f>
        <v>0</v>
      </c>
      <c r="AK116" s="123">
        <f>IFERROR(MAX('B1'!AL23,'B2'!AK23,'B3'!AK23),0)</f>
        <v>0</v>
      </c>
      <c r="AL116" s="123">
        <f>IFERROR(MAX('B1'!AM23,'B2'!AL23,'B3'!AL23),0)</f>
        <v>0</v>
      </c>
      <c r="AM116" s="123">
        <f>IFERROR(MAX('B1'!AN23,'B2'!AM23,'B3'!AM23),0)</f>
        <v>0</v>
      </c>
      <c r="AN116" s="123">
        <f>IFERROR(MAX('B1'!AO23,'B2'!AN23,'B3'!AN23),0)</f>
        <v>0</v>
      </c>
      <c r="AO116" s="123">
        <f>IFERROR(MAX('B1'!AP23,'B2'!AO23,'B3'!AO23),0)</f>
        <v>0</v>
      </c>
      <c r="AP116" s="123">
        <f>IFERROR(MAX('B1'!AQ23,'B2'!AP23,'B3'!AP23),0)</f>
        <v>1.3872964499630744</v>
      </c>
      <c r="AQ116" s="123">
        <f>IFERROR(MAX('B1'!AR23,'B2'!AQ23,'B3'!AQ23),0)</f>
        <v>2.3140187904674216</v>
      </c>
      <c r="AR116" s="123">
        <f>IFERROR(MAX('B1'!AS23,'B2'!AR23,'B3'!AR23),0)</f>
        <v>1.0107298197691064</v>
      </c>
      <c r="AS116" s="123">
        <f>IFERROR(MAX('B1'!AT23,'B2'!AS23,'B3'!AS23),0)</f>
        <v>6.6415634302122086</v>
      </c>
      <c r="AT116" s="123">
        <f>IFERROR(MAX('B1'!AU23,'B2'!AT23,'B3'!AT23),0)</f>
        <v>0</v>
      </c>
      <c r="AU116" s="123">
        <f>IFERROR(MAX('B1'!AV23,'B2'!AU23,'B3'!AU23),0)</f>
        <v>0.34151649729958689</v>
      </c>
      <c r="AV116" s="123">
        <f>IFERROR(MAX('B1'!AW23,'B2'!AV23,'B3'!AV23),0)</f>
        <v>0</v>
      </c>
      <c r="AW116" s="123">
        <f>IFERROR(MAX('B1'!AX23,'B2'!AW23,'B3'!AW23),0)</f>
        <v>0.33354989042966671</v>
      </c>
      <c r="AX116" s="123">
        <f>IFERROR(MAX('B1'!AY23,'B2'!AX23,'B3'!AX23),0)</f>
        <v>0</v>
      </c>
      <c r="AY116" s="123">
        <f>IFERROR(MAX('B1'!AZ23,'B2'!AY23,'B3'!AY23),0)</f>
        <v>0</v>
      </c>
      <c r="AZ116" s="123">
        <f>IFERROR(MAX('B1'!BA23,'B2'!AZ23,'B3'!AZ23),0)</f>
        <v>0</v>
      </c>
      <c r="BA116" s="123">
        <f>IFERROR(MAX('B1'!BB23,'B2'!BA23,'B3'!BA23),0)</f>
        <v>0</v>
      </c>
      <c r="BB116" s="123">
        <f>IFERROR(MAX('B1'!#REF!,'B2'!#REF!,'B3'!#REF!),0)</f>
        <v>0</v>
      </c>
      <c r="BC116" s="123">
        <f>IFERROR(MAX('B1'!#REF!,'B2'!#REF!,'B3'!#REF!),0)</f>
        <v>0</v>
      </c>
      <c r="BD116" s="123">
        <f>IFERROR(MAX('B1'!#REF!,'B2'!#REF!,'B3'!#REF!),0)</f>
        <v>0</v>
      </c>
      <c r="BE116" s="123">
        <f>IFERROR(MAX('B1'!#REF!,'B2'!#REF!,'B3'!#REF!),0)</f>
        <v>0</v>
      </c>
      <c r="BF116" s="123">
        <f>IFERROR(MAX('B1'!#REF!,'B2'!#REF!,'B3'!#REF!),0)</f>
        <v>0</v>
      </c>
      <c r="BG116" s="123">
        <f>IFERROR(MAX('B1'!#REF!,'B2'!#REF!,'B3'!#REF!),0)</f>
        <v>0</v>
      </c>
      <c r="BH116" s="123">
        <f>IFERROR(MAX('B1'!#REF!,'B2'!#REF!,'B3'!#REF!),0)</f>
        <v>0</v>
      </c>
      <c r="BI116" s="123">
        <f>IFERROR(MAX('B1'!#REF!,'B2'!#REF!,'B3'!#REF!),0)</f>
        <v>0</v>
      </c>
      <c r="BJ116" s="123">
        <f>IFERROR(MAX('B1'!#REF!,'B2'!#REF!,'B3'!#REF!),0)</f>
        <v>0</v>
      </c>
      <c r="BK116" s="123">
        <f>IFERROR(MAX('B1'!#REF!,'B2'!#REF!,'B3'!#REF!),0)</f>
        <v>0</v>
      </c>
      <c r="BL116" s="123">
        <f>IFERROR(MAX('B1'!#REF!,'B2'!#REF!,'B3'!#REF!),0)</f>
        <v>0</v>
      </c>
      <c r="BM116" s="123">
        <f>IFERROR(MAX('B1'!#REF!,'B2'!#REF!,'B3'!#REF!),0)</f>
        <v>0</v>
      </c>
      <c r="BN116" s="123">
        <f>IFERROR(MAX('B1'!#REF!,'B2'!#REF!,'B3'!#REF!),0)</f>
        <v>0</v>
      </c>
      <c r="BO116" s="123">
        <f>IFERROR(MAX('B1'!#REF!,'B2'!#REF!,'B3'!#REF!),0)</f>
        <v>0</v>
      </c>
      <c r="BP116" s="123">
        <f>IFERROR(MAX('B1'!#REF!,'B2'!#REF!,'B3'!#REF!),0)</f>
        <v>0</v>
      </c>
      <c r="BQ116" s="123">
        <f>IFERROR(MAX('B1'!#REF!,'B2'!#REF!,'B3'!#REF!),0)</f>
        <v>0</v>
      </c>
      <c r="BR116" s="123">
        <f>IFERROR(MAX('B1'!#REF!,'B2'!#REF!,'B3'!#REF!),0)</f>
        <v>0</v>
      </c>
      <c r="BS116" s="123">
        <f>IFERROR(MAX('B1'!#REF!,'B2'!#REF!,'B3'!#REF!),0)</f>
        <v>0</v>
      </c>
      <c r="BT116" s="123"/>
      <c r="BU116" s="123">
        <f>IFERROR(MAX('B1'!#REF!,'B2'!#REF!,'B3'!#REF!),0)</f>
        <v>0</v>
      </c>
      <c r="BV116" s="123">
        <f>IFERROR(MAX('B1'!#REF!,'B2'!#REF!,'B3'!#REF!),0)</f>
        <v>0</v>
      </c>
      <c r="BW116" s="123">
        <f>IFERROR(MAX('B1'!#REF!,'B2'!#REF!,'B3'!#REF!),0)</f>
        <v>0</v>
      </c>
      <c r="BX116" s="123">
        <f>IFERROR(MAX('B1'!#REF!,'B2'!#REF!,'B3'!#REF!),0)</f>
        <v>0</v>
      </c>
    </row>
    <row r="117" spans="1:76" s="66" customFormat="1" ht="16" thickBot="1" x14ac:dyDescent="0.4">
      <c r="A117" s="63" t="str">
        <f t="shared" si="22"/>
        <v>16-05-2018</v>
      </c>
      <c r="B117" s="129">
        <f t="shared" si="22"/>
        <v>58</v>
      </c>
      <c r="C117" s="41">
        <f t="shared" si="21"/>
        <v>20</v>
      </c>
      <c r="D117" s="123">
        <f>IFERROR(MAX('B1'!D24,'B2'!D24,'B3'!D24),0)</f>
        <v>0</v>
      </c>
      <c r="E117" s="123">
        <f>IFERROR(MAX('B1'!E24,'B2'!E24,'B3'!E24),0)</f>
        <v>0</v>
      </c>
      <c r="F117" s="123">
        <f>IFERROR(MAX('B1'!F24,'B2'!F24,'B3'!F24),0)</f>
        <v>0</v>
      </c>
      <c r="G117" s="123">
        <f>IFERROR(MAX('B1'!G24,'B2'!G24,'B3'!G24),0)</f>
        <v>0</v>
      </c>
      <c r="H117" s="123">
        <f>IFERROR(MAX('B1'!H24,'B2'!H24,'B3'!H24),0)</f>
        <v>0</v>
      </c>
      <c r="I117" s="123">
        <f>IFERROR(MAX('B1'!I24,'B2'!I24,'B3'!I24),0)</f>
        <v>0</v>
      </c>
      <c r="J117" s="123">
        <f>IFERROR(MAX('B1'!J24,'B2'!J24,'B3'!J24),0)</f>
        <v>84.554386430038917</v>
      </c>
      <c r="K117" s="123">
        <f>IFERROR(MAX('B1'!K24,'B2'!K24,'B3'!K24),0)</f>
        <v>163.60220535849882</v>
      </c>
      <c r="L117" s="123">
        <f>IFERROR(MAX('B1'!L24,'B2'!L24,'B3'!L24),0)</f>
        <v>61.768723186694906</v>
      </c>
      <c r="M117" s="123">
        <f>IFERROR(MAX('B1'!M24,'B2'!M24,'B3'!M24),0)</f>
        <v>379.26455122965609</v>
      </c>
      <c r="N117" s="123">
        <f>IFERROR(MAX('B1'!N24,'B2'!N24,'B3'!N24),0)</f>
        <v>5.5240846267675856</v>
      </c>
      <c r="O117" s="123">
        <f>IFERROR(MAX('B1'!O24,'B2'!O24,'B3'!O24),0)</f>
        <v>24.12906519388639</v>
      </c>
      <c r="P117" s="123">
        <f>IFERROR(MAX('B1'!P24,'B2'!P24,'B3'!P24),0)</f>
        <v>0.74745361745503613</v>
      </c>
      <c r="Q117" s="123">
        <f>IFERROR(MAX('B1'!Q24,'B2'!Q24,'B3'!Q24),0)</f>
        <v>22.802973071713044</v>
      </c>
      <c r="R117" s="123">
        <f>IFERROR(MAX('B1'!R24,'B2'!R24,'B3'!R24),0)</f>
        <v>1.8542842457888247</v>
      </c>
      <c r="S117" s="123">
        <f>IFERROR(MAX('B1'!S24,'B2'!S24,'B3'!S24),0)</f>
        <v>0</v>
      </c>
      <c r="T117" s="123">
        <f>IFERROR(MAX('B1'!T24,'B2'!T24,'B3'!T24),0)</f>
        <v>0</v>
      </c>
      <c r="U117" s="123">
        <f>IFERROR(MAX('B1'!U24,'B2'!U24,'B3'!U24),0)</f>
        <v>0</v>
      </c>
      <c r="V117" s="123">
        <f>IFERROR(MAX('B1'!V24,'B2'!V24,'B3'!V24),0)</f>
        <v>0</v>
      </c>
      <c r="W117" s="123">
        <f>IFERROR(MAX('B1'!W24,'B2'!W24,'B3'!W24),0)</f>
        <v>0</v>
      </c>
      <c r="X117" s="123">
        <f>IFERROR(MAX('B1'!X24,'B2'!X24,'B3'!X24),0)</f>
        <v>0</v>
      </c>
      <c r="Y117" s="123">
        <f>IFERROR(MAX('B1'!Y24,'B2'!Y24,'B3'!Y24),0)</f>
        <v>0</v>
      </c>
      <c r="Z117" s="123">
        <f>IFERROR(MAX('B1'!Z24,'B2'!Z24,'B3'!Z24),0)</f>
        <v>0</v>
      </c>
      <c r="AA117" s="123">
        <f>IFERROR(MAX('B1'!AB24,'B2'!AA24,'B3'!AA24),0)</f>
        <v>0</v>
      </c>
      <c r="AB117" s="123">
        <f>IFERROR(MAX('B1'!AC24,'B2'!AB24,'B3'!AB24),0)</f>
        <v>0</v>
      </c>
      <c r="AC117" s="123">
        <f>IFERROR(MAX('B1'!AD24,'B2'!AC24,'B3'!AC24),0)</f>
        <v>0</v>
      </c>
      <c r="AD117" s="123">
        <f>IFERROR(MAX('B1'!AE24,'B2'!AD24,'B3'!AD24),0)</f>
        <v>0</v>
      </c>
      <c r="AE117" s="123">
        <f>IFERROR(MAX('B1'!AF24,'B2'!AE24,'B3'!AE24),0)</f>
        <v>7.64</v>
      </c>
      <c r="AF117" s="123">
        <f>IFERROR(MAX('B1'!AG24,'B2'!AF24,'B3'!AF24),0)</f>
        <v>0</v>
      </c>
      <c r="AG117" s="123">
        <f>IFERROR(MAX('B1'!AH24,'B2'!AG24,'B3'!AG24),0)</f>
        <v>1</v>
      </c>
      <c r="AH117" s="123">
        <f>IFERROR(MAX('B1'!AI24,'B2'!AH24,'B3'!AH24),0)</f>
        <v>0</v>
      </c>
      <c r="AI117" s="123">
        <f>IFERROR(MAX('B1'!AJ24,'B2'!AI24,'B3'!AI24),0)</f>
        <v>0</v>
      </c>
      <c r="AJ117" s="123">
        <f>IFERROR(MAX('B1'!AK24,'B2'!AJ24,'B3'!AJ24),0)</f>
        <v>0</v>
      </c>
      <c r="AK117" s="123">
        <f>IFERROR(MAX('B1'!AL24,'B2'!AK24,'B3'!AK24),0)</f>
        <v>0</v>
      </c>
      <c r="AL117" s="123">
        <f>IFERROR(MAX('B1'!AM24,'B2'!AL24,'B3'!AL24),0)</f>
        <v>0</v>
      </c>
      <c r="AM117" s="123">
        <f>IFERROR(MAX('B1'!AN24,'B2'!AM24,'B3'!AM24),0)</f>
        <v>0</v>
      </c>
      <c r="AN117" s="123">
        <f>IFERROR(MAX('B1'!AO24,'B2'!AN24,'B3'!AN24),0)</f>
        <v>0</v>
      </c>
      <c r="AO117" s="123">
        <f>IFERROR(MAX('B1'!AP24,'B2'!AO24,'B3'!AO24),0)</f>
        <v>0</v>
      </c>
      <c r="AP117" s="123">
        <f>IFERROR(MAX('B1'!AQ24,'B2'!AP24,'B3'!AP24),0)</f>
        <v>1.6910877286007784</v>
      </c>
      <c r="AQ117" s="123">
        <f>IFERROR(MAX('B1'!AR24,'B2'!AQ24,'B3'!AQ24),0)</f>
        <v>3.2720441071699766</v>
      </c>
      <c r="AR117" s="123">
        <f>IFERROR(MAX('B1'!AS24,'B2'!AR24,'B3'!AR24),0)</f>
        <v>1.2353744637338981</v>
      </c>
      <c r="AS117" s="123">
        <f>IFERROR(MAX('B1'!AT24,'B2'!AS24,'B3'!AS24),0)</f>
        <v>7.585291024593122</v>
      </c>
      <c r="AT117" s="123">
        <f>IFERROR(MAX('B1'!AU24,'B2'!AT24,'B3'!AT24),0)</f>
        <v>0.11048169253535171</v>
      </c>
      <c r="AU117" s="123">
        <f>IFERROR(MAX('B1'!AV24,'B2'!AU24,'B3'!AU24),0)</f>
        <v>0.4825813038777278</v>
      </c>
      <c r="AV117" s="123">
        <f>IFERROR(MAX('B1'!AW24,'B2'!AV24,'B3'!AV24),0)</f>
        <v>0</v>
      </c>
      <c r="AW117" s="123">
        <f>IFERROR(MAX('B1'!AX24,'B2'!AW24,'B3'!AW24),0)</f>
        <v>0.45605946143426085</v>
      </c>
      <c r="AX117" s="123">
        <f>IFERROR(MAX('B1'!AY24,'B2'!AX24,'B3'!AX24),0)</f>
        <v>0</v>
      </c>
      <c r="AY117" s="123">
        <f>IFERROR(MAX('B1'!AZ24,'B2'!AY24,'B3'!AY24),0)</f>
        <v>0</v>
      </c>
      <c r="AZ117" s="123">
        <f>IFERROR(MAX('B1'!BA24,'B2'!AZ24,'B3'!AZ24),0)</f>
        <v>0</v>
      </c>
      <c r="BA117" s="123">
        <f>IFERROR(MAX('B1'!BB24,'B2'!BA24,'B3'!BA24),0)</f>
        <v>0</v>
      </c>
      <c r="BB117" s="123">
        <f>IFERROR(MAX('B1'!#REF!,'B2'!#REF!,'B3'!#REF!),0)</f>
        <v>0</v>
      </c>
      <c r="BC117" s="123">
        <f>IFERROR(MAX('B1'!#REF!,'B2'!#REF!,'B3'!#REF!),0)</f>
        <v>0</v>
      </c>
      <c r="BD117" s="123">
        <f>IFERROR(MAX('B1'!#REF!,'B2'!#REF!,'B3'!#REF!),0)</f>
        <v>0</v>
      </c>
      <c r="BE117" s="123">
        <f>IFERROR(MAX('B1'!#REF!,'B2'!#REF!,'B3'!#REF!),0)</f>
        <v>0</v>
      </c>
      <c r="BF117" s="123">
        <f>IFERROR(MAX('B1'!#REF!,'B2'!#REF!,'B3'!#REF!),0)</f>
        <v>0</v>
      </c>
      <c r="BG117" s="123">
        <f>IFERROR(MAX('B1'!#REF!,'B2'!#REF!,'B3'!#REF!),0)</f>
        <v>0</v>
      </c>
      <c r="BH117" s="123">
        <f>IFERROR(MAX('B1'!#REF!,'B2'!#REF!,'B3'!#REF!),0)</f>
        <v>0</v>
      </c>
      <c r="BI117" s="123">
        <f>IFERROR(MAX('B1'!#REF!,'B2'!#REF!,'B3'!#REF!),0)</f>
        <v>0</v>
      </c>
      <c r="BJ117" s="123">
        <f>IFERROR(MAX('B1'!#REF!,'B2'!#REF!,'B3'!#REF!),0)</f>
        <v>0</v>
      </c>
      <c r="BK117" s="123">
        <f>IFERROR(MAX('B1'!#REF!,'B2'!#REF!,'B3'!#REF!),0)</f>
        <v>0</v>
      </c>
      <c r="BL117" s="123">
        <f>IFERROR(MAX('B1'!#REF!,'B2'!#REF!,'B3'!#REF!),0)</f>
        <v>0</v>
      </c>
      <c r="BM117" s="123">
        <f>IFERROR(MAX('B1'!#REF!,'B2'!#REF!,'B3'!#REF!),0)</f>
        <v>0</v>
      </c>
      <c r="BN117" s="123">
        <f>IFERROR(MAX('B1'!#REF!,'B2'!#REF!,'B3'!#REF!),0)</f>
        <v>0</v>
      </c>
      <c r="BO117" s="123">
        <f>IFERROR(MAX('B1'!#REF!,'B2'!#REF!,'B3'!#REF!),0)</f>
        <v>0</v>
      </c>
      <c r="BP117" s="123">
        <f>IFERROR(MAX('B1'!#REF!,'B2'!#REF!,'B3'!#REF!),0)</f>
        <v>0</v>
      </c>
      <c r="BQ117" s="123">
        <f>IFERROR(MAX('B1'!#REF!,'B2'!#REF!,'B3'!#REF!),0)</f>
        <v>0</v>
      </c>
      <c r="BR117" s="123">
        <f>IFERROR(MAX('B1'!#REF!,'B2'!#REF!,'B3'!#REF!),0)</f>
        <v>0</v>
      </c>
      <c r="BS117" s="123">
        <f>IFERROR(MAX('B1'!#REF!,'B2'!#REF!,'B3'!#REF!),0)</f>
        <v>0</v>
      </c>
      <c r="BT117" s="123"/>
      <c r="BU117" s="123">
        <f>IFERROR(MAX('B1'!#REF!,'B2'!#REF!,'B3'!#REF!),0)</f>
        <v>0</v>
      </c>
      <c r="BV117" s="123">
        <f>IFERROR(MAX('B1'!#REF!,'B2'!#REF!,'B3'!#REF!),0)</f>
        <v>0</v>
      </c>
      <c r="BW117" s="123">
        <f>IFERROR(MAX('B1'!#REF!,'B2'!#REF!,'B3'!#REF!),0)</f>
        <v>0</v>
      </c>
      <c r="BX117" s="123">
        <f>IFERROR(MAX('B1'!#REF!,'B2'!#REF!,'B3'!#REF!),0)</f>
        <v>0</v>
      </c>
    </row>
    <row r="118" spans="1:76" s="47" customFormat="1" ht="16" thickBot="1" x14ac:dyDescent="0.4">
      <c r="A118" s="63">
        <f t="shared" si="22"/>
        <v>0</v>
      </c>
      <c r="B118" s="129">
        <f t="shared" si="22"/>
        <v>0</v>
      </c>
      <c r="C118" s="41">
        <f t="shared" si="21"/>
        <v>20</v>
      </c>
      <c r="D118" s="123">
        <f>IFERROR(MAX('B1'!D25,'B2'!D25,'B3'!D25),0)</f>
        <v>0</v>
      </c>
      <c r="E118" s="123">
        <f>IFERROR(MAX('B1'!E25,'B2'!E25,'B3'!E25),0)</f>
        <v>0</v>
      </c>
      <c r="F118" s="123">
        <f>IFERROR(MAX('B1'!F25,'B2'!F25,'B3'!F25),0)</f>
        <v>0</v>
      </c>
      <c r="G118" s="123">
        <f>IFERROR(MAX('B1'!G25,'B2'!G25,'B3'!G25),0)</f>
        <v>0</v>
      </c>
      <c r="H118" s="123">
        <f>IFERROR(MAX('B1'!H25,'B2'!H25,'B3'!H25),0)</f>
        <v>0</v>
      </c>
      <c r="I118" s="123">
        <f>IFERROR(MAX('B1'!I25,'B2'!I25,'B3'!I25),0)</f>
        <v>0</v>
      </c>
      <c r="J118" s="123">
        <f>IFERROR(MAX('B1'!J25,'B2'!J25,'B3'!J25),0)</f>
        <v>0</v>
      </c>
      <c r="K118" s="123">
        <f>IFERROR(MAX('B1'!K25,'B2'!K25,'B3'!K25),0)</f>
        <v>0</v>
      </c>
      <c r="L118" s="123">
        <f>IFERROR(MAX('B1'!L25,'B2'!L25,'B3'!L25),0)</f>
        <v>0</v>
      </c>
      <c r="M118" s="123">
        <f>IFERROR(MAX('B1'!M25,'B2'!M25,'B3'!M25),0)</f>
        <v>0</v>
      </c>
      <c r="N118" s="123">
        <f>IFERROR(MAX('B1'!N25,'B2'!N25,'B3'!N25),0)</f>
        <v>0</v>
      </c>
      <c r="O118" s="123">
        <f>IFERROR(MAX('B1'!O25,'B2'!O25,'B3'!O25),0)</f>
        <v>0</v>
      </c>
      <c r="P118" s="123">
        <f>IFERROR(MAX('B1'!P25,'B2'!P25,'B3'!P25),0)</f>
        <v>0</v>
      </c>
      <c r="Q118" s="123">
        <f>IFERROR(MAX('B1'!Q25,'B2'!Q25,'B3'!Q25),0)</f>
        <v>0</v>
      </c>
      <c r="R118" s="123">
        <f>IFERROR(MAX('B1'!R25,'B2'!R25,'B3'!R25),0)</f>
        <v>0</v>
      </c>
      <c r="S118" s="123">
        <f>IFERROR(MAX('B1'!S25,'B2'!S25,'B3'!S25),0)</f>
        <v>0</v>
      </c>
      <c r="T118" s="123">
        <f>IFERROR(MAX('B1'!T25,'B2'!T25,'B3'!T25),0)</f>
        <v>0</v>
      </c>
      <c r="U118" s="123">
        <f>IFERROR(MAX('B1'!U25,'B2'!U25,'B3'!U25),0)</f>
        <v>0</v>
      </c>
      <c r="V118" s="123">
        <f>IFERROR(MAX('B1'!V25,'B2'!V25,'B3'!V25),0)</f>
        <v>0</v>
      </c>
      <c r="W118" s="123">
        <f>IFERROR(MAX('B1'!W25,'B2'!W25,'B3'!W25),0)</f>
        <v>0</v>
      </c>
      <c r="X118" s="123">
        <f>IFERROR(MAX('B1'!X25,'B2'!X25,'B3'!X25),0)</f>
        <v>0</v>
      </c>
      <c r="Y118" s="123">
        <f>IFERROR(MAX('B1'!Y25,'B2'!Y25,'B3'!Y25),0)</f>
        <v>0</v>
      </c>
      <c r="Z118" s="123">
        <f>IFERROR(MAX('B1'!Z25,'B2'!Z25,'B3'!Z25),0)</f>
        <v>0</v>
      </c>
      <c r="AA118" s="123">
        <f>IFERROR(MAX('B1'!AB25,'B2'!AA25,'B3'!AA25),0)</f>
        <v>0</v>
      </c>
      <c r="AB118" s="123">
        <f>IFERROR(MAX('B1'!AC25,'B2'!AB25,'B3'!AB25),0)</f>
        <v>0</v>
      </c>
      <c r="AC118" s="123">
        <f>IFERROR(MAX('B1'!AD25,'B2'!AC25,'B3'!AC25),0)</f>
        <v>0</v>
      </c>
      <c r="AD118" s="123">
        <f>IFERROR(MAX('B1'!AE25,'B2'!AD25,'B3'!AD25),0)</f>
        <v>0</v>
      </c>
      <c r="AE118" s="123">
        <f>IFERROR(MAX('B1'!AF25,'B2'!AE25,'B3'!AE25),0)</f>
        <v>0</v>
      </c>
      <c r="AF118" s="123">
        <f>IFERROR(MAX('B1'!AG25,'B2'!AF25,'B3'!AF25),0)</f>
        <v>0</v>
      </c>
      <c r="AG118" s="123">
        <f>IFERROR(MAX('B1'!AH25,'B2'!AG25,'B3'!AG25),0)</f>
        <v>0</v>
      </c>
      <c r="AH118" s="123">
        <f>IFERROR(MAX('B1'!AI25,'B2'!AH25,'B3'!AH25),0)</f>
        <v>0</v>
      </c>
      <c r="AI118" s="123">
        <f>IFERROR(MAX('B1'!AJ25,'B2'!AI25,'B3'!AI25),0)</f>
        <v>0</v>
      </c>
      <c r="AJ118" s="123">
        <f>IFERROR(MAX('B1'!AK25,'B2'!AJ25,'B3'!AJ25),0)</f>
        <v>0</v>
      </c>
      <c r="AK118" s="123">
        <f>IFERROR(MAX('B1'!AL25,'B2'!AK25,'B3'!AK25),0)</f>
        <v>0</v>
      </c>
      <c r="AL118" s="123">
        <f>IFERROR(MAX('B1'!AM25,'B2'!AL25,'B3'!AL25),0)</f>
        <v>0</v>
      </c>
      <c r="AM118" s="123">
        <f>IFERROR(MAX('B1'!AN25,'B2'!AM25,'B3'!AM25),0)</f>
        <v>0</v>
      </c>
      <c r="AN118" s="123">
        <f>IFERROR(MAX('B1'!AO25,'B2'!AN25,'B3'!AN25),0)</f>
        <v>0</v>
      </c>
      <c r="AO118" s="123">
        <f>IFERROR(MAX('B1'!AP25,'B2'!AO25,'B3'!AO25),0)</f>
        <v>0</v>
      </c>
      <c r="AP118" s="123">
        <f>IFERROR(MAX('B1'!AQ25,'B2'!AP25,'B3'!AP25),0)</f>
        <v>0</v>
      </c>
      <c r="AQ118" s="123">
        <f>IFERROR(MAX('B1'!AR25,'B2'!AQ25,'B3'!AQ25),0)</f>
        <v>0</v>
      </c>
      <c r="AR118" s="123">
        <f>IFERROR(MAX('B1'!AS25,'B2'!AR25,'B3'!AR25),0)</f>
        <v>0</v>
      </c>
      <c r="AS118" s="123">
        <f>IFERROR(MAX('B1'!AT25,'B2'!AS25,'B3'!AS25),0)</f>
        <v>0</v>
      </c>
      <c r="AT118" s="123">
        <f>IFERROR(MAX('B1'!AU25,'B2'!AT25,'B3'!AT25),0)</f>
        <v>0</v>
      </c>
      <c r="AU118" s="123">
        <f>IFERROR(MAX('B1'!AV25,'B2'!AU25,'B3'!AU25),0)</f>
        <v>0</v>
      </c>
      <c r="AV118" s="123">
        <f>IFERROR(MAX('B1'!AW25,'B2'!AV25,'B3'!AV25),0)</f>
        <v>0</v>
      </c>
      <c r="AW118" s="123">
        <f>IFERROR(MAX('B1'!AX25,'B2'!AW25,'B3'!AW25),0)</f>
        <v>0</v>
      </c>
      <c r="AX118" s="123">
        <f>IFERROR(MAX('B1'!AY25,'B2'!AX25,'B3'!AX25),0)</f>
        <v>0</v>
      </c>
      <c r="AY118" s="123">
        <f>IFERROR(MAX('B1'!AZ25,'B2'!AY25,'B3'!AY25),0)</f>
        <v>0</v>
      </c>
      <c r="AZ118" s="123">
        <f>IFERROR(MAX('B1'!BA25,'B2'!AZ25,'B3'!AZ25),0)</f>
        <v>0</v>
      </c>
      <c r="BA118" s="123">
        <f>IFERROR(MAX('B1'!BB25,'B2'!BA25,'B3'!BA25),0)</f>
        <v>0</v>
      </c>
      <c r="BB118" s="123">
        <f>IFERROR(MAX('B1'!#REF!,'B2'!#REF!,'B3'!#REF!),0)</f>
        <v>0</v>
      </c>
      <c r="BC118" s="123">
        <f>IFERROR(MAX('B1'!#REF!,'B2'!#REF!,'B3'!#REF!),0)</f>
        <v>0</v>
      </c>
      <c r="BD118" s="123">
        <f>IFERROR(MAX('B1'!#REF!,'B2'!#REF!,'B3'!#REF!),0)</f>
        <v>0</v>
      </c>
      <c r="BE118" s="123">
        <f>IFERROR(MAX('B1'!#REF!,'B2'!#REF!,'B3'!#REF!),0)</f>
        <v>0</v>
      </c>
      <c r="BF118" s="123">
        <f>IFERROR(MAX('B1'!#REF!,'B2'!#REF!,'B3'!#REF!),0)</f>
        <v>0</v>
      </c>
      <c r="BG118" s="123">
        <f>IFERROR(MAX('B1'!#REF!,'B2'!#REF!,'B3'!#REF!),0)</f>
        <v>0</v>
      </c>
      <c r="BH118" s="123">
        <f>IFERROR(MAX('B1'!#REF!,'B2'!#REF!,'B3'!#REF!),0)</f>
        <v>0</v>
      </c>
      <c r="BI118" s="123">
        <f>IFERROR(MAX('B1'!#REF!,'B2'!#REF!,'B3'!#REF!),0)</f>
        <v>0</v>
      </c>
      <c r="BJ118" s="123">
        <f>IFERROR(MAX('B1'!#REF!,'B2'!#REF!,'B3'!#REF!),0)</f>
        <v>0</v>
      </c>
      <c r="BK118" s="123">
        <f>IFERROR(MAX('B1'!#REF!,'B2'!#REF!,'B3'!#REF!),0)</f>
        <v>0</v>
      </c>
      <c r="BL118" s="123">
        <f>IFERROR(MAX('B1'!#REF!,'B2'!#REF!,'B3'!#REF!),0)</f>
        <v>0</v>
      </c>
      <c r="BM118" s="123">
        <f>IFERROR(MAX('B1'!#REF!,'B2'!#REF!,'B3'!#REF!),0)</f>
        <v>0</v>
      </c>
      <c r="BN118" s="123">
        <f>IFERROR(MAX('B1'!#REF!,'B2'!#REF!,'B3'!#REF!),0)</f>
        <v>0</v>
      </c>
      <c r="BO118" s="123">
        <f>IFERROR(MAX('B1'!#REF!,'B2'!#REF!,'B3'!#REF!),0)</f>
        <v>0</v>
      </c>
      <c r="BP118" s="123">
        <f>IFERROR(MAX('B1'!#REF!,'B2'!#REF!,'B3'!#REF!),0)</f>
        <v>0</v>
      </c>
      <c r="BQ118" s="123">
        <f>IFERROR(MAX('B1'!#REF!,'B2'!#REF!,'B3'!#REF!),0)</f>
        <v>0</v>
      </c>
      <c r="BR118" s="123">
        <f>IFERROR(MAX('B1'!#REF!,'B2'!#REF!,'B3'!#REF!),0)</f>
        <v>0</v>
      </c>
      <c r="BS118" s="123">
        <f>IFERROR(MAX('B1'!#REF!,'B2'!#REF!,'B3'!#REF!),0)</f>
        <v>0</v>
      </c>
      <c r="BT118" s="123"/>
      <c r="BU118" s="123">
        <f>IFERROR(MAX('B1'!#REF!,'B2'!#REF!,'B3'!#REF!),0)</f>
        <v>0</v>
      </c>
      <c r="BV118" s="123">
        <f>IFERROR(MAX('B1'!#REF!,'B2'!#REF!,'B3'!#REF!),0)</f>
        <v>0</v>
      </c>
      <c r="BW118" s="123">
        <f>IFERROR(MAX('B1'!#REF!,'B2'!#REF!,'B3'!#REF!),0)</f>
        <v>0</v>
      </c>
      <c r="BX118" s="123">
        <f>IFERROR(MAX('B1'!#REF!,'B2'!#REF!,'B3'!#REF!),0)</f>
        <v>0</v>
      </c>
    </row>
    <row r="119" spans="1:76" s="66" customFormat="1" ht="16" thickBot="1" x14ac:dyDescent="0.4">
      <c r="A119" s="63">
        <f t="shared" si="22"/>
        <v>0</v>
      </c>
      <c r="B119" s="129">
        <f t="shared" si="22"/>
        <v>0</v>
      </c>
      <c r="C119" s="41">
        <f t="shared" si="21"/>
        <v>50</v>
      </c>
      <c r="D119" s="123">
        <f>IFERROR(MAX('B1'!D26,'B2'!D26,'B3'!D26),0)</f>
        <v>0</v>
      </c>
      <c r="E119" s="123">
        <f>IFERROR(MAX('B1'!E26,'B2'!E26,'B3'!E26),0)</f>
        <v>0</v>
      </c>
      <c r="F119" s="123">
        <f>IFERROR(MAX('B1'!F26,'B2'!F26,'B3'!F26),0)</f>
        <v>0</v>
      </c>
      <c r="G119" s="123">
        <f>IFERROR(MAX('B1'!G26,'B2'!G26,'B3'!G26),0)</f>
        <v>0</v>
      </c>
      <c r="H119" s="123">
        <f>IFERROR(MAX('B1'!H26,'B2'!H26,'B3'!H26),0)</f>
        <v>0</v>
      </c>
      <c r="I119" s="123">
        <f>IFERROR(MAX('B1'!I26,'B2'!I26,'B3'!I26),0)</f>
        <v>0</v>
      </c>
      <c r="J119" s="123">
        <f>IFERROR(MAX('B1'!J26,'B2'!J26,'B3'!J26),0)</f>
        <v>0</v>
      </c>
      <c r="K119" s="123">
        <f>IFERROR(MAX('B1'!K26,'B2'!K26,'B3'!K26),0)</f>
        <v>0</v>
      </c>
      <c r="L119" s="123">
        <f>IFERROR(MAX('B1'!L26,'B2'!L26,'B3'!L26),0)</f>
        <v>0</v>
      </c>
      <c r="M119" s="123">
        <f>IFERROR(MAX('B1'!M26,'B2'!M26,'B3'!M26),0)</f>
        <v>0</v>
      </c>
      <c r="N119" s="123">
        <f>IFERROR(MAX('B1'!N26,'B2'!N26,'B3'!N26),0)</f>
        <v>0</v>
      </c>
      <c r="O119" s="123">
        <f>IFERROR(MAX('B1'!O26,'B2'!O26,'B3'!O26),0)</f>
        <v>0</v>
      </c>
      <c r="P119" s="123">
        <f>IFERROR(MAX('B1'!P26,'B2'!P26,'B3'!P26),0)</f>
        <v>0</v>
      </c>
      <c r="Q119" s="123">
        <f>IFERROR(MAX('B1'!Q26,'B2'!Q26,'B3'!Q26),0)</f>
        <v>0</v>
      </c>
      <c r="R119" s="123">
        <f>IFERROR(MAX('B1'!R26,'B2'!R26,'B3'!R26),0)</f>
        <v>0</v>
      </c>
      <c r="S119" s="123">
        <f>IFERROR(MAX('B1'!S26,'B2'!S26,'B3'!S26),0)</f>
        <v>0</v>
      </c>
      <c r="T119" s="123">
        <f>IFERROR(MAX('B1'!T26,'B2'!T26,'B3'!T26),0)</f>
        <v>0</v>
      </c>
      <c r="U119" s="123">
        <f>IFERROR(MAX('B1'!U26,'B2'!U26,'B3'!U26),0)</f>
        <v>0</v>
      </c>
      <c r="V119" s="123">
        <f>IFERROR(MAX('B1'!V26,'B2'!V26,'B3'!V26),0)</f>
        <v>0</v>
      </c>
      <c r="W119" s="123">
        <f>IFERROR(MAX('B1'!W26,'B2'!W26,'B3'!W26),0)</f>
        <v>0</v>
      </c>
      <c r="X119" s="123">
        <f>IFERROR(MAX('B1'!X26,'B2'!X26,'B3'!X26),0)</f>
        <v>0</v>
      </c>
      <c r="Y119" s="123">
        <f>IFERROR(MAX('B1'!Y26,'B2'!Y26,'B3'!Y26),0)</f>
        <v>0</v>
      </c>
      <c r="Z119" s="123">
        <f>IFERROR(MAX('B1'!Z26,'B2'!Z26,'B3'!Z26),0)</f>
        <v>0</v>
      </c>
      <c r="AA119" s="123">
        <f>IFERROR(MAX('B1'!AB26,'B2'!AA26,'B3'!AA26),0)</f>
        <v>0</v>
      </c>
      <c r="AB119" s="123">
        <f>IFERROR(MAX('B1'!AC26,'B2'!AB26,'B3'!AB26),0)</f>
        <v>0</v>
      </c>
      <c r="AC119" s="123">
        <f>IFERROR(MAX('B1'!AD26,'B2'!AC26,'B3'!AC26),0)</f>
        <v>0</v>
      </c>
      <c r="AD119" s="123">
        <f>IFERROR(MAX('B1'!AE26,'B2'!AD26,'B3'!AD26),0)</f>
        <v>0</v>
      </c>
      <c r="AE119" s="123">
        <f>IFERROR(MAX('B1'!AF26,'B2'!AE26,'B3'!AE26),0)</f>
        <v>0</v>
      </c>
      <c r="AF119" s="123">
        <f>IFERROR(MAX('B1'!AG26,'B2'!AF26,'B3'!AF26),0)</f>
        <v>0</v>
      </c>
      <c r="AG119" s="123">
        <f>IFERROR(MAX('B1'!AH26,'B2'!AG26,'B3'!AG26),0)</f>
        <v>0</v>
      </c>
      <c r="AH119" s="123">
        <f>IFERROR(MAX('B1'!AI26,'B2'!AH26,'B3'!AH26),0)</f>
        <v>0</v>
      </c>
      <c r="AI119" s="123">
        <f>IFERROR(MAX('B1'!AJ26,'B2'!AI26,'B3'!AI26),0)</f>
        <v>0</v>
      </c>
      <c r="AJ119" s="123">
        <f>IFERROR(MAX('B1'!AK26,'B2'!AJ26,'B3'!AJ26),0)</f>
        <v>0</v>
      </c>
      <c r="AK119" s="123">
        <f>IFERROR(MAX('B1'!AL26,'B2'!AK26,'B3'!AK26),0)</f>
        <v>0</v>
      </c>
      <c r="AL119" s="123">
        <f>IFERROR(MAX('B1'!AM26,'B2'!AL26,'B3'!AL26),0)</f>
        <v>0</v>
      </c>
      <c r="AM119" s="123">
        <f>IFERROR(MAX('B1'!AN26,'B2'!AM26,'B3'!AM26),0)</f>
        <v>0</v>
      </c>
      <c r="AN119" s="123">
        <f>IFERROR(MAX('B1'!AO26,'B2'!AN26,'B3'!AN26),0)</f>
        <v>0</v>
      </c>
      <c r="AO119" s="123">
        <f>IFERROR(MAX('B1'!AP26,'B2'!AO26,'B3'!AO26),0)</f>
        <v>0</v>
      </c>
      <c r="AP119" s="123">
        <f>IFERROR(MAX('B1'!AQ26,'B2'!AP26,'B3'!AP26),0)</f>
        <v>0</v>
      </c>
      <c r="AQ119" s="123">
        <f>IFERROR(MAX('B1'!AR26,'B2'!AQ26,'B3'!AQ26),0)</f>
        <v>0</v>
      </c>
      <c r="AR119" s="123">
        <f>IFERROR(MAX('B1'!AS26,'B2'!AR26,'B3'!AR26),0)</f>
        <v>0</v>
      </c>
      <c r="AS119" s="123">
        <f>IFERROR(MAX('B1'!AT26,'B2'!AS26,'B3'!AS26),0)</f>
        <v>0</v>
      </c>
      <c r="AT119" s="123">
        <f>IFERROR(MAX('B1'!AU26,'B2'!AT26,'B3'!AT26),0)</f>
        <v>0</v>
      </c>
      <c r="AU119" s="123">
        <f>IFERROR(MAX('B1'!AV26,'B2'!AU26,'B3'!AU26),0)</f>
        <v>0</v>
      </c>
      <c r="AV119" s="123">
        <f>IFERROR(MAX('B1'!AW26,'B2'!AV26,'B3'!AV26),0)</f>
        <v>0</v>
      </c>
      <c r="AW119" s="123">
        <f>IFERROR(MAX('B1'!AX26,'B2'!AW26,'B3'!AW26),0)</f>
        <v>0</v>
      </c>
      <c r="AX119" s="123">
        <f>IFERROR(MAX('B1'!AY26,'B2'!AX26,'B3'!AX26),0)</f>
        <v>0</v>
      </c>
      <c r="AY119" s="123">
        <f>IFERROR(MAX('B1'!AZ26,'B2'!AY26,'B3'!AY26),0)</f>
        <v>0</v>
      </c>
      <c r="AZ119" s="123">
        <f>IFERROR(MAX('B1'!BA26,'B2'!AZ26,'B3'!AZ26),0)</f>
        <v>0</v>
      </c>
      <c r="BA119" s="123">
        <f>IFERROR(MAX('B1'!BB26,'B2'!BA26,'B3'!BA26),0)</f>
        <v>0</v>
      </c>
      <c r="BB119" s="123">
        <f>IFERROR(MAX('B1'!#REF!,'B2'!#REF!,'B3'!#REF!),0)</f>
        <v>0</v>
      </c>
      <c r="BC119" s="123">
        <f>IFERROR(MAX('B1'!#REF!,'B2'!#REF!,'B3'!#REF!),0)</f>
        <v>0</v>
      </c>
      <c r="BD119" s="123">
        <f>IFERROR(MAX('B1'!#REF!,'B2'!#REF!,'B3'!#REF!),0)</f>
        <v>0</v>
      </c>
      <c r="BE119" s="123">
        <f>IFERROR(MAX('B1'!#REF!,'B2'!#REF!,'B3'!#REF!),0)</f>
        <v>0</v>
      </c>
      <c r="BF119" s="123">
        <f>IFERROR(MAX('B1'!#REF!,'B2'!#REF!,'B3'!#REF!),0)</f>
        <v>0</v>
      </c>
      <c r="BG119" s="123">
        <f>IFERROR(MAX('B1'!#REF!,'B2'!#REF!,'B3'!#REF!),0)</f>
        <v>0</v>
      </c>
      <c r="BH119" s="123">
        <f>IFERROR(MAX('B1'!#REF!,'B2'!#REF!,'B3'!#REF!),0)</f>
        <v>0</v>
      </c>
      <c r="BI119" s="123">
        <f>IFERROR(MAX('B1'!#REF!,'B2'!#REF!,'B3'!#REF!),0)</f>
        <v>0</v>
      </c>
      <c r="BJ119" s="123">
        <f>IFERROR(MAX('B1'!#REF!,'B2'!#REF!,'B3'!#REF!),0)</f>
        <v>0</v>
      </c>
      <c r="BK119" s="123">
        <f>IFERROR(MAX('B1'!#REF!,'B2'!#REF!,'B3'!#REF!),0)</f>
        <v>0</v>
      </c>
      <c r="BL119" s="123">
        <f>IFERROR(MAX('B1'!#REF!,'B2'!#REF!,'B3'!#REF!),0)</f>
        <v>0</v>
      </c>
      <c r="BM119" s="123">
        <f>IFERROR(MAX('B1'!#REF!,'B2'!#REF!,'B3'!#REF!),0)</f>
        <v>0</v>
      </c>
      <c r="BN119" s="123">
        <f>IFERROR(MAX('B1'!#REF!,'B2'!#REF!,'B3'!#REF!),0)</f>
        <v>0</v>
      </c>
      <c r="BO119" s="123">
        <f>IFERROR(MAX('B1'!#REF!,'B2'!#REF!,'B3'!#REF!),0)</f>
        <v>0</v>
      </c>
      <c r="BP119" s="123">
        <f>IFERROR(MAX('B1'!#REF!,'B2'!#REF!,'B3'!#REF!),0)</f>
        <v>0</v>
      </c>
      <c r="BQ119" s="123">
        <f>IFERROR(MAX('B1'!#REF!,'B2'!#REF!,'B3'!#REF!),0)</f>
        <v>0</v>
      </c>
      <c r="BR119" s="123">
        <f>IFERROR(MAX('B1'!#REF!,'B2'!#REF!,'B3'!#REF!),0)</f>
        <v>0</v>
      </c>
      <c r="BS119" s="123">
        <f>IFERROR(MAX('B1'!#REF!,'B2'!#REF!,'B3'!#REF!),0)</f>
        <v>0</v>
      </c>
      <c r="BT119" s="123"/>
      <c r="BU119" s="123">
        <f>IFERROR(MAX('B1'!#REF!,'B2'!#REF!,'B3'!#REF!),0)</f>
        <v>0</v>
      </c>
      <c r="BV119" s="123">
        <f>IFERROR(MAX('B1'!#REF!,'B2'!#REF!,'B3'!#REF!),0)</f>
        <v>0</v>
      </c>
      <c r="BW119" s="123">
        <f>IFERROR(MAX('B1'!#REF!,'B2'!#REF!,'B3'!#REF!),0)</f>
        <v>0</v>
      </c>
      <c r="BX119" s="123">
        <f>IFERROR(MAX('B1'!#REF!,'B2'!#REF!,'B3'!#REF!),0)</f>
        <v>0</v>
      </c>
    </row>
    <row r="120" spans="1:76" s="47" customFormat="1" ht="16" thickBot="1" x14ac:dyDescent="0.4">
      <c r="A120" s="63">
        <f t="shared" si="22"/>
        <v>0</v>
      </c>
      <c r="B120" s="129">
        <f t="shared" si="22"/>
        <v>0</v>
      </c>
      <c r="C120" s="41">
        <f t="shared" si="21"/>
        <v>20</v>
      </c>
      <c r="D120" s="123">
        <f>IFERROR(MAX('B1'!D27,'B2'!D27,'B3'!D27),0)</f>
        <v>0</v>
      </c>
      <c r="E120" s="123">
        <f>IFERROR(MAX('B1'!E27,'B2'!E27,'B3'!E27),0)</f>
        <v>0</v>
      </c>
      <c r="F120" s="123">
        <f>IFERROR(MAX('B1'!F27,'B2'!F27,'B3'!F27),0)</f>
        <v>0</v>
      </c>
      <c r="G120" s="123">
        <f>IFERROR(MAX('B1'!G27,'B2'!G27,'B3'!G27),0)</f>
        <v>0</v>
      </c>
      <c r="H120" s="123">
        <f>IFERROR(MAX('B1'!H27,'B2'!H27,'B3'!H27),0)</f>
        <v>0</v>
      </c>
      <c r="I120" s="123">
        <f>IFERROR(MAX('B1'!I27,'B2'!I27,'B3'!I27),0)</f>
        <v>0</v>
      </c>
      <c r="J120" s="123">
        <f>IFERROR(MAX('B1'!J27,'B2'!J27,'B3'!J27),0)</f>
        <v>0</v>
      </c>
      <c r="K120" s="123">
        <f>IFERROR(MAX('B1'!K27,'B2'!K27,'B3'!K27),0)</f>
        <v>0</v>
      </c>
      <c r="L120" s="123">
        <f>IFERROR(MAX('B1'!L27,'B2'!L27,'B3'!L27),0)</f>
        <v>0</v>
      </c>
      <c r="M120" s="123">
        <f>IFERROR(MAX('B1'!M27,'B2'!M27,'B3'!M27),0)</f>
        <v>0</v>
      </c>
      <c r="N120" s="123">
        <f>IFERROR(MAX('B1'!N27,'B2'!N27,'B3'!N27),0)</f>
        <v>0</v>
      </c>
      <c r="O120" s="123">
        <f>IFERROR(MAX('B1'!O27,'B2'!O27,'B3'!O27),0)</f>
        <v>0</v>
      </c>
      <c r="P120" s="123">
        <f>IFERROR(MAX('B1'!P27,'B2'!P27,'B3'!P27),0)</f>
        <v>0</v>
      </c>
      <c r="Q120" s="123">
        <f>IFERROR(MAX('B1'!Q27,'B2'!Q27,'B3'!Q27),0)</f>
        <v>0</v>
      </c>
      <c r="R120" s="123">
        <f>IFERROR(MAX('B1'!R27,'B2'!R27,'B3'!R27),0)</f>
        <v>0</v>
      </c>
      <c r="S120" s="123">
        <f>IFERROR(MAX('B1'!S27,'B2'!S27,'B3'!S27),0)</f>
        <v>0</v>
      </c>
      <c r="T120" s="123">
        <f>IFERROR(MAX('B1'!T27,'B2'!T27,'B3'!T27),0)</f>
        <v>0</v>
      </c>
      <c r="U120" s="123">
        <f>IFERROR(MAX('B1'!U27,'B2'!U27,'B3'!U27),0)</f>
        <v>0</v>
      </c>
      <c r="V120" s="123">
        <f>IFERROR(MAX('B1'!V27,'B2'!V27,'B3'!V27),0)</f>
        <v>0</v>
      </c>
      <c r="W120" s="123">
        <f>IFERROR(MAX('B1'!W27,'B2'!W27,'B3'!W27),0)</f>
        <v>0</v>
      </c>
      <c r="X120" s="123">
        <f>IFERROR(MAX('B1'!X27,'B2'!X27,'B3'!X27),0)</f>
        <v>0</v>
      </c>
      <c r="Y120" s="123">
        <f>IFERROR(MAX('B1'!Y27,'B2'!Y27,'B3'!Y27),0)</f>
        <v>0</v>
      </c>
      <c r="Z120" s="123">
        <f>IFERROR(MAX('B1'!Z27,'B2'!Z27,'B3'!Z27),0)</f>
        <v>0</v>
      </c>
      <c r="AA120" s="123">
        <f>IFERROR(MAX('B1'!AB27,'B2'!AA27,'B3'!AA27),0)</f>
        <v>0</v>
      </c>
      <c r="AB120" s="123">
        <f>IFERROR(MAX('B1'!AC27,'B2'!AB27,'B3'!AB27),0)</f>
        <v>0</v>
      </c>
      <c r="AC120" s="123">
        <f>IFERROR(MAX('B1'!AD27,'B2'!AC27,'B3'!AC27),0)</f>
        <v>0</v>
      </c>
      <c r="AD120" s="123">
        <f>IFERROR(MAX('B1'!AE27,'B2'!AD27,'B3'!AD27),0)</f>
        <v>0</v>
      </c>
      <c r="AE120" s="123">
        <f>IFERROR(MAX('B1'!AF27,'B2'!AE27,'B3'!AE27),0)</f>
        <v>0</v>
      </c>
      <c r="AF120" s="123">
        <f>IFERROR(MAX('B1'!AG27,'B2'!AF27,'B3'!AF27),0)</f>
        <v>0</v>
      </c>
      <c r="AG120" s="123">
        <f>IFERROR(MAX('B1'!AH27,'B2'!AG27,'B3'!AG27),0)</f>
        <v>0</v>
      </c>
      <c r="AH120" s="123">
        <f>IFERROR(MAX('B1'!AI27,'B2'!AH27,'B3'!AH27),0)</f>
        <v>0</v>
      </c>
      <c r="AI120" s="123">
        <f>IFERROR(MAX('B1'!AJ27,'B2'!AI27,'B3'!AI27),0)</f>
        <v>0</v>
      </c>
      <c r="AJ120" s="123">
        <f>IFERROR(MAX('B1'!AK27,'B2'!AJ27,'B3'!AJ27),0)</f>
        <v>0</v>
      </c>
      <c r="AK120" s="123">
        <f>IFERROR(MAX('B1'!AL27,'B2'!AK27,'B3'!AK27),0)</f>
        <v>0</v>
      </c>
      <c r="AL120" s="123">
        <f>IFERROR(MAX('B1'!AM27,'B2'!AL27,'B3'!AL27),0)</f>
        <v>0</v>
      </c>
      <c r="AM120" s="123">
        <f>IFERROR(MAX('B1'!AN27,'B2'!AM27,'B3'!AM27),0)</f>
        <v>0</v>
      </c>
      <c r="AN120" s="123">
        <f>IFERROR(MAX('B1'!AO27,'B2'!AN27,'B3'!AN27),0)</f>
        <v>0</v>
      </c>
      <c r="AO120" s="123">
        <f>IFERROR(MAX('B1'!AP27,'B2'!AO27,'B3'!AO27),0)</f>
        <v>0</v>
      </c>
      <c r="AP120" s="123">
        <f>IFERROR(MAX('B1'!AQ27,'B2'!AP27,'B3'!AP27),0)</f>
        <v>0</v>
      </c>
      <c r="AQ120" s="123">
        <f>IFERROR(MAX('B1'!AR27,'B2'!AQ27,'B3'!AQ27),0)</f>
        <v>0</v>
      </c>
      <c r="AR120" s="123">
        <f>IFERROR(MAX('B1'!AS27,'B2'!AR27,'B3'!AR27),0)</f>
        <v>0</v>
      </c>
      <c r="AS120" s="123">
        <f>IFERROR(MAX('B1'!AT27,'B2'!AS27,'B3'!AS27),0)</f>
        <v>0</v>
      </c>
      <c r="AT120" s="123">
        <f>IFERROR(MAX('B1'!AU27,'B2'!AT27,'B3'!AT27),0)</f>
        <v>0</v>
      </c>
      <c r="AU120" s="123">
        <f>IFERROR(MAX('B1'!AV27,'B2'!AU27,'B3'!AU27),0)</f>
        <v>0</v>
      </c>
      <c r="AV120" s="123">
        <f>IFERROR(MAX('B1'!AW27,'B2'!AV27,'B3'!AV27),0)</f>
        <v>0</v>
      </c>
      <c r="AW120" s="123">
        <f>IFERROR(MAX('B1'!AX27,'B2'!AW27,'B3'!AW27),0)</f>
        <v>0</v>
      </c>
      <c r="AX120" s="123">
        <f>IFERROR(MAX('B1'!AY27,'B2'!AX27,'B3'!AX27),0)</f>
        <v>0</v>
      </c>
      <c r="AY120" s="123">
        <f>IFERROR(MAX('B1'!AZ27,'B2'!AY27,'B3'!AY27),0)</f>
        <v>0</v>
      </c>
      <c r="AZ120" s="123">
        <f>IFERROR(MAX('B1'!BA27,'B2'!AZ27,'B3'!AZ27),0)</f>
        <v>0</v>
      </c>
      <c r="BA120" s="123">
        <f>IFERROR(MAX('B1'!BB27,'B2'!BA27,'B3'!BA27),0)</f>
        <v>0</v>
      </c>
      <c r="BB120" s="123">
        <f>IFERROR(MAX('B1'!#REF!,'B2'!#REF!,'B3'!#REF!),0)</f>
        <v>0</v>
      </c>
      <c r="BC120" s="123">
        <f>IFERROR(MAX('B1'!#REF!,'B2'!#REF!,'B3'!#REF!),0)</f>
        <v>0</v>
      </c>
      <c r="BD120" s="123">
        <f>IFERROR(MAX('B1'!#REF!,'B2'!#REF!,'B3'!#REF!),0)</f>
        <v>0</v>
      </c>
      <c r="BE120" s="123">
        <f>IFERROR(MAX('B1'!#REF!,'B2'!#REF!,'B3'!#REF!),0)</f>
        <v>0</v>
      </c>
      <c r="BF120" s="123">
        <f>IFERROR(MAX('B1'!#REF!,'B2'!#REF!,'B3'!#REF!),0)</f>
        <v>0</v>
      </c>
      <c r="BG120" s="123">
        <f>IFERROR(MAX('B1'!#REF!,'B2'!#REF!,'B3'!#REF!),0)</f>
        <v>0</v>
      </c>
      <c r="BH120" s="123">
        <f>IFERROR(MAX('B1'!#REF!,'B2'!#REF!,'B3'!#REF!),0)</f>
        <v>0</v>
      </c>
      <c r="BI120" s="123">
        <f>IFERROR(MAX('B1'!#REF!,'B2'!#REF!,'B3'!#REF!),0)</f>
        <v>0</v>
      </c>
      <c r="BJ120" s="123">
        <f>IFERROR(MAX('B1'!#REF!,'B2'!#REF!,'B3'!#REF!),0)</f>
        <v>0</v>
      </c>
      <c r="BK120" s="123">
        <f>IFERROR(MAX('B1'!#REF!,'B2'!#REF!,'B3'!#REF!),0)</f>
        <v>0</v>
      </c>
      <c r="BL120" s="123">
        <f>IFERROR(MAX('B1'!#REF!,'B2'!#REF!,'B3'!#REF!),0)</f>
        <v>0</v>
      </c>
      <c r="BM120" s="123">
        <f>IFERROR(MAX('B1'!#REF!,'B2'!#REF!,'B3'!#REF!),0)</f>
        <v>0</v>
      </c>
      <c r="BN120" s="123">
        <f>IFERROR(MAX('B1'!#REF!,'B2'!#REF!,'B3'!#REF!),0)</f>
        <v>0</v>
      </c>
      <c r="BO120" s="123">
        <f>IFERROR(MAX('B1'!#REF!,'B2'!#REF!,'B3'!#REF!),0)</f>
        <v>0</v>
      </c>
      <c r="BP120" s="123">
        <f>IFERROR(MAX('B1'!#REF!,'B2'!#REF!,'B3'!#REF!),0)</f>
        <v>0</v>
      </c>
      <c r="BQ120" s="123">
        <f>IFERROR(MAX('B1'!#REF!,'B2'!#REF!,'B3'!#REF!),0)</f>
        <v>0</v>
      </c>
      <c r="BR120" s="123">
        <f>IFERROR(MAX('B1'!#REF!,'B2'!#REF!,'B3'!#REF!),0)</f>
        <v>0</v>
      </c>
      <c r="BS120" s="123">
        <f>IFERROR(MAX('B1'!#REF!,'B2'!#REF!,'B3'!#REF!),0)</f>
        <v>0</v>
      </c>
      <c r="BT120" s="123"/>
      <c r="BU120" s="123">
        <f>IFERROR(MAX('B1'!#REF!,'B2'!#REF!,'B3'!#REF!),0)</f>
        <v>0</v>
      </c>
      <c r="BV120" s="123">
        <f>IFERROR(MAX('B1'!#REF!,'B2'!#REF!,'B3'!#REF!),0)</f>
        <v>0</v>
      </c>
      <c r="BW120" s="123">
        <f>IFERROR(MAX('B1'!#REF!,'B2'!#REF!,'B3'!#REF!),0)</f>
        <v>0</v>
      </c>
      <c r="BX120" s="123">
        <f>IFERROR(MAX('B1'!#REF!,'B2'!#REF!,'B3'!#REF!),0)</f>
        <v>0</v>
      </c>
    </row>
    <row r="121" spans="1:76" s="66" customFormat="1" ht="16" thickBot="1" x14ac:dyDescent="0.4">
      <c r="A121" s="63">
        <f t="shared" si="22"/>
        <v>0</v>
      </c>
      <c r="B121" s="129">
        <f t="shared" si="22"/>
        <v>0</v>
      </c>
      <c r="C121" s="41">
        <f t="shared" si="21"/>
        <v>0</v>
      </c>
      <c r="D121" s="123">
        <f>IFERROR(MAX('B1'!D28,'B2'!D28,'B3'!D28),0)</f>
        <v>0</v>
      </c>
      <c r="E121" s="123">
        <f>IFERROR(MAX('B1'!E28,'B2'!E28,'B3'!E28),0)</f>
        <v>0</v>
      </c>
      <c r="F121" s="123">
        <f>IFERROR(MAX('B1'!F28,'B2'!F28,'B3'!F28),0)</f>
        <v>0</v>
      </c>
      <c r="G121" s="123">
        <f>IFERROR(MAX('B1'!G28,'B2'!G28,'B3'!G28),0)</f>
        <v>0</v>
      </c>
      <c r="H121" s="123">
        <f>IFERROR(MAX('B1'!H28,'B2'!H28,'B3'!H28),0)</f>
        <v>0</v>
      </c>
      <c r="I121" s="123">
        <f>IFERROR(MAX('B1'!I28,'B2'!I28,'B3'!I28),0)</f>
        <v>0</v>
      </c>
      <c r="J121" s="123">
        <f>IFERROR(MAX('B1'!J28,'B2'!J28,'B3'!J28),0)</f>
        <v>0</v>
      </c>
      <c r="K121" s="123">
        <f>IFERROR(MAX('B1'!K28,'B2'!K28,'B3'!K28),0)</f>
        <v>0</v>
      </c>
      <c r="L121" s="123">
        <f>IFERROR(MAX('B1'!L28,'B2'!L28,'B3'!L28),0)</f>
        <v>0</v>
      </c>
      <c r="M121" s="123">
        <f>IFERROR(MAX('B1'!M28,'B2'!M28,'B3'!M28),0)</f>
        <v>0</v>
      </c>
      <c r="N121" s="123">
        <f>IFERROR(MAX('B1'!N28,'B2'!N28,'B3'!N28),0)</f>
        <v>0</v>
      </c>
      <c r="O121" s="123">
        <f>IFERROR(MAX('B1'!O28,'B2'!O28,'B3'!O28),0)</f>
        <v>0</v>
      </c>
      <c r="P121" s="123">
        <f>IFERROR(MAX('B1'!P28,'B2'!P28,'B3'!P28),0)</f>
        <v>0</v>
      </c>
      <c r="Q121" s="123">
        <f>IFERROR(MAX('B1'!Q28,'B2'!Q28,'B3'!Q28),0)</f>
        <v>0</v>
      </c>
      <c r="R121" s="123">
        <f>IFERROR(MAX('B1'!R28,'B2'!R28,'B3'!R28),0)</f>
        <v>0</v>
      </c>
      <c r="S121" s="123">
        <f>IFERROR(MAX('B1'!S28,'B2'!S28,'B3'!S28),0)</f>
        <v>0</v>
      </c>
      <c r="T121" s="123">
        <f>IFERROR(MAX('B1'!T28,'B2'!T28,'B3'!T28),0)</f>
        <v>0</v>
      </c>
      <c r="U121" s="123">
        <f>IFERROR(MAX('B1'!U28,'B2'!U28,'B3'!U28),0)</f>
        <v>0</v>
      </c>
      <c r="V121" s="123">
        <f>IFERROR(MAX('B1'!V28,'B2'!V28,'B3'!V28),0)</f>
        <v>0</v>
      </c>
      <c r="W121" s="123">
        <f>IFERROR(MAX('B1'!W28,'B2'!W28,'B3'!W28),0)</f>
        <v>0</v>
      </c>
      <c r="X121" s="123">
        <f>IFERROR(MAX('B1'!X28,'B2'!X28,'B3'!X28),0)</f>
        <v>0</v>
      </c>
      <c r="Y121" s="123">
        <f>IFERROR(MAX('B1'!Y28,'B2'!Y28,'B3'!Y28),0)</f>
        <v>0</v>
      </c>
      <c r="Z121" s="123">
        <f>IFERROR(MAX('B1'!Z28,'B2'!Z28,'B3'!Z28),0)</f>
        <v>0</v>
      </c>
      <c r="AA121" s="123">
        <f>IFERROR(MAX('B1'!AB28,'B2'!AA28,'B3'!AA28),0)</f>
        <v>0</v>
      </c>
      <c r="AB121" s="123">
        <f>IFERROR(MAX('B1'!AC28,'B2'!AB28,'B3'!AB28),0)</f>
        <v>0</v>
      </c>
      <c r="AC121" s="123">
        <f>IFERROR(MAX('B1'!AD28,'B2'!AC28,'B3'!AC28),0)</f>
        <v>0</v>
      </c>
      <c r="AD121" s="123">
        <f>IFERROR(MAX('B1'!AE28,'B2'!AD28,'B3'!AD28),0)</f>
        <v>0</v>
      </c>
      <c r="AE121" s="123">
        <f>IFERROR(MAX('B1'!AF28,'B2'!AE28,'B3'!AE28),0)</f>
        <v>0</v>
      </c>
      <c r="AF121" s="123">
        <f>IFERROR(MAX('B1'!AG28,'B2'!AF28,'B3'!AF28),0)</f>
        <v>0</v>
      </c>
      <c r="AG121" s="123">
        <f>IFERROR(MAX('B1'!AH28,'B2'!AG28,'B3'!AG28),0)</f>
        <v>0</v>
      </c>
      <c r="AH121" s="123">
        <f>IFERROR(MAX('B1'!AI28,'B2'!AH28,'B3'!AH28),0)</f>
        <v>0</v>
      </c>
      <c r="AI121" s="123">
        <f>IFERROR(MAX('B1'!AJ28,'B2'!AI28,'B3'!AI28),0)</f>
        <v>0</v>
      </c>
      <c r="AJ121" s="123">
        <f>IFERROR(MAX('B1'!AK28,'B2'!AJ28,'B3'!AJ28),0)</f>
        <v>0</v>
      </c>
      <c r="AK121" s="123">
        <f>IFERROR(MAX('B1'!AL28,'B2'!AK28,'B3'!AK28),0)</f>
        <v>0</v>
      </c>
      <c r="AL121" s="123">
        <f>IFERROR(MAX('B1'!AM28,'B2'!AL28,'B3'!AL28),0)</f>
        <v>0</v>
      </c>
      <c r="AM121" s="123">
        <f>IFERROR(MAX('B1'!AN28,'B2'!AM28,'B3'!AM28),0)</f>
        <v>0</v>
      </c>
      <c r="AN121" s="123">
        <f>IFERROR(MAX('B1'!AO28,'B2'!AN28,'B3'!AN28),0)</f>
        <v>0</v>
      </c>
      <c r="AO121" s="123">
        <f>IFERROR(MAX('B1'!AP28,'B2'!AO28,'B3'!AO28),0)</f>
        <v>0</v>
      </c>
      <c r="AP121" s="123">
        <f>IFERROR(MAX('B1'!AQ28,'B2'!AP28,'B3'!AP28),0)</f>
        <v>0</v>
      </c>
      <c r="AQ121" s="123">
        <f>IFERROR(MAX('B1'!AR28,'B2'!AQ28,'B3'!AQ28),0)</f>
        <v>0</v>
      </c>
      <c r="AR121" s="123">
        <f>IFERROR(MAX('B1'!AS28,'B2'!AR28,'B3'!AR28),0)</f>
        <v>0</v>
      </c>
      <c r="AS121" s="123">
        <f>IFERROR(MAX('B1'!AT28,'B2'!AS28,'B3'!AS28),0)</f>
        <v>0</v>
      </c>
      <c r="AT121" s="123">
        <f>IFERROR(MAX('B1'!AU28,'B2'!AT28,'B3'!AT28),0)</f>
        <v>0</v>
      </c>
      <c r="AU121" s="123">
        <f>IFERROR(MAX('B1'!AV28,'B2'!AU28,'B3'!AU28),0)</f>
        <v>0</v>
      </c>
      <c r="AV121" s="123">
        <f>IFERROR(MAX('B1'!AW28,'B2'!AV28,'B3'!AV28),0)</f>
        <v>0</v>
      </c>
      <c r="AW121" s="123">
        <f>IFERROR(MAX('B1'!AX28,'B2'!AW28,'B3'!AW28),0)</f>
        <v>0</v>
      </c>
      <c r="AX121" s="123">
        <f>IFERROR(MAX('B1'!AY28,'B2'!AX28,'B3'!AX28),0)</f>
        <v>0</v>
      </c>
      <c r="AY121" s="123">
        <f>IFERROR(MAX('B1'!AZ28,'B2'!AY28,'B3'!AY28),0)</f>
        <v>0</v>
      </c>
      <c r="AZ121" s="123">
        <f>IFERROR(MAX('B1'!BA28,'B2'!AZ28,'B3'!AZ28),0)</f>
        <v>0</v>
      </c>
      <c r="BA121" s="123">
        <f>IFERROR(MAX('B1'!BB28,'B2'!BA28,'B3'!BA28),0)</f>
        <v>0</v>
      </c>
      <c r="BB121" s="123">
        <f>IFERROR(MAX('B1'!#REF!,'B2'!#REF!,'B3'!#REF!),0)</f>
        <v>0</v>
      </c>
      <c r="BC121" s="123">
        <f>IFERROR(MAX('B1'!#REF!,'B2'!#REF!,'B3'!#REF!),0)</f>
        <v>0</v>
      </c>
      <c r="BD121" s="123">
        <f>IFERROR(MAX('B1'!#REF!,'B2'!#REF!,'B3'!#REF!),0)</f>
        <v>0</v>
      </c>
      <c r="BE121" s="123">
        <f>IFERROR(MAX('B1'!#REF!,'B2'!#REF!,'B3'!#REF!),0)</f>
        <v>0</v>
      </c>
      <c r="BF121" s="123">
        <f>IFERROR(MAX('B1'!#REF!,'B2'!#REF!,'B3'!#REF!),0)</f>
        <v>0</v>
      </c>
      <c r="BG121" s="123">
        <f>IFERROR(MAX('B1'!#REF!,'B2'!#REF!,'B3'!#REF!),0)</f>
        <v>0</v>
      </c>
      <c r="BH121" s="123">
        <f>IFERROR(MAX('B1'!#REF!,'B2'!#REF!,'B3'!#REF!),0)</f>
        <v>0</v>
      </c>
      <c r="BI121" s="123">
        <f>IFERROR(MAX('B1'!#REF!,'B2'!#REF!,'B3'!#REF!),0)</f>
        <v>0</v>
      </c>
      <c r="BJ121" s="123">
        <f>IFERROR(MAX('B1'!#REF!,'B2'!#REF!,'B3'!#REF!),0)</f>
        <v>0</v>
      </c>
      <c r="BK121" s="123">
        <f>IFERROR(MAX('B1'!#REF!,'B2'!#REF!,'B3'!#REF!),0)</f>
        <v>0</v>
      </c>
      <c r="BL121" s="123">
        <f>IFERROR(MAX('B1'!#REF!,'B2'!#REF!,'B3'!#REF!),0)</f>
        <v>0</v>
      </c>
      <c r="BM121" s="123">
        <f>IFERROR(MAX('B1'!#REF!,'B2'!#REF!,'B3'!#REF!),0)</f>
        <v>0</v>
      </c>
      <c r="BN121" s="123">
        <f>IFERROR(MAX('B1'!#REF!,'B2'!#REF!,'B3'!#REF!),0)</f>
        <v>0</v>
      </c>
      <c r="BO121" s="123">
        <f>IFERROR(MAX('B1'!#REF!,'B2'!#REF!,'B3'!#REF!),0)</f>
        <v>0</v>
      </c>
      <c r="BP121" s="123">
        <f>IFERROR(MAX('B1'!#REF!,'B2'!#REF!,'B3'!#REF!),0)</f>
        <v>0</v>
      </c>
      <c r="BQ121" s="123">
        <f>IFERROR(MAX('B1'!#REF!,'B2'!#REF!,'B3'!#REF!),0)</f>
        <v>0</v>
      </c>
      <c r="BR121" s="123">
        <f>IFERROR(MAX('B1'!#REF!,'B2'!#REF!,'B3'!#REF!),0)</f>
        <v>0</v>
      </c>
      <c r="BS121" s="123">
        <f>IFERROR(MAX('B1'!#REF!,'B2'!#REF!,'B3'!#REF!),0)</f>
        <v>0</v>
      </c>
      <c r="BT121" s="123"/>
      <c r="BU121" s="123">
        <f>IFERROR(MAX('B1'!#REF!,'B2'!#REF!,'B3'!#REF!),0)</f>
        <v>0</v>
      </c>
      <c r="BV121" s="123">
        <f>IFERROR(MAX('B1'!#REF!,'B2'!#REF!,'B3'!#REF!),0)</f>
        <v>0</v>
      </c>
      <c r="BW121" s="123">
        <f>IFERROR(MAX('B1'!#REF!,'B2'!#REF!,'B3'!#REF!),0)</f>
        <v>0</v>
      </c>
      <c r="BX121" s="123">
        <f>IFERROR(MAX('B1'!#REF!,'B2'!#REF!,'B3'!#REF!),0)</f>
        <v>0</v>
      </c>
    </row>
    <row r="122" spans="1:76" s="47" customFormat="1" ht="16" thickBot="1" x14ac:dyDescent="0.4">
      <c r="A122" s="63">
        <f t="shared" si="22"/>
        <v>0</v>
      </c>
      <c r="B122" s="129">
        <f t="shared" si="22"/>
        <v>0</v>
      </c>
      <c r="C122" s="41">
        <f t="shared" si="21"/>
        <v>0</v>
      </c>
      <c r="D122" s="123">
        <f>IFERROR(MAX('B1'!D29,'B2'!D29,'B3'!D29),0)</f>
        <v>0</v>
      </c>
      <c r="E122" s="123">
        <f>IFERROR(MAX('B1'!E29,'B2'!E29,'B3'!E29),0)</f>
        <v>0</v>
      </c>
      <c r="F122" s="123">
        <f>IFERROR(MAX('B1'!F29,'B2'!F29,'B3'!F29),0)</f>
        <v>0</v>
      </c>
      <c r="G122" s="123">
        <f>IFERROR(MAX('B1'!G29,'B2'!G29,'B3'!G29),0)</f>
        <v>0</v>
      </c>
      <c r="H122" s="123">
        <f>IFERROR(MAX('B1'!H29,'B2'!H29,'B3'!H29),0)</f>
        <v>0</v>
      </c>
      <c r="I122" s="123">
        <f>IFERROR(MAX('B1'!I29,'B2'!I29,'B3'!I29),0)</f>
        <v>0</v>
      </c>
      <c r="J122" s="123">
        <f>IFERROR(MAX('B1'!J29,'B2'!J29,'B3'!J29),0)</f>
        <v>0</v>
      </c>
      <c r="K122" s="123">
        <f>IFERROR(MAX('B1'!K29,'B2'!K29,'B3'!K29),0)</f>
        <v>0</v>
      </c>
      <c r="L122" s="123">
        <f>IFERROR(MAX('B1'!L29,'B2'!L29,'B3'!L29),0)</f>
        <v>0</v>
      </c>
      <c r="M122" s="123">
        <f>IFERROR(MAX('B1'!M29,'B2'!M29,'B3'!M29),0)</f>
        <v>0</v>
      </c>
      <c r="N122" s="123">
        <f>IFERROR(MAX('B1'!N29,'B2'!N29,'B3'!N29),0)</f>
        <v>0</v>
      </c>
      <c r="O122" s="123">
        <f>IFERROR(MAX('B1'!O29,'B2'!O29,'B3'!O29),0)</f>
        <v>0</v>
      </c>
      <c r="P122" s="123">
        <f>IFERROR(MAX('B1'!P29,'B2'!P29,'B3'!P29),0)</f>
        <v>0</v>
      </c>
      <c r="Q122" s="123">
        <f>IFERROR(MAX('B1'!Q29,'B2'!Q29,'B3'!Q29),0)</f>
        <v>0</v>
      </c>
      <c r="R122" s="123">
        <f>IFERROR(MAX('B1'!R29,'B2'!R29,'B3'!R29),0)</f>
        <v>0</v>
      </c>
      <c r="S122" s="123">
        <f>IFERROR(MAX('B1'!S29,'B2'!S29,'B3'!S29),0)</f>
        <v>0</v>
      </c>
      <c r="T122" s="123">
        <f>IFERROR(MAX('B1'!T29,'B2'!T29,'B3'!T29),0)</f>
        <v>0</v>
      </c>
      <c r="U122" s="123">
        <f>IFERROR(MAX('B1'!U29,'B2'!U29,'B3'!U29),0)</f>
        <v>0</v>
      </c>
      <c r="V122" s="123">
        <f>IFERROR(MAX('B1'!V29,'B2'!V29,'B3'!V29),0)</f>
        <v>0</v>
      </c>
      <c r="W122" s="123">
        <f>IFERROR(MAX('B1'!W29,'B2'!W29,'B3'!W29),0)</f>
        <v>0</v>
      </c>
      <c r="X122" s="123">
        <f>IFERROR(MAX('B1'!X29,'B2'!X29,'B3'!X29),0)</f>
        <v>0</v>
      </c>
      <c r="Y122" s="123">
        <f>IFERROR(MAX('B1'!Y29,'B2'!Y29,'B3'!Y29),0)</f>
        <v>0</v>
      </c>
      <c r="Z122" s="123">
        <f>IFERROR(MAX('B1'!Z29,'B2'!Z29,'B3'!Z29),0)</f>
        <v>0</v>
      </c>
      <c r="AA122" s="123">
        <f>IFERROR(MAX('B1'!AB29,'B2'!AA29,'B3'!AA29),0)</f>
        <v>0</v>
      </c>
      <c r="AB122" s="123">
        <f>IFERROR(MAX('B1'!AC29,'B2'!AB29,'B3'!AB29),0)</f>
        <v>0</v>
      </c>
      <c r="AC122" s="123">
        <f>IFERROR(MAX('B1'!AD29,'B2'!AC29,'B3'!AC29),0)</f>
        <v>0</v>
      </c>
      <c r="AD122" s="123">
        <f>IFERROR(MAX('B1'!AE29,'B2'!AD29,'B3'!AD29),0)</f>
        <v>0</v>
      </c>
      <c r="AE122" s="123">
        <f>IFERROR(MAX('B1'!AF29,'B2'!AE29,'B3'!AE29),0)</f>
        <v>0</v>
      </c>
      <c r="AF122" s="123">
        <f>IFERROR(MAX('B1'!AG29,'B2'!AF29,'B3'!AF29),0)</f>
        <v>0</v>
      </c>
      <c r="AG122" s="123">
        <f>IFERROR(MAX('B1'!AH29,'B2'!AG29,'B3'!AG29),0)</f>
        <v>0</v>
      </c>
      <c r="AH122" s="123">
        <f>IFERROR(MAX('B1'!AI29,'B2'!AH29,'B3'!AH29),0)</f>
        <v>0</v>
      </c>
      <c r="AI122" s="123">
        <f>IFERROR(MAX('B1'!AJ29,'B2'!AI29,'B3'!AI29),0)</f>
        <v>0</v>
      </c>
      <c r="AJ122" s="123">
        <f>IFERROR(MAX('B1'!AK29,'B2'!AJ29,'B3'!AJ29),0)</f>
        <v>0</v>
      </c>
      <c r="AK122" s="123">
        <f>IFERROR(MAX('B1'!AL29,'B2'!AK29,'B3'!AK29),0)</f>
        <v>0</v>
      </c>
      <c r="AL122" s="123">
        <f>IFERROR(MAX('B1'!AM29,'B2'!AL29,'B3'!AL29),0)</f>
        <v>0</v>
      </c>
      <c r="AM122" s="123">
        <f>IFERROR(MAX('B1'!AN29,'B2'!AM29,'B3'!AM29),0)</f>
        <v>0</v>
      </c>
      <c r="AN122" s="123">
        <f>IFERROR(MAX('B1'!AO29,'B2'!AN29,'B3'!AN29),0)</f>
        <v>0</v>
      </c>
      <c r="AO122" s="123">
        <f>IFERROR(MAX('B1'!AP29,'B2'!AO29,'B3'!AO29),0)</f>
        <v>0</v>
      </c>
      <c r="AP122" s="123">
        <f>IFERROR(MAX('B1'!AQ29,'B2'!AP29,'B3'!AP29),0)</f>
        <v>0</v>
      </c>
      <c r="AQ122" s="123">
        <f>IFERROR(MAX('B1'!AR29,'B2'!AQ29,'B3'!AQ29),0)</f>
        <v>0</v>
      </c>
      <c r="AR122" s="123">
        <f>IFERROR(MAX('B1'!AS29,'B2'!AR29,'B3'!AR29),0)</f>
        <v>0</v>
      </c>
      <c r="AS122" s="123">
        <f>IFERROR(MAX('B1'!AT29,'B2'!AS29,'B3'!AS29),0)</f>
        <v>0</v>
      </c>
      <c r="AT122" s="123">
        <f>IFERROR(MAX('B1'!AU29,'B2'!AT29,'B3'!AT29),0)</f>
        <v>0</v>
      </c>
      <c r="AU122" s="123">
        <f>IFERROR(MAX('B1'!AV29,'B2'!AU29,'B3'!AU29),0)</f>
        <v>0</v>
      </c>
      <c r="AV122" s="123">
        <f>IFERROR(MAX('B1'!AW29,'B2'!AV29,'B3'!AV29),0)</f>
        <v>0</v>
      </c>
      <c r="AW122" s="123">
        <f>IFERROR(MAX('B1'!AX29,'B2'!AW29,'B3'!AW29),0)</f>
        <v>0</v>
      </c>
      <c r="AX122" s="123">
        <f>IFERROR(MAX('B1'!AY29,'B2'!AX29,'B3'!AX29),0)</f>
        <v>0</v>
      </c>
      <c r="AY122" s="123">
        <f>IFERROR(MAX('B1'!AZ29,'B2'!AY29,'B3'!AY29),0)</f>
        <v>0</v>
      </c>
      <c r="AZ122" s="123">
        <f>IFERROR(MAX('B1'!BA29,'B2'!AZ29,'B3'!AZ29),0)</f>
        <v>0</v>
      </c>
      <c r="BA122" s="123">
        <f>IFERROR(MAX('B1'!BB29,'B2'!BA29,'B3'!BA29),0)</f>
        <v>0</v>
      </c>
      <c r="BB122" s="123">
        <f>IFERROR(MAX('B1'!#REF!,'B2'!#REF!,'B3'!#REF!),0)</f>
        <v>0</v>
      </c>
      <c r="BC122" s="123">
        <f>IFERROR(MAX('B1'!#REF!,'B2'!#REF!,'B3'!#REF!),0)</f>
        <v>0</v>
      </c>
      <c r="BD122" s="123">
        <f>IFERROR(MAX('B1'!#REF!,'B2'!#REF!,'B3'!#REF!),0)</f>
        <v>0</v>
      </c>
      <c r="BE122" s="123">
        <f>IFERROR(MAX('B1'!#REF!,'B2'!#REF!,'B3'!#REF!),0)</f>
        <v>0</v>
      </c>
      <c r="BF122" s="123">
        <f>IFERROR(MAX('B1'!#REF!,'B2'!#REF!,'B3'!#REF!),0)</f>
        <v>0</v>
      </c>
      <c r="BG122" s="123">
        <f>IFERROR(MAX('B1'!#REF!,'B2'!#REF!,'B3'!#REF!),0)</f>
        <v>0</v>
      </c>
      <c r="BH122" s="123">
        <f>IFERROR(MAX('B1'!#REF!,'B2'!#REF!,'B3'!#REF!),0)</f>
        <v>0</v>
      </c>
      <c r="BI122" s="123">
        <f>IFERROR(MAX('B1'!#REF!,'B2'!#REF!,'B3'!#REF!),0)</f>
        <v>0</v>
      </c>
      <c r="BJ122" s="123">
        <f>IFERROR(MAX('B1'!#REF!,'B2'!#REF!,'B3'!#REF!),0)</f>
        <v>0</v>
      </c>
      <c r="BK122" s="123">
        <f>IFERROR(MAX('B1'!#REF!,'B2'!#REF!,'B3'!#REF!),0)</f>
        <v>0</v>
      </c>
      <c r="BL122" s="123">
        <f>IFERROR(MAX('B1'!#REF!,'B2'!#REF!,'B3'!#REF!),0)</f>
        <v>0</v>
      </c>
      <c r="BM122" s="123">
        <f>IFERROR(MAX('B1'!#REF!,'B2'!#REF!,'B3'!#REF!),0)</f>
        <v>0</v>
      </c>
      <c r="BN122" s="123">
        <f>IFERROR(MAX('B1'!#REF!,'B2'!#REF!,'B3'!#REF!),0)</f>
        <v>0</v>
      </c>
      <c r="BO122" s="123">
        <f>IFERROR(MAX('B1'!#REF!,'B2'!#REF!,'B3'!#REF!),0)</f>
        <v>0</v>
      </c>
      <c r="BP122" s="123">
        <f>IFERROR(MAX('B1'!#REF!,'B2'!#REF!,'B3'!#REF!),0)</f>
        <v>0</v>
      </c>
      <c r="BQ122" s="123">
        <f>IFERROR(MAX('B1'!#REF!,'B2'!#REF!,'B3'!#REF!),0)</f>
        <v>0</v>
      </c>
      <c r="BR122" s="123">
        <f>IFERROR(MAX('B1'!#REF!,'B2'!#REF!,'B3'!#REF!),0)</f>
        <v>0</v>
      </c>
      <c r="BS122" s="123">
        <f>IFERROR(MAX('B1'!#REF!,'B2'!#REF!,'B3'!#REF!),0)</f>
        <v>0</v>
      </c>
      <c r="BT122" s="123"/>
      <c r="BU122" s="123">
        <f>IFERROR(MAX('B1'!#REF!,'B2'!#REF!,'B3'!#REF!),0)</f>
        <v>0</v>
      </c>
      <c r="BV122" s="123">
        <f>IFERROR(MAX('B1'!#REF!,'B2'!#REF!,'B3'!#REF!),0)</f>
        <v>0</v>
      </c>
      <c r="BW122" s="123">
        <f>IFERROR(MAX('B1'!#REF!,'B2'!#REF!,'B3'!#REF!),0)</f>
        <v>0</v>
      </c>
      <c r="BX122" s="123">
        <f>IFERROR(MAX('B1'!#REF!,'B2'!#REF!,'B3'!#REF!),0)</f>
        <v>0</v>
      </c>
    </row>
    <row r="123" spans="1:76" s="66" customFormat="1" ht="16" thickBot="1" x14ac:dyDescent="0.4">
      <c r="A123" s="63">
        <f t="shared" si="22"/>
        <v>0</v>
      </c>
      <c r="B123" s="129">
        <f t="shared" si="22"/>
        <v>0</v>
      </c>
      <c r="C123" s="41">
        <f t="shared" si="21"/>
        <v>0</v>
      </c>
      <c r="D123" s="123">
        <f>IFERROR(MAX('B1'!D30,'B2'!D30,'B3'!D30),0)</f>
        <v>0</v>
      </c>
      <c r="E123" s="123">
        <f>IFERROR(MAX('B1'!E30,'B2'!E30,'B3'!E30),0)</f>
        <v>0</v>
      </c>
      <c r="F123" s="123">
        <f>IFERROR(MAX('B1'!F30,'B2'!F30,'B3'!F30),0)</f>
        <v>0</v>
      </c>
      <c r="G123" s="123">
        <f>IFERROR(MAX('B1'!G30,'B2'!G30,'B3'!G30),0)</f>
        <v>0</v>
      </c>
      <c r="H123" s="123">
        <f>IFERROR(MAX('B1'!H30,'B2'!H30,'B3'!H30),0)</f>
        <v>0</v>
      </c>
      <c r="I123" s="123">
        <f>IFERROR(MAX('B1'!I30,'B2'!I30,'B3'!I30),0)</f>
        <v>0</v>
      </c>
      <c r="J123" s="123">
        <f>IFERROR(MAX('B1'!J30,'B2'!J30,'B3'!J30),0)</f>
        <v>0</v>
      </c>
      <c r="K123" s="123">
        <f>IFERROR(MAX('B1'!K30,'B2'!K30,'B3'!K30),0)</f>
        <v>0</v>
      </c>
      <c r="L123" s="123">
        <f>IFERROR(MAX('B1'!L30,'B2'!L30,'B3'!L30),0)</f>
        <v>0</v>
      </c>
      <c r="M123" s="123">
        <f>IFERROR(MAX('B1'!M30,'B2'!M30,'B3'!M30),0)</f>
        <v>0</v>
      </c>
      <c r="N123" s="123">
        <f>IFERROR(MAX('B1'!N30,'B2'!N30,'B3'!N30),0)</f>
        <v>0</v>
      </c>
      <c r="O123" s="123">
        <f>IFERROR(MAX('B1'!O30,'B2'!O30,'B3'!O30),0)</f>
        <v>0</v>
      </c>
      <c r="P123" s="123">
        <f>IFERROR(MAX('B1'!P30,'B2'!P30,'B3'!P30),0)</f>
        <v>0</v>
      </c>
      <c r="Q123" s="123">
        <f>IFERROR(MAX('B1'!Q30,'B2'!Q30,'B3'!Q30),0)</f>
        <v>0</v>
      </c>
      <c r="R123" s="123">
        <f>IFERROR(MAX('B1'!R30,'B2'!R30,'B3'!R30),0)</f>
        <v>0</v>
      </c>
      <c r="S123" s="123">
        <f>IFERROR(MAX('B1'!S30,'B2'!S30,'B3'!S30),0)</f>
        <v>0</v>
      </c>
      <c r="T123" s="123">
        <f>IFERROR(MAX('B1'!T30,'B2'!T30,'B3'!T30),0)</f>
        <v>0</v>
      </c>
      <c r="U123" s="123">
        <f>IFERROR(MAX('B1'!U30,'B2'!U30,'B3'!U30),0)</f>
        <v>0</v>
      </c>
      <c r="V123" s="123">
        <f>IFERROR(MAX('B1'!V30,'B2'!V30,'B3'!V30),0)</f>
        <v>0</v>
      </c>
      <c r="W123" s="123">
        <f>IFERROR(MAX('B1'!W30,'B2'!W30,'B3'!W30),0)</f>
        <v>0</v>
      </c>
      <c r="X123" s="123">
        <f>IFERROR(MAX('B1'!X30,'B2'!X30,'B3'!X30),0)</f>
        <v>0</v>
      </c>
      <c r="Y123" s="123">
        <f>IFERROR(MAX('B1'!Y30,'B2'!Y30,'B3'!Y30),0)</f>
        <v>0</v>
      </c>
      <c r="Z123" s="123">
        <f>IFERROR(MAX('B1'!Z30,'B2'!Z30,'B3'!Z30),0)</f>
        <v>0</v>
      </c>
      <c r="AA123" s="123">
        <f>IFERROR(MAX('B1'!AB30,'B2'!AA30,'B3'!AA30),0)</f>
        <v>0</v>
      </c>
      <c r="AB123" s="123">
        <f>IFERROR(MAX('B1'!AC30,'B2'!AB30,'B3'!AB30),0)</f>
        <v>0</v>
      </c>
      <c r="AC123" s="123">
        <f>IFERROR(MAX('B1'!AD30,'B2'!AC30,'B3'!AC30),0)</f>
        <v>0</v>
      </c>
      <c r="AD123" s="123">
        <f>IFERROR(MAX('B1'!AE30,'B2'!AD30,'B3'!AD30),0)</f>
        <v>0</v>
      </c>
      <c r="AE123" s="123">
        <f>IFERROR(MAX('B1'!AF30,'B2'!AE30,'B3'!AE30),0)</f>
        <v>0</v>
      </c>
      <c r="AF123" s="123">
        <f>IFERROR(MAX('B1'!AG30,'B2'!AF30,'B3'!AF30),0)</f>
        <v>0</v>
      </c>
      <c r="AG123" s="123">
        <f>IFERROR(MAX('B1'!AH30,'B2'!AG30,'B3'!AG30),0)</f>
        <v>0</v>
      </c>
      <c r="AH123" s="123">
        <f>IFERROR(MAX('B1'!AI30,'B2'!AH30,'B3'!AH30),0)</f>
        <v>0</v>
      </c>
      <c r="AI123" s="123">
        <f>IFERROR(MAX('B1'!AJ30,'B2'!AI30,'B3'!AI30),0)</f>
        <v>0</v>
      </c>
      <c r="AJ123" s="123">
        <f>IFERROR(MAX('B1'!AK30,'B2'!AJ30,'B3'!AJ30),0)</f>
        <v>0</v>
      </c>
      <c r="AK123" s="123">
        <f>IFERROR(MAX('B1'!AL30,'B2'!AK30,'B3'!AK30),0)</f>
        <v>0</v>
      </c>
      <c r="AL123" s="123">
        <f>IFERROR(MAX('B1'!AM30,'B2'!AL30,'B3'!AL30),0)</f>
        <v>0</v>
      </c>
      <c r="AM123" s="123">
        <f>IFERROR(MAX('B1'!AN30,'B2'!AM30,'B3'!AM30),0)</f>
        <v>0</v>
      </c>
      <c r="AN123" s="123">
        <f>IFERROR(MAX('B1'!AO30,'B2'!AN30,'B3'!AN30),0)</f>
        <v>0</v>
      </c>
      <c r="AO123" s="123">
        <f>IFERROR(MAX('B1'!AP30,'B2'!AO30,'B3'!AO30),0)</f>
        <v>0</v>
      </c>
      <c r="AP123" s="123">
        <f>IFERROR(MAX('B1'!AQ30,'B2'!AP30,'B3'!AP30),0)</f>
        <v>0</v>
      </c>
      <c r="AQ123" s="123">
        <f>IFERROR(MAX('B1'!AR30,'B2'!AQ30,'B3'!AQ30),0)</f>
        <v>0</v>
      </c>
      <c r="AR123" s="123">
        <f>IFERROR(MAX('B1'!AS30,'B2'!AR30,'B3'!AR30),0)</f>
        <v>0</v>
      </c>
      <c r="AS123" s="123">
        <f>IFERROR(MAX('B1'!AT30,'B2'!AS30,'B3'!AS30),0)</f>
        <v>0</v>
      </c>
      <c r="AT123" s="123">
        <f>IFERROR(MAX('B1'!AU30,'B2'!AT30,'B3'!AT30),0)</f>
        <v>0</v>
      </c>
      <c r="AU123" s="123">
        <f>IFERROR(MAX('B1'!AV30,'B2'!AU30,'B3'!AU30),0)</f>
        <v>0</v>
      </c>
      <c r="AV123" s="123">
        <f>IFERROR(MAX('B1'!AW30,'B2'!AV30,'B3'!AV30),0)</f>
        <v>0</v>
      </c>
      <c r="AW123" s="123">
        <f>IFERROR(MAX('B1'!AX30,'B2'!AW30,'B3'!AW30),0)</f>
        <v>0</v>
      </c>
      <c r="AX123" s="123">
        <f>IFERROR(MAX('B1'!AY30,'B2'!AX30,'B3'!AX30),0)</f>
        <v>0</v>
      </c>
      <c r="AY123" s="123">
        <f>IFERROR(MAX('B1'!AZ30,'B2'!AY30,'B3'!AY30),0)</f>
        <v>0</v>
      </c>
      <c r="AZ123" s="123">
        <f>IFERROR(MAX('B1'!BA30,'B2'!AZ30,'B3'!AZ30),0)</f>
        <v>0</v>
      </c>
      <c r="BA123" s="123">
        <f>IFERROR(MAX('B1'!BB30,'B2'!BA30,'B3'!BA30),0)</f>
        <v>0</v>
      </c>
      <c r="BB123" s="123">
        <f>IFERROR(MAX('B1'!#REF!,'B2'!#REF!,'B3'!#REF!),0)</f>
        <v>0</v>
      </c>
      <c r="BC123" s="123">
        <f>IFERROR(MAX('B1'!#REF!,'B2'!#REF!,'B3'!#REF!),0)</f>
        <v>0</v>
      </c>
      <c r="BD123" s="123">
        <f>IFERROR(MAX('B1'!#REF!,'B2'!#REF!,'B3'!#REF!),0)</f>
        <v>0</v>
      </c>
      <c r="BE123" s="123">
        <f>IFERROR(MAX('B1'!#REF!,'B2'!#REF!,'B3'!#REF!),0)</f>
        <v>0</v>
      </c>
      <c r="BF123" s="123">
        <f>IFERROR(MAX('B1'!#REF!,'B2'!#REF!,'B3'!#REF!),0)</f>
        <v>0</v>
      </c>
      <c r="BG123" s="123">
        <f>IFERROR(MAX('B1'!#REF!,'B2'!#REF!,'B3'!#REF!),0)</f>
        <v>0</v>
      </c>
      <c r="BH123" s="123">
        <f>IFERROR(MAX('B1'!#REF!,'B2'!#REF!,'B3'!#REF!),0)</f>
        <v>0</v>
      </c>
      <c r="BI123" s="123">
        <f>IFERROR(MAX('B1'!#REF!,'B2'!#REF!,'B3'!#REF!),0)</f>
        <v>0</v>
      </c>
      <c r="BJ123" s="123">
        <f>IFERROR(MAX('B1'!#REF!,'B2'!#REF!,'B3'!#REF!),0)</f>
        <v>0</v>
      </c>
      <c r="BK123" s="123">
        <f>IFERROR(MAX('B1'!#REF!,'B2'!#REF!,'B3'!#REF!),0)</f>
        <v>0</v>
      </c>
      <c r="BL123" s="123">
        <f>IFERROR(MAX('B1'!#REF!,'B2'!#REF!,'B3'!#REF!),0)</f>
        <v>0</v>
      </c>
      <c r="BM123" s="123">
        <f>IFERROR(MAX('B1'!#REF!,'B2'!#REF!,'B3'!#REF!),0)</f>
        <v>0</v>
      </c>
      <c r="BN123" s="123">
        <f>IFERROR(MAX('B1'!#REF!,'B2'!#REF!,'B3'!#REF!),0)</f>
        <v>0</v>
      </c>
      <c r="BO123" s="123">
        <f>IFERROR(MAX('B1'!#REF!,'B2'!#REF!,'B3'!#REF!),0)</f>
        <v>0</v>
      </c>
      <c r="BP123" s="123">
        <f>IFERROR(MAX('B1'!#REF!,'B2'!#REF!,'B3'!#REF!),0)</f>
        <v>0</v>
      </c>
      <c r="BQ123" s="123">
        <f>IFERROR(MAX('B1'!#REF!,'B2'!#REF!,'B3'!#REF!),0)</f>
        <v>0</v>
      </c>
      <c r="BR123" s="123">
        <f>IFERROR(MAX('B1'!#REF!,'B2'!#REF!,'B3'!#REF!),0)</f>
        <v>0</v>
      </c>
      <c r="BS123" s="123">
        <f>IFERROR(MAX('B1'!#REF!,'B2'!#REF!,'B3'!#REF!),0)</f>
        <v>0</v>
      </c>
      <c r="BT123" s="123"/>
      <c r="BU123" s="123">
        <f>IFERROR(MAX('B1'!#REF!,'B2'!#REF!,'B3'!#REF!),0)</f>
        <v>0</v>
      </c>
      <c r="BV123" s="123">
        <f>IFERROR(MAX('B1'!#REF!,'B2'!#REF!,'B3'!#REF!),0)</f>
        <v>0</v>
      </c>
      <c r="BW123" s="123">
        <f>IFERROR(MAX('B1'!#REF!,'B2'!#REF!,'B3'!#REF!),0)</f>
        <v>0</v>
      </c>
      <c r="BX123" s="123">
        <f>IFERROR(MAX('B1'!#REF!,'B2'!#REF!,'B3'!#REF!),0)</f>
        <v>0</v>
      </c>
    </row>
    <row r="124" spans="1:76" s="47" customFormat="1" ht="16" thickBot="1" x14ac:dyDescent="0.4">
      <c r="A124" s="63">
        <f t="shared" si="22"/>
        <v>0</v>
      </c>
      <c r="B124" s="129">
        <f t="shared" si="22"/>
        <v>0</v>
      </c>
      <c r="C124" s="41">
        <f t="shared" si="21"/>
        <v>0</v>
      </c>
      <c r="D124" s="123">
        <f>IFERROR(MAX('B1'!D31,'B2'!D31,'B3'!D31),0)</f>
        <v>0</v>
      </c>
      <c r="E124" s="123">
        <f>IFERROR(MAX('B1'!E31,'B2'!E31,'B3'!E31),0)</f>
        <v>0</v>
      </c>
      <c r="F124" s="123">
        <f>IFERROR(MAX('B1'!F31,'B2'!F31,'B3'!F31),0)</f>
        <v>0</v>
      </c>
      <c r="G124" s="123">
        <f>IFERROR(MAX('B1'!G31,'B2'!G31,'B3'!G31),0)</f>
        <v>0</v>
      </c>
      <c r="H124" s="123">
        <f>IFERROR(MAX('B1'!H31,'B2'!H31,'B3'!H31),0)</f>
        <v>0</v>
      </c>
      <c r="I124" s="123">
        <f>IFERROR(MAX('B1'!I31,'B2'!I31,'B3'!I31),0)</f>
        <v>0</v>
      </c>
      <c r="J124" s="123">
        <f>IFERROR(MAX('B1'!J31,'B2'!J31,'B3'!J31),0)</f>
        <v>0</v>
      </c>
      <c r="K124" s="123">
        <f>IFERROR(MAX('B1'!K31,'B2'!K31,'B3'!K31),0)</f>
        <v>0</v>
      </c>
      <c r="L124" s="123">
        <f>IFERROR(MAX('B1'!L31,'B2'!L31,'B3'!L31),0)</f>
        <v>0</v>
      </c>
      <c r="M124" s="123">
        <f>IFERROR(MAX('B1'!M31,'B2'!M31,'B3'!M31),0)</f>
        <v>0</v>
      </c>
      <c r="N124" s="123">
        <f>IFERROR(MAX('B1'!N31,'B2'!N31,'B3'!N31),0)</f>
        <v>0</v>
      </c>
      <c r="O124" s="123">
        <f>IFERROR(MAX('B1'!O31,'B2'!O31,'B3'!O31),0)</f>
        <v>0</v>
      </c>
      <c r="P124" s="123">
        <f>IFERROR(MAX('B1'!P31,'B2'!P31,'B3'!P31),0)</f>
        <v>0</v>
      </c>
      <c r="Q124" s="123">
        <f>IFERROR(MAX('B1'!Q31,'B2'!Q31,'B3'!Q31),0)</f>
        <v>0</v>
      </c>
      <c r="R124" s="123">
        <f>IFERROR(MAX('B1'!R31,'B2'!R31,'B3'!R31),0)</f>
        <v>0</v>
      </c>
      <c r="S124" s="123">
        <f>IFERROR(MAX('B1'!S31,'B2'!S31,'B3'!S31),0)</f>
        <v>0</v>
      </c>
      <c r="T124" s="123">
        <f>IFERROR(MAX('B1'!T31,'B2'!T31,'B3'!T31),0)</f>
        <v>0</v>
      </c>
      <c r="U124" s="123">
        <f>IFERROR(MAX('B1'!U31,'B2'!U31,'B3'!U31),0)</f>
        <v>0</v>
      </c>
      <c r="V124" s="123">
        <f>IFERROR(MAX('B1'!V31,'B2'!V31,'B3'!V31),0)</f>
        <v>0</v>
      </c>
      <c r="W124" s="123">
        <f>IFERROR(MAX('B1'!W31,'B2'!W31,'B3'!W31),0)</f>
        <v>0</v>
      </c>
      <c r="X124" s="123">
        <f>IFERROR(MAX('B1'!X31,'B2'!X31,'B3'!X31),0)</f>
        <v>0</v>
      </c>
      <c r="Y124" s="123">
        <f>IFERROR(MAX('B1'!Y31,'B2'!Y31,'B3'!Y31),0)</f>
        <v>0</v>
      </c>
      <c r="Z124" s="123">
        <f>IFERROR(MAX('B1'!Z31,'B2'!Z31,'B3'!Z31),0)</f>
        <v>0</v>
      </c>
      <c r="AA124" s="123">
        <f>IFERROR(MAX('B1'!AB31,'B2'!AA31,'B3'!AA31),0)</f>
        <v>0</v>
      </c>
      <c r="AB124" s="123">
        <f>IFERROR(MAX('B1'!AC31,'B2'!AB31,'B3'!AB31),0)</f>
        <v>0</v>
      </c>
      <c r="AC124" s="123">
        <f>IFERROR(MAX('B1'!AD31,'B2'!AC31,'B3'!AC31),0)</f>
        <v>0</v>
      </c>
      <c r="AD124" s="123">
        <f>IFERROR(MAX('B1'!AE31,'B2'!AD31,'B3'!AD31),0)</f>
        <v>0</v>
      </c>
      <c r="AE124" s="123">
        <f>IFERROR(MAX('B1'!AF31,'B2'!AE31,'B3'!AE31),0)</f>
        <v>0</v>
      </c>
      <c r="AF124" s="123">
        <f>IFERROR(MAX('B1'!AG31,'B2'!AF31,'B3'!AF31),0)</f>
        <v>0</v>
      </c>
      <c r="AG124" s="123">
        <f>IFERROR(MAX('B1'!AH31,'B2'!AG31,'B3'!AG31),0)</f>
        <v>0</v>
      </c>
      <c r="AH124" s="123">
        <f>IFERROR(MAX('B1'!AI31,'B2'!AH31,'B3'!AH31),0)</f>
        <v>0</v>
      </c>
      <c r="AI124" s="123">
        <f>IFERROR(MAX('B1'!AJ31,'B2'!AI31,'B3'!AI31),0)</f>
        <v>0</v>
      </c>
      <c r="AJ124" s="123">
        <f>IFERROR(MAX('B1'!AK31,'B2'!AJ31,'B3'!AJ31),0)</f>
        <v>0</v>
      </c>
      <c r="AK124" s="123">
        <f>IFERROR(MAX('B1'!AL31,'B2'!AK31,'B3'!AK31),0)</f>
        <v>0</v>
      </c>
      <c r="AL124" s="123">
        <f>IFERROR(MAX('B1'!AM31,'B2'!AL31,'B3'!AL31),0)</f>
        <v>0</v>
      </c>
      <c r="AM124" s="123">
        <f>IFERROR(MAX('B1'!AN31,'B2'!AM31,'B3'!AM31),0)</f>
        <v>0</v>
      </c>
      <c r="AN124" s="123">
        <f>IFERROR(MAX('B1'!AO31,'B2'!AN31,'B3'!AN31),0)</f>
        <v>0</v>
      </c>
      <c r="AO124" s="123">
        <f>IFERROR(MAX('B1'!AP31,'B2'!AO31,'B3'!AO31),0)</f>
        <v>0</v>
      </c>
      <c r="AP124" s="123">
        <f>IFERROR(MAX('B1'!AQ31,'B2'!AP31,'B3'!AP31),0)</f>
        <v>0</v>
      </c>
      <c r="AQ124" s="123">
        <f>IFERROR(MAX('B1'!AR31,'B2'!AQ31,'B3'!AQ31),0)</f>
        <v>0</v>
      </c>
      <c r="AR124" s="123">
        <f>IFERROR(MAX('B1'!AS31,'B2'!AR31,'B3'!AR31),0)</f>
        <v>0</v>
      </c>
      <c r="AS124" s="123">
        <f>IFERROR(MAX('B1'!AT31,'B2'!AS31,'B3'!AS31),0)</f>
        <v>0</v>
      </c>
      <c r="AT124" s="123">
        <f>IFERROR(MAX('B1'!AU31,'B2'!AT31,'B3'!AT31),0)</f>
        <v>0</v>
      </c>
      <c r="AU124" s="123">
        <f>IFERROR(MAX('B1'!AV31,'B2'!AU31,'B3'!AU31),0)</f>
        <v>0</v>
      </c>
      <c r="AV124" s="123">
        <f>IFERROR(MAX('B1'!AW31,'B2'!AV31,'B3'!AV31),0)</f>
        <v>0</v>
      </c>
      <c r="AW124" s="123">
        <f>IFERROR(MAX('B1'!AX31,'B2'!AW31,'B3'!AW31),0)</f>
        <v>0</v>
      </c>
      <c r="AX124" s="123">
        <f>IFERROR(MAX('B1'!AY31,'B2'!AX31,'B3'!AX31),0)</f>
        <v>0</v>
      </c>
      <c r="AY124" s="123">
        <f>IFERROR(MAX('B1'!AZ31,'B2'!AY31,'B3'!AY31),0)</f>
        <v>0</v>
      </c>
      <c r="AZ124" s="123">
        <f>IFERROR(MAX('B1'!BA31,'B2'!AZ31,'B3'!AZ31),0)</f>
        <v>0</v>
      </c>
      <c r="BA124" s="123">
        <f>IFERROR(MAX('B1'!BB31,'B2'!BA31,'B3'!BA31),0)</f>
        <v>0</v>
      </c>
      <c r="BB124" s="123">
        <f>IFERROR(MAX('B1'!#REF!,'B2'!#REF!,'B3'!#REF!),0)</f>
        <v>0</v>
      </c>
      <c r="BC124" s="123">
        <f>IFERROR(MAX('B1'!#REF!,'B2'!#REF!,'B3'!#REF!),0)</f>
        <v>0</v>
      </c>
      <c r="BD124" s="123">
        <f>IFERROR(MAX('B1'!#REF!,'B2'!#REF!,'B3'!#REF!),0)</f>
        <v>0</v>
      </c>
      <c r="BE124" s="123">
        <f>IFERROR(MAX('B1'!#REF!,'B2'!#REF!,'B3'!#REF!),0)</f>
        <v>0</v>
      </c>
      <c r="BF124" s="123">
        <f>IFERROR(MAX('B1'!#REF!,'B2'!#REF!,'B3'!#REF!),0)</f>
        <v>0</v>
      </c>
      <c r="BG124" s="123">
        <f>IFERROR(MAX('B1'!#REF!,'B2'!#REF!,'B3'!#REF!),0)</f>
        <v>0</v>
      </c>
      <c r="BH124" s="123">
        <f>IFERROR(MAX('B1'!#REF!,'B2'!#REF!,'B3'!#REF!),0)</f>
        <v>0</v>
      </c>
      <c r="BI124" s="123">
        <f>IFERROR(MAX('B1'!#REF!,'B2'!#REF!,'B3'!#REF!),0)</f>
        <v>0</v>
      </c>
      <c r="BJ124" s="123">
        <f>IFERROR(MAX('B1'!#REF!,'B2'!#REF!,'B3'!#REF!),0)</f>
        <v>0</v>
      </c>
      <c r="BK124" s="123">
        <f>IFERROR(MAX('B1'!#REF!,'B2'!#REF!,'B3'!#REF!),0)</f>
        <v>0</v>
      </c>
      <c r="BL124" s="123">
        <f>IFERROR(MAX('B1'!#REF!,'B2'!#REF!,'B3'!#REF!),0)</f>
        <v>0</v>
      </c>
      <c r="BM124" s="123">
        <f>IFERROR(MAX('B1'!#REF!,'B2'!#REF!,'B3'!#REF!),0)</f>
        <v>0</v>
      </c>
      <c r="BN124" s="123">
        <f>IFERROR(MAX('B1'!#REF!,'B2'!#REF!,'B3'!#REF!),0)</f>
        <v>0</v>
      </c>
      <c r="BO124" s="123">
        <f>IFERROR(MAX('B1'!#REF!,'B2'!#REF!,'B3'!#REF!),0)</f>
        <v>0</v>
      </c>
      <c r="BP124" s="123">
        <f>IFERROR(MAX('B1'!#REF!,'B2'!#REF!,'B3'!#REF!),0)</f>
        <v>0</v>
      </c>
      <c r="BQ124" s="123">
        <f>IFERROR(MAX('B1'!#REF!,'B2'!#REF!,'B3'!#REF!),0)</f>
        <v>0</v>
      </c>
      <c r="BR124" s="123">
        <f>IFERROR(MAX('B1'!#REF!,'B2'!#REF!,'B3'!#REF!),0)</f>
        <v>0</v>
      </c>
      <c r="BS124" s="123">
        <f>IFERROR(MAX('B1'!#REF!,'B2'!#REF!,'B3'!#REF!),0)</f>
        <v>0</v>
      </c>
      <c r="BT124" s="123"/>
      <c r="BU124" s="123">
        <f>IFERROR(MAX('B1'!#REF!,'B2'!#REF!,'B3'!#REF!),0)</f>
        <v>0</v>
      </c>
      <c r="BV124" s="123">
        <f>IFERROR(MAX('B1'!#REF!,'B2'!#REF!,'B3'!#REF!),0)</f>
        <v>0</v>
      </c>
      <c r="BW124" s="123">
        <f>IFERROR(MAX('B1'!#REF!,'B2'!#REF!,'B3'!#REF!),0)</f>
        <v>0</v>
      </c>
      <c r="BX124" s="123">
        <f>IFERROR(MAX('B1'!#REF!,'B2'!#REF!,'B3'!#REF!),0)</f>
        <v>0</v>
      </c>
    </row>
    <row r="125" spans="1:76" s="66" customFormat="1" ht="16" thickBot="1" x14ac:dyDescent="0.4">
      <c r="A125" s="63">
        <f t="shared" si="22"/>
        <v>0</v>
      </c>
      <c r="B125" s="129">
        <f t="shared" si="22"/>
        <v>0</v>
      </c>
      <c r="C125" s="41">
        <f t="shared" si="21"/>
        <v>0</v>
      </c>
      <c r="D125" s="123">
        <f>IFERROR(MAX('B1'!D32,'B2'!D32,'B3'!D32),0)</f>
        <v>0</v>
      </c>
      <c r="E125" s="123">
        <f>IFERROR(MAX('B1'!E32,'B2'!E32,'B3'!E32),0)</f>
        <v>0</v>
      </c>
      <c r="F125" s="123">
        <f>IFERROR(MAX('B1'!F32,'B2'!F32,'B3'!F32),0)</f>
        <v>0</v>
      </c>
      <c r="G125" s="123">
        <f>IFERROR(MAX('B1'!G32,'B2'!G32,'B3'!G32),0)</f>
        <v>0</v>
      </c>
      <c r="H125" s="123">
        <f>IFERROR(MAX('B1'!H32,'B2'!H32,'B3'!H32),0)</f>
        <v>0</v>
      </c>
      <c r="I125" s="123">
        <f>IFERROR(MAX('B1'!I32,'B2'!I32,'B3'!I32),0)</f>
        <v>0</v>
      </c>
      <c r="J125" s="123">
        <f>IFERROR(MAX('B1'!J32,'B2'!J32,'B3'!J32),0)</f>
        <v>0</v>
      </c>
      <c r="K125" s="123">
        <f>IFERROR(MAX('B1'!K32,'B2'!K32,'B3'!K32),0)</f>
        <v>0</v>
      </c>
      <c r="L125" s="123">
        <f>IFERROR(MAX('B1'!L32,'B2'!L32,'B3'!L32),0)</f>
        <v>0</v>
      </c>
      <c r="M125" s="123">
        <f>IFERROR(MAX('B1'!M32,'B2'!M32,'B3'!M32),0)</f>
        <v>0</v>
      </c>
      <c r="N125" s="123">
        <f>IFERROR(MAX('B1'!N32,'B2'!N32,'B3'!N32),0)</f>
        <v>0</v>
      </c>
      <c r="O125" s="123">
        <f>IFERROR(MAX('B1'!O32,'B2'!O32,'B3'!O32),0)</f>
        <v>0</v>
      </c>
      <c r="P125" s="123">
        <f>IFERROR(MAX('B1'!P32,'B2'!P32,'B3'!P32),0)</f>
        <v>0</v>
      </c>
      <c r="Q125" s="123">
        <f>IFERROR(MAX('B1'!Q32,'B2'!Q32,'B3'!Q32),0)</f>
        <v>0</v>
      </c>
      <c r="R125" s="123">
        <f>IFERROR(MAX('B1'!R32,'B2'!R32,'B3'!R32),0)</f>
        <v>0</v>
      </c>
      <c r="S125" s="123">
        <f>IFERROR(MAX('B1'!S32,'B2'!S32,'B3'!S32),0)</f>
        <v>0</v>
      </c>
      <c r="T125" s="123">
        <f>IFERROR(MAX('B1'!T32,'B2'!T32,'B3'!T32),0)</f>
        <v>0</v>
      </c>
      <c r="U125" s="123">
        <f>IFERROR(MAX('B1'!U32,'B2'!U32,'B3'!U32),0)</f>
        <v>0</v>
      </c>
      <c r="V125" s="123">
        <f>IFERROR(MAX('B1'!V32,'B2'!V32,'B3'!V32),0)</f>
        <v>0</v>
      </c>
      <c r="W125" s="123">
        <f>IFERROR(MAX('B1'!W32,'B2'!W32,'B3'!W32),0)</f>
        <v>0</v>
      </c>
      <c r="X125" s="123">
        <f>IFERROR(MAX('B1'!X32,'B2'!X32,'B3'!X32),0)</f>
        <v>0</v>
      </c>
      <c r="Y125" s="123">
        <f>IFERROR(MAX('B1'!Y32,'B2'!Y32,'B3'!Y32),0)</f>
        <v>0</v>
      </c>
      <c r="Z125" s="123">
        <f>IFERROR(MAX('B1'!Z32,'B2'!Z32,'B3'!Z32),0)</f>
        <v>0</v>
      </c>
      <c r="AA125" s="123">
        <f>IFERROR(MAX('B1'!AB32,'B2'!AA32,'B3'!AA32),0)</f>
        <v>0</v>
      </c>
      <c r="AB125" s="123">
        <f>IFERROR(MAX('B1'!AC32,'B2'!AB32,'B3'!AB32),0)</f>
        <v>0</v>
      </c>
      <c r="AC125" s="123">
        <f>IFERROR(MAX('B1'!AD32,'B2'!AC32,'B3'!AC32),0)</f>
        <v>0</v>
      </c>
      <c r="AD125" s="123">
        <f>IFERROR(MAX('B1'!AE32,'B2'!AD32,'B3'!AD32),0)</f>
        <v>0</v>
      </c>
      <c r="AE125" s="123">
        <f>IFERROR(MAX('B1'!AF32,'B2'!AE32,'B3'!AE32),0)</f>
        <v>0</v>
      </c>
      <c r="AF125" s="123">
        <f>IFERROR(MAX('B1'!AG32,'B2'!AF32,'B3'!AF32),0)</f>
        <v>0</v>
      </c>
      <c r="AG125" s="123">
        <f>IFERROR(MAX('B1'!AH32,'B2'!AG32,'B3'!AG32),0)</f>
        <v>0</v>
      </c>
      <c r="AH125" s="123">
        <f>IFERROR(MAX('B1'!AI32,'B2'!AH32,'B3'!AH32),0)</f>
        <v>0</v>
      </c>
      <c r="AI125" s="123">
        <f>IFERROR(MAX('B1'!AJ32,'B2'!AI32,'B3'!AI32),0)</f>
        <v>0</v>
      </c>
      <c r="AJ125" s="123">
        <f>IFERROR(MAX('B1'!AK32,'B2'!AJ32,'B3'!AJ32),0)</f>
        <v>0</v>
      </c>
      <c r="AK125" s="123">
        <f>IFERROR(MAX('B1'!AL32,'B2'!AK32,'B3'!AK32),0)</f>
        <v>0</v>
      </c>
      <c r="AL125" s="123">
        <f>IFERROR(MAX('B1'!AM32,'B2'!AL32,'B3'!AL32),0)</f>
        <v>0</v>
      </c>
      <c r="AM125" s="123">
        <f>IFERROR(MAX('B1'!AN32,'B2'!AM32,'B3'!AM32),0)</f>
        <v>0</v>
      </c>
      <c r="AN125" s="123">
        <f>IFERROR(MAX('B1'!AO32,'B2'!AN32,'B3'!AN32),0)</f>
        <v>0</v>
      </c>
      <c r="AO125" s="123">
        <f>IFERROR(MAX('B1'!AP32,'B2'!AO32,'B3'!AO32),0)</f>
        <v>0</v>
      </c>
      <c r="AP125" s="123">
        <f>IFERROR(MAX('B1'!AQ32,'B2'!AP32,'B3'!AP32),0)</f>
        <v>0</v>
      </c>
      <c r="AQ125" s="123">
        <f>IFERROR(MAX('B1'!AR32,'B2'!AQ32,'B3'!AQ32),0)</f>
        <v>0</v>
      </c>
      <c r="AR125" s="123">
        <f>IFERROR(MAX('B1'!AS32,'B2'!AR32,'B3'!AR32),0)</f>
        <v>0</v>
      </c>
      <c r="AS125" s="123">
        <f>IFERROR(MAX('B1'!AT32,'B2'!AS32,'B3'!AS32),0)</f>
        <v>0</v>
      </c>
      <c r="AT125" s="123">
        <f>IFERROR(MAX('B1'!AU32,'B2'!AT32,'B3'!AT32),0)</f>
        <v>0</v>
      </c>
      <c r="AU125" s="123">
        <f>IFERROR(MAX('B1'!AV32,'B2'!AU32,'B3'!AU32),0)</f>
        <v>0</v>
      </c>
      <c r="AV125" s="123">
        <f>IFERROR(MAX('B1'!AW32,'B2'!AV32,'B3'!AV32),0)</f>
        <v>0</v>
      </c>
      <c r="AW125" s="123">
        <f>IFERROR(MAX('B1'!AX32,'B2'!AW32,'B3'!AW32),0)</f>
        <v>0</v>
      </c>
      <c r="AX125" s="123">
        <f>IFERROR(MAX('B1'!AY32,'B2'!AX32,'B3'!AX32),0)</f>
        <v>0</v>
      </c>
      <c r="AY125" s="123">
        <f>IFERROR(MAX('B1'!AZ32,'B2'!AY32,'B3'!AY32),0)</f>
        <v>0</v>
      </c>
      <c r="AZ125" s="123">
        <f>IFERROR(MAX('B1'!BA32,'B2'!AZ32,'B3'!AZ32),0)</f>
        <v>0</v>
      </c>
      <c r="BA125" s="123">
        <f>IFERROR(MAX('B1'!BB32,'B2'!BA32,'B3'!BA32),0)</f>
        <v>0</v>
      </c>
      <c r="BB125" s="123">
        <f>IFERROR(MAX('B1'!#REF!,'B2'!#REF!,'B3'!#REF!),0)</f>
        <v>0</v>
      </c>
      <c r="BC125" s="123">
        <f>IFERROR(MAX('B1'!#REF!,'B2'!#REF!,'B3'!#REF!),0)</f>
        <v>0</v>
      </c>
      <c r="BD125" s="123">
        <f>IFERROR(MAX('B1'!#REF!,'B2'!#REF!,'B3'!#REF!),0)</f>
        <v>0</v>
      </c>
      <c r="BE125" s="123">
        <f>IFERROR(MAX('B1'!#REF!,'B2'!#REF!,'B3'!#REF!),0)</f>
        <v>0</v>
      </c>
      <c r="BF125" s="123">
        <f>IFERROR(MAX('B1'!#REF!,'B2'!#REF!,'B3'!#REF!),0)</f>
        <v>0</v>
      </c>
      <c r="BG125" s="123">
        <f>IFERROR(MAX('B1'!#REF!,'B2'!#REF!,'B3'!#REF!),0)</f>
        <v>0</v>
      </c>
      <c r="BH125" s="123">
        <f>IFERROR(MAX('B1'!#REF!,'B2'!#REF!,'B3'!#REF!),0)</f>
        <v>0</v>
      </c>
      <c r="BI125" s="123">
        <f>IFERROR(MAX('B1'!#REF!,'B2'!#REF!,'B3'!#REF!),0)</f>
        <v>0</v>
      </c>
      <c r="BJ125" s="123">
        <f>IFERROR(MAX('B1'!#REF!,'B2'!#REF!,'B3'!#REF!),0)</f>
        <v>0</v>
      </c>
      <c r="BK125" s="123">
        <f>IFERROR(MAX('B1'!#REF!,'B2'!#REF!,'B3'!#REF!),0)</f>
        <v>0</v>
      </c>
      <c r="BL125" s="123">
        <f>IFERROR(MAX('B1'!#REF!,'B2'!#REF!,'B3'!#REF!),0)</f>
        <v>0</v>
      </c>
      <c r="BM125" s="123">
        <f>IFERROR(MAX('B1'!#REF!,'B2'!#REF!,'B3'!#REF!),0)</f>
        <v>0</v>
      </c>
      <c r="BN125" s="123">
        <f>IFERROR(MAX('B1'!#REF!,'B2'!#REF!,'B3'!#REF!),0)</f>
        <v>0</v>
      </c>
      <c r="BO125" s="123">
        <f>IFERROR(MAX('B1'!#REF!,'B2'!#REF!,'B3'!#REF!),0)</f>
        <v>0</v>
      </c>
      <c r="BP125" s="123">
        <f>IFERROR(MAX('B1'!#REF!,'B2'!#REF!,'B3'!#REF!),0)</f>
        <v>0</v>
      </c>
      <c r="BQ125" s="123">
        <f>IFERROR(MAX('B1'!#REF!,'B2'!#REF!,'B3'!#REF!),0)</f>
        <v>0</v>
      </c>
      <c r="BR125" s="123">
        <f>IFERROR(MAX('B1'!#REF!,'B2'!#REF!,'B3'!#REF!),0)</f>
        <v>0</v>
      </c>
      <c r="BS125" s="123">
        <f>IFERROR(MAX('B1'!#REF!,'B2'!#REF!,'B3'!#REF!),0)</f>
        <v>0</v>
      </c>
      <c r="BT125" s="123"/>
      <c r="BU125" s="123">
        <f>IFERROR(MAX('B1'!#REF!,'B2'!#REF!,'B3'!#REF!),0)</f>
        <v>0</v>
      </c>
      <c r="BV125" s="123">
        <f>IFERROR(MAX('B1'!#REF!,'B2'!#REF!,'B3'!#REF!),0)</f>
        <v>0</v>
      </c>
      <c r="BW125" s="123">
        <f>IFERROR(MAX('B1'!#REF!,'B2'!#REF!,'B3'!#REF!),0)</f>
        <v>0</v>
      </c>
      <c r="BX125" s="123">
        <f>IFERROR(MAX('B1'!#REF!,'B2'!#REF!,'B3'!#REF!),0)</f>
        <v>0</v>
      </c>
    </row>
    <row r="126" spans="1:76" s="47" customFormat="1" ht="16" thickBot="1" x14ac:dyDescent="0.4">
      <c r="A126" s="63">
        <f t="shared" si="22"/>
        <v>0</v>
      </c>
      <c r="B126" s="129">
        <f t="shared" si="22"/>
        <v>0</v>
      </c>
      <c r="C126" s="41">
        <f t="shared" si="21"/>
        <v>0</v>
      </c>
      <c r="D126" s="123">
        <f>IFERROR(MAX('B1'!D33,'B2'!D33,'B3'!D33),0)</f>
        <v>0</v>
      </c>
      <c r="E126" s="123">
        <f>IFERROR(MAX('B1'!E33,'B2'!E33,'B3'!E33),0)</f>
        <v>0</v>
      </c>
      <c r="F126" s="123">
        <f>IFERROR(MAX('B1'!F33,'B2'!F33,'B3'!F33),0)</f>
        <v>0</v>
      </c>
      <c r="G126" s="123">
        <f>IFERROR(MAX('B1'!G33,'B2'!G33,'B3'!G33),0)</f>
        <v>0</v>
      </c>
      <c r="H126" s="123">
        <f>IFERROR(MAX('B1'!H33,'B2'!H33,'B3'!H33),0)</f>
        <v>0</v>
      </c>
      <c r="I126" s="123">
        <f>IFERROR(MAX('B1'!I33,'B2'!I33,'B3'!I33),0)</f>
        <v>0</v>
      </c>
      <c r="J126" s="123">
        <f>IFERROR(MAX('B1'!J33,'B2'!J33,'B3'!J33),0)</f>
        <v>0</v>
      </c>
      <c r="K126" s="123">
        <f>IFERROR(MAX('B1'!K33,'B2'!K33,'B3'!K33),0)</f>
        <v>0</v>
      </c>
      <c r="L126" s="123">
        <f>IFERROR(MAX('B1'!L33,'B2'!L33,'B3'!L33),0)</f>
        <v>0</v>
      </c>
      <c r="M126" s="123">
        <f>IFERROR(MAX('B1'!M33,'B2'!M33,'B3'!M33),0)</f>
        <v>0</v>
      </c>
      <c r="N126" s="123">
        <f>IFERROR(MAX('B1'!N33,'B2'!N33,'B3'!N33),0)</f>
        <v>0</v>
      </c>
      <c r="O126" s="123">
        <f>IFERROR(MAX('B1'!O33,'B2'!O33,'B3'!O33),0)</f>
        <v>0</v>
      </c>
      <c r="P126" s="123">
        <f>IFERROR(MAX('B1'!P33,'B2'!P33,'B3'!P33),0)</f>
        <v>0</v>
      </c>
      <c r="Q126" s="123">
        <f>IFERROR(MAX('B1'!Q33,'B2'!Q33,'B3'!Q33),0)</f>
        <v>0</v>
      </c>
      <c r="R126" s="123">
        <f>IFERROR(MAX('B1'!R33,'B2'!R33,'B3'!R33),0)</f>
        <v>0</v>
      </c>
      <c r="S126" s="123">
        <f>IFERROR(MAX('B1'!S33,'B2'!S33,'B3'!S33),0)</f>
        <v>0</v>
      </c>
      <c r="T126" s="123">
        <f>IFERROR(MAX('B1'!T33,'B2'!T33,'B3'!T33),0)</f>
        <v>0</v>
      </c>
      <c r="U126" s="123">
        <f>IFERROR(MAX('B1'!U33,'B2'!U33,'B3'!U33),0)</f>
        <v>0</v>
      </c>
      <c r="V126" s="123">
        <f>IFERROR(MAX('B1'!V33,'B2'!V33,'B3'!V33),0)</f>
        <v>0</v>
      </c>
      <c r="W126" s="123">
        <f>IFERROR(MAX('B1'!W33,'B2'!W33,'B3'!W33),0)</f>
        <v>0</v>
      </c>
      <c r="X126" s="123">
        <f>IFERROR(MAX('B1'!X33,'B2'!X33,'B3'!X33),0)</f>
        <v>0</v>
      </c>
      <c r="Y126" s="123">
        <f>IFERROR(MAX('B1'!Y33,'B2'!Y33,'B3'!Y33),0)</f>
        <v>0</v>
      </c>
      <c r="Z126" s="123">
        <f>IFERROR(MAX('B1'!Z33,'B2'!Z33,'B3'!Z33),0)</f>
        <v>0</v>
      </c>
      <c r="AA126" s="123">
        <f>IFERROR(MAX('B1'!AB33,'B2'!AA33,'B3'!AA33),0)</f>
        <v>0</v>
      </c>
      <c r="AB126" s="123">
        <f>IFERROR(MAX('B1'!AC33,'B2'!AB33,'B3'!AB33),0)</f>
        <v>0</v>
      </c>
      <c r="AC126" s="123">
        <f>IFERROR(MAX('B1'!AD33,'B2'!AC33,'B3'!AC33),0)</f>
        <v>0</v>
      </c>
      <c r="AD126" s="123">
        <f>IFERROR(MAX('B1'!AE33,'B2'!AD33,'B3'!AD33),0)</f>
        <v>0</v>
      </c>
      <c r="AE126" s="123">
        <f>IFERROR(MAX('B1'!AF33,'B2'!AE33,'B3'!AE33),0)</f>
        <v>0</v>
      </c>
      <c r="AF126" s="123">
        <f>IFERROR(MAX('B1'!AG33,'B2'!AF33,'B3'!AF33),0)</f>
        <v>0</v>
      </c>
      <c r="AG126" s="123">
        <f>IFERROR(MAX('B1'!AH33,'B2'!AG33,'B3'!AG33),0)</f>
        <v>0</v>
      </c>
      <c r="AH126" s="123">
        <f>IFERROR(MAX('B1'!AI33,'B2'!AH33,'B3'!AH33),0)</f>
        <v>0</v>
      </c>
      <c r="AI126" s="123">
        <f>IFERROR(MAX('B1'!AJ33,'B2'!AI33,'B3'!AI33),0)</f>
        <v>0</v>
      </c>
      <c r="AJ126" s="123">
        <f>IFERROR(MAX('B1'!AK33,'B2'!AJ33,'B3'!AJ33),0)</f>
        <v>0</v>
      </c>
      <c r="AK126" s="123">
        <f>IFERROR(MAX('B1'!AL33,'B2'!AK33,'B3'!AK33),0)</f>
        <v>0</v>
      </c>
      <c r="AL126" s="123">
        <f>IFERROR(MAX('B1'!AM33,'B2'!AL33,'B3'!AL33),0)</f>
        <v>0</v>
      </c>
      <c r="AM126" s="123">
        <f>IFERROR(MAX('B1'!AN33,'B2'!AM33,'B3'!AM33),0)</f>
        <v>0</v>
      </c>
      <c r="AN126" s="123">
        <f>IFERROR(MAX('B1'!AO33,'B2'!AN33,'B3'!AN33),0)</f>
        <v>0</v>
      </c>
      <c r="AO126" s="123">
        <f>IFERROR(MAX('B1'!AP33,'B2'!AO33,'B3'!AO33),0)</f>
        <v>0</v>
      </c>
      <c r="AP126" s="123">
        <f>IFERROR(MAX('B1'!AQ33,'B2'!AP33,'B3'!AP33),0)</f>
        <v>0</v>
      </c>
      <c r="AQ126" s="123">
        <f>IFERROR(MAX('B1'!AR33,'B2'!AQ33,'B3'!AQ33),0)</f>
        <v>0</v>
      </c>
      <c r="AR126" s="123">
        <f>IFERROR(MAX('B1'!AS33,'B2'!AR33,'B3'!AR33),0)</f>
        <v>0</v>
      </c>
      <c r="AS126" s="123">
        <f>IFERROR(MAX('B1'!AT33,'B2'!AS33,'B3'!AS33),0)</f>
        <v>0</v>
      </c>
      <c r="AT126" s="123">
        <f>IFERROR(MAX('B1'!AU33,'B2'!AT33,'B3'!AT33),0)</f>
        <v>0</v>
      </c>
      <c r="AU126" s="123">
        <f>IFERROR(MAX('B1'!AV33,'B2'!AU33,'B3'!AU33),0)</f>
        <v>0</v>
      </c>
      <c r="AV126" s="123">
        <f>IFERROR(MAX('B1'!AW33,'B2'!AV33,'B3'!AV33),0)</f>
        <v>0</v>
      </c>
      <c r="AW126" s="123">
        <f>IFERROR(MAX('B1'!AX33,'B2'!AW33,'B3'!AW33),0)</f>
        <v>0</v>
      </c>
      <c r="AX126" s="123">
        <f>IFERROR(MAX('B1'!AY33,'B2'!AX33,'B3'!AX33),0)</f>
        <v>0</v>
      </c>
      <c r="AY126" s="123">
        <f>IFERROR(MAX('B1'!AZ33,'B2'!AY33,'B3'!AY33),0)</f>
        <v>0</v>
      </c>
      <c r="AZ126" s="123">
        <f>IFERROR(MAX('B1'!BA33,'B2'!AZ33,'B3'!AZ33),0)</f>
        <v>0</v>
      </c>
      <c r="BA126" s="123">
        <f>IFERROR(MAX('B1'!BB33,'B2'!BA33,'B3'!BA33),0)</f>
        <v>0</v>
      </c>
      <c r="BB126" s="123">
        <f>IFERROR(MAX('B1'!#REF!,'B2'!#REF!,'B3'!#REF!),0)</f>
        <v>0</v>
      </c>
      <c r="BC126" s="123">
        <f>IFERROR(MAX('B1'!#REF!,'B2'!#REF!,'B3'!#REF!),0)</f>
        <v>0</v>
      </c>
      <c r="BD126" s="123">
        <f>IFERROR(MAX('B1'!#REF!,'B2'!#REF!,'B3'!#REF!),0)</f>
        <v>0</v>
      </c>
      <c r="BE126" s="123">
        <f>IFERROR(MAX('B1'!#REF!,'B2'!#REF!,'B3'!#REF!),0)</f>
        <v>0</v>
      </c>
      <c r="BF126" s="123">
        <f>IFERROR(MAX('B1'!#REF!,'B2'!#REF!,'B3'!#REF!),0)</f>
        <v>0</v>
      </c>
      <c r="BG126" s="123">
        <f>IFERROR(MAX('B1'!#REF!,'B2'!#REF!,'B3'!#REF!),0)</f>
        <v>0</v>
      </c>
      <c r="BH126" s="123">
        <f>IFERROR(MAX('B1'!#REF!,'B2'!#REF!,'B3'!#REF!),0)</f>
        <v>0</v>
      </c>
      <c r="BI126" s="123">
        <f>IFERROR(MAX('B1'!#REF!,'B2'!#REF!,'B3'!#REF!),0)</f>
        <v>0</v>
      </c>
      <c r="BJ126" s="123">
        <f>IFERROR(MAX('B1'!#REF!,'B2'!#REF!,'B3'!#REF!),0)</f>
        <v>0</v>
      </c>
      <c r="BK126" s="123">
        <f>IFERROR(MAX('B1'!#REF!,'B2'!#REF!,'B3'!#REF!),0)</f>
        <v>0</v>
      </c>
      <c r="BL126" s="123">
        <f>IFERROR(MAX('B1'!#REF!,'B2'!#REF!,'B3'!#REF!),0)</f>
        <v>0</v>
      </c>
      <c r="BM126" s="123">
        <f>IFERROR(MAX('B1'!#REF!,'B2'!#REF!,'B3'!#REF!),0)</f>
        <v>0</v>
      </c>
      <c r="BN126" s="123">
        <f>IFERROR(MAX('B1'!#REF!,'B2'!#REF!,'B3'!#REF!),0)</f>
        <v>0</v>
      </c>
      <c r="BO126" s="123">
        <f>IFERROR(MAX('B1'!#REF!,'B2'!#REF!,'B3'!#REF!),0)</f>
        <v>0</v>
      </c>
      <c r="BP126" s="123">
        <f>IFERROR(MAX('B1'!#REF!,'B2'!#REF!,'B3'!#REF!),0)</f>
        <v>0</v>
      </c>
      <c r="BQ126" s="123">
        <f>IFERROR(MAX('B1'!#REF!,'B2'!#REF!,'B3'!#REF!),0)</f>
        <v>0</v>
      </c>
      <c r="BR126" s="123">
        <f>IFERROR(MAX('B1'!#REF!,'B2'!#REF!,'B3'!#REF!),0)</f>
        <v>0</v>
      </c>
      <c r="BS126" s="123">
        <f>IFERROR(MAX('B1'!#REF!,'B2'!#REF!,'B3'!#REF!),0)</f>
        <v>0</v>
      </c>
      <c r="BT126" s="123"/>
      <c r="BU126" s="123">
        <f>IFERROR(MAX('B1'!#REF!,'B2'!#REF!,'B3'!#REF!),0)</f>
        <v>0</v>
      </c>
      <c r="BV126" s="123">
        <f>IFERROR(MAX('B1'!#REF!,'B2'!#REF!,'B3'!#REF!),0)</f>
        <v>0</v>
      </c>
      <c r="BW126" s="123">
        <f>IFERROR(MAX('B1'!#REF!,'B2'!#REF!,'B3'!#REF!),0)</f>
        <v>0</v>
      </c>
      <c r="BX126" s="123">
        <f>IFERROR(MAX('B1'!#REF!,'B2'!#REF!,'B3'!#REF!),0)</f>
        <v>0</v>
      </c>
    </row>
  </sheetData>
  <pageMargins left="0.7" right="0.7" top="0.75" bottom="0.75" header="0.3" footer="0.3"/>
  <pageSetup paperSize="9" orientation="portrait" r:id="rId1"/>
  <tableParts count="5">
    <tablePart r:id="rId2"/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DA122"/>
  <sheetViews>
    <sheetView zoomScale="70" zoomScaleNormal="70" workbookViewId="0">
      <pane xSplit="2" topLeftCell="C1" activePane="topRight" state="frozen"/>
      <selection activeCell="A4" sqref="A4"/>
      <selection pane="topRight"/>
    </sheetView>
  </sheetViews>
  <sheetFormatPr defaultRowHeight="14.5" x14ac:dyDescent="0.35"/>
  <cols>
    <col min="1" max="1" width="14.1796875" customWidth="1"/>
    <col min="2" max="2" width="11" customWidth="1"/>
    <col min="3" max="3" width="10.453125" customWidth="1"/>
    <col min="4" max="4" width="10.7265625" customWidth="1"/>
    <col min="5" max="12" width="11.7265625" customWidth="1"/>
    <col min="13" max="22" width="12.7265625" customWidth="1"/>
    <col min="23" max="23" width="11.81640625" customWidth="1"/>
    <col min="24" max="24" width="12.7265625" customWidth="1"/>
    <col min="25" max="25" width="11.26953125" customWidth="1"/>
    <col min="26" max="26" width="12.7265625" customWidth="1"/>
    <col min="27" max="27" width="13.26953125" customWidth="1"/>
    <col min="28" max="28" width="12.7265625" customWidth="1"/>
    <col min="29" max="29" width="13.26953125" customWidth="1"/>
    <col min="30" max="30" width="12.7265625" customWidth="1"/>
    <col min="32" max="32" width="10.81640625" customWidth="1"/>
    <col min="33" max="33" width="11.26953125" customWidth="1"/>
    <col min="34" max="35" width="10.1796875" customWidth="1"/>
    <col min="36" max="36" width="15.81640625" customWidth="1"/>
    <col min="37" max="44" width="16.81640625" customWidth="1"/>
    <col min="45" max="54" width="17.81640625" customWidth="1"/>
    <col min="55" max="55" width="15.81640625" hidden="1" customWidth="1"/>
    <col min="56" max="60" width="16.81640625" hidden="1" customWidth="1"/>
    <col min="61" max="63" width="16.81640625" customWidth="1"/>
    <col min="64" max="71" width="17.81640625" customWidth="1"/>
    <col min="84" max="84" width="8.81640625" bestFit="1" customWidth="1"/>
    <col min="85" max="85" width="14.1796875" bestFit="1" customWidth="1"/>
    <col min="86" max="86" width="8.81640625" bestFit="1" customWidth="1"/>
    <col min="87" max="87" width="14.1796875" bestFit="1" customWidth="1"/>
    <col min="88" max="88" width="14.26953125" bestFit="1" customWidth="1"/>
    <col min="89" max="89" width="8.81640625" bestFit="1" customWidth="1"/>
    <col min="90" max="90" width="12.90625" bestFit="1" customWidth="1"/>
  </cols>
  <sheetData>
    <row r="1" spans="1:90" x14ac:dyDescent="0.35">
      <c r="A1" s="24" t="s">
        <v>28</v>
      </c>
      <c r="B1" s="24" t="s">
        <v>211</v>
      </c>
      <c r="C1" s="24"/>
    </row>
    <row r="2" spans="1:90" x14ac:dyDescent="0.35">
      <c r="A2" s="25" t="s">
        <v>30</v>
      </c>
      <c r="B2" s="25" t="s">
        <v>180</v>
      </c>
      <c r="C2" s="24" t="s">
        <v>75</v>
      </c>
      <c r="AJ2" s="2" t="s">
        <v>2</v>
      </c>
      <c r="AP2" s="146"/>
    </row>
    <row r="3" spans="1:90" x14ac:dyDescent="0.35">
      <c r="A3" s="25" t="s">
        <v>74</v>
      </c>
      <c r="B3" s="25">
        <v>1.5</v>
      </c>
      <c r="C3" s="24" t="s">
        <v>76</v>
      </c>
      <c r="CC3" t="s">
        <v>194</v>
      </c>
    </row>
    <row r="4" spans="1:90" x14ac:dyDescent="0.35">
      <c r="A4" s="24" t="s">
        <v>33</v>
      </c>
      <c r="B4" s="24">
        <f>(B3/50)*1000</f>
        <v>30</v>
      </c>
      <c r="C4" s="56" t="s">
        <v>77</v>
      </c>
      <c r="E4" s="1"/>
      <c r="F4" s="3"/>
      <c r="G4" s="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 t="s">
        <v>60</v>
      </c>
      <c r="X4" s="1"/>
      <c r="Y4" s="1"/>
      <c r="Z4" s="1"/>
      <c r="AA4" s="1"/>
      <c r="AC4" s="1"/>
      <c r="AD4" s="1"/>
      <c r="AE4" s="1"/>
      <c r="AF4" t="s">
        <v>69</v>
      </c>
      <c r="AJ4" s="37" t="s">
        <v>37</v>
      </c>
      <c r="AL4" s="3"/>
      <c r="AM4" s="2"/>
      <c r="AN4" s="1"/>
      <c r="AO4" s="1"/>
      <c r="AP4" s="37" t="s">
        <v>37</v>
      </c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H4" s="1"/>
      <c r="BI4" s="4"/>
    </row>
    <row r="5" spans="1:90" ht="15" thickBot="1" x14ac:dyDescent="0.4">
      <c r="A5" s="24"/>
      <c r="B5" s="24"/>
      <c r="C5" s="2" t="s">
        <v>2</v>
      </c>
      <c r="D5" s="2"/>
      <c r="E5" s="1"/>
      <c r="F5" s="3"/>
      <c r="G5" s="2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C5" s="1"/>
      <c r="AD5" s="1"/>
      <c r="AE5" s="1"/>
      <c r="AJ5" s="37"/>
      <c r="AL5" s="3"/>
      <c r="AM5" s="2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B5" s="1" t="s">
        <v>60</v>
      </c>
      <c r="BC5" s="56" t="s">
        <v>79</v>
      </c>
      <c r="BH5" s="1"/>
      <c r="BI5" s="56" t="s">
        <v>79</v>
      </c>
      <c r="BS5" s="24" t="s">
        <v>157</v>
      </c>
      <c r="BT5" t="s">
        <v>60</v>
      </c>
      <c r="CF5">
        <v>1.5</v>
      </c>
      <c r="CG5" t="s">
        <v>190</v>
      </c>
    </row>
    <row r="6" spans="1:90" x14ac:dyDescent="0.35">
      <c r="C6" s="5" t="s">
        <v>3</v>
      </c>
      <c r="D6" s="6" t="s">
        <v>4</v>
      </c>
      <c r="E6" s="6" t="s">
        <v>90</v>
      </c>
      <c r="F6" s="6" t="s">
        <v>91</v>
      </c>
      <c r="G6" s="6" t="s">
        <v>92</v>
      </c>
      <c r="H6" s="6" t="s">
        <v>93</v>
      </c>
      <c r="I6" s="6" t="s">
        <v>94</v>
      </c>
      <c r="J6" s="6" t="s">
        <v>95</v>
      </c>
      <c r="K6" s="6" t="s">
        <v>96</v>
      </c>
      <c r="L6" s="6" t="s">
        <v>97</v>
      </c>
      <c r="M6" s="6" t="s">
        <v>98</v>
      </c>
      <c r="N6" s="6" t="s">
        <v>99</v>
      </c>
      <c r="O6" s="6" t="s">
        <v>100</v>
      </c>
      <c r="P6" s="6" t="s">
        <v>101</v>
      </c>
      <c r="Q6" s="6" t="s">
        <v>102</v>
      </c>
      <c r="R6" s="6" t="s">
        <v>103</v>
      </c>
      <c r="S6" s="7" t="s">
        <v>104</v>
      </c>
      <c r="T6" s="7" t="s">
        <v>105</v>
      </c>
      <c r="U6" s="7" t="s">
        <v>106</v>
      </c>
      <c r="V6" s="8" t="s">
        <v>107</v>
      </c>
      <c r="W6" s="36" t="s">
        <v>61</v>
      </c>
      <c r="X6" s="33" t="s">
        <v>108</v>
      </c>
      <c r="Y6" s="36" t="s">
        <v>62</v>
      </c>
      <c r="Z6" s="35" t="s">
        <v>109</v>
      </c>
      <c r="AA6" s="34" t="s">
        <v>110</v>
      </c>
      <c r="AB6" s="33" t="s">
        <v>111</v>
      </c>
      <c r="AC6" s="36" t="s">
        <v>112</v>
      </c>
      <c r="AD6" s="35" t="s">
        <v>113</v>
      </c>
      <c r="AE6" s="38" t="s">
        <v>68</v>
      </c>
      <c r="AF6" s="39" t="s">
        <v>70</v>
      </c>
      <c r="AG6" s="39" t="s">
        <v>71</v>
      </c>
      <c r="AH6" s="40" t="s">
        <v>32</v>
      </c>
      <c r="AI6" s="127" t="s">
        <v>136</v>
      </c>
      <c r="AJ6" s="69" t="s">
        <v>35</v>
      </c>
      <c r="AK6" s="70" t="s">
        <v>114</v>
      </c>
      <c r="AL6" s="70" t="s">
        <v>115</v>
      </c>
      <c r="AM6" s="70" t="s">
        <v>116</v>
      </c>
      <c r="AN6" s="70" t="s">
        <v>117</v>
      </c>
      <c r="AO6" s="70" t="s">
        <v>118</v>
      </c>
      <c r="AP6" s="70" t="s">
        <v>119</v>
      </c>
      <c r="AQ6" s="70" t="s">
        <v>120</v>
      </c>
      <c r="AR6" s="70" t="s">
        <v>121</v>
      </c>
      <c r="AS6" s="70" t="s">
        <v>122</v>
      </c>
      <c r="AT6" s="70" t="s">
        <v>123</v>
      </c>
      <c r="AU6" s="70" t="s">
        <v>124</v>
      </c>
      <c r="AV6" s="70" t="s">
        <v>125</v>
      </c>
      <c r="AW6" s="70" t="s">
        <v>126</v>
      </c>
      <c r="AX6" s="70" t="s">
        <v>127</v>
      </c>
      <c r="AY6" s="71" t="s">
        <v>128</v>
      </c>
      <c r="AZ6" s="72" t="s">
        <v>129</v>
      </c>
      <c r="BA6" s="85" t="s">
        <v>134</v>
      </c>
      <c r="BB6" s="88" t="s">
        <v>135</v>
      </c>
      <c r="BC6" s="69" t="s">
        <v>35</v>
      </c>
      <c r="BD6" s="70" t="s">
        <v>114</v>
      </c>
      <c r="BE6" s="70" t="s">
        <v>115</v>
      </c>
      <c r="BF6" s="70" t="s">
        <v>116</v>
      </c>
      <c r="BG6" s="70" t="s">
        <v>117</v>
      </c>
      <c r="BH6" s="70" t="s">
        <v>118</v>
      </c>
      <c r="BI6" s="70" t="s">
        <v>119</v>
      </c>
      <c r="BJ6" s="70" t="s">
        <v>120</v>
      </c>
      <c r="BK6" s="70" t="s">
        <v>121</v>
      </c>
      <c r="BL6" s="70" t="s">
        <v>122</v>
      </c>
      <c r="BM6" s="70" t="s">
        <v>123</v>
      </c>
      <c r="BN6" s="70" t="s">
        <v>124</v>
      </c>
      <c r="BO6" s="70" t="s">
        <v>125</v>
      </c>
      <c r="BP6" s="70" t="s">
        <v>126</v>
      </c>
      <c r="BQ6" s="70" t="s">
        <v>127</v>
      </c>
      <c r="BR6" s="71" t="s">
        <v>128</v>
      </c>
      <c r="BS6" s="88" t="s">
        <v>156</v>
      </c>
      <c r="BT6" s="72" t="s">
        <v>129</v>
      </c>
      <c r="BU6" s="85" t="s">
        <v>130</v>
      </c>
      <c r="BV6" s="85" t="s">
        <v>132</v>
      </c>
      <c r="BW6" s="85" t="s">
        <v>140</v>
      </c>
      <c r="CF6" t="s">
        <v>197</v>
      </c>
      <c r="CJ6" s="146" t="s">
        <v>193</v>
      </c>
    </row>
    <row r="7" spans="1:90" ht="15" thickBot="1" x14ac:dyDescent="0.4">
      <c r="C7" s="9" t="s">
        <v>5</v>
      </c>
      <c r="D7" s="10" t="s">
        <v>7</v>
      </c>
      <c r="E7" s="10" t="s">
        <v>7</v>
      </c>
      <c r="F7" s="10" t="s">
        <v>7</v>
      </c>
      <c r="G7" s="10" t="s">
        <v>7</v>
      </c>
      <c r="H7" s="10" t="s">
        <v>7</v>
      </c>
      <c r="I7" s="10" t="s">
        <v>7</v>
      </c>
      <c r="J7" s="10" t="s">
        <v>7</v>
      </c>
      <c r="K7" s="10" t="s">
        <v>7</v>
      </c>
      <c r="L7" s="10" t="s">
        <v>7</v>
      </c>
      <c r="M7" s="10" t="s">
        <v>7</v>
      </c>
      <c r="N7" s="10" t="s">
        <v>7</v>
      </c>
      <c r="O7" s="10" t="s">
        <v>7</v>
      </c>
      <c r="P7" s="10" t="s">
        <v>7</v>
      </c>
      <c r="Q7" s="10" t="s">
        <v>7</v>
      </c>
      <c r="R7" s="10" t="s">
        <v>7</v>
      </c>
      <c r="S7" s="11" t="s">
        <v>7</v>
      </c>
      <c r="T7" s="11" t="s">
        <v>6</v>
      </c>
      <c r="U7" s="11" t="s">
        <v>6</v>
      </c>
      <c r="V7" s="12" t="s">
        <v>6</v>
      </c>
      <c r="W7" s="36" t="s">
        <v>63</v>
      </c>
      <c r="X7" s="33" t="s">
        <v>64</v>
      </c>
      <c r="Y7" s="36" t="s">
        <v>63</v>
      </c>
      <c r="Z7" s="35" t="s">
        <v>64</v>
      </c>
      <c r="AA7" s="34" t="s">
        <v>63</v>
      </c>
      <c r="AB7" s="33" t="s">
        <v>64</v>
      </c>
      <c r="AC7" s="36" t="s">
        <v>63</v>
      </c>
      <c r="AD7" s="35" t="s">
        <v>64</v>
      </c>
      <c r="AE7" s="38"/>
      <c r="AF7" s="39" t="s">
        <v>5</v>
      </c>
      <c r="AG7" s="39" t="s">
        <v>72</v>
      </c>
      <c r="AH7" s="40" t="s">
        <v>7</v>
      </c>
      <c r="AI7" s="39" t="s">
        <v>137</v>
      </c>
      <c r="AJ7" s="9" t="s">
        <v>36</v>
      </c>
      <c r="AK7" s="10" t="s">
        <v>36</v>
      </c>
      <c r="AL7" s="10" t="s">
        <v>36</v>
      </c>
      <c r="AM7" s="10" t="s">
        <v>36</v>
      </c>
      <c r="AN7" s="10" t="s">
        <v>36</v>
      </c>
      <c r="AO7" s="10" t="s">
        <v>36</v>
      </c>
      <c r="AP7" s="163" t="s">
        <v>149</v>
      </c>
      <c r="AQ7" s="163" t="s">
        <v>149</v>
      </c>
      <c r="AR7" s="163" t="s">
        <v>149</v>
      </c>
      <c r="AS7" s="163" t="s">
        <v>149</v>
      </c>
      <c r="AT7" s="163" t="s">
        <v>149</v>
      </c>
      <c r="AU7" s="163" t="s">
        <v>149</v>
      </c>
      <c r="AV7" s="163" t="s">
        <v>149</v>
      </c>
      <c r="AW7" s="163" t="s">
        <v>149</v>
      </c>
      <c r="AX7" s="10" t="s">
        <v>36</v>
      </c>
      <c r="AY7" s="12" t="s">
        <v>36</v>
      </c>
      <c r="AZ7" s="58" t="s">
        <v>36</v>
      </c>
      <c r="BA7" s="134" t="s">
        <v>152</v>
      </c>
      <c r="BB7" s="86" t="s">
        <v>36</v>
      </c>
      <c r="BC7" s="9" t="s">
        <v>89</v>
      </c>
      <c r="BD7" s="9" t="s">
        <v>89</v>
      </c>
      <c r="BE7" s="9" t="s">
        <v>89</v>
      </c>
      <c r="BF7" s="9" t="s">
        <v>89</v>
      </c>
      <c r="BG7" s="9" t="s">
        <v>89</v>
      </c>
      <c r="BH7" s="9" t="s">
        <v>89</v>
      </c>
      <c r="BI7" s="9" t="s">
        <v>139</v>
      </c>
      <c r="BJ7" s="9" t="s">
        <v>139</v>
      </c>
      <c r="BK7" s="9" t="s">
        <v>139</v>
      </c>
      <c r="BL7" s="9" t="s">
        <v>139</v>
      </c>
      <c r="BM7" s="9" t="s">
        <v>139</v>
      </c>
      <c r="BN7" s="9" t="s">
        <v>139</v>
      </c>
      <c r="BO7" s="9" t="s">
        <v>139</v>
      </c>
      <c r="BP7" s="9" t="s">
        <v>139</v>
      </c>
      <c r="BQ7" s="9" t="s">
        <v>139</v>
      </c>
      <c r="BR7" s="9" t="s">
        <v>139</v>
      </c>
      <c r="BS7" s="150" t="s">
        <v>142</v>
      </c>
      <c r="BT7" s="9" t="s">
        <v>89</v>
      </c>
      <c r="BU7" s="9" t="s">
        <v>89</v>
      </c>
      <c r="BV7" s="9" t="s">
        <v>139</v>
      </c>
      <c r="BW7" t="s">
        <v>142</v>
      </c>
      <c r="CC7" t="s">
        <v>185</v>
      </c>
      <c r="CD7" t="s">
        <v>186</v>
      </c>
      <c r="CE7" t="s">
        <v>188</v>
      </c>
      <c r="CF7" t="s">
        <v>196</v>
      </c>
      <c r="CJ7" s="146">
        <f>CJ15/CF5*100</f>
        <v>39.116174766666667</v>
      </c>
    </row>
    <row r="8" spans="1:90" ht="16" thickBot="1" x14ac:dyDescent="0.4">
      <c r="A8" s="22" t="s">
        <v>0</v>
      </c>
      <c r="B8" s="73" t="s">
        <v>1</v>
      </c>
      <c r="C8" s="13" t="s">
        <v>6</v>
      </c>
      <c r="D8" s="14" t="s">
        <v>8</v>
      </c>
      <c r="E8" s="14" t="s">
        <v>9</v>
      </c>
      <c r="F8" s="14" t="s">
        <v>10</v>
      </c>
      <c r="G8" s="14" t="s">
        <v>11</v>
      </c>
      <c r="H8" s="14" t="s">
        <v>12</v>
      </c>
      <c r="I8" s="14" t="s">
        <v>13</v>
      </c>
      <c r="J8" s="14" t="s">
        <v>14</v>
      </c>
      <c r="K8" s="14" t="s">
        <v>15</v>
      </c>
      <c r="L8" s="14" t="s">
        <v>16</v>
      </c>
      <c r="M8" s="14" t="s">
        <v>17</v>
      </c>
      <c r="N8" s="14" t="s">
        <v>18</v>
      </c>
      <c r="O8" s="14" t="s">
        <v>19</v>
      </c>
      <c r="P8" s="14" t="s">
        <v>20</v>
      </c>
      <c r="Q8" s="14" t="s">
        <v>21</v>
      </c>
      <c r="R8" s="14" t="s">
        <v>22</v>
      </c>
      <c r="S8" s="15" t="s">
        <v>23</v>
      </c>
      <c r="T8" s="15" t="s">
        <v>24</v>
      </c>
      <c r="U8" s="15" t="s">
        <v>25</v>
      </c>
      <c r="V8" s="16" t="s">
        <v>26</v>
      </c>
      <c r="W8" s="36" t="s">
        <v>65</v>
      </c>
      <c r="X8" s="33" t="s">
        <v>65</v>
      </c>
      <c r="Y8" s="36" t="s">
        <v>66</v>
      </c>
      <c r="Z8" s="35" t="s">
        <v>66</v>
      </c>
      <c r="AA8" s="34" t="s">
        <v>55</v>
      </c>
      <c r="AB8" s="33" t="s">
        <v>55</v>
      </c>
      <c r="AC8" s="36" t="s">
        <v>67</v>
      </c>
      <c r="AD8" s="35" t="s">
        <v>67</v>
      </c>
      <c r="AE8" s="38"/>
      <c r="AF8" s="39"/>
      <c r="AG8" s="39" t="s">
        <v>63</v>
      </c>
      <c r="AH8" s="40" t="s">
        <v>73</v>
      </c>
      <c r="AI8" s="39" t="s">
        <v>145</v>
      </c>
      <c r="AJ8" s="13" t="s">
        <v>8</v>
      </c>
      <c r="AK8" s="14" t="s">
        <v>9</v>
      </c>
      <c r="AL8" s="14" t="s">
        <v>10</v>
      </c>
      <c r="AM8" s="14" t="s">
        <v>11</v>
      </c>
      <c r="AN8" s="14" t="s">
        <v>12</v>
      </c>
      <c r="AO8" s="14" t="s">
        <v>13</v>
      </c>
      <c r="AP8" s="164" t="s">
        <v>14</v>
      </c>
      <c r="AQ8" s="164" t="s">
        <v>15</v>
      </c>
      <c r="AR8" s="164" t="s">
        <v>16</v>
      </c>
      <c r="AS8" s="164" t="s">
        <v>17</v>
      </c>
      <c r="AT8" s="164" t="s">
        <v>18</v>
      </c>
      <c r="AU8" s="164" t="s">
        <v>19</v>
      </c>
      <c r="AV8" s="164" t="s">
        <v>20</v>
      </c>
      <c r="AW8" s="164" t="s">
        <v>21</v>
      </c>
      <c r="AX8" s="14" t="s">
        <v>22</v>
      </c>
      <c r="AY8" s="16" t="s">
        <v>23</v>
      </c>
      <c r="AZ8" s="59" t="s">
        <v>78</v>
      </c>
      <c r="BA8" s="133" t="s">
        <v>78</v>
      </c>
      <c r="BB8" s="87" t="s">
        <v>131</v>
      </c>
      <c r="BC8" s="13" t="s">
        <v>8</v>
      </c>
      <c r="BD8" s="14" t="s">
        <v>9</v>
      </c>
      <c r="BE8" s="14" t="s">
        <v>10</v>
      </c>
      <c r="BF8" s="14" t="s">
        <v>11</v>
      </c>
      <c r="BG8" s="14" t="s">
        <v>12</v>
      </c>
      <c r="BH8" s="14" t="s">
        <v>13</v>
      </c>
      <c r="BI8" s="14" t="s">
        <v>14</v>
      </c>
      <c r="BJ8" s="14" t="s">
        <v>15</v>
      </c>
      <c r="BK8" s="14" t="s">
        <v>16</v>
      </c>
      <c r="BL8" s="14" t="s">
        <v>17</v>
      </c>
      <c r="BM8" s="14" t="s">
        <v>18</v>
      </c>
      <c r="BN8" s="14" t="s">
        <v>19</v>
      </c>
      <c r="BO8" s="14" t="s">
        <v>20</v>
      </c>
      <c r="BP8" s="14" t="s">
        <v>21</v>
      </c>
      <c r="BQ8" s="14" t="s">
        <v>22</v>
      </c>
      <c r="BR8" s="16" t="s">
        <v>23</v>
      </c>
      <c r="BS8" s="151" t="s">
        <v>78</v>
      </c>
      <c r="BT8" s="59" t="s">
        <v>78</v>
      </c>
      <c r="BU8" t="s">
        <v>131</v>
      </c>
      <c r="BV8" t="s">
        <v>159</v>
      </c>
      <c r="BW8" t="s">
        <v>158</v>
      </c>
      <c r="CC8" t="s">
        <v>77</v>
      </c>
      <c r="CD8" t="s">
        <v>187</v>
      </c>
      <c r="CF8" t="s">
        <v>76</v>
      </c>
    </row>
    <row r="9" spans="1:90" s="47" customFormat="1" ht="16" thickBot="1" x14ac:dyDescent="0.4">
      <c r="A9" s="63" t="str">
        <f>Table2[[#This Row],[Date]]</f>
        <v>20-03-18</v>
      </c>
      <c r="B9" s="74">
        <f>Table2[[#This Row],[Time]]</f>
        <v>0</v>
      </c>
      <c r="C9" s="41">
        <v>0</v>
      </c>
      <c r="D9" s="123">
        <f>IFERROR(AVERAGE(Table31520[[#This Row],[Amount ]],Table3152025[[#This Row],[Amount ]],Table315202530[[#This Row],[Amount ]]),0)</f>
        <v>0</v>
      </c>
      <c r="E9" s="123">
        <f>IFERROR(AVERAGE(Table31520[[#This Row],[Amount 2]],Table3152025[[#This Row],[Amount 2]],Table315202530[[#This Row],[Amount 2]]),0)</f>
        <v>0</v>
      </c>
      <c r="F9" s="123">
        <f>IFERROR(AVERAGE(Table31520[[#This Row],[Amount 3]],Table3152025[[#This Row],[Amount 3]],Table315202530[[#This Row],[Amount 3]]),0)</f>
        <v>0</v>
      </c>
      <c r="G9" s="123">
        <f>IFERROR(AVERAGE(Table31520[[#This Row],[Amount 4]],Table3152025[[#This Row],[Amount 4]],Table315202530[[#This Row],[Amount 4]]),0)</f>
        <v>0</v>
      </c>
      <c r="H9" s="123">
        <f>IFERROR(AVERAGE(Table31520[[#This Row],[Amount 5]],Table3152025[[#This Row],[Amount 5]],Table315202530[[#This Row],[Amount 5]]),0)</f>
        <v>0</v>
      </c>
      <c r="I9" s="123">
        <f>IFERROR(AVERAGE(Table31520[[#This Row],[Amount 6]],Table3152025[[#This Row],[Amount 6]],Table315202530[[#This Row],[Amount 6]]),0)</f>
        <v>0</v>
      </c>
      <c r="J9" s="123">
        <f>IFERROR(AVERAGE(Table31520[[#This Row],[Amount 7]],Table3152025[[#This Row],[Amount 7]],Table315202530[[#This Row],[Amount 7]]),0)</f>
        <v>0</v>
      </c>
      <c r="K9" s="123">
        <f>IFERROR(AVERAGE(Table31520[[#This Row],[Amount 8]],Table3152025[[#This Row],[Amount 8]],Table315202530[[#This Row],[Amount 8]]),0)</f>
        <v>0</v>
      </c>
      <c r="L9" s="123">
        <f>IFERROR(AVERAGE(Table31520[[#This Row],[Amount 9]],Table3152025[[#This Row],[Amount 9]],Table315202530[[#This Row],[Amount 9]]),0)</f>
        <v>0</v>
      </c>
      <c r="M9" s="123">
        <f>IFERROR(AVERAGE(Table31520[[#This Row],[Amount 10]],Table3152025[[#This Row],[Amount 10]],Table315202530[[#This Row],[Amount 10]]),0)</f>
        <v>0</v>
      </c>
      <c r="N9" s="123">
        <f>IFERROR(AVERAGE(Table31520[[#This Row],[Amount 11]],Table3152025[[#This Row],[Amount 11]],Table315202530[[#This Row],[Amount 11]]),0)</f>
        <v>0</v>
      </c>
      <c r="O9" s="123">
        <f>IFERROR(AVERAGE(Table31520[[#This Row],[Amount 12]],Table3152025[[#This Row],[Amount 12]],Table315202530[[#This Row],[Amount 12]]),0)</f>
        <v>0</v>
      </c>
      <c r="P9" s="123">
        <f>IFERROR(AVERAGE(Table31520[[#This Row],[Amount 13]],Table3152025[[#This Row],[Amount 13]],Table315202530[[#This Row],[Amount 13]]),0)</f>
        <v>0</v>
      </c>
      <c r="Q9" s="123">
        <f>IFERROR(AVERAGE(Table31520[[#This Row],[Amount 14]],Table3152025[[#This Row],[Amount 14]],Table315202530[[#This Row],[Amount 14]]),0)</f>
        <v>0</v>
      </c>
      <c r="R9" s="123">
        <f>IFERROR(AVERAGE(Table31520[[#This Row],[Amount 15]],Table3152025[[#This Row],[Amount 15]],Table315202530[[#This Row],[Amount 15]]),0)</f>
        <v>0</v>
      </c>
      <c r="S9" s="123">
        <f>IFERROR(AVERAGE(Table31520[[#This Row],[Amount 16]],Table3152025[[#This Row],[Amount 16]],Table315202530[[#This Row],[Amount 16]]),0)</f>
        <v>0</v>
      </c>
      <c r="T9" s="123">
        <f>IFERROR(AVERAGE(Table31520[[#This Row],[Amount 17]],Table3152025[[#This Row],[Amount 17]],Table315202530[[#This Row],[Amount 17]]),0)</f>
        <v>0</v>
      </c>
      <c r="U9" s="123">
        <f>IFERROR(AVERAGE(Table31520[[#This Row],[Amount 18]],Table3152025[[#This Row],[Amount 18]],Table315202530[[#This Row],[Amount 18]]),0)</f>
        <v>0</v>
      </c>
      <c r="V9" s="123">
        <f>IFERROR(AVERAGE(Table31520[[#This Row],[Amount 19]],Table3152025[[#This Row],[Amount 19]],Table315202530[[#This Row],[Amount 19]]),0)</f>
        <v>0</v>
      </c>
      <c r="W9" s="123">
        <f>IFERROR(AVERAGE(Table31520[[#This Row],[Ret.Time ]],Table3152025[[#This Row],[Ret.Time ]],Table315202530[[#This Row],[Ret.Time ]]),0)</f>
        <v>0</v>
      </c>
      <c r="X9" s="123">
        <f>IFERROR(AVERAGE(Table31520[[#This Row],[Amount 20]],Table3152025[[#This Row],[Amount 20]],Table315202530[[#This Row],[Amount 20]]),0)</f>
        <v>0</v>
      </c>
      <c r="Y9" s="123">
        <f>IFERROR(AVERAGE(Table31520[[#This Row],[Ret.Time]],Table3152025[[#This Row],[Ret.Time]],Table315202530[[#This Row],[Ret.Time]]),0)</f>
        <v>0</v>
      </c>
      <c r="Z9" s="123">
        <f>IFERROR(AVERAGE(Table31520[[#This Row],[Amount 21]],Table3152025[[#This Row],[Amount 21]],Table315202530[[#This Row],[Amount 21]]),0)</f>
        <v>0</v>
      </c>
      <c r="AA9" s="123">
        <f>IFERROR(AVERAGE(Table31520[[#This Row],[Ret.Time22]],Table3152025[[#This Row],[Ret.Time22]],Table315202530[[#This Row],[Ret.Time22]]),0)</f>
        <v>0</v>
      </c>
      <c r="AB9" s="123">
        <f>IFERROR(AVERAGE(Table31520[[#This Row],[Amount 23]],Table3152025[[#This Row],[Amount 23]],Table315202530[[#This Row],[Amount 23]]),0)</f>
        <v>0</v>
      </c>
      <c r="AC9" s="123">
        <f>IFERROR(AVERAGE(Table31520[[#This Row],[Ret.Time24]],Table3152025[[#This Row],[Ret.Time24]],Table315202530[[#This Row],[Ret.Time24]]),0)</f>
        <v>0</v>
      </c>
      <c r="AD9" s="123">
        <f>IFERROR(AVERAGE(Table31520[[#This Row],[Amount 25]],Table3152025[[#This Row],[Amount 25]],Table315202530[[#This Row],[Amount 25]]),0)</f>
        <v>0</v>
      </c>
      <c r="AE9" s="18">
        <f>IFERROR(AVERAGE(Table31520[[#This Row],[pH]],Table3152025[[#This Row],[pH]],Table315202530[[#This Row],[pH]]),0)</f>
        <v>7</v>
      </c>
      <c r="AF9" s="18">
        <f>IFERROR(AVERAGE(Table31520[[#This Row],[dilution ]],Table3152025[[#This Row],[dilution ]],Table315202530[[#This Row],[dilution ]]),0)</f>
        <v>0</v>
      </c>
      <c r="AG9" s="18">
        <f>IFERROR(AVERAGE(Table31520[[#This Row],[correction]],Table3152025[[#This Row],[correction]],Table315202530[[#This Row],[correction factor]]),0)</f>
        <v>1</v>
      </c>
      <c r="AH9" s="18">
        <f>IFERROR(AVERAGE(Table31520[[#This Row],[amount]],Table3152025[[#This Row],[amount]],Table315202530[[#This Row],[amount]]),0)</f>
        <v>0</v>
      </c>
      <c r="AI9" s="18">
        <f>IFERROR(AVERAGE(Table31520[[#This Row],[pressure]],Table3152025[[#This Row],[pressure]],Table315202530[[#This Row],[pressure]]),0)</f>
        <v>0</v>
      </c>
      <c r="AJ9" s="64">
        <f>AVERAGE(Table51621[[#This Row],[Concentration]],Table5162126[[#This Row],[Concentration]],Table516212631[[#This Row],[Concentration]])</f>
        <v>0</v>
      </c>
      <c r="AK9" s="64">
        <f>AVERAGE(Table51621[[#This Row],[Concentration2]],Table5162126[[#This Row],[Concentration2]],Table516212631[[#This Row],[Concentration2]])</f>
        <v>0</v>
      </c>
      <c r="AL9" s="64">
        <f>AVERAGE(Table51621[[#This Row],[Concentration3]],Table5162126[[#This Row],[Concentration3]],Table516212631[[#This Row],[Concentration3]])</f>
        <v>0</v>
      </c>
      <c r="AM9" s="64">
        <f>AVERAGE(Table51621[[#This Row],[Concentration4]],Table5162126[[#This Row],[Concentration4]],Table516212631[[#This Row],[Concentration4]])</f>
        <v>0</v>
      </c>
      <c r="AN9" s="64">
        <f>AVERAGE(Table51621[[#This Row],[Concentration5]],Table5162126[[#This Row],[Concentration5]],Table516212631[[#This Row],[Concentration5]])</f>
        <v>0</v>
      </c>
      <c r="AO9" s="64">
        <f>AVERAGE(Table51621[[#This Row],[Concentration6]],Table5162126[[#This Row],[Concentration6]],Table516212631[[#This Row],[Concentration6]])</f>
        <v>0</v>
      </c>
      <c r="AP9" s="64" t="e">
        <f>AVERAGE(Table51621[[#This Row],[Concentration7]],Table5162126[[#This Row],[Concentration7]],Table516212631[[#This Row],[Concentration7]])</f>
        <v>#VALUE!</v>
      </c>
      <c r="AQ9" s="64" t="e">
        <f>AVERAGE(Table51621[[#This Row],[Concentration8]],Table5162126[[#This Row],[Concentration8]],Table516212631[[#This Row],[Concentration8]])</f>
        <v>#VALUE!</v>
      </c>
      <c r="AR9" s="64" t="e">
        <f>AVERAGE(Table51621[[#This Row],[Concentration9]],Table5162126[[#This Row],[Concentration9]],Table516212631[[#This Row],[Concentration9]])</f>
        <v>#VALUE!</v>
      </c>
      <c r="AS9" s="64" t="e">
        <f>AVERAGE(Table51621[[#This Row],[Concentration10]],Table5162126[[#This Row],[Concentration10]],Table516212631[[#This Row],[Concentration10]])</f>
        <v>#VALUE!</v>
      </c>
      <c r="AT9" s="64" t="e">
        <f>AVERAGE(Table51621[[#This Row],[Concentration11]],Table5162126[[#This Row],[Concentration11]],Table516212631[[#This Row],[Concentration11]])</f>
        <v>#VALUE!</v>
      </c>
      <c r="AU9" s="64" t="e">
        <f>AVERAGE(Table51621[[#This Row],[Concentration12]],Table5162126[[#This Row],[Concentration12]],Table516212631[[#This Row],[Concentration12]])</f>
        <v>#VALUE!</v>
      </c>
      <c r="AV9" s="64" t="e">
        <f>AVERAGE(Table51621[[#This Row],[Concentration13]],Table5162126[[#This Row],[Concentration13]],Table516212631[[#This Row],[Concentration13]])</f>
        <v>#VALUE!</v>
      </c>
      <c r="AW9" s="64">
        <f>(IF(IFERROR(Q9-#REF!,Q9)&gt;constants!$D$13,(IFERROR(Q9-#REF!,Q9)*$C9/constants!$B$13),0))</f>
        <v>0</v>
      </c>
      <c r="AX9" s="64" t="e">
        <f>AVERAGE(Table51621[[#This Row],[Concentration15]],Table5162126[[#This Row],[Concentration15]],Table516212631[[#This Row],[Concentration15]])</f>
        <v>#VALUE!</v>
      </c>
      <c r="AY9" s="64" t="e">
        <f>AVERAGE(Table51621[[#This Row],[Concentration16]],Table5162126[[#This Row],[Concentration16]],Table516212631[[#This Row],[Concentration16]])</f>
        <v>#VALUE!</v>
      </c>
      <c r="AZ9" s="64">
        <f>AVERAGE(Table51621[[#This Row],[Concentration17]],Table5162126[[#This Row],[Concentration17]],Table516212631[[#This Row],[Concentration17]])</f>
        <v>0</v>
      </c>
      <c r="BA9" s="64">
        <f>AVERAGE(Table51621[[#This Row],[Concentration172]],Table5162126[[#This Row],[Concentration172]],Table516212631[[#This Row],[Concentration172]])</f>
        <v>0</v>
      </c>
      <c r="BB9" s="64" t="e">
        <f>AVERAGE(Table51621[[#This Row],[Concentration18]],Table5162126[[#This Row],[Concentration18]],Table516212631[[#This Row],[Concentration18]])</f>
        <v>#DIV/0!</v>
      </c>
      <c r="BC9" s="64" t="e">
        <f>AVERAGE(Table51621[[#This Row],[Concentration19]],Table5162126[[#This Row],[Concentration19]],Table516212631[[#This Row],[Concentration19]])</f>
        <v>#DIV/0!</v>
      </c>
      <c r="BD9" s="64">
        <f>AVERAGE(Table51621[[#This Row],[Concentration]],Table5162126[[#This Row],[Concentration]],Table516212631[[#This Row],[Concentration]])</f>
        <v>0</v>
      </c>
      <c r="BE9" s="64">
        <f>AVERAGE(Table51621[[#This Row],[Concentration2]],Table5162126[[#This Row],[Concentration2]],Table516212631[[#This Row],[Concentration2]])</f>
        <v>0</v>
      </c>
      <c r="BF9" s="64">
        <f>AVERAGE(Table51621[[#This Row],[Concentration3]],Table5162126[[#This Row],[Concentration3]],Table516212631[[#This Row],[Concentration3]])</f>
        <v>0</v>
      </c>
      <c r="BG9" s="64">
        <f>AVERAGE(Table51621[[#This Row],[Concentration4]],Table5162126[[#This Row],[Concentration4]],Table516212631[[#This Row],[Concentration4]])</f>
        <v>0</v>
      </c>
      <c r="BH9" s="64">
        <f>AVERAGE(Table51621[[#This Row],[Concentration5]],Table5162126[[#This Row],[Concentration5]],Table516212631[[#This Row],[Concentration5]])</f>
        <v>0</v>
      </c>
      <c r="BI9" s="64" t="e">
        <f>AVERAGE(Table61722[[#This Row],[Concentration7]],Table6172227[[#This Row],[Concentration7]],Table617222732[[#This Row],[Concentration7]])</f>
        <v>#VALUE!</v>
      </c>
      <c r="BJ9" s="64" t="e">
        <f>AVERAGE(Table61722[[#This Row],[Concentration8]],Table6172227[[#This Row],[Concentration8]],Table617222732[[#This Row],[Concentration8]])</f>
        <v>#VALUE!</v>
      </c>
      <c r="BK9" s="64" t="e">
        <f>AVERAGE(Table61722[[#This Row],[Concentration9]],Table6172227[[#This Row],[Concentration9]],Table617222732[[#This Row],[Concentration9]])</f>
        <v>#VALUE!</v>
      </c>
      <c r="BL9" s="64" t="e">
        <f>AVERAGE(Table61722[[#This Row],[Concentration10]],Table6172227[[#This Row],[Concentration10]],Table617222732[[#This Row],[Concentration10]])</f>
        <v>#VALUE!</v>
      </c>
      <c r="BM9" s="64" t="e">
        <f>AVERAGE(Table61722[[#This Row],[Concentration11]],Table6172227[[#This Row],[Concentration11]],Table617222732[[#This Row],[Concentration11]])</f>
        <v>#VALUE!</v>
      </c>
      <c r="BN9" s="64" t="e">
        <f>AVERAGE(Table61722[[#This Row],[Concentration12]],Table6172227[[#This Row],[Concentration12]],Table617222732[[#This Row],[Concentration12]])</f>
        <v>#VALUE!</v>
      </c>
      <c r="BO9" s="64" t="e">
        <f>AVERAGE(Table61722[[#This Row],[Concentration13]],Table6172227[[#This Row],[Concentration13]],Table617222732[[#This Row],[Concentration13]])</f>
        <v>#VALUE!</v>
      </c>
      <c r="BP9" s="64">
        <f>Table5162126313641465156616671[[#This Row],[Concentration14]]*6</f>
        <v>0</v>
      </c>
      <c r="BQ9" s="64" t="e">
        <f>AVERAGE(Table61722[[#This Row],[Concentration15]],Table6172227[[#This Row],[Concentration15]],Table617222732[[#This Row],[Concentration15]])</f>
        <v>#VALUE!</v>
      </c>
      <c r="BR9" s="64" t="e">
        <f>AVERAGE(Table61722[[#This Row],[Concentration16]],Table6172227[[#This Row],[Concentration16]],Table617222732[[#This Row],[Concentration16]])</f>
        <v>#VALUE!</v>
      </c>
      <c r="BS9" s="64">
        <f>Table6172227323742475257626772[[#This Row],[Concentration17]]*1000</f>
        <v>0</v>
      </c>
      <c r="BT9" s="64">
        <f>AVERAGE(Table61722[[#This Row],[Concentration17]],Table6172227[[#This Row],[Concentration17]],Table617222732[[#This Row],[Concentration17]])</f>
        <v>0</v>
      </c>
      <c r="BU9" s="64" t="e">
        <f>AVERAGE(Table61722[[#This Row],[concentration18]],Table6172227[[#This Row],[concentration18]],Table617222732[[#This Row],[concentration18]])</f>
        <v>#DIV/0!</v>
      </c>
      <c r="BV9" s="64">
        <f>SUM(IFERROR(Table6172227323742475257626772[[#This Row],[Concentration7]],0),IFERROR(Table6172227323742475257626772[[#This Row],[Concentration8]],0),IFERROR(Table6172227323742475257626772[[#This Row],[Concentration9]],0),IFERROR(Table6172227323742475257626772[[#This Row],[Concentration10]],0),IFERROR(Table6172227323742475257626772[[#This Row],[Concentration11]],0),IFERROR(Table6172227323742475257626772[[#This Row],[Concentration12]],0),IFERROR(Table6172227323742475257626772[[#This Row],[Concentration13]],0),IFERROR(Table6172227323742475257626772[[#This Row],[Concentration14]],0),IFERROR(Table6172227323742475257626772[[#This Row],[Concentration15]],0),IFERROR(Table6172227323742475257626772[[#This Row],[Concentration16]],0),IFERROR(Table6172227323742475257626772[[#This Row],[concentration18]],0))</f>
        <v>0</v>
      </c>
      <c r="BW9" s="64"/>
      <c r="CC9" s="178">
        <f>Table5162126313641465156616671[[#This Row],[Concentration18]]</f>
        <v>0</v>
      </c>
      <c r="CD9" s="47">
        <v>50</v>
      </c>
      <c r="CE9" s="47">
        <v>1.5</v>
      </c>
      <c r="CF9" s="66">
        <f>CC9*(CE9/1000)</f>
        <v>0</v>
      </c>
    </row>
    <row r="10" spans="1:90" s="66" customFormat="1" ht="16" thickBot="1" x14ac:dyDescent="0.4">
      <c r="A10" s="63" t="str">
        <f>Table2[[#This Row],[Date]]</f>
        <v>22-03-18</v>
      </c>
      <c r="B10" s="74">
        <f>Table2[[#This Row],[Time]]</f>
        <v>2</v>
      </c>
      <c r="C10" s="77">
        <v>0</v>
      </c>
      <c r="D10" s="123">
        <f>IFERROR(AVERAGE(Table31520[[#This Row],[Amount ]],Table3152025[[#This Row],[Amount ]],Table315202530[[#This Row],[Amount ]]),0)</f>
        <v>0</v>
      </c>
      <c r="E10" s="123">
        <f>IFERROR(AVERAGE(Table31520[[#This Row],[Amount 2]],Table3152025[[#This Row],[Amount 2]],Table315202530[[#This Row],[Amount 2]]),0)</f>
        <v>0</v>
      </c>
      <c r="F10" s="123">
        <f>IFERROR(AVERAGE(Table31520[[#This Row],[Amount 3]],Table3152025[[#This Row],[Amount 3]],Table315202530[[#This Row],[Amount 3]]),0)</f>
        <v>0</v>
      </c>
      <c r="G10" s="123">
        <f>IFERROR(AVERAGE(Table31520[[#This Row],[Amount 4]],Table3152025[[#This Row],[Amount 4]],Table315202530[[#This Row],[Amount 4]]),0)</f>
        <v>0</v>
      </c>
      <c r="H10" s="123">
        <f>IFERROR(AVERAGE(Table31520[[#This Row],[Amount 5]],Table3152025[[#This Row],[Amount 5]],Table315202530[[#This Row],[Amount 5]]),0)</f>
        <v>0</v>
      </c>
      <c r="I10" s="123">
        <f>IFERROR(AVERAGE(Table31520[[#This Row],[Amount 6]],Table3152025[[#This Row],[Amount 6]],Table315202530[[#This Row],[Amount 6]]),0)</f>
        <v>0</v>
      </c>
      <c r="J10" s="123">
        <f>IFERROR(AVERAGE(Table31520[[#This Row],[Amount 7]],Table3152025[[#This Row],[Amount 7]],Table315202530[[#This Row],[Amount 7]]),0)</f>
        <v>0</v>
      </c>
      <c r="K10" s="123">
        <f>IFERROR(AVERAGE(Table31520[[#This Row],[Amount 8]],Table3152025[[#This Row],[Amount 8]],Table315202530[[#This Row],[Amount 8]]),0)</f>
        <v>0</v>
      </c>
      <c r="L10" s="123">
        <f>IFERROR(AVERAGE(Table31520[[#This Row],[Amount 9]],Table3152025[[#This Row],[Amount 9]],Table315202530[[#This Row],[Amount 9]]),0)</f>
        <v>0</v>
      </c>
      <c r="M10" s="123">
        <f>IFERROR(AVERAGE(Table31520[[#This Row],[Amount 10]],Table3152025[[#This Row],[Amount 10]],Table315202530[[#This Row],[Amount 10]]),0)</f>
        <v>0</v>
      </c>
      <c r="N10" s="123">
        <f>IFERROR(AVERAGE(Table31520[[#This Row],[Amount 11]],Table3152025[[#This Row],[Amount 11]],Table315202530[[#This Row],[Amount 11]]),0)</f>
        <v>0</v>
      </c>
      <c r="O10" s="123">
        <f>IFERROR(AVERAGE(Table31520[[#This Row],[Amount 12]],Table3152025[[#This Row],[Amount 12]],Table315202530[[#This Row],[Amount 12]]),0)</f>
        <v>0</v>
      </c>
      <c r="P10" s="123">
        <f>IFERROR(AVERAGE(Table31520[[#This Row],[Amount 13]],Table3152025[[#This Row],[Amount 13]],Table315202530[[#This Row],[Amount 13]]),0)</f>
        <v>0</v>
      </c>
      <c r="Q10" s="123">
        <f>IFERROR(AVERAGE(Table31520[[#This Row],[Amount 14]],Table3152025[[#This Row],[Amount 14]],Table315202530[[#This Row],[Amount 14]]),0)</f>
        <v>0</v>
      </c>
      <c r="R10" s="123">
        <f>IFERROR(AVERAGE(Table31520[[#This Row],[Amount 15]],Table3152025[[#This Row],[Amount 15]],Table315202530[[#This Row],[Amount 15]]),0)</f>
        <v>0</v>
      </c>
      <c r="S10" s="123">
        <f>IFERROR(AVERAGE(Table31520[[#This Row],[Amount 16]],Table3152025[[#This Row],[Amount 16]],Table315202530[[#This Row],[Amount 16]]),0)</f>
        <v>0</v>
      </c>
      <c r="T10" s="123">
        <f>IFERROR(AVERAGE(Table31520[[#This Row],[Amount 17]],Table3152025[[#This Row],[Amount 17]],Table315202530[[#This Row],[Amount 17]]),0)</f>
        <v>0</v>
      </c>
      <c r="U10" s="123">
        <f>IFERROR(AVERAGE(Table31520[[#This Row],[Amount 18]],Table3152025[[#This Row],[Amount 18]],Table315202530[[#This Row],[Amount 18]]),0)</f>
        <v>0</v>
      </c>
      <c r="V10" s="123">
        <f>IFERROR(AVERAGE(Table31520[[#This Row],[Amount 19]],Table3152025[[#This Row],[Amount 19]],Table315202530[[#This Row],[Amount 19]]),0)</f>
        <v>0</v>
      </c>
      <c r="W10" s="123">
        <f>IFERROR(AVERAGE(Table31520[[#This Row],[Ret.Time ]],Table3152025[[#This Row],[Ret.Time ]],Table315202530[[#This Row],[Ret.Time ]]),0)</f>
        <v>0</v>
      </c>
      <c r="X10" s="123">
        <f>IFERROR(AVERAGE(Table31520[[#This Row],[Amount 20]],Table3152025[[#This Row],[Amount 20]],Table315202530[[#This Row],[Amount 20]]),0)</f>
        <v>0</v>
      </c>
      <c r="Y10" s="123">
        <f>IFERROR(AVERAGE(Table31520[[#This Row],[Ret.Time]],Table3152025[[#This Row],[Ret.Time]],Table315202530[[#This Row],[Ret.Time]]),0)</f>
        <v>0</v>
      </c>
      <c r="Z10" s="123">
        <f>IFERROR(AVERAGE(Table31520[[#This Row],[Amount 21]],Table3152025[[#This Row],[Amount 21]],Table315202530[[#This Row],[Amount 21]]),0)</f>
        <v>0</v>
      </c>
      <c r="AA10" s="123">
        <f>IFERROR(AVERAGE(Table31520[[#This Row],[Ret.Time22]],Table3152025[[#This Row],[Ret.Time22]],Table315202530[[#This Row],[Ret.Time22]]),0)</f>
        <v>0</v>
      </c>
      <c r="AB10" s="123">
        <f>IFERROR(AVERAGE(Table31520[[#This Row],[Amount 23]],Table3152025[[#This Row],[Amount 23]],Table315202530[[#This Row],[Amount 23]]),0)</f>
        <v>0</v>
      </c>
      <c r="AC10" s="123">
        <f>IFERROR(AVERAGE(Table31520[[#This Row],[Ret.Time24]],Table3152025[[#This Row],[Ret.Time24]],Table315202530[[#This Row],[Ret.Time24]]),0)</f>
        <v>0</v>
      </c>
      <c r="AD10" s="123">
        <f>IFERROR(AVERAGE(Table31520[[#This Row],[Amount 25]],Table3152025[[#This Row],[Amount 25]],Table315202530[[#This Row],[Amount 25]]),0)</f>
        <v>0</v>
      </c>
      <c r="AE10" s="18">
        <f>IFERROR(AVERAGE(Table31520[[#This Row],[pH]],Table3152025[[#This Row],[pH]],Table315202530[[#This Row],[pH]]),0)</f>
        <v>6.7733333333333334</v>
      </c>
      <c r="AF10" s="18">
        <f>IFERROR(AVERAGE(Table31520[[#This Row],[dilution ]],Table3152025[[#This Row],[dilution ]],Table315202530[[#This Row],[dilution ]]),0)</f>
        <v>10</v>
      </c>
      <c r="AG10" s="18">
        <f>IFERROR(AVERAGE(Table31520[[#This Row],[correction]],Table3152025[[#This Row],[correction]],Table315202530[[#This Row],[correction factor]]),0)</f>
        <v>1</v>
      </c>
      <c r="AH10" s="18">
        <f>IFERROR(AVERAGE(Table31520[[#This Row],[amount]],Table3152025[[#This Row],[amount]],Table315202530[[#This Row],[amount]]),0)</f>
        <v>10.526666666666666</v>
      </c>
      <c r="AI10" s="18">
        <f>IFERROR(AVERAGE(Table31520[[#This Row],[pressure]],Table3152025[[#This Row],[pressure]],Table315202530[[#This Row],[pressure]]),0)</f>
        <v>0</v>
      </c>
      <c r="AJ10" s="64">
        <f>AVERAGE(Table51621[[#This Row],[Concentration]],Table5162126[[#This Row],[Concentration]],Table516212631[[#This Row],[Concentration]])</f>
        <v>0</v>
      </c>
      <c r="AK10" s="64">
        <f>AVERAGE(Table51621[[#This Row],[Concentration2]],Table5162126[[#This Row],[Concentration2]],Table516212631[[#This Row],[Concentration2]])</f>
        <v>0</v>
      </c>
      <c r="AL10" s="64">
        <f>AVERAGE(Table51621[[#This Row],[Concentration3]],Table5162126[[#This Row],[Concentration3]],Table516212631[[#This Row],[Concentration3]])</f>
        <v>0</v>
      </c>
      <c r="AM10" s="64">
        <f>AVERAGE(Table51621[[#This Row],[Concentration4]],Table5162126[[#This Row],[Concentration4]],Table516212631[[#This Row],[Concentration4]])</f>
        <v>0</v>
      </c>
      <c r="AN10" s="64">
        <f>AVERAGE(Table51621[[#This Row],[Concentration5]],Table5162126[[#This Row],[Concentration5]],Table516212631[[#This Row],[Concentration5]])</f>
        <v>0</v>
      </c>
      <c r="AO10" s="64">
        <f>AVERAGE(Table51621[[#This Row],[Concentration6]],Table5162126[[#This Row],[Concentration6]],Table516212631[[#This Row],[Concentration6]])</f>
        <v>0</v>
      </c>
      <c r="AP10" s="64" t="e">
        <f>AVERAGE(Table51621[[#This Row],[Concentration7]],Table5162126[[#This Row],[Concentration7]],Table516212631[[#This Row],[Concentration7]])</f>
        <v>#VALUE!</v>
      </c>
      <c r="AQ10" s="64" t="e">
        <f>AVERAGE(Table51621[[#This Row],[Concentration8]],Table5162126[[#This Row],[Concentration8]],Table516212631[[#This Row],[Concentration8]])</f>
        <v>#VALUE!</v>
      </c>
      <c r="AR10" s="64" t="e">
        <f>AVERAGE(Table51621[[#This Row],[Concentration9]],Table5162126[[#This Row],[Concentration9]],Table516212631[[#This Row],[Concentration9]])</f>
        <v>#VALUE!</v>
      </c>
      <c r="AS10" s="64" t="e">
        <f>AVERAGE(Table51621[[#This Row],[Concentration10]],Table5162126[[#This Row],[Concentration10]],Table516212631[[#This Row],[Concentration10]])</f>
        <v>#VALUE!</v>
      </c>
      <c r="AT10" s="64" t="e">
        <f>AVERAGE(Table51621[[#This Row],[Concentration11]],Table5162126[[#This Row],[Concentration11]],Table516212631[[#This Row],[Concentration11]])</f>
        <v>#VALUE!</v>
      </c>
      <c r="AU10" s="64" t="e">
        <f>AVERAGE(Table51621[[#This Row],[Concentration12]],Table5162126[[#This Row],[Concentration12]],Table516212631[[#This Row],[Concentration12]])</f>
        <v>#VALUE!</v>
      </c>
      <c r="AV10" s="64" t="e">
        <f>AVERAGE(Table51621[[#This Row],[Concentration13]],Table5162126[[#This Row],[Concentration13]],Table516212631[[#This Row],[Concentration13]])</f>
        <v>#VALUE!</v>
      </c>
      <c r="AW10" s="64">
        <f>(IF(IFERROR(Q10-#REF!,Q10)&gt;constants!$D$13,(IFERROR(Q10-#REF!,Q10)*$C10/constants!$B$13),0))</f>
        <v>0</v>
      </c>
      <c r="AX10" s="64" t="e">
        <f>AVERAGE(Table51621[[#This Row],[Concentration15]],Table5162126[[#This Row],[Concentration15]],Table516212631[[#This Row],[Concentration15]])</f>
        <v>#VALUE!</v>
      </c>
      <c r="AY10" s="64" t="e">
        <f>AVERAGE(Table51621[[#This Row],[Concentration16]],Table5162126[[#This Row],[Concentration16]],Table516212631[[#This Row],[Concentration16]])</f>
        <v>#VALUE!</v>
      </c>
      <c r="AZ10" s="64">
        <f>AVERAGE(Table51621[[#This Row],[Concentration17]],Table5162126[[#This Row],[Concentration17]],Table516212631[[#This Row],[Concentration17]])</f>
        <v>1.168590882178804</v>
      </c>
      <c r="BA10" s="64">
        <f>AVERAGE(Table51621[[#This Row],[Concentration172]],Table5162126[[#This Row],[Concentration172]],Table516212631[[#This Row],[Concentration172]])</f>
        <v>0.10526666666666668</v>
      </c>
      <c r="BB10" s="64" t="e">
        <f>AVERAGE(Table51621[[#This Row],[Concentration18]],Table5162126[[#This Row],[Concentration18]],Table516212631[[#This Row],[Concentration18]])</f>
        <v>#DIV/0!</v>
      </c>
      <c r="BC10" s="64" t="e">
        <f>AVERAGE(Table51621[[#This Row],[Concentration19]],Table5162126[[#This Row],[Concentration19]],Table516212631[[#This Row],[Concentration19]])</f>
        <v>#DIV/0!</v>
      </c>
      <c r="BD10" s="64">
        <f>AVERAGE(Table51621[[#This Row],[Concentration]],Table5162126[[#This Row],[Concentration]],Table516212631[[#This Row],[Concentration]])</f>
        <v>0</v>
      </c>
      <c r="BE10" s="64">
        <f>AVERAGE(Table51621[[#This Row],[Concentration2]],Table5162126[[#This Row],[Concentration2]],Table516212631[[#This Row],[Concentration2]])</f>
        <v>0</v>
      </c>
      <c r="BF10" s="64">
        <f>AVERAGE(Table51621[[#This Row],[Concentration3]],Table5162126[[#This Row],[Concentration3]],Table516212631[[#This Row],[Concentration3]])</f>
        <v>0</v>
      </c>
      <c r="BG10" s="64">
        <f>AVERAGE(Table51621[[#This Row],[Concentration4]],Table5162126[[#This Row],[Concentration4]],Table516212631[[#This Row],[Concentration4]])</f>
        <v>0</v>
      </c>
      <c r="BH10" s="64">
        <f>AVERAGE(Table51621[[#This Row],[Concentration5]],Table5162126[[#This Row],[Concentration5]],Table516212631[[#This Row],[Concentration5]])</f>
        <v>0</v>
      </c>
      <c r="BI10" s="64" t="e">
        <f>AVERAGE(Table61722[[#This Row],[Concentration7]],Table6172227[[#This Row],[Concentration7]],Table617222732[[#This Row],[Concentration7]])</f>
        <v>#VALUE!</v>
      </c>
      <c r="BJ10" s="64" t="e">
        <f>AVERAGE(Table61722[[#This Row],[Concentration8]],Table6172227[[#This Row],[Concentration8]],Table617222732[[#This Row],[Concentration8]])</f>
        <v>#VALUE!</v>
      </c>
      <c r="BK10" s="64" t="e">
        <f>AVERAGE(Table61722[[#This Row],[Concentration9]],Table6172227[[#This Row],[Concentration9]],Table617222732[[#This Row],[Concentration9]])</f>
        <v>#VALUE!</v>
      </c>
      <c r="BL10" s="64" t="e">
        <f>AVERAGE(Table61722[[#This Row],[Concentration10]],Table6172227[[#This Row],[Concentration10]],Table617222732[[#This Row],[Concentration10]])</f>
        <v>#VALUE!</v>
      </c>
      <c r="BM10" s="64" t="e">
        <f>AVERAGE(Table61722[[#This Row],[Concentration11]],Table6172227[[#This Row],[Concentration11]],Table617222732[[#This Row],[Concentration11]])</f>
        <v>#VALUE!</v>
      </c>
      <c r="BN10" s="64" t="e">
        <f>AVERAGE(Table61722[[#This Row],[Concentration12]],Table6172227[[#This Row],[Concentration12]],Table617222732[[#This Row],[Concentration12]])</f>
        <v>#VALUE!</v>
      </c>
      <c r="BO10" s="64" t="e">
        <f>AVERAGE(Table61722[[#This Row],[Concentration13]],Table6172227[[#This Row],[Concentration13]],Table617222732[[#This Row],[Concentration13]])</f>
        <v>#VALUE!</v>
      </c>
      <c r="BP10" s="64">
        <f>Table5162126313641465156616671[[#This Row],[Concentration14]]*6</f>
        <v>0</v>
      </c>
      <c r="BQ10" s="64" t="e">
        <f>AVERAGE(Table61722[[#This Row],[Concentration15]],Table6172227[[#This Row],[Concentration15]],Table617222732[[#This Row],[Concentration15]])</f>
        <v>#VALUE!</v>
      </c>
      <c r="BR10" s="64" t="e">
        <f>AVERAGE(Table61722[[#This Row],[Concentration16]],Table6172227[[#This Row],[Concentration16]],Table617222732[[#This Row],[Concentration16]])</f>
        <v>#VALUE!</v>
      </c>
      <c r="BS10" s="64">
        <f>Table6172227323742475257626772[[#This Row],[Concentration17]]*1000</f>
        <v>3.5057726465364123</v>
      </c>
      <c r="BT10" s="64">
        <f>AVERAGE(Table61722[[#This Row],[Concentration17]],Table6172227[[#This Row],[Concentration17]],Table617222732[[#This Row],[Concentration17]])</f>
        <v>3.5057726465364124E-3</v>
      </c>
      <c r="BU10" s="64" t="e">
        <f>AVERAGE(Table61722[[#This Row],[concentration18]],Table6172227[[#This Row],[concentration18]],Table617222732[[#This Row],[concentration18]])</f>
        <v>#DIV/0!</v>
      </c>
      <c r="BV10" s="64">
        <f>SUM(IFERROR(Table6172227323742475257626772[[#This Row],[Concentration7]],0),IFERROR(Table6172227323742475257626772[[#This Row],[Concentration8]],0),IFERROR(Table6172227323742475257626772[[#This Row],[Concentration9]],0),IFERROR(Table6172227323742475257626772[[#This Row],[Concentration10]],0),IFERROR(Table6172227323742475257626772[[#This Row],[Concentration11]],0),IFERROR(Table6172227323742475257626772[[#This Row],[Concentration12]],0),IFERROR(Table6172227323742475257626772[[#This Row],[Concentration13]],0),IFERROR(Table6172227323742475257626772[[#This Row],[Concentration14]],0),IFERROR(Table6172227323742475257626772[[#This Row],[Concentration15]],0),IFERROR(Table6172227323742475257626772[[#This Row],[Concentration16]],0),IFERROR(Table6172227323742475257626772[[#This Row],[concentration18]],0))</f>
        <v>0</v>
      </c>
      <c r="BW10" s="64"/>
      <c r="CC10" s="178">
        <f>Table5162126313641465156616671[[#This Row],[Concentration18]]</f>
        <v>0.10526666666666668</v>
      </c>
      <c r="CD10" s="66">
        <f>CD9-CE9</f>
        <v>48.5</v>
      </c>
      <c r="CE10" s="47">
        <v>1.5</v>
      </c>
      <c r="CF10" s="66">
        <f>CC10*(CE10/1000)</f>
        <v>1.5790000000000002E-4</v>
      </c>
    </row>
    <row r="11" spans="1:90" s="47" customFormat="1" ht="16" thickBot="1" x14ac:dyDescent="0.4">
      <c r="A11" s="63" t="str">
        <f>Table2[[#This Row],[Date]]</f>
        <v>23-03-18</v>
      </c>
      <c r="B11" s="74">
        <f>Table2[[#This Row],[Time]]</f>
        <v>3</v>
      </c>
      <c r="C11" s="41">
        <v>0</v>
      </c>
      <c r="D11" s="123">
        <f>IFERROR(AVERAGE(Table31520[[#This Row],[Amount ]],Table3152025[[#This Row],[Amount ]],Table315202530[[#This Row],[Amount ]]),0)</f>
        <v>0</v>
      </c>
      <c r="E11" s="123">
        <f>IFERROR(AVERAGE(Table31520[[#This Row],[Amount 2]],Table3152025[[#This Row],[Amount 2]],Table315202530[[#This Row],[Amount 2]]),0)</f>
        <v>0</v>
      </c>
      <c r="F11" s="123">
        <f>IFERROR(AVERAGE(Table31520[[#This Row],[Amount 3]],Table3152025[[#This Row],[Amount 3]],Table315202530[[#This Row],[Amount 3]]),0)</f>
        <v>0</v>
      </c>
      <c r="G11" s="123">
        <f>IFERROR(AVERAGE(Table31520[[#This Row],[Amount 4]],Table3152025[[#This Row],[Amount 4]],Table315202530[[#This Row],[Amount 4]]),0)</f>
        <v>0</v>
      </c>
      <c r="H11" s="123">
        <f>IFERROR(AVERAGE(Table31520[[#This Row],[Amount 5]],Table3152025[[#This Row],[Amount 5]],Table315202530[[#This Row],[Amount 5]]),0)</f>
        <v>0</v>
      </c>
      <c r="I11" s="123">
        <f>IFERROR(AVERAGE(Table31520[[#This Row],[Amount 6]],Table3152025[[#This Row],[Amount 6]],Table315202530[[#This Row],[Amount 6]]),0)</f>
        <v>0</v>
      </c>
      <c r="J11" s="123">
        <f>IFERROR(AVERAGE(Table31520[[#This Row],[Amount 7]],Table3152025[[#This Row],[Amount 7]],Table315202530[[#This Row],[Amount 7]]),0)</f>
        <v>0</v>
      </c>
      <c r="K11" s="123">
        <f>IFERROR(AVERAGE(Table31520[[#This Row],[Amount 8]],Table3152025[[#This Row],[Amount 8]],Table315202530[[#This Row],[Amount 8]]),0)</f>
        <v>0</v>
      </c>
      <c r="L11" s="123">
        <f>IFERROR(AVERAGE(Table31520[[#This Row],[Amount 9]],Table3152025[[#This Row],[Amount 9]],Table315202530[[#This Row],[Amount 9]]),0)</f>
        <v>0</v>
      </c>
      <c r="M11" s="123">
        <f>IFERROR(AVERAGE(Table31520[[#This Row],[Amount 10]],Table3152025[[#This Row],[Amount 10]],Table315202530[[#This Row],[Amount 10]]),0)</f>
        <v>0</v>
      </c>
      <c r="N11" s="123">
        <f>IFERROR(AVERAGE(Table31520[[#This Row],[Amount 11]],Table3152025[[#This Row],[Amount 11]],Table315202530[[#This Row],[Amount 11]]),0)</f>
        <v>0</v>
      </c>
      <c r="O11" s="123">
        <f>IFERROR(AVERAGE(Table31520[[#This Row],[Amount 12]],Table3152025[[#This Row],[Amount 12]],Table315202530[[#This Row],[Amount 12]]),0)</f>
        <v>0</v>
      </c>
      <c r="P11" s="123">
        <f>IFERROR(AVERAGE(Table31520[[#This Row],[Amount 13]],Table3152025[[#This Row],[Amount 13]],Table315202530[[#This Row],[Amount 13]]),0)</f>
        <v>0</v>
      </c>
      <c r="Q11" s="123">
        <f>IFERROR(AVERAGE(Table31520[[#This Row],[Amount 14]],Table3152025[[#This Row],[Amount 14]],Table315202530[[#This Row],[Amount 14]]),0)</f>
        <v>0</v>
      </c>
      <c r="R11" s="123">
        <f>IFERROR(AVERAGE(Table31520[[#This Row],[Amount 15]],Table3152025[[#This Row],[Amount 15]],Table315202530[[#This Row],[Amount 15]]),0)</f>
        <v>0</v>
      </c>
      <c r="S11" s="123">
        <f>IFERROR(AVERAGE(Table31520[[#This Row],[Amount 16]],Table3152025[[#This Row],[Amount 16]],Table315202530[[#This Row],[Amount 16]]),0)</f>
        <v>0</v>
      </c>
      <c r="T11" s="123">
        <f>IFERROR(AVERAGE(Table31520[[#This Row],[Amount 17]],Table3152025[[#This Row],[Amount 17]],Table315202530[[#This Row],[Amount 17]]),0)</f>
        <v>0</v>
      </c>
      <c r="U11" s="123">
        <f>IFERROR(AVERAGE(Table31520[[#This Row],[Amount 18]],Table3152025[[#This Row],[Amount 18]],Table315202530[[#This Row],[Amount 18]]),0)</f>
        <v>0</v>
      </c>
      <c r="V11" s="123">
        <f>IFERROR(AVERAGE(Table31520[[#This Row],[Amount 19]],Table3152025[[#This Row],[Amount 19]],Table315202530[[#This Row],[Amount 19]]),0)</f>
        <v>0</v>
      </c>
      <c r="W11" s="123">
        <f>IFERROR(AVERAGE(Table31520[[#This Row],[Ret.Time ]],Table3152025[[#This Row],[Ret.Time ]],Table315202530[[#This Row],[Ret.Time ]]),0)</f>
        <v>0</v>
      </c>
      <c r="X11" s="123">
        <f>IFERROR(AVERAGE(Table31520[[#This Row],[Amount 20]],Table3152025[[#This Row],[Amount 20]],Table315202530[[#This Row],[Amount 20]]),0)</f>
        <v>0</v>
      </c>
      <c r="Y11" s="123">
        <f>IFERROR(AVERAGE(Table31520[[#This Row],[Ret.Time]],Table3152025[[#This Row],[Ret.Time]],Table315202530[[#This Row],[Ret.Time]]),0)</f>
        <v>0</v>
      </c>
      <c r="Z11" s="123">
        <f>IFERROR(AVERAGE(Table31520[[#This Row],[Amount 21]],Table3152025[[#This Row],[Amount 21]],Table315202530[[#This Row],[Amount 21]]),0)</f>
        <v>0</v>
      </c>
      <c r="AA11" s="123">
        <f>IFERROR(AVERAGE(Table31520[[#This Row],[Ret.Time22]],Table3152025[[#This Row],[Ret.Time22]],Table315202530[[#This Row],[Ret.Time22]]),0)</f>
        <v>0</v>
      </c>
      <c r="AB11" s="123">
        <f>IFERROR(AVERAGE(Table31520[[#This Row],[Amount 23]],Table3152025[[#This Row],[Amount 23]],Table315202530[[#This Row],[Amount 23]]),0)</f>
        <v>0</v>
      </c>
      <c r="AC11" s="123">
        <f>IFERROR(AVERAGE(Table31520[[#This Row],[Ret.Time24]],Table3152025[[#This Row],[Ret.Time24]],Table315202530[[#This Row],[Ret.Time24]]),0)</f>
        <v>0</v>
      </c>
      <c r="AD11" s="123">
        <f>IFERROR(AVERAGE(Table31520[[#This Row],[Amount 25]],Table3152025[[#This Row],[Amount 25]],Table315202530[[#This Row],[Amount 25]]),0)</f>
        <v>0</v>
      </c>
      <c r="AE11" s="18">
        <f>IFERROR(AVERAGE(Table31520[[#This Row],[pH]],Table3152025[[#This Row],[pH]],Table315202530[[#This Row],[pH]]),0)</f>
        <v>6.3066666666666658</v>
      </c>
      <c r="AF11" s="18">
        <f>IFERROR(AVERAGE(Table31520[[#This Row],[dilution ]],Table3152025[[#This Row],[dilution ]],Table315202530[[#This Row],[dilution ]]),0)</f>
        <v>10</v>
      </c>
      <c r="AG11" s="18">
        <f>IFERROR(AVERAGE(Table31520[[#This Row],[correction]],Table3152025[[#This Row],[correction]],Table315202530[[#This Row],[correction factor]]),0)</f>
        <v>1</v>
      </c>
      <c r="AH11" s="18">
        <f>IFERROR(AVERAGE(Table31520[[#This Row],[amount]],Table3152025[[#This Row],[amount]],Table315202530[[#This Row],[amount]]),0)</f>
        <v>28.721766666666667</v>
      </c>
      <c r="AI11" s="18">
        <f>IFERROR(AVERAGE(Table31520[[#This Row],[pressure]],Table3152025[[#This Row],[pressure]],Table315202530[[#This Row],[pressure]]),0)</f>
        <v>0</v>
      </c>
      <c r="AJ11" s="64">
        <f>AVERAGE(Table51621[[#This Row],[Concentration]],Table5162126[[#This Row],[Concentration]],Table516212631[[#This Row],[Concentration]])</f>
        <v>0</v>
      </c>
      <c r="AK11" s="64">
        <f>AVERAGE(Table51621[[#This Row],[Concentration2]],Table5162126[[#This Row],[Concentration2]],Table516212631[[#This Row],[Concentration2]])</f>
        <v>0</v>
      </c>
      <c r="AL11" s="64">
        <f>AVERAGE(Table51621[[#This Row],[Concentration3]],Table5162126[[#This Row],[Concentration3]],Table516212631[[#This Row],[Concentration3]])</f>
        <v>0</v>
      </c>
      <c r="AM11" s="64">
        <f>AVERAGE(Table51621[[#This Row],[Concentration4]],Table5162126[[#This Row],[Concentration4]],Table516212631[[#This Row],[Concentration4]])</f>
        <v>0</v>
      </c>
      <c r="AN11" s="64">
        <f>AVERAGE(Table51621[[#This Row],[Concentration5]],Table5162126[[#This Row],[Concentration5]],Table516212631[[#This Row],[Concentration5]])</f>
        <v>0</v>
      </c>
      <c r="AO11" s="64">
        <f>AVERAGE(Table51621[[#This Row],[Concentration6]],Table5162126[[#This Row],[Concentration6]],Table516212631[[#This Row],[Concentration6]])</f>
        <v>0</v>
      </c>
      <c r="AP11" s="64" t="e">
        <f>AVERAGE(Table51621[[#This Row],[Concentration7]],Table5162126[[#This Row],[Concentration7]],Table516212631[[#This Row],[Concentration7]])</f>
        <v>#VALUE!</v>
      </c>
      <c r="AQ11" s="64" t="e">
        <f>AVERAGE(Table51621[[#This Row],[Concentration8]],Table5162126[[#This Row],[Concentration8]],Table516212631[[#This Row],[Concentration8]])</f>
        <v>#VALUE!</v>
      </c>
      <c r="AR11" s="64" t="e">
        <f>AVERAGE(Table51621[[#This Row],[Concentration9]],Table5162126[[#This Row],[Concentration9]],Table516212631[[#This Row],[Concentration9]])</f>
        <v>#VALUE!</v>
      </c>
      <c r="AS11" s="64" t="e">
        <f>AVERAGE(Table51621[[#This Row],[Concentration10]],Table5162126[[#This Row],[Concentration10]],Table516212631[[#This Row],[Concentration10]])</f>
        <v>#VALUE!</v>
      </c>
      <c r="AT11" s="64" t="e">
        <f>AVERAGE(Table51621[[#This Row],[Concentration11]],Table5162126[[#This Row],[Concentration11]],Table516212631[[#This Row],[Concentration11]])</f>
        <v>#VALUE!</v>
      </c>
      <c r="AU11" s="64" t="e">
        <f>AVERAGE(Table51621[[#This Row],[Concentration12]],Table5162126[[#This Row],[Concentration12]],Table516212631[[#This Row],[Concentration12]])</f>
        <v>#VALUE!</v>
      </c>
      <c r="AV11" s="64" t="e">
        <f>AVERAGE(Table51621[[#This Row],[Concentration13]],Table5162126[[#This Row],[Concentration13]],Table516212631[[#This Row],[Concentration13]])</f>
        <v>#VALUE!</v>
      </c>
      <c r="AW11" s="64">
        <f>(IF(IFERROR(Q11-#REF!,Q11)&gt;constants!$D$13,(IFERROR(Q11-#REF!,Q11)*$C11/constants!$B$13),0))</f>
        <v>0</v>
      </c>
      <c r="AX11" s="64" t="e">
        <f>AVERAGE(Table51621[[#This Row],[Concentration15]],Table5162126[[#This Row],[Concentration15]],Table516212631[[#This Row],[Concentration15]])</f>
        <v>#VALUE!</v>
      </c>
      <c r="AY11" s="64" t="e">
        <f>AVERAGE(Table51621[[#This Row],[Concentration16]],Table5162126[[#This Row],[Concentration16]],Table516212631[[#This Row],[Concentration16]])</f>
        <v>#VALUE!</v>
      </c>
      <c r="AZ11" s="64">
        <f>AVERAGE(Table51621[[#This Row],[Concentration17]],Table5162126[[#This Row],[Concentration17]],Table516212631[[#This Row],[Concentration17]])</f>
        <v>3.1884732089994081</v>
      </c>
      <c r="BA11" s="64">
        <f>AVERAGE(Table51621[[#This Row],[Concentration172]],Table5162126[[#This Row],[Concentration172]],Table516212631[[#This Row],[Concentration172]])</f>
        <v>0.28721766666666665</v>
      </c>
      <c r="BB11" s="64" t="e">
        <f>AVERAGE(Table51621[[#This Row],[Concentration18]],Table5162126[[#This Row],[Concentration18]],Table516212631[[#This Row],[Concentration18]])</f>
        <v>#DIV/0!</v>
      </c>
      <c r="BC11" s="64" t="e">
        <f>AVERAGE(Table51621[[#This Row],[Concentration19]],Table5162126[[#This Row],[Concentration19]],Table516212631[[#This Row],[Concentration19]])</f>
        <v>#DIV/0!</v>
      </c>
      <c r="BD11" s="64">
        <f>AVERAGE(Table51621[[#This Row],[Concentration]],Table5162126[[#This Row],[Concentration]],Table516212631[[#This Row],[Concentration]])</f>
        <v>0</v>
      </c>
      <c r="BE11" s="64">
        <f>AVERAGE(Table51621[[#This Row],[Concentration2]],Table5162126[[#This Row],[Concentration2]],Table516212631[[#This Row],[Concentration2]])</f>
        <v>0</v>
      </c>
      <c r="BF11" s="64">
        <f>AVERAGE(Table51621[[#This Row],[Concentration3]],Table5162126[[#This Row],[Concentration3]],Table516212631[[#This Row],[Concentration3]])</f>
        <v>0</v>
      </c>
      <c r="BG11" s="64">
        <f>AVERAGE(Table51621[[#This Row],[Concentration4]],Table5162126[[#This Row],[Concentration4]],Table516212631[[#This Row],[Concentration4]])</f>
        <v>0</v>
      </c>
      <c r="BH11" s="64">
        <f>AVERAGE(Table51621[[#This Row],[Concentration5]],Table5162126[[#This Row],[Concentration5]],Table516212631[[#This Row],[Concentration5]])</f>
        <v>0</v>
      </c>
      <c r="BI11" s="64" t="e">
        <f>AVERAGE(Table61722[[#This Row],[Concentration7]],Table6172227[[#This Row],[Concentration7]],Table617222732[[#This Row],[Concentration7]])</f>
        <v>#VALUE!</v>
      </c>
      <c r="BJ11" s="64" t="e">
        <f>AVERAGE(Table61722[[#This Row],[Concentration8]],Table6172227[[#This Row],[Concentration8]],Table617222732[[#This Row],[Concentration8]])</f>
        <v>#VALUE!</v>
      </c>
      <c r="BK11" s="64" t="e">
        <f>AVERAGE(Table61722[[#This Row],[Concentration9]],Table6172227[[#This Row],[Concentration9]],Table617222732[[#This Row],[Concentration9]])</f>
        <v>#VALUE!</v>
      </c>
      <c r="BL11" s="64" t="e">
        <f>AVERAGE(Table61722[[#This Row],[Concentration10]],Table6172227[[#This Row],[Concentration10]],Table617222732[[#This Row],[Concentration10]])</f>
        <v>#VALUE!</v>
      </c>
      <c r="BM11" s="64" t="e">
        <f>AVERAGE(Table61722[[#This Row],[Concentration11]],Table6172227[[#This Row],[Concentration11]],Table617222732[[#This Row],[Concentration11]])</f>
        <v>#VALUE!</v>
      </c>
      <c r="BN11" s="64" t="e">
        <f>AVERAGE(Table61722[[#This Row],[Concentration12]],Table6172227[[#This Row],[Concentration12]],Table617222732[[#This Row],[Concentration12]])</f>
        <v>#VALUE!</v>
      </c>
      <c r="BO11" s="64" t="e">
        <f>AVERAGE(Table61722[[#This Row],[Concentration13]],Table6172227[[#This Row],[Concentration13]],Table617222732[[#This Row],[Concentration13]])</f>
        <v>#VALUE!</v>
      </c>
      <c r="BP11" s="64">
        <f>Table5162126313641465156616671[[#This Row],[Concentration14]]*6</f>
        <v>0</v>
      </c>
      <c r="BQ11" s="64" t="e">
        <f>AVERAGE(Table61722[[#This Row],[Concentration15]],Table6172227[[#This Row],[Concentration15]],Table617222732[[#This Row],[Concentration15]])</f>
        <v>#VALUE!</v>
      </c>
      <c r="BR11" s="64" t="e">
        <f>AVERAGE(Table61722[[#This Row],[Concentration16]],Table6172227[[#This Row],[Concentration16]],Table617222732[[#This Row],[Concentration16]])</f>
        <v>#VALUE!</v>
      </c>
      <c r="BS11" s="64">
        <f>Table6172227323742475257626772[[#This Row],[Concentration17]]*1000</f>
        <v>9.5654196269982243</v>
      </c>
      <c r="BT11" s="64">
        <f>AVERAGE(Table61722[[#This Row],[Concentration17]],Table6172227[[#This Row],[Concentration17]],Table617222732[[#This Row],[Concentration17]])</f>
        <v>9.5654196269982245E-3</v>
      </c>
      <c r="BU11" s="64" t="e">
        <f>AVERAGE(Table61722[[#This Row],[concentration18]],Table6172227[[#This Row],[concentration18]],Table617222732[[#This Row],[concentration18]])</f>
        <v>#DIV/0!</v>
      </c>
      <c r="BV11" s="64">
        <f>SUM(IFERROR(Table6172227323742475257626772[[#This Row],[Concentration7]],0),IFERROR(Table6172227323742475257626772[[#This Row],[Concentration8]],0),IFERROR(Table6172227323742475257626772[[#This Row],[Concentration9]],0),IFERROR(Table6172227323742475257626772[[#This Row],[Concentration10]],0),IFERROR(Table6172227323742475257626772[[#This Row],[Concentration11]],0),IFERROR(Table6172227323742475257626772[[#This Row],[Concentration12]],0),IFERROR(Table6172227323742475257626772[[#This Row],[Concentration13]],0),IFERROR(Table6172227323742475257626772[[#This Row],[Concentration14]],0),IFERROR(Table6172227323742475257626772[[#This Row],[Concentration15]],0),IFERROR(Table6172227323742475257626772[[#This Row],[Concentration16]],0),IFERROR(Table6172227323742475257626772[[#This Row],[concentration18]],0))</f>
        <v>0</v>
      </c>
      <c r="BW11" s="64"/>
      <c r="CC11" s="178">
        <f>Table5162126313641465156616671[[#This Row],[Concentration18]]</f>
        <v>0.28721766666666665</v>
      </c>
      <c r="CD11" s="66">
        <f t="shared" ref="CD11:CD15" si="0">CD10-CE10</f>
        <v>47</v>
      </c>
      <c r="CE11" s="47">
        <v>1.5</v>
      </c>
      <c r="CF11" s="66">
        <f t="shared" ref="CF11:CF14" si="1">CC11*(CE11/1000)</f>
        <v>4.3082649999999999E-4</v>
      </c>
    </row>
    <row r="12" spans="1:90" s="66" customFormat="1" ht="16" thickBot="1" x14ac:dyDescent="0.4">
      <c r="A12" s="63" t="str">
        <f>Table2[[#This Row],[Date]]</f>
        <v>26-03-18</v>
      </c>
      <c r="B12" s="74">
        <f>Table2[[#This Row],[Time]]</f>
        <v>6</v>
      </c>
      <c r="C12" s="77">
        <v>0</v>
      </c>
      <c r="D12" s="123">
        <f>IFERROR(AVERAGE(Table31520[[#This Row],[Amount ]],Table3152025[[#This Row],[Amount ]],Table315202530[[#This Row],[Amount ]]),0)</f>
        <v>0</v>
      </c>
      <c r="E12" s="123">
        <f>IFERROR(AVERAGE(Table31520[[#This Row],[Amount 2]],Table3152025[[#This Row],[Amount 2]],Table315202530[[#This Row],[Amount 2]]),0)</f>
        <v>0</v>
      </c>
      <c r="F12" s="123">
        <f>IFERROR(AVERAGE(Table31520[[#This Row],[Amount 3]],Table3152025[[#This Row],[Amount 3]],Table315202530[[#This Row],[Amount 3]]),0)</f>
        <v>0</v>
      </c>
      <c r="G12" s="123">
        <f>IFERROR(AVERAGE(Table31520[[#This Row],[Amount 4]],Table3152025[[#This Row],[Amount 4]],Table315202530[[#This Row],[Amount 4]]),0)</f>
        <v>0</v>
      </c>
      <c r="H12" s="123">
        <f>IFERROR(AVERAGE(Table31520[[#This Row],[Amount 5]],Table3152025[[#This Row],[Amount 5]],Table315202530[[#This Row],[Amount 5]]),0)</f>
        <v>0</v>
      </c>
      <c r="I12" s="123">
        <f>IFERROR(AVERAGE(Table31520[[#This Row],[Amount 6]],Table3152025[[#This Row],[Amount 6]],Table315202530[[#This Row],[Amount 6]]),0)</f>
        <v>0</v>
      </c>
      <c r="J12" s="123">
        <f>IFERROR(AVERAGE(Table31520[[#This Row],[Amount 7]],Table3152025[[#This Row],[Amount 7]],Table315202530[[#This Row],[Amount 7]]),0)</f>
        <v>0</v>
      </c>
      <c r="K12" s="123">
        <f>IFERROR(AVERAGE(Table31520[[#This Row],[Amount 8]],Table3152025[[#This Row],[Amount 8]],Table315202530[[#This Row],[Amount 8]]),0)</f>
        <v>0</v>
      </c>
      <c r="L12" s="123">
        <f>IFERROR(AVERAGE(Table31520[[#This Row],[Amount 9]],Table3152025[[#This Row],[Amount 9]],Table315202530[[#This Row],[Amount 9]]),0)</f>
        <v>0</v>
      </c>
      <c r="M12" s="123">
        <f>IFERROR(AVERAGE(Table31520[[#This Row],[Amount 10]],Table3152025[[#This Row],[Amount 10]],Table315202530[[#This Row],[Amount 10]]),0)</f>
        <v>0</v>
      </c>
      <c r="N12" s="123">
        <f>IFERROR(AVERAGE(Table31520[[#This Row],[Amount 11]],Table3152025[[#This Row],[Amount 11]],Table315202530[[#This Row],[Amount 11]]),0)</f>
        <v>0</v>
      </c>
      <c r="O12" s="123">
        <f>IFERROR(AVERAGE(Table31520[[#This Row],[Amount 12]],Table3152025[[#This Row],[Amount 12]],Table315202530[[#This Row],[Amount 12]]),0)</f>
        <v>0</v>
      </c>
      <c r="P12" s="123">
        <f>IFERROR(AVERAGE(Table31520[[#This Row],[Amount 13]],Table3152025[[#This Row],[Amount 13]],Table315202530[[#This Row],[Amount 13]]),0)</f>
        <v>0</v>
      </c>
      <c r="Q12" s="123">
        <f>IFERROR(AVERAGE(Table31520[[#This Row],[Amount 14]],Table3152025[[#This Row],[Amount 14]],Table315202530[[#This Row],[Amount 14]]),0)</f>
        <v>0</v>
      </c>
      <c r="R12" s="123">
        <f>IFERROR(AVERAGE(Table31520[[#This Row],[Amount 15]],Table3152025[[#This Row],[Amount 15]],Table315202530[[#This Row],[Amount 15]]),0)</f>
        <v>0</v>
      </c>
      <c r="S12" s="123">
        <f>IFERROR(AVERAGE(Table31520[[#This Row],[Amount 16]],Table3152025[[#This Row],[Amount 16]],Table315202530[[#This Row],[Amount 16]]),0)</f>
        <v>0</v>
      </c>
      <c r="T12" s="123">
        <f>IFERROR(AVERAGE(Table31520[[#This Row],[Amount 17]],Table3152025[[#This Row],[Amount 17]],Table315202530[[#This Row],[Amount 17]]),0)</f>
        <v>0</v>
      </c>
      <c r="U12" s="123">
        <f>IFERROR(AVERAGE(Table31520[[#This Row],[Amount 18]],Table3152025[[#This Row],[Amount 18]],Table315202530[[#This Row],[Amount 18]]),0)</f>
        <v>0</v>
      </c>
      <c r="V12" s="123">
        <f>IFERROR(AVERAGE(Table31520[[#This Row],[Amount 19]],Table3152025[[#This Row],[Amount 19]],Table315202530[[#This Row],[Amount 19]]),0)</f>
        <v>0</v>
      </c>
      <c r="W12" s="123">
        <f>IFERROR(AVERAGE(Table31520[[#This Row],[Ret.Time ]],Table3152025[[#This Row],[Ret.Time ]],Table315202530[[#This Row],[Ret.Time ]]),0)</f>
        <v>0</v>
      </c>
      <c r="X12" s="123">
        <f>IFERROR(AVERAGE(Table31520[[#This Row],[Amount 20]],Table3152025[[#This Row],[Amount 20]],Table315202530[[#This Row],[Amount 20]]),0)</f>
        <v>0</v>
      </c>
      <c r="Y12" s="123">
        <f>IFERROR(AVERAGE(Table31520[[#This Row],[Ret.Time]],Table3152025[[#This Row],[Ret.Time]],Table315202530[[#This Row],[Ret.Time]]),0)</f>
        <v>0</v>
      </c>
      <c r="Z12" s="123">
        <f>IFERROR(AVERAGE(Table31520[[#This Row],[Amount 21]],Table3152025[[#This Row],[Amount 21]],Table315202530[[#This Row],[Amount 21]]),0)</f>
        <v>0</v>
      </c>
      <c r="AA12" s="123">
        <f>IFERROR(AVERAGE(Table31520[[#This Row],[Ret.Time22]],Table3152025[[#This Row],[Ret.Time22]],Table315202530[[#This Row],[Ret.Time22]]),0)</f>
        <v>0</v>
      </c>
      <c r="AB12" s="123">
        <f>IFERROR(AVERAGE(Table31520[[#This Row],[Amount 23]],Table3152025[[#This Row],[Amount 23]],Table315202530[[#This Row],[Amount 23]]),0)</f>
        <v>0</v>
      </c>
      <c r="AC12" s="123">
        <f>IFERROR(AVERAGE(Table31520[[#This Row],[Ret.Time24]],Table3152025[[#This Row],[Ret.Time24]],Table315202530[[#This Row],[Ret.Time24]]),0)</f>
        <v>0</v>
      </c>
      <c r="AD12" s="123">
        <f>IFERROR(AVERAGE(Table31520[[#This Row],[Amount 25]],Table3152025[[#This Row],[Amount 25]],Table315202530[[#This Row],[Amount 25]]),0)</f>
        <v>0</v>
      </c>
      <c r="AE12" s="18">
        <f>IFERROR(AVERAGE(Table31520[[#This Row],[pH]],Table3152025[[#This Row],[pH]],Table315202530[[#This Row],[pH]]),0)</f>
        <v>3.5833333333333335</v>
      </c>
      <c r="AF12" s="18">
        <f>IFERROR(AVERAGE(Table31520[[#This Row],[dilution ]],Table3152025[[#This Row],[dilution ]],Table315202530[[#This Row],[dilution ]]),0)</f>
        <v>100</v>
      </c>
      <c r="AG12" s="18">
        <f>IFERROR(AVERAGE(Table31520[[#This Row],[correction]],Table3152025[[#This Row],[correction]],Table315202530[[#This Row],[correction factor]]),0)</f>
        <v>1</v>
      </c>
      <c r="AH12" s="18">
        <f>IFERROR(AVERAGE(Table31520[[#This Row],[amount]],Table3152025[[#This Row],[amount]],Table315202530[[#This Row],[amount]]),0)</f>
        <v>12.453800000000001</v>
      </c>
      <c r="AI12" s="18">
        <f>IFERROR(AVERAGE(Table31520[[#This Row],[pressure]],Table3152025[[#This Row],[pressure]],Table315202530[[#This Row],[pressure]]),0)</f>
        <v>0</v>
      </c>
      <c r="AJ12" s="64">
        <f>AVERAGE(Table51621[[#This Row],[Concentration]],Table5162126[[#This Row],[Concentration]],Table516212631[[#This Row],[Concentration]])</f>
        <v>0</v>
      </c>
      <c r="AK12" s="64">
        <f>AVERAGE(Table51621[[#This Row],[Concentration2]],Table5162126[[#This Row],[Concentration2]],Table516212631[[#This Row],[Concentration2]])</f>
        <v>0</v>
      </c>
      <c r="AL12" s="64">
        <f>AVERAGE(Table51621[[#This Row],[Concentration3]],Table5162126[[#This Row],[Concentration3]],Table516212631[[#This Row],[Concentration3]])</f>
        <v>0</v>
      </c>
      <c r="AM12" s="64">
        <f>AVERAGE(Table51621[[#This Row],[Concentration4]],Table5162126[[#This Row],[Concentration4]],Table516212631[[#This Row],[Concentration4]])</f>
        <v>0</v>
      </c>
      <c r="AN12" s="64">
        <f>AVERAGE(Table51621[[#This Row],[Concentration5]],Table5162126[[#This Row],[Concentration5]],Table516212631[[#This Row],[Concentration5]])</f>
        <v>0</v>
      </c>
      <c r="AO12" s="64">
        <f>AVERAGE(Table51621[[#This Row],[Concentration6]],Table5162126[[#This Row],[Concentration6]],Table516212631[[#This Row],[Concentration6]])</f>
        <v>0</v>
      </c>
      <c r="AP12" s="64" t="e">
        <f>AVERAGE(Table51621[[#This Row],[Concentration7]],Table5162126[[#This Row],[Concentration7]],Table516212631[[#This Row],[Concentration7]])</f>
        <v>#VALUE!</v>
      </c>
      <c r="AQ12" s="64" t="e">
        <f>AVERAGE(Table51621[[#This Row],[Concentration8]],Table5162126[[#This Row],[Concentration8]],Table516212631[[#This Row],[Concentration8]])</f>
        <v>#VALUE!</v>
      </c>
      <c r="AR12" s="64" t="e">
        <f>AVERAGE(Table51621[[#This Row],[Concentration9]],Table5162126[[#This Row],[Concentration9]],Table516212631[[#This Row],[Concentration9]])</f>
        <v>#VALUE!</v>
      </c>
      <c r="AS12" s="64" t="e">
        <f>AVERAGE(Table51621[[#This Row],[Concentration10]],Table5162126[[#This Row],[Concentration10]],Table516212631[[#This Row],[Concentration10]])</f>
        <v>#VALUE!</v>
      </c>
      <c r="AT12" s="64" t="e">
        <f>AVERAGE(Table51621[[#This Row],[Concentration11]],Table5162126[[#This Row],[Concentration11]],Table516212631[[#This Row],[Concentration11]])</f>
        <v>#VALUE!</v>
      </c>
      <c r="AU12" s="64" t="e">
        <f>AVERAGE(Table51621[[#This Row],[Concentration12]],Table5162126[[#This Row],[Concentration12]],Table516212631[[#This Row],[Concentration12]])</f>
        <v>#VALUE!</v>
      </c>
      <c r="AV12" s="64" t="e">
        <f>AVERAGE(Table51621[[#This Row],[Concentration13]],Table5162126[[#This Row],[Concentration13]],Table516212631[[#This Row],[Concentration13]])</f>
        <v>#VALUE!</v>
      </c>
      <c r="AW12" s="64">
        <f>(IF(IFERROR(Q12-#REF!,Q12)&gt;constants!$D$13,(IFERROR(Q12-#REF!,Q12)*$C12/constants!$B$13),0))</f>
        <v>0</v>
      </c>
      <c r="AX12" s="64" t="e">
        <f>AVERAGE(Table51621[[#This Row],[Concentration15]],Table5162126[[#This Row],[Concentration15]],Table516212631[[#This Row],[Concentration15]])</f>
        <v>#VALUE!</v>
      </c>
      <c r="AY12" s="64" t="e">
        <f>AVERAGE(Table51621[[#This Row],[Concentration16]],Table5162126[[#This Row],[Concentration16]],Table516212631[[#This Row],[Concentration16]])</f>
        <v>#VALUE!</v>
      </c>
      <c r="AZ12" s="64">
        <f>AVERAGE(Table51621[[#This Row],[Concentration17]],Table5162126[[#This Row],[Concentration17]],Table516212631[[#This Row],[Concentration17]])</f>
        <v>13.825266429840141</v>
      </c>
      <c r="BA12" s="64">
        <f>AVERAGE(Table51621[[#This Row],[Concentration172]],Table5162126[[#This Row],[Concentration172]],Table516212631[[#This Row],[Concentration172]])</f>
        <v>1.2453800000000002</v>
      </c>
      <c r="BB12" s="64" t="e">
        <f>AVERAGE(Table51621[[#This Row],[Concentration18]],Table5162126[[#This Row],[Concentration18]],Table516212631[[#This Row],[Concentration18]])</f>
        <v>#DIV/0!</v>
      </c>
      <c r="BC12" s="64" t="e">
        <f>AVERAGE(Table51621[[#This Row],[Concentration19]],Table5162126[[#This Row],[Concentration19]],Table516212631[[#This Row],[Concentration19]])</f>
        <v>#DIV/0!</v>
      </c>
      <c r="BD12" s="64">
        <f>AVERAGE(Table51621[[#This Row],[Concentration]],Table5162126[[#This Row],[Concentration]],Table516212631[[#This Row],[Concentration]])</f>
        <v>0</v>
      </c>
      <c r="BE12" s="64">
        <f>AVERAGE(Table51621[[#This Row],[Concentration2]],Table5162126[[#This Row],[Concentration2]],Table516212631[[#This Row],[Concentration2]])</f>
        <v>0</v>
      </c>
      <c r="BF12" s="64">
        <f>AVERAGE(Table51621[[#This Row],[Concentration3]],Table5162126[[#This Row],[Concentration3]],Table516212631[[#This Row],[Concentration3]])</f>
        <v>0</v>
      </c>
      <c r="BG12" s="64">
        <f>AVERAGE(Table51621[[#This Row],[Concentration4]],Table5162126[[#This Row],[Concentration4]],Table516212631[[#This Row],[Concentration4]])</f>
        <v>0</v>
      </c>
      <c r="BH12" s="64">
        <f>AVERAGE(Table51621[[#This Row],[Concentration5]],Table5162126[[#This Row],[Concentration5]],Table516212631[[#This Row],[Concentration5]])</f>
        <v>0</v>
      </c>
      <c r="BI12" s="64" t="e">
        <f>AVERAGE(Table61722[[#This Row],[Concentration7]],Table6172227[[#This Row],[Concentration7]],Table617222732[[#This Row],[Concentration7]])</f>
        <v>#VALUE!</v>
      </c>
      <c r="BJ12" s="64" t="e">
        <f>AVERAGE(Table61722[[#This Row],[Concentration8]],Table6172227[[#This Row],[Concentration8]],Table617222732[[#This Row],[Concentration8]])</f>
        <v>#VALUE!</v>
      </c>
      <c r="BK12" s="64" t="e">
        <f>AVERAGE(Table61722[[#This Row],[Concentration9]],Table6172227[[#This Row],[Concentration9]],Table617222732[[#This Row],[Concentration9]])</f>
        <v>#VALUE!</v>
      </c>
      <c r="BL12" s="64" t="e">
        <f>AVERAGE(Table61722[[#This Row],[Concentration10]],Table6172227[[#This Row],[Concentration10]],Table617222732[[#This Row],[Concentration10]])</f>
        <v>#VALUE!</v>
      </c>
      <c r="BM12" s="64" t="e">
        <f>AVERAGE(Table61722[[#This Row],[Concentration11]],Table6172227[[#This Row],[Concentration11]],Table617222732[[#This Row],[Concentration11]])</f>
        <v>#VALUE!</v>
      </c>
      <c r="BN12" s="64" t="e">
        <f>AVERAGE(Table61722[[#This Row],[Concentration12]],Table6172227[[#This Row],[Concentration12]],Table617222732[[#This Row],[Concentration12]])</f>
        <v>#VALUE!</v>
      </c>
      <c r="BO12" s="64" t="e">
        <f>AVERAGE(Table61722[[#This Row],[Concentration13]],Table6172227[[#This Row],[Concentration13]],Table617222732[[#This Row],[Concentration13]])</f>
        <v>#VALUE!</v>
      </c>
      <c r="BP12" s="64">
        <f>Table5162126313641465156616671[[#This Row],[Concentration14]]*6</f>
        <v>0</v>
      </c>
      <c r="BQ12" s="64" t="e">
        <f>AVERAGE(Table61722[[#This Row],[Concentration15]],Table6172227[[#This Row],[Concentration15]],Table617222732[[#This Row],[Concentration15]])</f>
        <v>#VALUE!</v>
      </c>
      <c r="BR12" s="64" t="e">
        <f>AVERAGE(Table61722[[#This Row],[Concentration16]],Table6172227[[#This Row],[Concentration16]],Table617222732[[#This Row],[Concentration16]])</f>
        <v>#VALUE!</v>
      </c>
      <c r="BS12" s="64">
        <f>Table6172227323742475257626772[[#This Row],[Concentration17]]*1000</f>
        <v>41.475799289520424</v>
      </c>
      <c r="BT12" s="64">
        <f>AVERAGE(Table61722[[#This Row],[Concentration17]],Table6172227[[#This Row],[Concentration17]],Table617222732[[#This Row],[Concentration17]])</f>
        <v>4.1475799289520422E-2</v>
      </c>
      <c r="BU12" s="64" t="e">
        <f>AVERAGE(Table61722[[#This Row],[concentration18]],Table6172227[[#This Row],[concentration18]],Table617222732[[#This Row],[concentration18]])</f>
        <v>#DIV/0!</v>
      </c>
      <c r="BV12" s="64">
        <f>SUM(IFERROR(Table6172227323742475257626772[[#This Row],[Concentration7]],0),IFERROR(Table6172227323742475257626772[[#This Row],[Concentration8]],0),IFERROR(Table6172227323742475257626772[[#This Row],[Concentration9]],0),IFERROR(Table6172227323742475257626772[[#This Row],[Concentration10]],0),IFERROR(Table6172227323742475257626772[[#This Row],[Concentration11]],0),IFERROR(Table6172227323742475257626772[[#This Row],[Concentration12]],0),IFERROR(Table6172227323742475257626772[[#This Row],[Concentration13]],0),IFERROR(Table6172227323742475257626772[[#This Row],[Concentration14]],0),IFERROR(Table6172227323742475257626772[[#This Row],[Concentration15]],0),IFERROR(Table6172227323742475257626772[[#This Row],[Concentration16]],0),IFERROR(Table6172227323742475257626772[[#This Row],[concentration18]],0))</f>
        <v>0</v>
      </c>
      <c r="BW12" s="64"/>
      <c r="CC12" s="178">
        <f>Table5162126313641465156616671[[#This Row],[Concentration18]]</f>
        <v>1.2453800000000002</v>
      </c>
      <c r="CD12" s="66">
        <f t="shared" si="0"/>
        <v>45.5</v>
      </c>
      <c r="CE12" s="47">
        <v>1.5</v>
      </c>
      <c r="CF12" s="66">
        <f t="shared" si="1"/>
        <v>1.8680700000000003E-3</v>
      </c>
    </row>
    <row r="13" spans="1:90" s="47" customFormat="1" ht="16" thickBot="1" x14ac:dyDescent="0.4">
      <c r="A13" s="63" t="str">
        <f>Table2[[#This Row],[Date]]</f>
        <v>29-03-18</v>
      </c>
      <c r="B13" s="74">
        <f>Table2[[#This Row],[Time]]</f>
        <v>9</v>
      </c>
      <c r="C13" s="41">
        <v>0</v>
      </c>
      <c r="D13" s="123">
        <f>IFERROR(AVERAGE(Table31520[[#This Row],[Amount ]],Table3152025[[#This Row],[Amount ]],Table315202530[[#This Row],[Amount ]]),0)</f>
        <v>0</v>
      </c>
      <c r="E13" s="123">
        <f>IFERROR(AVERAGE(Table31520[[#This Row],[Amount 2]],Table3152025[[#This Row],[Amount 2]],Table315202530[[#This Row],[Amount 2]]),0)</f>
        <v>0</v>
      </c>
      <c r="F13" s="123">
        <f>IFERROR(AVERAGE(Table31520[[#This Row],[Amount 3]],Table3152025[[#This Row],[Amount 3]],Table315202530[[#This Row],[Amount 3]]),0)</f>
        <v>0</v>
      </c>
      <c r="G13" s="123">
        <f>IFERROR(AVERAGE(Table31520[[#This Row],[Amount 4]],Table3152025[[#This Row],[Amount 4]],Table315202530[[#This Row],[Amount 4]]),0)</f>
        <v>0</v>
      </c>
      <c r="H13" s="123">
        <f>IFERROR(AVERAGE(Table31520[[#This Row],[Amount 5]],Table3152025[[#This Row],[Amount 5]],Table315202530[[#This Row],[Amount 5]]),0)</f>
        <v>0</v>
      </c>
      <c r="I13" s="123">
        <f>IFERROR(AVERAGE(Table31520[[#This Row],[Amount 6]],Table3152025[[#This Row],[Amount 6]],Table315202530[[#This Row],[Amount 6]]),0)</f>
        <v>0</v>
      </c>
      <c r="J13" s="123">
        <f>IFERROR(AVERAGE(Table31520[[#This Row],[Amount 7]],Table3152025[[#This Row],[Amount 7]],Table315202530[[#This Row],[Amount 7]]),0)</f>
        <v>0</v>
      </c>
      <c r="K13" s="123">
        <f>IFERROR(AVERAGE(Table31520[[#This Row],[Amount 8]],Table3152025[[#This Row],[Amount 8]],Table315202530[[#This Row],[Amount 8]]),0)</f>
        <v>0</v>
      </c>
      <c r="L13" s="123">
        <f>IFERROR(AVERAGE(Table31520[[#This Row],[Amount 9]],Table3152025[[#This Row],[Amount 9]],Table315202530[[#This Row],[Amount 9]]),0)</f>
        <v>0</v>
      </c>
      <c r="M13" s="123">
        <f>IFERROR(AVERAGE(Table31520[[#This Row],[Amount 10]],Table3152025[[#This Row],[Amount 10]],Table315202530[[#This Row],[Amount 10]]),0)</f>
        <v>0</v>
      </c>
      <c r="N13" s="123">
        <f>IFERROR(AVERAGE(Table31520[[#This Row],[Amount 11]],Table3152025[[#This Row],[Amount 11]],Table315202530[[#This Row],[Amount 11]]),0)</f>
        <v>0</v>
      </c>
      <c r="O13" s="123">
        <f>IFERROR(AVERAGE(Table31520[[#This Row],[Amount 12]],Table3152025[[#This Row],[Amount 12]],Table315202530[[#This Row],[Amount 12]]),0)</f>
        <v>0</v>
      </c>
      <c r="P13" s="123">
        <f>IFERROR(AVERAGE(Table31520[[#This Row],[Amount 13]],Table3152025[[#This Row],[Amount 13]],Table315202530[[#This Row],[Amount 13]]),0)</f>
        <v>0</v>
      </c>
      <c r="Q13" s="123">
        <f>IFERROR(AVERAGE(Table31520[[#This Row],[Amount 14]],Table3152025[[#This Row],[Amount 14]],Table315202530[[#This Row],[Amount 14]]),0)</f>
        <v>0</v>
      </c>
      <c r="R13" s="123">
        <f>IFERROR(AVERAGE(Table31520[[#This Row],[Amount 15]],Table3152025[[#This Row],[Amount 15]],Table315202530[[#This Row],[Amount 15]]),0)</f>
        <v>0</v>
      </c>
      <c r="S13" s="123">
        <f>IFERROR(AVERAGE(Table31520[[#This Row],[Amount 16]],Table3152025[[#This Row],[Amount 16]],Table315202530[[#This Row],[Amount 16]]),0)</f>
        <v>0</v>
      </c>
      <c r="T13" s="123">
        <f>IFERROR(AVERAGE(Table31520[[#This Row],[Amount 17]],Table3152025[[#This Row],[Amount 17]],Table315202530[[#This Row],[Amount 17]]),0)</f>
        <v>0</v>
      </c>
      <c r="U13" s="123">
        <f>IFERROR(AVERAGE(Table31520[[#This Row],[Amount 18]],Table3152025[[#This Row],[Amount 18]],Table315202530[[#This Row],[Amount 18]]),0)</f>
        <v>0</v>
      </c>
      <c r="V13" s="123">
        <f>IFERROR(AVERAGE(Table31520[[#This Row],[Amount 19]],Table3152025[[#This Row],[Amount 19]],Table315202530[[#This Row],[Amount 19]]),0)</f>
        <v>0</v>
      </c>
      <c r="W13" s="123">
        <f>IFERROR(AVERAGE(Table31520[[#This Row],[Ret.Time ]],Table3152025[[#This Row],[Ret.Time ]],Table315202530[[#This Row],[Ret.Time ]]),0)</f>
        <v>0</v>
      </c>
      <c r="X13" s="123">
        <f>IFERROR(AVERAGE(Table31520[[#This Row],[Amount 20]],Table3152025[[#This Row],[Amount 20]],Table315202530[[#This Row],[Amount 20]]),0)</f>
        <v>0</v>
      </c>
      <c r="Y13" s="123">
        <f>IFERROR(AVERAGE(Table31520[[#This Row],[Ret.Time]],Table3152025[[#This Row],[Ret.Time]],Table315202530[[#This Row],[Ret.Time]]),0)</f>
        <v>0</v>
      </c>
      <c r="Z13" s="123">
        <f>IFERROR(AVERAGE(Table31520[[#This Row],[Amount 21]],Table3152025[[#This Row],[Amount 21]],Table315202530[[#This Row],[Amount 21]]),0)</f>
        <v>0</v>
      </c>
      <c r="AA13" s="123">
        <f>IFERROR(AVERAGE(Table31520[[#This Row],[Ret.Time22]],Table3152025[[#This Row],[Ret.Time22]],Table315202530[[#This Row],[Ret.Time22]]),0)</f>
        <v>0</v>
      </c>
      <c r="AB13" s="123">
        <f>IFERROR(AVERAGE(Table31520[[#This Row],[Amount 23]],Table3152025[[#This Row],[Amount 23]],Table315202530[[#This Row],[Amount 23]]),0)</f>
        <v>0</v>
      </c>
      <c r="AC13" s="123">
        <f>IFERROR(AVERAGE(Table31520[[#This Row],[Ret.Time24]],Table3152025[[#This Row],[Ret.Time24]],Table315202530[[#This Row],[Ret.Time24]]),0)</f>
        <v>0</v>
      </c>
      <c r="AD13" s="123">
        <f>IFERROR(AVERAGE(Table31520[[#This Row],[Amount 25]],Table3152025[[#This Row],[Amount 25]],Table315202530[[#This Row],[Amount 25]]),0)</f>
        <v>0</v>
      </c>
      <c r="AE13" s="18">
        <f>IFERROR(AVERAGE(Table31520[[#This Row],[pH]],Table3152025[[#This Row],[pH]],Table315202530[[#This Row],[pH]]),0)</f>
        <v>2.97</v>
      </c>
      <c r="AF13" s="18">
        <f>IFERROR(AVERAGE(Table31520[[#This Row],[dilution ]],Table3152025[[#This Row],[dilution ]],Table315202530[[#This Row],[dilution ]]),0)</f>
        <v>100</v>
      </c>
      <c r="AG13" s="18">
        <f>IFERROR(AVERAGE(Table31520[[#This Row],[correction]],Table3152025[[#This Row],[correction]],Table315202530[[#This Row],[correction factor]]),0)</f>
        <v>1</v>
      </c>
      <c r="AH13" s="18">
        <f>IFERROR(AVERAGE(Table31520[[#This Row],[amount]],Table3152025[[#This Row],[amount]],Table315202530[[#This Row],[amount]]),0)</f>
        <v>31.608666666666668</v>
      </c>
      <c r="AI13" s="18">
        <f>IFERROR(AVERAGE(Table31520[[#This Row],[pressure]],Table3152025[[#This Row],[pressure]],Table315202530[[#This Row],[pressure]]),0)</f>
        <v>0</v>
      </c>
      <c r="AJ13" s="64">
        <f>AVERAGE(Table51621[[#This Row],[Concentration]],Table5162126[[#This Row],[Concentration]],Table516212631[[#This Row],[Concentration]])</f>
        <v>0</v>
      </c>
      <c r="AK13" s="64">
        <f>AVERAGE(Table51621[[#This Row],[Concentration2]],Table5162126[[#This Row],[Concentration2]],Table516212631[[#This Row],[Concentration2]])</f>
        <v>0</v>
      </c>
      <c r="AL13" s="64">
        <f>AVERAGE(Table51621[[#This Row],[Concentration3]],Table5162126[[#This Row],[Concentration3]],Table516212631[[#This Row],[Concentration3]])</f>
        <v>0</v>
      </c>
      <c r="AM13" s="64">
        <f>AVERAGE(Table51621[[#This Row],[Concentration4]],Table5162126[[#This Row],[Concentration4]],Table516212631[[#This Row],[Concentration4]])</f>
        <v>0</v>
      </c>
      <c r="AN13" s="64">
        <f>AVERAGE(Table51621[[#This Row],[Concentration5]],Table5162126[[#This Row],[Concentration5]],Table516212631[[#This Row],[Concentration5]])</f>
        <v>0</v>
      </c>
      <c r="AO13" s="64">
        <f>AVERAGE(Table51621[[#This Row],[Concentration6]],Table5162126[[#This Row],[Concentration6]],Table516212631[[#This Row],[Concentration6]])</f>
        <v>0</v>
      </c>
      <c r="AP13" s="64" t="e">
        <f>AVERAGE(Table51621[[#This Row],[Concentration7]],Table5162126[[#This Row],[Concentration7]],Table516212631[[#This Row],[Concentration7]])</f>
        <v>#VALUE!</v>
      </c>
      <c r="AQ13" s="64" t="e">
        <f>AVERAGE(Table51621[[#This Row],[Concentration8]],Table5162126[[#This Row],[Concentration8]],Table516212631[[#This Row],[Concentration8]])</f>
        <v>#VALUE!</v>
      </c>
      <c r="AR13" s="64" t="e">
        <f>AVERAGE(Table51621[[#This Row],[Concentration9]],Table5162126[[#This Row],[Concentration9]],Table516212631[[#This Row],[Concentration9]])</f>
        <v>#VALUE!</v>
      </c>
      <c r="AS13" s="64" t="e">
        <f>AVERAGE(Table51621[[#This Row],[Concentration10]],Table5162126[[#This Row],[Concentration10]],Table516212631[[#This Row],[Concentration10]])</f>
        <v>#VALUE!</v>
      </c>
      <c r="AT13" s="64" t="e">
        <f>AVERAGE(Table51621[[#This Row],[Concentration11]],Table5162126[[#This Row],[Concentration11]],Table516212631[[#This Row],[Concentration11]])</f>
        <v>#VALUE!</v>
      </c>
      <c r="AU13" s="64" t="e">
        <f>AVERAGE(Table51621[[#This Row],[Concentration12]],Table5162126[[#This Row],[Concentration12]],Table516212631[[#This Row],[Concentration12]])</f>
        <v>#VALUE!</v>
      </c>
      <c r="AV13" s="64" t="e">
        <f>AVERAGE(Table51621[[#This Row],[Concentration13]],Table5162126[[#This Row],[Concentration13]],Table516212631[[#This Row],[Concentration13]])</f>
        <v>#VALUE!</v>
      </c>
      <c r="AW13" s="64">
        <f>(IF(IFERROR(Q13-#REF!,Q13)&gt;constants!$D$13,(IFERROR(Q13-#REF!,Q13)*$C13/constants!$B$13),0))</f>
        <v>0</v>
      </c>
      <c r="AX13" s="64" t="e">
        <f>AVERAGE(Table51621[[#This Row],[Concentration15]],Table5162126[[#This Row],[Concentration15]],Table516212631[[#This Row],[Concentration15]])</f>
        <v>#VALUE!</v>
      </c>
      <c r="AY13" s="64" t="e">
        <f>AVERAGE(Table51621[[#This Row],[Concentration16]],Table5162126[[#This Row],[Concentration16]],Table516212631[[#This Row],[Concentration16]])</f>
        <v>#VALUE!</v>
      </c>
      <c r="AZ13" s="64">
        <f>AVERAGE(Table51621[[#This Row],[Concentration17]],Table5162126[[#This Row],[Concentration17]],Table516212631[[#This Row],[Concentration17]])</f>
        <v>35.089550029603316</v>
      </c>
      <c r="BA13" s="64">
        <f>AVERAGE(Table51621[[#This Row],[Concentration172]],Table5162126[[#This Row],[Concentration172]],Table516212631[[#This Row],[Concentration172]])</f>
        <v>3.1608666666666667</v>
      </c>
      <c r="BB13" s="64" t="e">
        <f>AVERAGE(Table51621[[#This Row],[Concentration18]],Table5162126[[#This Row],[Concentration18]],Table516212631[[#This Row],[Concentration18]])</f>
        <v>#DIV/0!</v>
      </c>
      <c r="BC13" s="64" t="e">
        <f>AVERAGE(Table51621[[#This Row],[Concentration19]],Table5162126[[#This Row],[Concentration19]],Table516212631[[#This Row],[Concentration19]])</f>
        <v>#DIV/0!</v>
      </c>
      <c r="BD13" s="64">
        <f>AVERAGE(Table51621[[#This Row],[Concentration]],Table5162126[[#This Row],[Concentration]],Table516212631[[#This Row],[Concentration]])</f>
        <v>0</v>
      </c>
      <c r="BE13" s="64">
        <f>AVERAGE(Table51621[[#This Row],[Concentration2]],Table5162126[[#This Row],[Concentration2]],Table516212631[[#This Row],[Concentration2]])</f>
        <v>0</v>
      </c>
      <c r="BF13" s="64">
        <f>AVERAGE(Table51621[[#This Row],[Concentration3]],Table5162126[[#This Row],[Concentration3]],Table516212631[[#This Row],[Concentration3]])</f>
        <v>0</v>
      </c>
      <c r="BG13" s="64">
        <f>AVERAGE(Table51621[[#This Row],[Concentration4]],Table5162126[[#This Row],[Concentration4]],Table516212631[[#This Row],[Concentration4]])</f>
        <v>0</v>
      </c>
      <c r="BH13" s="64">
        <f>AVERAGE(Table51621[[#This Row],[Concentration5]],Table5162126[[#This Row],[Concentration5]],Table516212631[[#This Row],[Concentration5]])</f>
        <v>0</v>
      </c>
      <c r="BI13" s="64" t="e">
        <f>AVERAGE(Table61722[[#This Row],[Concentration7]],Table6172227[[#This Row],[Concentration7]],Table617222732[[#This Row],[Concentration7]])</f>
        <v>#VALUE!</v>
      </c>
      <c r="BJ13" s="64" t="e">
        <f>AVERAGE(Table61722[[#This Row],[Concentration8]],Table6172227[[#This Row],[Concentration8]],Table617222732[[#This Row],[Concentration8]])</f>
        <v>#VALUE!</v>
      </c>
      <c r="BK13" s="64" t="e">
        <f>AVERAGE(Table61722[[#This Row],[Concentration9]],Table6172227[[#This Row],[Concentration9]],Table617222732[[#This Row],[Concentration9]])</f>
        <v>#VALUE!</v>
      </c>
      <c r="BL13" s="64" t="e">
        <f>AVERAGE(Table61722[[#This Row],[Concentration10]],Table6172227[[#This Row],[Concentration10]],Table617222732[[#This Row],[Concentration10]])</f>
        <v>#VALUE!</v>
      </c>
      <c r="BM13" s="64" t="e">
        <f>AVERAGE(Table61722[[#This Row],[Concentration11]],Table6172227[[#This Row],[Concentration11]],Table617222732[[#This Row],[Concentration11]])</f>
        <v>#VALUE!</v>
      </c>
      <c r="BN13" s="64" t="e">
        <f>AVERAGE(Table61722[[#This Row],[Concentration12]],Table6172227[[#This Row],[Concentration12]],Table617222732[[#This Row],[Concentration12]])</f>
        <v>#VALUE!</v>
      </c>
      <c r="BO13" s="64" t="e">
        <f>AVERAGE(Table61722[[#This Row],[Concentration13]],Table6172227[[#This Row],[Concentration13]],Table617222732[[#This Row],[Concentration13]])</f>
        <v>#VALUE!</v>
      </c>
      <c r="BP13" s="64">
        <f>Table5162126313641465156616671[[#This Row],[Concentration14]]*6</f>
        <v>0</v>
      </c>
      <c r="BQ13" s="64" t="e">
        <f>AVERAGE(Table61722[[#This Row],[Concentration15]],Table6172227[[#This Row],[Concentration15]],Table617222732[[#This Row],[Concentration15]])</f>
        <v>#VALUE!</v>
      </c>
      <c r="BR13" s="64" t="e">
        <f>AVERAGE(Table61722[[#This Row],[Concentration16]],Table6172227[[#This Row],[Concentration16]],Table617222732[[#This Row],[Concentration16]])</f>
        <v>#VALUE!</v>
      </c>
      <c r="BS13" s="64">
        <f>Table6172227323742475257626772[[#This Row],[Concentration17]]*1000</f>
        <v>105.26865008880993</v>
      </c>
      <c r="BT13" s="64">
        <f>AVERAGE(Table61722[[#This Row],[Concentration17]],Table6172227[[#This Row],[Concentration17]],Table617222732[[#This Row],[Concentration17]])</f>
        <v>0.10526865008880994</v>
      </c>
      <c r="BU13" s="64" t="e">
        <f>AVERAGE(Table61722[[#This Row],[concentration18]],Table6172227[[#This Row],[concentration18]],Table617222732[[#This Row],[concentration18]])</f>
        <v>#DIV/0!</v>
      </c>
      <c r="BV13" s="64">
        <f>SUM(IFERROR(Table6172227323742475257626772[[#This Row],[Concentration7]],0),IFERROR(Table6172227323742475257626772[[#This Row],[Concentration8]],0),IFERROR(Table6172227323742475257626772[[#This Row],[Concentration9]],0),IFERROR(Table6172227323742475257626772[[#This Row],[Concentration10]],0),IFERROR(Table6172227323742475257626772[[#This Row],[Concentration11]],0),IFERROR(Table6172227323742475257626772[[#This Row],[Concentration12]],0),IFERROR(Table6172227323742475257626772[[#This Row],[Concentration13]],0),IFERROR(Table6172227323742475257626772[[#This Row],[Concentration14]],0),IFERROR(Table6172227323742475257626772[[#This Row],[Concentration15]],0),IFERROR(Table6172227323742475257626772[[#This Row],[Concentration16]],0),IFERROR(Table6172227323742475257626772[[#This Row],[concentration18]],0))</f>
        <v>0</v>
      </c>
      <c r="BW13" s="64"/>
      <c r="CC13" s="178">
        <f>Table5162126313641465156616671[[#This Row],[Concentration18]]</f>
        <v>3.1608666666666667</v>
      </c>
      <c r="CD13" s="66">
        <f t="shared" si="0"/>
        <v>44</v>
      </c>
      <c r="CE13" s="47">
        <v>1.5</v>
      </c>
      <c r="CF13" s="66">
        <f t="shared" si="1"/>
        <v>4.7413000000000004E-3</v>
      </c>
    </row>
    <row r="14" spans="1:90" s="66" customFormat="1" ht="16" thickBot="1" x14ac:dyDescent="0.4">
      <c r="A14" s="63">
        <f>Table2[[#This Row],[Date]]</f>
        <v>43163</v>
      </c>
      <c r="B14" s="74">
        <f>Table2[[#This Row],[Time]]</f>
        <v>15</v>
      </c>
      <c r="C14" s="77">
        <v>0</v>
      </c>
      <c r="D14" s="123">
        <f>IFERROR(AVERAGE(Table31520[[#This Row],[Amount ]],Table3152025[[#This Row],[Amount ]],Table315202530[[#This Row],[Amount ]]),0)</f>
        <v>0</v>
      </c>
      <c r="E14" s="123">
        <f>IFERROR(AVERAGE(Table31520[[#This Row],[Amount 2]],Table3152025[[#This Row],[Amount 2]],Table315202530[[#This Row],[Amount 2]]),0)</f>
        <v>0</v>
      </c>
      <c r="F14" s="123">
        <f>IFERROR(AVERAGE(Table31520[[#This Row],[Amount 3]],Table3152025[[#This Row],[Amount 3]],Table315202530[[#This Row],[Amount 3]]),0)</f>
        <v>0</v>
      </c>
      <c r="G14" s="123">
        <f>IFERROR(AVERAGE(Table31520[[#This Row],[Amount 4]],Table3152025[[#This Row],[Amount 4]],Table315202530[[#This Row],[Amount 4]]),0)</f>
        <v>0</v>
      </c>
      <c r="H14" s="123">
        <f>IFERROR(AVERAGE(Table31520[[#This Row],[Amount 5]],Table3152025[[#This Row],[Amount 5]],Table315202530[[#This Row],[Amount 5]]),0)</f>
        <v>0</v>
      </c>
      <c r="I14" s="123">
        <f>IFERROR(AVERAGE(Table31520[[#This Row],[Amount 6]],Table3152025[[#This Row],[Amount 6]],Table315202530[[#This Row],[Amount 6]]),0)</f>
        <v>0</v>
      </c>
      <c r="J14" s="123">
        <f>IFERROR(AVERAGE(Table31520[[#This Row],[Amount 7]],Table3152025[[#This Row],[Amount 7]],Table315202530[[#This Row],[Amount 7]]),0)</f>
        <v>0</v>
      </c>
      <c r="K14" s="123">
        <f>IFERROR(AVERAGE(Table31520[[#This Row],[Amount 8]],Table3152025[[#This Row],[Amount 8]],Table315202530[[#This Row],[Amount 8]]),0)</f>
        <v>0</v>
      </c>
      <c r="L14" s="123">
        <f>IFERROR(AVERAGE(Table31520[[#This Row],[Amount 9]],Table3152025[[#This Row],[Amount 9]],Table315202530[[#This Row],[Amount 9]]),0)</f>
        <v>0</v>
      </c>
      <c r="M14" s="123">
        <f>IFERROR(AVERAGE(Table31520[[#This Row],[Amount 10]],Table3152025[[#This Row],[Amount 10]],Table315202530[[#This Row],[Amount 10]]),0)</f>
        <v>0</v>
      </c>
      <c r="N14" s="123">
        <f>IFERROR(AVERAGE(Table31520[[#This Row],[Amount 11]],Table3152025[[#This Row],[Amount 11]],Table315202530[[#This Row],[Amount 11]]),0)</f>
        <v>0</v>
      </c>
      <c r="O14" s="123">
        <f>IFERROR(AVERAGE(Table31520[[#This Row],[Amount 12]],Table3152025[[#This Row],[Amount 12]],Table315202530[[#This Row],[Amount 12]]),0)</f>
        <v>0</v>
      </c>
      <c r="P14" s="123">
        <f>IFERROR(AVERAGE(Table31520[[#This Row],[Amount 13]],Table3152025[[#This Row],[Amount 13]],Table315202530[[#This Row],[Amount 13]]),0)</f>
        <v>0</v>
      </c>
      <c r="Q14" s="123">
        <f>IFERROR(AVERAGE(Table31520[[#This Row],[Amount 14]],Table3152025[[#This Row],[Amount 14]],Table315202530[[#This Row],[Amount 14]]),0)</f>
        <v>0</v>
      </c>
      <c r="R14" s="123">
        <f>IFERROR(AVERAGE(Table31520[[#This Row],[Amount 15]],Table3152025[[#This Row],[Amount 15]],Table315202530[[#This Row],[Amount 15]]),0)</f>
        <v>0</v>
      </c>
      <c r="S14" s="123">
        <f>IFERROR(AVERAGE(Table31520[[#This Row],[Amount 16]],Table3152025[[#This Row],[Amount 16]],Table315202530[[#This Row],[Amount 16]]),0)</f>
        <v>0</v>
      </c>
      <c r="T14" s="123">
        <f>IFERROR(AVERAGE(Table31520[[#This Row],[Amount 17]],Table3152025[[#This Row],[Amount 17]],Table315202530[[#This Row],[Amount 17]]),0)</f>
        <v>0</v>
      </c>
      <c r="U14" s="123">
        <f>IFERROR(AVERAGE(Table31520[[#This Row],[Amount 18]],Table3152025[[#This Row],[Amount 18]],Table315202530[[#This Row],[Amount 18]]),0)</f>
        <v>0</v>
      </c>
      <c r="V14" s="123">
        <f>IFERROR(AVERAGE(Table31520[[#This Row],[Amount 19]],Table3152025[[#This Row],[Amount 19]],Table315202530[[#This Row],[Amount 19]]),0)</f>
        <v>0</v>
      </c>
      <c r="W14" s="123">
        <f>IFERROR(AVERAGE(Table31520[[#This Row],[Ret.Time ]],Table3152025[[#This Row],[Ret.Time ]],Table315202530[[#This Row],[Ret.Time ]]),0)</f>
        <v>0</v>
      </c>
      <c r="X14" s="123">
        <f>IFERROR(AVERAGE(Table31520[[#This Row],[Amount 20]],Table3152025[[#This Row],[Amount 20]],Table315202530[[#This Row],[Amount 20]]),0)</f>
        <v>0</v>
      </c>
      <c r="Y14" s="123">
        <f>IFERROR(AVERAGE(Table31520[[#This Row],[Ret.Time]],Table3152025[[#This Row],[Ret.Time]],Table315202530[[#This Row],[Ret.Time]]),0)</f>
        <v>0</v>
      </c>
      <c r="Z14" s="123">
        <f>IFERROR(AVERAGE(Table31520[[#This Row],[Amount 21]],Table3152025[[#This Row],[Amount 21]],Table315202530[[#This Row],[Amount 21]]),0)</f>
        <v>0</v>
      </c>
      <c r="AA14" s="123">
        <f>IFERROR(AVERAGE(Table31520[[#This Row],[Ret.Time22]],Table3152025[[#This Row],[Ret.Time22]],Table315202530[[#This Row],[Ret.Time22]]),0)</f>
        <v>0</v>
      </c>
      <c r="AB14" s="123">
        <f>IFERROR(AVERAGE(Table31520[[#This Row],[Amount 23]],Table3152025[[#This Row],[Amount 23]],Table315202530[[#This Row],[Amount 23]]),0)</f>
        <v>0</v>
      </c>
      <c r="AC14" s="123">
        <f>IFERROR(AVERAGE(Table31520[[#This Row],[Ret.Time24]],Table3152025[[#This Row],[Ret.Time24]],Table315202530[[#This Row],[Ret.Time24]]),0)</f>
        <v>0</v>
      </c>
      <c r="AD14" s="123">
        <f>IFERROR(AVERAGE(Table31520[[#This Row],[Amount 25]],Table3152025[[#This Row],[Amount 25]],Table315202530[[#This Row],[Amount 25]]),0)</f>
        <v>0</v>
      </c>
      <c r="AE14" s="18">
        <f>IFERROR(AVERAGE(Table31520[[#This Row],[pH]],Table3152025[[#This Row],[pH]],Table315202530[[#This Row],[pH]]),0)</f>
        <v>2.6533333333333338</v>
      </c>
      <c r="AF14" s="18">
        <f>IFERROR(AVERAGE(Table31520[[#This Row],[dilution ]],Table3152025[[#This Row],[dilution ]],Table315202530[[#This Row],[dilution ]]),0)</f>
        <v>100</v>
      </c>
      <c r="AG14" s="18">
        <f>IFERROR(AVERAGE(Table31520[[#This Row],[correction]],Table3152025[[#This Row],[correction]],Table315202530[[#This Row],[correction factor]]),0)</f>
        <v>1</v>
      </c>
      <c r="AH14" s="18">
        <f>IFERROR(AVERAGE(Table31520[[#This Row],[amount]],Table3152025[[#This Row],[amount]],Table315202530[[#This Row],[amount]]),0)</f>
        <v>99.8001</v>
      </c>
      <c r="AI14" s="18">
        <f>IFERROR(AVERAGE(Table31520[[#This Row],[pressure]],Table3152025[[#This Row],[pressure]],Table315202530[[#This Row],[pressure]]),0)</f>
        <v>0</v>
      </c>
      <c r="AJ14" s="64">
        <f>AVERAGE(Table51621[[#This Row],[Concentration]],Table5162126[[#This Row],[Concentration]],Table516212631[[#This Row],[Concentration]])</f>
        <v>0</v>
      </c>
      <c r="AK14" s="64">
        <f>AVERAGE(Table51621[[#This Row],[Concentration2]],Table5162126[[#This Row],[Concentration2]],Table516212631[[#This Row],[Concentration2]])</f>
        <v>0</v>
      </c>
      <c r="AL14" s="64">
        <f>AVERAGE(Table51621[[#This Row],[Concentration3]],Table5162126[[#This Row],[Concentration3]],Table516212631[[#This Row],[Concentration3]])</f>
        <v>0</v>
      </c>
      <c r="AM14" s="64">
        <f>AVERAGE(Table51621[[#This Row],[Concentration4]],Table5162126[[#This Row],[Concentration4]],Table516212631[[#This Row],[Concentration4]])</f>
        <v>0</v>
      </c>
      <c r="AN14" s="64">
        <f>AVERAGE(Table51621[[#This Row],[Concentration5]],Table5162126[[#This Row],[Concentration5]],Table516212631[[#This Row],[Concentration5]])</f>
        <v>0</v>
      </c>
      <c r="AO14" s="64">
        <f>AVERAGE(Table51621[[#This Row],[Concentration6]],Table5162126[[#This Row],[Concentration6]],Table516212631[[#This Row],[Concentration6]])</f>
        <v>0</v>
      </c>
      <c r="AP14" s="64" t="e">
        <f>AVERAGE(Table51621[[#This Row],[Concentration7]],Table5162126[[#This Row],[Concentration7]],Table516212631[[#This Row],[Concentration7]])</f>
        <v>#VALUE!</v>
      </c>
      <c r="AQ14" s="64" t="e">
        <f>AVERAGE(Table51621[[#This Row],[Concentration8]],Table5162126[[#This Row],[Concentration8]],Table516212631[[#This Row],[Concentration8]])</f>
        <v>#VALUE!</v>
      </c>
      <c r="AR14" s="64" t="e">
        <f>AVERAGE(Table51621[[#This Row],[Concentration9]],Table5162126[[#This Row],[Concentration9]],Table516212631[[#This Row],[Concentration9]])</f>
        <v>#VALUE!</v>
      </c>
      <c r="AS14" s="64" t="e">
        <f>AVERAGE(Table51621[[#This Row],[Concentration10]],Table5162126[[#This Row],[Concentration10]],Table516212631[[#This Row],[Concentration10]])</f>
        <v>#VALUE!</v>
      </c>
      <c r="AT14" s="64" t="e">
        <f>AVERAGE(Table51621[[#This Row],[Concentration11]],Table5162126[[#This Row],[Concentration11]],Table516212631[[#This Row],[Concentration11]])</f>
        <v>#VALUE!</v>
      </c>
      <c r="AU14" s="64" t="e">
        <f>AVERAGE(Table51621[[#This Row],[Concentration12]],Table5162126[[#This Row],[Concentration12]],Table516212631[[#This Row],[Concentration12]])</f>
        <v>#VALUE!</v>
      </c>
      <c r="AV14" s="64" t="e">
        <f>AVERAGE(Table51621[[#This Row],[Concentration13]],Table5162126[[#This Row],[Concentration13]],Table516212631[[#This Row],[Concentration13]])</f>
        <v>#VALUE!</v>
      </c>
      <c r="AW14" s="64">
        <f>(IF(IFERROR(Q14-#REF!,Q14)&gt;constants!$D$13,(IFERROR(Q14-#REF!,Q14)*$C14/constants!$B$13),0))</f>
        <v>0</v>
      </c>
      <c r="AX14" s="64" t="e">
        <f>AVERAGE(Table51621[[#This Row],[Concentration15]],Table5162126[[#This Row],[Concentration15]],Table516212631[[#This Row],[Concentration15]])</f>
        <v>#VALUE!</v>
      </c>
      <c r="AY14" s="64" t="e">
        <f>AVERAGE(Table51621[[#This Row],[Concentration16]],Table5162126[[#This Row],[Concentration16]],Table516212631[[#This Row],[Concentration16]])</f>
        <v>#VALUE!</v>
      </c>
      <c r="AZ14" s="64">
        <f>AVERAGE(Table51621[[#This Row],[Concentration17]],Table5162126[[#This Row],[Concentration17]],Table516212631[[#This Row],[Concentration17]])</f>
        <v>110.79051953818828</v>
      </c>
      <c r="BA14" s="64">
        <f>AVERAGE(Table51621[[#This Row],[Concentration172]],Table5162126[[#This Row],[Concentration172]],Table516212631[[#This Row],[Concentration172]])</f>
        <v>9.98001</v>
      </c>
      <c r="BB14" s="64" t="e">
        <f>AVERAGE(Table51621[[#This Row],[Concentration18]],Table5162126[[#This Row],[Concentration18]],Table516212631[[#This Row],[Concentration18]])</f>
        <v>#DIV/0!</v>
      </c>
      <c r="BC14" s="64" t="e">
        <f>AVERAGE(Table51621[[#This Row],[Concentration19]],Table5162126[[#This Row],[Concentration19]],Table516212631[[#This Row],[Concentration19]])</f>
        <v>#DIV/0!</v>
      </c>
      <c r="BD14" s="64">
        <f>AVERAGE(Table51621[[#This Row],[Concentration]],Table5162126[[#This Row],[Concentration]],Table516212631[[#This Row],[Concentration]])</f>
        <v>0</v>
      </c>
      <c r="BE14" s="64">
        <f>AVERAGE(Table51621[[#This Row],[Concentration2]],Table5162126[[#This Row],[Concentration2]],Table516212631[[#This Row],[Concentration2]])</f>
        <v>0</v>
      </c>
      <c r="BF14" s="64">
        <f>AVERAGE(Table51621[[#This Row],[Concentration3]],Table5162126[[#This Row],[Concentration3]],Table516212631[[#This Row],[Concentration3]])</f>
        <v>0</v>
      </c>
      <c r="BG14" s="64">
        <f>AVERAGE(Table51621[[#This Row],[Concentration4]],Table5162126[[#This Row],[Concentration4]],Table516212631[[#This Row],[Concentration4]])</f>
        <v>0</v>
      </c>
      <c r="BH14" s="64">
        <f>AVERAGE(Table51621[[#This Row],[Concentration5]],Table5162126[[#This Row],[Concentration5]],Table516212631[[#This Row],[Concentration5]])</f>
        <v>0</v>
      </c>
      <c r="BI14" s="64" t="e">
        <f>AVERAGE(Table61722[[#This Row],[Concentration7]],Table6172227[[#This Row],[Concentration7]],Table617222732[[#This Row],[Concentration7]])</f>
        <v>#VALUE!</v>
      </c>
      <c r="BJ14" s="64" t="e">
        <f>AVERAGE(Table61722[[#This Row],[Concentration8]],Table6172227[[#This Row],[Concentration8]],Table617222732[[#This Row],[Concentration8]])</f>
        <v>#VALUE!</v>
      </c>
      <c r="BK14" s="64" t="e">
        <f>AVERAGE(Table61722[[#This Row],[Concentration9]],Table6172227[[#This Row],[Concentration9]],Table617222732[[#This Row],[Concentration9]])</f>
        <v>#VALUE!</v>
      </c>
      <c r="BL14" s="64" t="e">
        <f>AVERAGE(Table61722[[#This Row],[Concentration10]],Table6172227[[#This Row],[Concentration10]],Table617222732[[#This Row],[Concentration10]])</f>
        <v>#VALUE!</v>
      </c>
      <c r="BM14" s="64" t="e">
        <f>AVERAGE(Table61722[[#This Row],[Concentration11]],Table6172227[[#This Row],[Concentration11]],Table617222732[[#This Row],[Concentration11]])</f>
        <v>#VALUE!</v>
      </c>
      <c r="BN14" s="64" t="e">
        <f>AVERAGE(Table61722[[#This Row],[Concentration12]],Table6172227[[#This Row],[Concentration12]],Table617222732[[#This Row],[Concentration12]])</f>
        <v>#VALUE!</v>
      </c>
      <c r="BO14" s="64" t="e">
        <f>AVERAGE(Table61722[[#This Row],[Concentration13]],Table6172227[[#This Row],[Concentration13]],Table617222732[[#This Row],[Concentration13]])</f>
        <v>#VALUE!</v>
      </c>
      <c r="BP14" s="64">
        <f>Table5162126313641465156616671[[#This Row],[Concentration14]]*6</f>
        <v>0</v>
      </c>
      <c r="BQ14" s="64" t="e">
        <f>AVERAGE(Table61722[[#This Row],[Concentration15]],Table6172227[[#This Row],[Concentration15]],Table617222732[[#This Row],[Concentration15]])</f>
        <v>#VALUE!</v>
      </c>
      <c r="BR14" s="64" t="e">
        <f>AVERAGE(Table61722[[#This Row],[Concentration16]],Table6172227[[#This Row],[Concentration16]],Table617222732[[#This Row],[Concentration16]])</f>
        <v>#VALUE!</v>
      </c>
      <c r="BS14" s="64">
        <f>Table6172227323742475257626772[[#This Row],[Concentration17]]*1000</f>
        <v>332.37155861456478</v>
      </c>
      <c r="BT14" s="64">
        <f>AVERAGE(Table61722[[#This Row],[Concentration17]],Table6172227[[#This Row],[Concentration17]],Table617222732[[#This Row],[Concentration17]])</f>
        <v>0.3323715586145648</v>
      </c>
      <c r="BU14" s="64" t="e">
        <f>AVERAGE(Table61722[[#This Row],[concentration18]],Table6172227[[#This Row],[concentration18]],Table617222732[[#This Row],[concentration18]])</f>
        <v>#DIV/0!</v>
      </c>
      <c r="BV14" s="64">
        <f>SUM(IFERROR(Table6172227323742475257626772[[#This Row],[Concentration7]],0),IFERROR(Table6172227323742475257626772[[#This Row],[Concentration8]],0),IFERROR(Table6172227323742475257626772[[#This Row],[Concentration9]],0),IFERROR(Table6172227323742475257626772[[#This Row],[Concentration10]],0),IFERROR(Table6172227323742475257626772[[#This Row],[Concentration11]],0),IFERROR(Table6172227323742475257626772[[#This Row],[Concentration12]],0),IFERROR(Table6172227323742475257626772[[#This Row],[Concentration13]],0),IFERROR(Table6172227323742475257626772[[#This Row],[Concentration14]],0),IFERROR(Table6172227323742475257626772[[#This Row],[Concentration15]],0),IFERROR(Table6172227323742475257626772[[#This Row],[Concentration16]],0),IFERROR(Table6172227323742475257626772[[#This Row],[concentration18]],0))</f>
        <v>0</v>
      </c>
      <c r="BW14" s="64"/>
      <c r="CC14" s="178">
        <f>Table5162126313641465156616671[[#This Row],[Concentration18]]</f>
        <v>9.98001</v>
      </c>
      <c r="CD14" s="66">
        <f t="shared" si="0"/>
        <v>42.5</v>
      </c>
      <c r="CE14" s="47">
        <v>1.5</v>
      </c>
      <c r="CF14" s="66">
        <f t="shared" si="1"/>
        <v>1.4970015E-2</v>
      </c>
    </row>
    <row r="15" spans="1:90" s="47" customFormat="1" ht="16" thickBot="1" x14ac:dyDescent="0.4">
      <c r="A15" s="63">
        <f>Table2[[#This Row],[Date]]</f>
        <v>43347</v>
      </c>
      <c r="B15" s="167">
        <f>Table2[[#This Row],[Time]]</f>
        <v>21</v>
      </c>
      <c r="C15" s="41">
        <v>0</v>
      </c>
      <c r="D15" s="123">
        <f>IFERROR(AVERAGE(Table31520[[#This Row],[Amount ]],Table3152025[[#This Row],[Amount ]],Table315202530[[#This Row],[Amount ]]),0)</f>
        <v>0</v>
      </c>
      <c r="E15" s="123">
        <f>IFERROR(AVERAGE(Table31520[[#This Row],[Amount 2]],Table3152025[[#This Row],[Amount 2]],Table315202530[[#This Row],[Amount 2]]),0)</f>
        <v>0</v>
      </c>
      <c r="F15" s="123">
        <f>IFERROR(AVERAGE(Table31520[[#This Row],[Amount 3]],Table3152025[[#This Row],[Amount 3]],Table315202530[[#This Row],[Amount 3]]),0)</f>
        <v>0</v>
      </c>
      <c r="G15" s="123">
        <f>IFERROR(AVERAGE(Table31520[[#This Row],[Amount 4]],Table3152025[[#This Row],[Amount 4]],Table315202530[[#This Row],[Amount 4]]),0)</f>
        <v>0</v>
      </c>
      <c r="H15" s="123">
        <f>IFERROR(AVERAGE(Table31520[[#This Row],[Amount 5]],Table3152025[[#This Row],[Amount 5]],Table315202530[[#This Row],[Amount 5]]),0)</f>
        <v>0</v>
      </c>
      <c r="I15" s="123">
        <f>IFERROR(AVERAGE(Table31520[[#This Row],[Amount 6]],Table3152025[[#This Row],[Amount 6]],Table315202530[[#This Row],[Amount 6]]),0)</f>
        <v>0</v>
      </c>
      <c r="J15" s="123">
        <f>IFERROR(AVERAGE(Table31520[[#This Row],[Amount 7]],Table3152025[[#This Row],[Amount 7]],Table315202530[[#This Row],[Amount 7]]),0)</f>
        <v>0</v>
      </c>
      <c r="K15" s="123">
        <f>IFERROR(AVERAGE(Table31520[[#This Row],[Amount 8]],Table3152025[[#This Row],[Amount 8]],Table315202530[[#This Row],[Amount 8]]),0)</f>
        <v>0</v>
      </c>
      <c r="L15" s="123">
        <f>IFERROR(AVERAGE(Table31520[[#This Row],[Amount 9]],Table3152025[[#This Row],[Amount 9]],Table315202530[[#This Row],[Amount 9]]),0)</f>
        <v>0</v>
      </c>
      <c r="M15" s="123">
        <f>IFERROR(AVERAGE(Table31520[[#This Row],[Amount 10]],Table3152025[[#This Row],[Amount 10]],Table315202530[[#This Row],[Amount 10]]),0)</f>
        <v>0</v>
      </c>
      <c r="N15" s="123">
        <f>IFERROR(AVERAGE(Table31520[[#This Row],[Amount 11]],Table3152025[[#This Row],[Amount 11]],Table315202530[[#This Row],[Amount 11]]),0)</f>
        <v>0</v>
      </c>
      <c r="O15" s="123">
        <f>IFERROR(AVERAGE(Table31520[[#This Row],[Amount 12]],Table3152025[[#This Row],[Amount 12]],Table315202530[[#This Row],[Amount 12]]),0)</f>
        <v>0</v>
      </c>
      <c r="P15" s="123">
        <f>IFERROR(AVERAGE(Table31520[[#This Row],[Amount 13]],Table3152025[[#This Row],[Amount 13]],Table315202530[[#This Row],[Amount 13]]),0)</f>
        <v>0</v>
      </c>
      <c r="Q15" s="123">
        <f>IFERROR(AVERAGE(Table31520[[#This Row],[Amount 14]],Table3152025[[#This Row],[Amount 14]],Table315202530[[#This Row],[Amount 14]]),0)</f>
        <v>0</v>
      </c>
      <c r="R15" s="123">
        <f>IFERROR(AVERAGE(Table31520[[#This Row],[Amount 15]],Table3152025[[#This Row],[Amount 15]],Table315202530[[#This Row],[Amount 15]]),0)</f>
        <v>0</v>
      </c>
      <c r="S15" s="123">
        <f>IFERROR(AVERAGE(Table31520[[#This Row],[Amount 16]],Table3152025[[#This Row],[Amount 16]],Table315202530[[#This Row],[Amount 16]]),0)</f>
        <v>0</v>
      </c>
      <c r="T15" s="123">
        <f>IFERROR(AVERAGE(Table31520[[#This Row],[Amount 17]],Table3152025[[#This Row],[Amount 17]],Table315202530[[#This Row],[Amount 17]]),0)</f>
        <v>0</v>
      </c>
      <c r="U15" s="123">
        <f>IFERROR(AVERAGE(Table31520[[#This Row],[Amount 18]],Table3152025[[#This Row],[Amount 18]],Table315202530[[#This Row],[Amount 18]]),0)</f>
        <v>0</v>
      </c>
      <c r="V15" s="123">
        <f>IFERROR(AVERAGE(Table31520[[#This Row],[Amount 19]],Table3152025[[#This Row],[Amount 19]],Table315202530[[#This Row],[Amount 19]]),0)</f>
        <v>0</v>
      </c>
      <c r="W15" s="123">
        <f>IFERROR(AVERAGE(Table31520[[#This Row],[Ret.Time ]],Table3152025[[#This Row],[Ret.Time ]],Table315202530[[#This Row],[Ret.Time ]]),0)</f>
        <v>0</v>
      </c>
      <c r="X15" s="123">
        <f>IFERROR(AVERAGE(Table31520[[#This Row],[Amount 20]],Table3152025[[#This Row],[Amount 20]],Table315202530[[#This Row],[Amount 20]]),0)</f>
        <v>0</v>
      </c>
      <c r="Y15" s="123">
        <f>IFERROR(AVERAGE(Table31520[[#This Row],[Ret.Time]],Table3152025[[#This Row],[Ret.Time]],Table315202530[[#This Row],[Ret.Time]]),0)</f>
        <v>0</v>
      </c>
      <c r="Z15" s="123">
        <f>IFERROR(AVERAGE(Table31520[[#This Row],[Amount 21]],Table3152025[[#This Row],[Amount 21]],Table315202530[[#This Row],[Amount 21]]),0)</f>
        <v>0</v>
      </c>
      <c r="AA15" s="123">
        <f>IFERROR(AVERAGE(Table31520[[#This Row],[Ret.Time22]],Table3152025[[#This Row],[Ret.Time22]],Table315202530[[#This Row],[Ret.Time22]]),0)</f>
        <v>0</v>
      </c>
      <c r="AB15" s="123">
        <f>IFERROR(AVERAGE(Table31520[[#This Row],[Amount 23]],Table3152025[[#This Row],[Amount 23]],Table315202530[[#This Row],[Amount 23]]),0)</f>
        <v>0</v>
      </c>
      <c r="AC15" s="123">
        <f>IFERROR(AVERAGE(Table31520[[#This Row],[Ret.Time24]],Table3152025[[#This Row],[Ret.Time24]],Table315202530[[#This Row],[Ret.Time24]]),0)</f>
        <v>0</v>
      </c>
      <c r="AD15" s="123">
        <f>IFERROR(AVERAGE(Table31520[[#This Row],[Amount 25]],Table3152025[[#This Row],[Amount 25]],Table315202530[[#This Row],[Amount 25]]),0)</f>
        <v>0</v>
      </c>
      <c r="AE15" s="18">
        <f>IFERROR(AVERAGE(Table31520[[#This Row],[pH]],Table3152025[[#This Row],[pH]],Table315202530[[#This Row],[pH]]),0)</f>
        <v>2.6166666666666667</v>
      </c>
      <c r="AF15" s="18">
        <f>IFERROR(AVERAGE(Table31520[[#This Row],[dilution ]],Table3152025[[#This Row],[dilution ]],Table315202530[[#This Row],[dilution ]]),0)</f>
        <v>100</v>
      </c>
      <c r="AG15" s="18">
        <f>IFERROR(AVERAGE(Table31520[[#This Row],[correction]],Table3152025[[#This Row],[correction]],Table315202530[[#This Row],[correction factor]]),0)</f>
        <v>1</v>
      </c>
      <c r="AH15" s="18">
        <f>IFERROR(AVERAGE(Table31520[[#This Row],[amount]],Table3152025[[#This Row],[amount]],Table315202530[[#This Row],[amount]]),0)</f>
        <v>137.7011</v>
      </c>
      <c r="AI15" s="18">
        <f>IFERROR(AVERAGE(Table31520[[#This Row],[pressure]],Table3152025[[#This Row],[pressure]],Table315202530[[#This Row],[pressure]]),0)</f>
        <v>0</v>
      </c>
      <c r="AJ15" s="64">
        <f>AVERAGE(Table51621[[#This Row],[Concentration]],Table5162126[[#This Row],[Concentration]],Table516212631[[#This Row],[Concentration]])</f>
        <v>0</v>
      </c>
      <c r="AK15" s="64">
        <f>AVERAGE(Table51621[[#This Row],[Concentration2]],Table5162126[[#This Row],[Concentration2]],Table516212631[[#This Row],[Concentration2]])</f>
        <v>0</v>
      </c>
      <c r="AL15" s="64">
        <f>AVERAGE(Table51621[[#This Row],[Concentration3]],Table5162126[[#This Row],[Concentration3]],Table516212631[[#This Row],[Concentration3]])</f>
        <v>0</v>
      </c>
      <c r="AM15" s="64">
        <f>AVERAGE(Table51621[[#This Row],[Concentration4]],Table5162126[[#This Row],[Concentration4]],Table516212631[[#This Row],[Concentration4]])</f>
        <v>0</v>
      </c>
      <c r="AN15" s="64">
        <f>AVERAGE(Table51621[[#This Row],[Concentration5]],Table5162126[[#This Row],[Concentration5]],Table516212631[[#This Row],[Concentration5]])</f>
        <v>0</v>
      </c>
      <c r="AO15" s="64">
        <f>AVERAGE(Table51621[[#This Row],[Concentration6]],Table5162126[[#This Row],[Concentration6]],Table516212631[[#This Row],[Concentration6]])</f>
        <v>0</v>
      </c>
      <c r="AP15" s="162">
        <f>IF(J15="nd","nd",J15*$C15/1000)</f>
        <v>0</v>
      </c>
      <c r="AQ15" s="162">
        <f t="shared" ref="AQ15:AW25" si="2">IF(K15="nd","nd",K15*$C15/1000)</f>
        <v>0</v>
      </c>
      <c r="AR15" s="162">
        <f t="shared" si="2"/>
        <v>0</v>
      </c>
      <c r="AS15" s="162">
        <f t="shared" si="2"/>
        <v>0</v>
      </c>
      <c r="AT15" s="162">
        <f t="shared" si="2"/>
        <v>0</v>
      </c>
      <c r="AU15" s="162">
        <f t="shared" si="2"/>
        <v>0</v>
      </c>
      <c r="AV15" s="162">
        <f t="shared" si="2"/>
        <v>0</v>
      </c>
      <c r="AW15" s="162">
        <f t="shared" si="2"/>
        <v>0</v>
      </c>
      <c r="AX15" s="64" t="e">
        <f>AVERAGE(Table51621[[#This Row],[Concentration15]],Table5162126[[#This Row],[Concentration15]],Table516212631[[#This Row],[Concentration15]])</f>
        <v>#VALUE!</v>
      </c>
      <c r="AY15" s="64" t="e">
        <f>AVERAGE(Table51621[[#This Row],[Concentration16]],Table5162126[[#This Row],[Concentration16]],Table516212631[[#This Row],[Concentration16]])</f>
        <v>#VALUE!</v>
      </c>
      <c r="AZ15" s="64">
        <f>AVERAGE(Table51621[[#This Row],[Concentration17]],Table5162126[[#This Row],[Concentration17]],Table516212631[[#This Row],[Concentration17]])</f>
        <v>152.86534191829483</v>
      </c>
      <c r="BA15" s="64">
        <f>AVERAGE(Table51621[[#This Row],[Concentration172]],Table5162126[[#This Row],[Concentration172]],Table516212631[[#This Row],[Concentration172]])</f>
        <v>13.770110000000001</v>
      </c>
      <c r="BB15" s="64" t="e">
        <f>AVERAGE(Table51621[[#This Row],[Concentration18]],Table5162126[[#This Row],[Concentration18]],Table516212631[[#This Row],[Concentration18]])</f>
        <v>#DIV/0!</v>
      </c>
      <c r="BC15" s="64" t="e">
        <f>AVERAGE(Table51621[[#This Row],[Concentration19]],Table5162126[[#This Row],[Concentration19]],Table516212631[[#This Row],[Concentration19]])</f>
        <v>#DIV/0!</v>
      </c>
      <c r="BD15" s="64">
        <f>AVERAGE(Table51621[[#This Row],[Concentration]],Table5162126[[#This Row],[Concentration]],Table516212631[[#This Row],[Concentration]])</f>
        <v>0</v>
      </c>
      <c r="BE15" s="64">
        <f>AVERAGE(Table51621[[#This Row],[Concentration2]],Table5162126[[#This Row],[Concentration2]],Table516212631[[#This Row],[Concentration2]])</f>
        <v>0</v>
      </c>
      <c r="BF15" s="64">
        <f>AVERAGE(Table51621[[#This Row],[Concentration3]],Table5162126[[#This Row],[Concentration3]],Table516212631[[#This Row],[Concentration3]])</f>
        <v>0</v>
      </c>
      <c r="BG15" s="64">
        <f>AVERAGE(Table51621[[#This Row],[Concentration4]],Table5162126[[#This Row],[Concentration4]],Table516212631[[#This Row],[Concentration4]])</f>
        <v>0</v>
      </c>
      <c r="BH15" s="64">
        <f>AVERAGE(Table51621[[#This Row],[Concentration5]],Table5162126[[#This Row],[Concentration5]],Table516212631[[#This Row],[Concentration5]])</f>
        <v>0</v>
      </c>
      <c r="BI15" s="64" t="e">
        <f>AVERAGE(Table61722[[#This Row],[Concentration7]],Table6172227[[#This Row],[Concentration7]],Table617222732[[#This Row],[Concentration7]])</f>
        <v>#VALUE!</v>
      </c>
      <c r="BJ15" s="64" t="e">
        <f>AVERAGE(Table61722[[#This Row],[Concentration8]],Table6172227[[#This Row],[Concentration8]],Table617222732[[#This Row],[Concentration8]])</f>
        <v>#VALUE!</v>
      </c>
      <c r="BK15" s="64" t="e">
        <f>AVERAGE(Table61722[[#This Row],[Concentration9]],Table6172227[[#This Row],[Concentration9]],Table617222732[[#This Row],[Concentration9]])</f>
        <v>#VALUE!</v>
      </c>
      <c r="BL15" s="64" t="e">
        <f>AVERAGE(Table61722[[#This Row],[Concentration10]],Table6172227[[#This Row],[Concentration10]],Table617222732[[#This Row],[Concentration10]])</f>
        <v>#VALUE!</v>
      </c>
      <c r="BM15" s="64" t="e">
        <f>AVERAGE(Table61722[[#This Row],[Concentration11]],Table6172227[[#This Row],[Concentration11]],Table617222732[[#This Row],[Concentration11]])</f>
        <v>#VALUE!</v>
      </c>
      <c r="BN15" s="64" t="e">
        <f>AVERAGE(Table61722[[#This Row],[Concentration12]],Table6172227[[#This Row],[Concentration12]],Table617222732[[#This Row],[Concentration12]])</f>
        <v>#VALUE!</v>
      </c>
      <c r="BO15" s="64" t="e">
        <f>AVERAGE(Table61722[[#This Row],[Concentration13]],Table6172227[[#This Row],[Concentration13]],Table617222732[[#This Row],[Concentration13]])</f>
        <v>#VALUE!</v>
      </c>
      <c r="BP15" s="64">
        <f>Table5162126313641465156616671[[#This Row],[Concentration14]]*6</f>
        <v>0</v>
      </c>
      <c r="BQ15" s="64" t="e">
        <f>AVERAGE(Table61722[[#This Row],[Concentration15]],Table6172227[[#This Row],[Concentration15]],Table617222732[[#This Row],[Concentration15]])</f>
        <v>#VALUE!</v>
      </c>
      <c r="BR15" s="64" t="e">
        <f>AVERAGE(Table61722[[#This Row],[Concentration16]],Table6172227[[#This Row],[Concentration16]],Table617222732[[#This Row],[Concentration16]])</f>
        <v>#VALUE!</v>
      </c>
      <c r="BS15" s="64">
        <f>Table6172227323742475257626772[[#This Row],[Concentration17]]*1000</f>
        <v>458.59602575488452</v>
      </c>
      <c r="BT15" s="64">
        <f>AVERAGE(Table61722[[#This Row],[Concentration17]],Table6172227[[#This Row],[Concentration17]],Table617222732[[#This Row],[Concentration17]])</f>
        <v>0.45859602575488451</v>
      </c>
      <c r="BU15" s="64" t="e">
        <f>AVERAGE(Table61722[[#This Row],[concentration18]],Table6172227[[#This Row],[concentration18]],Table617222732[[#This Row],[concentration18]])</f>
        <v>#DIV/0!</v>
      </c>
      <c r="BV15" s="64">
        <f>SUM(IFERROR(Table6172227323742475257626772[[#This Row],[Concentration7]],0),IFERROR(Table6172227323742475257626772[[#This Row],[Concentration8]],0),IFERROR(Table6172227323742475257626772[[#This Row],[Concentration9]],0),IFERROR(Table6172227323742475257626772[[#This Row],[Concentration10]],0),IFERROR(Table6172227323742475257626772[[#This Row],[Concentration11]],0),IFERROR(Table6172227323742475257626772[[#This Row],[Concentration12]],0),IFERROR(Table6172227323742475257626772[[#This Row],[Concentration13]],0),IFERROR(Table6172227323742475257626772[[#This Row],[Concentration14]],0),IFERROR(Table6172227323742475257626772[[#This Row],[Concentration15]],0),IFERROR(Table6172227323742475257626772[[#This Row],[Concentration16]],0),IFERROR(Table6172227323742475257626772[[#This Row],[concentration18]],0))</f>
        <v>0</v>
      </c>
      <c r="BW15" s="64"/>
      <c r="CC15" s="178">
        <f>Table5162126313641465156616671[[#This Row],[Concentration18]]</f>
        <v>13.770110000000001</v>
      </c>
      <c r="CD15" s="66">
        <f t="shared" si="0"/>
        <v>41</v>
      </c>
      <c r="CE15" s="47">
        <v>1.5</v>
      </c>
      <c r="CF15" s="66">
        <f>CC15*(CD15/1000)</f>
        <v>0.56457451000000003</v>
      </c>
      <c r="CG15" s="47" t="s">
        <v>191</v>
      </c>
      <c r="CI15" s="47" t="s">
        <v>159</v>
      </c>
      <c r="CJ15" s="47">
        <f>CF15+SUM(CF9:CF14)</f>
        <v>0.58674262150000001</v>
      </c>
      <c r="CK15" s="47" t="s">
        <v>192</v>
      </c>
    </row>
    <row r="16" spans="1:90" s="66" customFormat="1" ht="16" thickBot="1" x14ac:dyDescent="0.4">
      <c r="A16" s="63">
        <f>Table2[[#This Row],[Date]]</f>
        <v>43347</v>
      </c>
      <c r="B16" s="167">
        <f>Table2[[#This Row],[Time]]</f>
        <v>21</v>
      </c>
      <c r="C16" s="77">
        <v>10</v>
      </c>
      <c r="D16" s="18">
        <f>IFERROR(AVERAGE(Table31520[[#This Row],[Amount ]],Table3152025[[#This Row],[Amount ]],Table315202530[[#This Row],[Amount ]]),0)</f>
        <v>0</v>
      </c>
      <c r="E16" s="18">
        <f>IFERROR(AVERAGE(Table31520[[#This Row],[Amount 2]],Table3152025[[#This Row],[Amount 2]],Table315202530[[#This Row],[Amount 2]]),0)</f>
        <v>0</v>
      </c>
      <c r="F16" s="18">
        <f>IFERROR(AVERAGE(Table31520[[#This Row],[Amount 3]],Table3152025[[#This Row],[Amount 3]],Table315202530[[#This Row],[Amount 3]]),0)</f>
        <v>0</v>
      </c>
      <c r="G16" s="18">
        <f>IFERROR(AVERAGE(Table31520[[#This Row],[Amount 4]],Table3152025[[#This Row],[Amount 4]],Table315202530[[#This Row],[Amount 4]]),0)</f>
        <v>0</v>
      </c>
      <c r="H16" s="18">
        <f>IFERROR(AVERAGE(Table31520[[#This Row],[Amount 5]],Table3152025[[#This Row],[Amount 5]],Table315202530[[#This Row],[Amount 5]]),0)</f>
        <v>0</v>
      </c>
      <c r="I16" s="18">
        <f>IFERROR(AVERAGE(Table31520[[#This Row],[Amount 6]],Table3152025[[#This Row],[Amount 6]],Table315202530[[#This Row],[Amount 6]]),0)</f>
        <v>0</v>
      </c>
      <c r="J16" s="18">
        <f>IFERROR(AVERAGE(Table31520[[#This Row],[Amount 7]],Table3152025[[#This Row],[Amount 7]],Table315202530[[#This Row],[Amount 7]]),0)</f>
        <v>6.8665458450727952</v>
      </c>
      <c r="K16" s="18">
        <f>IFERROR(AVERAGE(Table31520[[#This Row],[Amount 8]],Table3152025[[#This Row],[Amount 8]],Table315202530[[#This Row],[Amount 8]]),0)</f>
        <v>37.582823977898506</v>
      </c>
      <c r="L16" s="18">
        <f>IFERROR(AVERAGE(Table31520[[#This Row],[Amount 9]],Table3152025[[#This Row],[Amount 9]],Table315202530[[#This Row],[Amount 9]]),0)</f>
        <v>3.055489994239477E-2</v>
      </c>
      <c r="M16" s="18">
        <f>IFERROR(AVERAGE(Table31520[[#This Row],[Amount 10]],Table3152025[[#This Row],[Amount 10]],Table315202530[[#This Row],[Amount 10]]),0)</f>
        <v>0.79861673891313412</v>
      </c>
      <c r="N16" s="18">
        <f>IFERROR(AVERAGE(Table31520[[#This Row],[Amount 11]],Table3152025[[#This Row],[Amount 11]],Table315202530[[#This Row],[Amount 11]]),0)</f>
        <v>0.11951964417505423</v>
      </c>
      <c r="O16" s="18">
        <f>IFERROR(AVERAGE(Table31520[[#This Row],[Amount 12]],Table3152025[[#This Row],[Amount 12]],Table315202530[[#This Row],[Amount 12]]),0)</f>
        <v>0</v>
      </c>
      <c r="P16" s="18">
        <f>IFERROR(AVERAGE(Table31520[[#This Row],[Amount 13]],Table3152025[[#This Row],[Amount 13]],Table315202530[[#This Row],[Amount 13]]),0)</f>
        <v>0</v>
      </c>
      <c r="Q16" s="18">
        <f>IFERROR(AVERAGE(Table31520[[#This Row],[Amount 14]],Table3152025[[#This Row],[Amount 14]],Table315202530[[#This Row],[Amount 14]]),0)</f>
        <v>2.4158350169718354</v>
      </c>
      <c r="R16" s="18">
        <f>IFERROR(AVERAGE(Table31520[[#This Row],[Amount 15]],Table3152025[[#This Row],[Amount 15]],Table315202530[[#This Row],[Amount 15]]),0)</f>
        <v>0</v>
      </c>
      <c r="S16" s="18">
        <f>IFERROR(AVERAGE(Table31520[[#This Row],[Amount 16]],Table3152025[[#This Row],[Amount 16]],Table315202530[[#This Row],[Amount 16]]),0)</f>
        <v>6.1701885032374797</v>
      </c>
      <c r="T16" s="18">
        <f>IFERROR(AVERAGE(Table31520[[#This Row],[Amount 17]],Table3152025[[#This Row],[Amount 17]],Table315202530[[#This Row],[Amount 17]]),0)</f>
        <v>0</v>
      </c>
      <c r="U16" s="18">
        <f>IFERROR(AVERAGE(Table31520[[#This Row],[Amount 18]],Table3152025[[#This Row],[Amount 18]],Table315202530[[#This Row],[Amount 18]]),0)</f>
        <v>0</v>
      </c>
      <c r="V16" s="18">
        <f>IFERROR(AVERAGE(Table31520[[#This Row],[Amount 19]],Table3152025[[#This Row],[Amount 19]],Table315202530[[#This Row],[Amount 19]]),0)</f>
        <v>0</v>
      </c>
      <c r="W16" s="18">
        <f>IFERROR(AVERAGE(Table31520[[#This Row],[Ret.Time ]],Table3152025[[#This Row],[Ret.Time ]],Table315202530[[#This Row],[Ret.Time ]]),0)</f>
        <v>0</v>
      </c>
      <c r="X16" s="18">
        <f>IFERROR(AVERAGE(Table31520[[#This Row],[Amount 20]],Table3152025[[#This Row],[Amount 20]],Table315202530[[#This Row],[Amount 20]]),0)</f>
        <v>0</v>
      </c>
      <c r="Y16" s="18">
        <f>IFERROR(AVERAGE(Table31520[[#This Row],[Ret.Time]],Table3152025[[#This Row],[Ret.Time]],Table315202530[[#This Row],[Ret.Time]]),0)</f>
        <v>0</v>
      </c>
      <c r="Z16" s="18">
        <f>IFERROR(AVERAGE(Table31520[[#This Row],[Amount 21]],Table3152025[[#This Row],[Amount 21]],Table315202530[[#This Row],[Amount 21]]),0)</f>
        <v>0</v>
      </c>
      <c r="AA16" s="18">
        <f>IFERROR(AVERAGE(Table31520[[#This Row],[Ret.Time22]],Table3152025[[#This Row],[Ret.Time22]],Table315202530[[#This Row],[Ret.Time22]]),0)</f>
        <v>0</v>
      </c>
      <c r="AB16" s="18">
        <f>IFERROR(AVERAGE(Table31520[[#This Row],[Amount 23]],Table3152025[[#This Row],[Amount 23]],Table315202530[[#This Row],[Amount 23]]),0)</f>
        <v>0</v>
      </c>
      <c r="AC16" s="18">
        <f>IFERROR(AVERAGE(Table31520[[#This Row],[Ret.Time24]],Table3152025[[#This Row],[Ret.Time24]],Table315202530[[#This Row],[Ret.Time24]]),0)</f>
        <v>0</v>
      </c>
      <c r="AD16" s="18">
        <f>IFERROR(AVERAGE(Table31520[[#This Row],[Amount 25]],Table3152025[[#This Row],[Amount 25]],Table315202530[[#This Row],[Amount 25]]),0)</f>
        <v>0</v>
      </c>
      <c r="AE16" s="18">
        <f>IFERROR(AVERAGE(Table31520[[#This Row],[pH]],Table3152025[[#This Row],[pH]],Table315202530[[#This Row],[pH]]),0)</f>
        <v>5.7466666666666661</v>
      </c>
      <c r="AF16" s="18">
        <f>IFERROR(AVERAGE(Table31520[[#This Row],[dilution ]],Table3152025[[#This Row],[dilution ]],Table315202530[[#This Row],[dilution ]]),0)</f>
        <v>100</v>
      </c>
      <c r="AG16" s="18">
        <f>IFERROR(AVERAGE(Table31520[[#This Row],[correction]],Table3152025[[#This Row],[correction]],Table315202530[[#This Row],[correction factor]]),0)</f>
        <v>1</v>
      </c>
      <c r="AH16" s="18">
        <f>IFERROR(AVERAGE(Table31520[[#This Row],[amount]],Table3152025[[#This Row],[amount]],Table315202530[[#This Row],[amount]]),0)</f>
        <v>87.158999999999992</v>
      </c>
      <c r="AI16" s="18">
        <f>IFERROR(AVERAGE(Table31520[[#This Row],[pressure]],Table3152025[[#This Row],[pressure]],Table315202530[[#This Row],[pressure]]),0)</f>
        <v>0</v>
      </c>
      <c r="AJ16" s="64" t="e">
        <f>AVERAGE(Table51621[[#This Row],[Concentration]],Table5162126[[#This Row],[Concentration]],Table516212631[[#This Row],[Concentration]])</f>
        <v>#VALUE!</v>
      </c>
      <c r="AK16" s="64" t="e">
        <f>AVERAGE(Table51621[[#This Row],[Concentration2]],Table5162126[[#This Row],[Concentration2]],Table516212631[[#This Row],[Concentration2]])</f>
        <v>#VALUE!</v>
      </c>
      <c r="AL16" s="64" t="e">
        <f>AVERAGE(Table51621[[#This Row],[Concentration3]],Table5162126[[#This Row],[Concentration3]],Table516212631[[#This Row],[Concentration3]])</f>
        <v>#VALUE!</v>
      </c>
      <c r="AM16" s="64" t="e">
        <f>AVERAGE(Table51621[[#This Row],[Concentration4]],Table5162126[[#This Row],[Concentration4]],Table516212631[[#This Row],[Concentration4]])</f>
        <v>#VALUE!</v>
      </c>
      <c r="AN16" s="64" t="e">
        <f>AVERAGE(Table51621[[#This Row],[Concentration5]],Table5162126[[#This Row],[Concentration5]],Table516212631[[#This Row],[Concentration5]])</f>
        <v>#VALUE!</v>
      </c>
      <c r="AO16" s="64" t="e">
        <f>AVERAGE(Table51621[[#This Row],[Concentration6]],Table5162126[[#This Row],[Concentration6]],Table516212631[[#This Row],[Concentration6]])</f>
        <v>#VALUE!</v>
      </c>
      <c r="AP16" s="162">
        <f t="shared" ref="AP16:AP25" si="3">IF(J16="nd","nd",J16*$C16/1000)</f>
        <v>6.8665458450727954E-2</v>
      </c>
      <c r="AQ16" s="162">
        <f t="shared" si="2"/>
        <v>0.37582823977898505</v>
      </c>
      <c r="AR16" s="162">
        <f t="shared" si="2"/>
        <v>3.0554899942394768E-4</v>
      </c>
      <c r="AS16" s="162">
        <f t="shared" si="2"/>
        <v>7.9861673891313406E-3</v>
      </c>
      <c r="AT16" s="162">
        <f t="shared" si="2"/>
        <v>1.1951964417505423E-3</v>
      </c>
      <c r="AU16" s="162">
        <f t="shared" si="2"/>
        <v>0</v>
      </c>
      <c r="AV16" s="162">
        <f t="shared" si="2"/>
        <v>0</v>
      </c>
      <c r="AW16" s="162">
        <f t="shared" si="2"/>
        <v>2.4158350169718353E-2</v>
      </c>
      <c r="AX16" s="64">
        <f>AVERAGE(Table51621[[#This Row],[Concentration15]],Table5162126[[#This Row],[Concentration15]],Table516212631[[#This Row],[Concentration15]])</f>
        <v>0</v>
      </c>
      <c r="AY16" s="64">
        <f>AVERAGE(Table51621[[#This Row],[Concentration16]],Table5162126[[#This Row],[Concentration16]],Table516212631[[#This Row],[Concentration16]])</f>
        <v>0.28083416002973266</v>
      </c>
      <c r="AZ16" s="64">
        <f>AVERAGE(Table51621[[#This Row],[Concentration17]],Table5162126[[#This Row],[Concentration17]],Table516212631[[#This Row],[Concentration17]])</f>
        <v>96.757326820603907</v>
      </c>
      <c r="BA16" s="64">
        <f>AVERAGE(Table51621[[#This Row],[Concentration172]],Table5162126[[#This Row],[Concentration172]],Table516212631[[#This Row],[Concentration172]])</f>
        <v>8.7158999999999995</v>
      </c>
      <c r="BB16" s="64" t="e">
        <f>AVERAGE(Table51621[[#This Row],[Concentration18]],Table5162126[[#This Row],[Concentration18]],Table516212631[[#This Row],[Concentration18]])</f>
        <v>#DIV/0!</v>
      </c>
      <c r="BC16" s="64" t="e">
        <f>AVERAGE(Table51621[[#This Row],[Concentration19]],Table5162126[[#This Row],[Concentration19]],Table516212631[[#This Row],[Concentration19]])</f>
        <v>#DIV/0!</v>
      </c>
      <c r="BD16" s="64" t="e">
        <f>AVERAGE(Table51621[[#This Row],[Concentration]],Table5162126[[#This Row],[Concentration]],Table516212631[[#This Row],[Concentration]])</f>
        <v>#VALUE!</v>
      </c>
      <c r="BE16" s="64" t="e">
        <f>AVERAGE(Table51621[[#This Row],[Concentration2]],Table5162126[[#This Row],[Concentration2]],Table516212631[[#This Row],[Concentration2]])</f>
        <v>#VALUE!</v>
      </c>
      <c r="BF16" s="64" t="e">
        <f>AVERAGE(Table51621[[#This Row],[Concentration3]],Table5162126[[#This Row],[Concentration3]],Table516212631[[#This Row],[Concentration3]])</f>
        <v>#VALUE!</v>
      </c>
      <c r="BG16" s="64" t="e">
        <f>AVERAGE(Table51621[[#This Row],[Concentration4]],Table5162126[[#This Row],[Concentration4]],Table516212631[[#This Row],[Concentration4]])</f>
        <v>#VALUE!</v>
      </c>
      <c r="BH16" s="64" t="e">
        <f>AVERAGE(Table51621[[#This Row],[Concentration5]],Table5162126[[#This Row],[Concentration5]],Table516212631[[#This Row],[Concentration5]])</f>
        <v>#VALUE!</v>
      </c>
      <c r="BI16" s="64">
        <f>AVERAGE(Table61722[[#This Row],[Concentration7]],Table6172227[[#This Row],[Concentration7]],Table617222732[[#This Row],[Concentration7]])</f>
        <v>9.7445973541959982E-2</v>
      </c>
      <c r="BJ16" s="64">
        <f>AVERAGE(Table61722[[#This Row],[Concentration8]],Table6172227[[#This Row],[Concentration8]],Table617222732[[#This Row],[Concentration8]])</f>
        <v>0.75084988643679329</v>
      </c>
      <c r="BK16" s="64">
        <f>AVERAGE(Table61722[[#This Row],[Concentration9]],Table6172227[[#This Row],[Concentration9]],Table617222732[[#This Row],[Concentration9]])</f>
        <v>0</v>
      </c>
      <c r="BL16" s="64">
        <f>AVERAGE(Table61722[[#This Row],[Concentration10]],Table6172227[[#This Row],[Concentration10]],Table617222732[[#This Row],[Concentration10]])</f>
        <v>0</v>
      </c>
      <c r="BM16" s="64">
        <f>AVERAGE(Table61722[[#This Row],[Concentration11]],Table6172227[[#This Row],[Concentration11]],Table617222732[[#This Row],[Concentration11]])</f>
        <v>0</v>
      </c>
      <c r="BN16" s="64">
        <f>AVERAGE(Table61722[[#This Row],[Concentration12]],Table6172227[[#This Row],[Concentration12]],Table617222732[[#This Row],[Concentration12]])</f>
        <v>0</v>
      </c>
      <c r="BO16" s="64">
        <f>AVERAGE(Table61722[[#This Row],[Concentration13]],Table6172227[[#This Row],[Concentration13]],Table617222732[[#This Row],[Concentration13]])</f>
        <v>0</v>
      </c>
      <c r="BP16" s="64">
        <f>Table5162126313641465156616671[[#This Row],[Concentration14]]*6</f>
        <v>0.14495010101831013</v>
      </c>
      <c r="BQ16" s="64">
        <f>AVERAGE(Table61722[[#This Row],[Concentration15]],Table6172227[[#This Row],[Concentration15]],Table617222732[[#This Row],[Concentration15]])</f>
        <v>0</v>
      </c>
      <c r="BR16" s="64">
        <f>AVERAGE(Table61722[[#This Row],[Concentration16]],Table6172227[[#This Row],[Concentration16]],Table617222732[[#This Row],[Concentration16]])</f>
        <v>2.2466732802378613</v>
      </c>
      <c r="BS16" s="64">
        <f>($BT$16*1000)-Table6172227323742475257626772[[#This Row],[Concentration17]]*1000</f>
        <v>0</v>
      </c>
      <c r="BT16" s="64">
        <f>AVERAGE(Table61722[[#This Row],[Concentration17]],Table6172227[[#This Row],[Concentration17]],Table617222732[[#This Row],[Concentration17]])</f>
        <v>0.29027198046181174</v>
      </c>
      <c r="BU16" s="64" t="e">
        <f>AVERAGE(Table61722[[#This Row],[concentration18]],Table6172227[[#This Row],[concentration18]],Table617222732[[#This Row],[concentration18]])</f>
        <v>#DIV/0!</v>
      </c>
      <c r="BV16" s="64">
        <f>SUM(IFERROR(Table6172227323742475257626772[[#This Row],[Concentration7]],0),IFERROR(Table6172227323742475257626772[[#This Row],[Concentration8]],0),IFERROR(Table6172227323742475257626772[[#This Row],[Concentration9]],0),IFERROR(Table6172227323742475257626772[[#This Row],[Concentration10]],0),IFERROR(Table6172227323742475257626772[[#This Row],[Concentration11]],0),IFERROR(Table6172227323742475257626772[[#This Row],[Concentration12]],0),IFERROR(Table6172227323742475257626772[[#This Row],[Concentration13]],0),IFERROR(Table6172227323742475257626772[[#This Row],[Concentration14]],0),IFERROR(Table6172227323742475257626772[[#This Row],[Concentration15]],0),IFERROR(Table6172227323742475257626772[[#This Row],[Concentration16]],0),IFERROR(Table6172227323742475257626772[[#This Row],[concentration18]],0))</f>
        <v>3.2399192412349249</v>
      </c>
      <c r="BW16" s="64">
        <f>IF(Table6172227323742475257626772[[#This Row],[Concentration162]]-Table6172227323742475257626772[[#This Row],[concentration19]]&lt;0,0,Table6172227323742475257626772[[#This Row],[Concentration162]]-Table6172227323742475257626772[[#This Row],[concentration19]])</f>
        <v>0</v>
      </c>
      <c r="BZ16" s="146">
        <f>CC16*(CD16/1000)/constants!$B$23*1000*constants!$C$23</f>
        <v>15.181224578152751</v>
      </c>
      <c r="CA16" s="66" t="s">
        <v>195</v>
      </c>
      <c r="CC16" s="178">
        <f>Table5162126313641465156616671[[#This Row],[Concentration18]]</f>
        <v>8.7158999999999995</v>
      </c>
      <c r="CD16" s="66">
        <f>40+1+11.3</f>
        <v>52.3</v>
      </c>
      <c r="CE16" s="80">
        <v>1.5</v>
      </c>
      <c r="CF16" s="181">
        <f>CC16*(CE16/1000)/constants!$B$23*1000*constants!$C$23</f>
        <v>0.43540797069271764</v>
      </c>
      <c r="CG16" s="181">
        <f>AP16*(CE16/1000)/constants!$B$5*1000*constants!$C$5</f>
        <v>3.4302999958733074E-3</v>
      </c>
      <c r="CH16" s="181">
        <f>AQ16*(CE16/1000)/constants!$B$11*1000*constants!$C$11</f>
        <v>2.2830047368423343E-2</v>
      </c>
      <c r="CI16" s="181">
        <f>AS16*(CE16/1000)/constants!$B$4*1000*constants!$C$4</f>
        <v>5.4385631324527326E-4</v>
      </c>
      <c r="CJ16" s="181">
        <f>AR16*(CE16/1000)/constants!$B$19*1000*constants!$C$19</f>
        <v>1.0403911178260768E-5</v>
      </c>
      <c r="CK16" s="181">
        <f>AU16*(CE16/1000)/constants!$B$12*1000*constants!$C$12</f>
        <v>0</v>
      </c>
      <c r="CL16" s="181">
        <f>AW16*(CE16/1000)/constants!$B$13*1000*constants!$C$13</f>
        <v>1.8717729986868561E-3</v>
      </c>
    </row>
    <row r="17" spans="1:105" s="47" customFormat="1" ht="16" thickBot="1" x14ac:dyDescent="0.4">
      <c r="A17" s="63" t="str">
        <f>Table2[[#This Row],[Date]]</f>
        <v>13-04</v>
      </c>
      <c r="B17" s="167">
        <f>Table2[[#This Row],[Time]]</f>
        <v>26</v>
      </c>
      <c r="C17" s="77">
        <v>10</v>
      </c>
      <c r="D17" s="18">
        <f>IFERROR(AVERAGE(Table31520[[#This Row],[Amount ]],Table3152025[[#This Row],[Amount ]],Table315202530[[#This Row],[Amount ]]),0)</f>
        <v>0</v>
      </c>
      <c r="E17" s="18">
        <f>IFERROR(AVERAGE(Table31520[[#This Row],[Amount 2]],Table3152025[[#This Row],[Amount 2]],Table315202530[[#This Row],[Amount 2]]),0)</f>
        <v>0</v>
      </c>
      <c r="F17" s="18">
        <f>IFERROR(AVERAGE(Table31520[[#This Row],[Amount 3]],Table3152025[[#This Row],[Amount 3]],Table315202530[[#This Row],[Amount 3]]),0)</f>
        <v>0</v>
      </c>
      <c r="G17" s="18">
        <f>IFERROR(AVERAGE(Table31520[[#This Row],[Amount 4]],Table3152025[[#This Row],[Amount 4]],Table315202530[[#This Row],[Amount 4]]),0)</f>
        <v>0</v>
      </c>
      <c r="H17" s="18">
        <f>IFERROR(AVERAGE(Table31520[[#This Row],[Amount 5]],Table3152025[[#This Row],[Amount 5]],Table315202530[[#This Row],[Amount 5]]),0)</f>
        <v>0</v>
      </c>
      <c r="I17" s="18">
        <f>IFERROR(AVERAGE(Table31520[[#This Row],[Amount 6]],Table3152025[[#This Row],[Amount 6]],Table315202530[[#This Row],[Amount 6]]),0)</f>
        <v>1.0985562898925805</v>
      </c>
      <c r="J17" s="18">
        <f>IFERROR(AVERAGE(Table31520[[#This Row],[Amount 7]],Table3152025[[#This Row],[Amount 7]],Table315202530[[#This Row],[Amount 7]]),0)</f>
        <v>12.276721987722164</v>
      </c>
      <c r="K17" s="18">
        <f>IFERROR(AVERAGE(Table31520[[#This Row],[Amount 8]],Table3152025[[#This Row],[Amount 8]],Table315202530[[#This Row],[Amount 8]]),0)</f>
        <v>19.918473700455316</v>
      </c>
      <c r="L17" s="18">
        <f>IFERROR(AVERAGE(Table31520[[#This Row],[Amount 9]],Table3152025[[#This Row],[Amount 9]],Table315202530[[#This Row],[Amount 9]]),0)</f>
        <v>0.66789168412124533</v>
      </c>
      <c r="M17" s="18">
        <f>IFERROR(AVERAGE(Table31520[[#This Row],[Amount 10]],Table3152025[[#This Row],[Amount 10]],Table315202530[[#This Row],[Amount 10]]),0)</f>
        <v>7.4766107885522937</v>
      </c>
      <c r="N17" s="18">
        <f>IFERROR(AVERAGE(Table31520[[#This Row],[Amount 11]],Table3152025[[#This Row],[Amount 11]],Table315202530[[#This Row],[Amount 11]]),0)</f>
        <v>0</v>
      </c>
      <c r="O17" s="18">
        <f>IFERROR(AVERAGE(Table31520[[#This Row],[Amount 12]],Table3152025[[#This Row],[Amount 12]],Table315202530[[#This Row],[Amount 12]]),0)</f>
        <v>0.28706876560743477</v>
      </c>
      <c r="P17" s="18">
        <f>IFERROR(AVERAGE(Table31520[[#This Row],[Amount 13]],Table3152025[[#This Row],[Amount 13]],Table315202530[[#This Row],[Amount 13]]),0)</f>
        <v>0</v>
      </c>
      <c r="Q17" s="18">
        <f>IFERROR(AVERAGE(Table31520[[#This Row],[Amount 14]],Table3152025[[#This Row],[Amount 14]],Table315202530[[#This Row],[Amount 14]]),0)</f>
        <v>1.7039133041285057</v>
      </c>
      <c r="R17" s="18">
        <f>IFERROR(AVERAGE(Table31520[[#This Row],[Amount 15]],Table3152025[[#This Row],[Amount 15]],Table315202530[[#This Row],[Amount 15]]),0)</f>
        <v>0</v>
      </c>
      <c r="S17" s="18">
        <f>IFERROR(AVERAGE(Table31520[[#This Row],[Amount 16]],Table3152025[[#This Row],[Amount 16]],Table315202530[[#This Row],[Amount 16]]),0)</f>
        <v>2.9895108034516085</v>
      </c>
      <c r="T17" s="18">
        <f>IFERROR(AVERAGE(Table31520[[#This Row],[Amount 17]],Table3152025[[#This Row],[Amount 17]],Table315202530[[#This Row],[Amount 17]]),0)</f>
        <v>0</v>
      </c>
      <c r="U17" s="18">
        <f>IFERROR(AVERAGE(Table31520[[#This Row],[Amount 18]],Table3152025[[#This Row],[Amount 18]],Table315202530[[#This Row],[Amount 18]]),0)</f>
        <v>0</v>
      </c>
      <c r="V17" s="18">
        <f>IFERROR(AVERAGE(Table31520[[#This Row],[Amount 19]],Table3152025[[#This Row],[Amount 19]],Table315202530[[#This Row],[Amount 19]]),0)</f>
        <v>0</v>
      </c>
      <c r="W17" s="18">
        <f>IFERROR(AVERAGE(Table31520[[#This Row],[Ret.Time ]],Table3152025[[#This Row],[Ret.Time ]],Table315202530[[#This Row],[Ret.Time ]]),0)</f>
        <v>0</v>
      </c>
      <c r="X17" s="18">
        <f>IFERROR(AVERAGE(Table31520[[#This Row],[Amount 20]],Table3152025[[#This Row],[Amount 20]],Table315202530[[#This Row],[Amount 20]]),0)</f>
        <v>0</v>
      </c>
      <c r="Y17" s="18">
        <f>IFERROR(AVERAGE(Table31520[[#This Row],[Ret.Time]],Table3152025[[#This Row],[Ret.Time]],Table315202530[[#This Row],[Ret.Time]]),0)</f>
        <v>0</v>
      </c>
      <c r="Z17" s="18">
        <f>IFERROR(AVERAGE(Table31520[[#This Row],[Amount 21]],Table3152025[[#This Row],[Amount 21]],Table315202530[[#This Row],[Amount 21]]),0)</f>
        <v>0</v>
      </c>
      <c r="AA17" s="18">
        <f>IFERROR(AVERAGE(Table31520[[#This Row],[Ret.Time22]],Table3152025[[#This Row],[Ret.Time22]],Table315202530[[#This Row],[Ret.Time22]]),0)</f>
        <v>0</v>
      </c>
      <c r="AB17" s="18">
        <f>IFERROR(AVERAGE(Table31520[[#This Row],[Amount 23]],Table3152025[[#This Row],[Amount 23]],Table315202530[[#This Row],[Amount 23]]),0)</f>
        <v>0</v>
      </c>
      <c r="AC17" s="18">
        <f>IFERROR(AVERAGE(Table31520[[#This Row],[Ret.Time24]],Table3152025[[#This Row],[Ret.Time24]],Table315202530[[#This Row],[Ret.Time24]]),0)</f>
        <v>0</v>
      </c>
      <c r="AD17" s="18">
        <f>IFERROR(AVERAGE(Table31520[[#This Row],[Amount 25]],Table3152025[[#This Row],[Amount 25]],Table315202530[[#This Row],[Amount 25]]),0)</f>
        <v>0</v>
      </c>
      <c r="AE17" s="18">
        <f>IFERROR(AVERAGE(Table31520[[#This Row],[pH]],Table3152025[[#This Row],[pH]],Table315202530[[#This Row],[pH]]),0)</f>
        <v>5.8266666666666671</v>
      </c>
      <c r="AF17" s="18">
        <f>IFERROR(AVERAGE(Table31520[[#This Row],[dilution ]],Table3152025[[#This Row],[dilution ]],Table315202530[[#This Row],[dilution ]]),0)</f>
        <v>100</v>
      </c>
      <c r="AG17" s="18">
        <f>IFERROR(AVERAGE(Table31520[[#This Row],[correction]],Table3152025[[#This Row],[correction]],Table315202530[[#This Row],[correction factor]]),0)</f>
        <v>1</v>
      </c>
      <c r="AH17" s="18">
        <f>IFERROR(AVERAGE(Table31520[[#This Row],[amount]],Table3152025[[#This Row],[amount]],Table315202530[[#This Row],[amount]]),0)</f>
        <v>94.6648</v>
      </c>
      <c r="AI17" s="18">
        <f>IFERROR(AVERAGE(Table31520[[#This Row],[pressure]],Table3152025[[#This Row],[pressure]],Table315202530[[#This Row],[pressure]]),0)</f>
        <v>0</v>
      </c>
      <c r="AJ17" s="64" t="e">
        <f>AVERAGE(Table51621[[#This Row],[Concentration]],Table5162126[[#This Row],[Concentration]],Table516212631[[#This Row],[Concentration]])</f>
        <v>#VALUE!</v>
      </c>
      <c r="AK17" s="64" t="e">
        <f>AVERAGE(Table51621[[#This Row],[Concentration2]],Table5162126[[#This Row],[Concentration2]],Table516212631[[#This Row],[Concentration2]])</f>
        <v>#VALUE!</v>
      </c>
      <c r="AL17" s="64" t="e">
        <f>AVERAGE(Table51621[[#This Row],[Concentration3]],Table5162126[[#This Row],[Concentration3]],Table516212631[[#This Row],[Concentration3]])</f>
        <v>#VALUE!</v>
      </c>
      <c r="AM17" s="64" t="e">
        <f>AVERAGE(Table51621[[#This Row],[Concentration4]],Table5162126[[#This Row],[Concentration4]],Table516212631[[#This Row],[Concentration4]])</f>
        <v>#VALUE!</v>
      </c>
      <c r="AN17" s="64" t="e">
        <f>AVERAGE(Table51621[[#This Row],[Concentration5]],Table5162126[[#This Row],[Concentration5]],Table516212631[[#This Row],[Concentration5]])</f>
        <v>#VALUE!</v>
      </c>
      <c r="AO17" s="64" t="e">
        <f>AVERAGE(Table51621[[#This Row],[Concentration6]],Table5162126[[#This Row],[Concentration6]],Table516212631[[#This Row],[Concentration6]])</f>
        <v>#VALUE!</v>
      </c>
      <c r="AP17" s="162">
        <f t="shared" si="3"/>
        <v>0.12276721987722164</v>
      </c>
      <c r="AQ17" s="162">
        <f t="shared" si="2"/>
        <v>0.19918473700455314</v>
      </c>
      <c r="AR17" s="162">
        <f t="shared" si="2"/>
        <v>6.6789168412124539E-3</v>
      </c>
      <c r="AS17" s="162">
        <f t="shared" si="2"/>
        <v>7.4766107885522945E-2</v>
      </c>
      <c r="AT17" s="162">
        <f t="shared" si="2"/>
        <v>0</v>
      </c>
      <c r="AU17" s="162">
        <f t="shared" si="2"/>
        <v>2.8706876560743479E-3</v>
      </c>
      <c r="AV17" s="162">
        <f t="shared" si="2"/>
        <v>0</v>
      </c>
      <c r="AW17" s="162">
        <f t="shared" si="2"/>
        <v>1.703913304128506E-2</v>
      </c>
      <c r="AX17" s="64">
        <f>AVERAGE(Table51621[[#This Row],[Concentration15]],Table5162126[[#This Row],[Concentration15]],Table516212631[[#This Row],[Concentration15]])</f>
        <v>0</v>
      </c>
      <c r="AY17" s="64">
        <f>AVERAGE(Table51621[[#This Row],[Concentration16]],Table5162126[[#This Row],[Concentration16]],Table516212631[[#This Row],[Concentration16]])</f>
        <v>0.15297454222314061</v>
      </c>
      <c r="AZ17" s="64">
        <f>AVERAGE(Table51621[[#This Row],[Concentration17]],Table5162126[[#This Row],[Concentration17]],Table516212631[[#This Row],[Concentration17]])</f>
        <v>105.08969804618117</v>
      </c>
      <c r="BA17" s="64">
        <f>AVERAGE(Table51621[[#This Row],[Concentration172]],Table5162126[[#This Row],[Concentration172]],Table516212631[[#This Row],[Concentration172]])</f>
        <v>9.4664799999999989</v>
      </c>
      <c r="BB17" s="64" t="e">
        <f>AVERAGE(Table51621[[#This Row],[Concentration18]],Table5162126[[#This Row],[Concentration18]],Table516212631[[#This Row],[Concentration18]])</f>
        <v>#DIV/0!</v>
      </c>
      <c r="BC17" s="64" t="e">
        <f>AVERAGE(Table51621[[#This Row],[Concentration19]],Table5162126[[#This Row],[Concentration19]],Table516212631[[#This Row],[Concentration19]])</f>
        <v>#DIV/0!</v>
      </c>
      <c r="BD17" s="64" t="e">
        <f>AVERAGE(Table51621[[#This Row],[Concentration]],Table5162126[[#This Row],[Concentration]],Table516212631[[#This Row],[Concentration]])</f>
        <v>#VALUE!</v>
      </c>
      <c r="BE17" s="64" t="e">
        <f>AVERAGE(Table51621[[#This Row],[Concentration2]],Table5162126[[#This Row],[Concentration2]],Table516212631[[#This Row],[Concentration2]])</f>
        <v>#VALUE!</v>
      </c>
      <c r="BF17" s="64" t="e">
        <f>AVERAGE(Table51621[[#This Row],[Concentration3]],Table5162126[[#This Row],[Concentration3]],Table516212631[[#This Row],[Concentration3]])</f>
        <v>#VALUE!</v>
      </c>
      <c r="BG17" s="64" t="e">
        <f>AVERAGE(Table51621[[#This Row],[Concentration4]],Table5162126[[#This Row],[Concentration4]],Table516212631[[#This Row],[Concentration4]])</f>
        <v>#VALUE!</v>
      </c>
      <c r="BH17" s="64" t="e">
        <f>AVERAGE(Table51621[[#This Row],[Concentration5]],Table5162126[[#This Row],[Concentration5]],Table516212631[[#This Row],[Concentration5]])</f>
        <v>#VALUE!</v>
      </c>
      <c r="BI17" s="64">
        <f>AVERAGE(Table61722[[#This Row],[Concentration7]],Table6172227[[#This Row],[Concentration7]],Table617222732[[#This Row],[Concentration7]])</f>
        <v>0.24553443975444331</v>
      </c>
      <c r="BJ17" s="64">
        <f>AVERAGE(Table61722[[#This Row],[Concentration8]],Table6172227[[#This Row],[Concentration8]],Table617222732[[#This Row],[Concentration8]])</f>
        <v>0.59755421101365946</v>
      </c>
      <c r="BK17" s="64">
        <f>AVERAGE(Table61722[[#This Row],[Concentration9]],Table6172227[[#This Row],[Concentration9]],Table617222732[[#This Row],[Concentration9]])</f>
        <v>0</v>
      </c>
      <c r="BL17" s="64">
        <f>AVERAGE(Table61722[[#This Row],[Concentration10]],Table6172227[[#This Row],[Concentration10]],Table617222732[[#This Row],[Concentration10]])</f>
        <v>0.28780052889489999</v>
      </c>
      <c r="BM17" s="64">
        <f>AVERAGE(Table61722[[#This Row],[Concentration11]],Table6172227[[#This Row],[Concentration11]],Table617222732[[#This Row],[Concentration11]])</f>
        <v>0</v>
      </c>
      <c r="BN17" s="64">
        <f>AVERAGE(Table61722[[#This Row],[Concentration12]],Table6172227[[#This Row],[Concentration12]],Table617222732[[#This Row],[Concentration12]])</f>
        <v>0</v>
      </c>
      <c r="BO17" s="64">
        <f>AVERAGE(Table61722[[#This Row],[Concentration13]],Table6172227[[#This Row],[Concentration13]],Table617222732[[#This Row],[Concentration13]])</f>
        <v>0</v>
      </c>
      <c r="BP17" s="64">
        <f>Table5162126313641465156616671[[#This Row],[Concentration14]]*6</f>
        <v>0.10223479824771037</v>
      </c>
      <c r="BQ17" s="64">
        <f>AVERAGE(Table61722[[#This Row],[Concentration15]],Table6172227[[#This Row],[Concentration15]],Table617222732[[#This Row],[Concentration15]])</f>
        <v>0</v>
      </c>
      <c r="BR17" s="64">
        <f>AVERAGE(Table61722[[#This Row],[Concentration16]],Table6172227[[#This Row],[Concentration16]],Table617222732[[#This Row],[Concentration16]])</f>
        <v>1.2237963377851249</v>
      </c>
      <c r="BS17" s="64">
        <v>0</v>
      </c>
      <c r="BT17" s="64">
        <f>AVERAGE(Table61722[[#This Row],[Concentration17]],Table6172227[[#This Row],[Concentration17]],Table617222732[[#This Row],[Concentration17]])</f>
        <v>0.31526909413854348</v>
      </c>
      <c r="BU17" s="64" t="e">
        <f>AVERAGE(Table61722[[#This Row],[concentration18]],Table6172227[[#This Row],[concentration18]],Table617222732[[#This Row],[concentration18]])</f>
        <v>#DIV/0!</v>
      </c>
      <c r="BV17" s="64">
        <f>SUM(IFERROR(Table6172227323742475257626772[[#This Row],[Concentration7]],0),IFERROR(Table6172227323742475257626772[[#This Row],[Concentration8]],0),IFERROR(Table6172227323742475257626772[[#This Row],[Concentration9]],0),IFERROR(Table6172227323742475257626772[[#This Row],[Concentration10]],0),IFERROR(Table6172227323742475257626772[[#This Row],[Concentration11]],0),IFERROR(Table6172227323742475257626772[[#This Row],[Concentration12]],0),IFERROR(Table6172227323742475257626772[[#This Row],[Concentration13]],0),IFERROR(Table6172227323742475257626772[[#This Row],[Concentration14]],0),IFERROR(Table6172227323742475257626772[[#This Row],[Concentration15]],0),IFERROR(Table6172227323742475257626772[[#This Row],[Concentration16]],0),IFERROR(Table6172227323742475257626772[[#This Row],[concentration18]],0))</f>
        <v>2.4569203156958377</v>
      </c>
      <c r="BW17" s="64">
        <f>IF(Table6172227323742475257626772[[#This Row],[Concentration162]]-Table6172227323742475257626772[[#This Row],[concentration19]]&lt;0,0,Table6172227323742475257626772[[#This Row],[Concentration162]]-Table6172227323742475257626772[[#This Row],[concentration19]])</f>
        <v>0</v>
      </c>
      <c r="CC17" s="178">
        <f>Table5162126313641465156616671[[#This Row],[Concentration18]]</f>
        <v>9.4664799999999989</v>
      </c>
      <c r="CD17" s="66">
        <f>CD16-CE16</f>
        <v>50.8</v>
      </c>
      <c r="CE17" s="80">
        <v>1.5</v>
      </c>
      <c r="CF17" s="181">
        <f>CC17*(CE17/1000)/constants!$B$23*1000*constants!$C$23</f>
        <v>0.47290364120781525</v>
      </c>
      <c r="CG17" s="181">
        <f>AP17*(CE17/1000)/constants!$B$5*1000*constants!$C$5</f>
        <v>6.1330456875984965E-3</v>
      </c>
      <c r="CH17" s="181">
        <f>AQ17*(CE17/1000)/constants!$B$11*1000*constants!$C$11</f>
        <v>1.2099668145094954E-2</v>
      </c>
      <c r="CI17" s="181">
        <f>AS17*(CE17/1000)/constants!$B$4*1000*constants!$C$4</f>
        <v>5.0915561631800074E-3</v>
      </c>
      <c r="CJ17" s="181">
        <f>AR17*(CE17/1000)/constants!$B$19*1000*constants!$C$19</f>
        <v>2.2741641345240237E-4</v>
      </c>
      <c r="CK17" s="181">
        <f>AU17*(CE17/1000)/constants!$B$12*1000*constants!$C$12</f>
        <v>2.108051013928663E-4</v>
      </c>
      <c r="CL17" s="181">
        <f>AW17*(CE17/1000)/constants!$B$13*1000*constants!$C$13</f>
        <v>1.3201807624962597E-3</v>
      </c>
    </row>
    <row r="18" spans="1:105" s="66" customFormat="1" ht="16" thickBot="1" x14ac:dyDescent="0.4">
      <c r="A18" s="63" t="str">
        <f>Table2[[#This Row],[Date]]</f>
        <v>16-04</v>
      </c>
      <c r="B18" s="167">
        <f>Table2[[#This Row],[Time]]</f>
        <v>29</v>
      </c>
      <c r="C18" s="77">
        <v>10</v>
      </c>
      <c r="D18" s="18">
        <f>IFERROR(AVERAGE(Table31520[[#This Row],[Amount ]],Table3152025[[#This Row],[Amount ]],Table315202530[[#This Row],[Amount ]]),0)</f>
        <v>0</v>
      </c>
      <c r="E18" s="18">
        <f>IFERROR(AVERAGE(Table31520[[#This Row],[Amount 2]],Table3152025[[#This Row],[Amount 2]],Table315202530[[#This Row],[Amount 2]]),0)</f>
        <v>0</v>
      </c>
      <c r="F18" s="18">
        <f>IFERROR(AVERAGE(Table31520[[#This Row],[Amount 3]],Table3152025[[#This Row],[Amount 3]],Table315202530[[#This Row],[Amount 3]]),0)</f>
        <v>0</v>
      </c>
      <c r="G18" s="18">
        <f>IFERROR(AVERAGE(Table31520[[#This Row],[Amount 4]],Table3152025[[#This Row],[Amount 4]],Table315202530[[#This Row],[Amount 4]]),0)</f>
        <v>0</v>
      </c>
      <c r="H18" s="18">
        <f>IFERROR(AVERAGE(Table31520[[#This Row],[Amount 5]],Table3152025[[#This Row],[Amount 5]],Table315202530[[#This Row],[Amount 5]]),0)</f>
        <v>0</v>
      </c>
      <c r="I18" s="18">
        <f>IFERROR(AVERAGE(Table31520[[#This Row],[Amount 6]],Table3152025[[#This Row],[Amount 6]],Table315202530[[#This Row],[Amount 6]]),0)</f>
        <v>5.0889576099537037E-3</v>
      </c>
      <c r="J18" s="18">
        <f>IFERROR(AVERAGE(Table31520[[#This Row],[Amount 7]],Table3152025[[#This Row],[Amount 7]],Table315202530[[#This Row],[Amount 7]]),0)</f>
        <v>2.049561993634259E-2</v>
      </c>
      <c r="K18" s="18">
        <f>IFERROR(AVERAGE(Table31520[[#This Row],[Amount 8]],Table3152025[[#This Row],[Amount 8]],Table315202530[[#This Row],[Amount 8]]),0)</f>
        <v>0.21359593098958332</v>
      </c>
      <c r="L18" s="18">
        <f>IFERROR(AVERAGE(Table31520[[#This Row],[Amount 9]],Table3152025[[#This Row],[Amount 9]],Table315202530[[#This Row],[Amount 9]]),0)</f>
        <v>0</v>
      </c>
      <c r="M18" s="18">
        <f>IFERROR(AVERAGE(Table31520[[#This Row],[Amount 10]],Table3152025[[#This Row],[Amount 10]],Table315202530[[#This Row],[Amount 10]]),0)</f>
        <v>6.6737192563657399E-2</v>
      </c>
      <c r="N18" s="18">
        <f>IFERROR(AVERAGE(Table31520[[#This Row],[Amount 11]],Table3152025[[#This Row],[Amount 11]],Table315202530[[#This Row],[Amount 11]]),0)</f>
        <v>0</v>
      </c>
      <c r="O18" s="18">
        <f>IFERROR(AVERAGE(Table31520[[#This Row],[Amount 12]],Table3152025[[#This Row],[Amount 12]],Table315202530[[#This Row],[Amount 12]]),0)</f>
        <v>0</v>
      </c>
      <c r="P18" s="18">
        <f>IFERROR(AVERAGE(Table31520[[#This Row],[Amount 13]],Table3152025[[#This Row],[Amount 13]],Table315202530[[#This Row],[Amount 13]]),0)</f>
        <v>0</v>
      </c>
      <c r="Q18" s="18">
        <f>IFERROR(AVERAGE(Table31520[[#This Row],[Amount 14]],Table3152025[[#This Row],[Amount 14]],Table315202530[[#This Row],[Amount 14]]),0)</f>
        <v>1.2735130931712963E-2</v>
      </c>
      <c r="R18" s="18">
        <f>IFERROR(AVERAGE(Table31520[[#This Row],[Amount 15]],Table3152025[[#This Row],[Amount 15]],Table315202530[[#This Row],[Amount 15]]),0)</f>
        <v>8.6293872974537028E-3</v>
      </c>
      <c r="S18" s="18">
        <f>IFERROR(AVERAGE(Table31520[[#This Row],[Amount 16]],Table3152025[[#This Row],[Amount 16]],Table315202530[[#This Row],[Amount 16]]),0)</f>
        <v>1.8752506510416666E-2</v>
      </c>
      <c r="T18" s="18">
        <f>IFERROR(AVERAGE(Table31520[[#This Row],[Amount 17]],Table3152025[[#This Row],[Amount 17]],Table315202530[[#This Row],[Amount 17]]),0)</f>
        <v>0</v>
      </c>
      <c r="U18" s="18">
        <f>IFERROR(AVERAGE(Table31520[[#This Row],[Amount 18]],Table3152025[[#This Row],[Amount 18]],Table315202530[[#This Row],[Amount 18]]),0)</f>
        <v>0</v>
      </c>
      <c r="V18" s="18">
        <f>IFERROR(AVERAGE(Table31520[[#This Row],[Amount 19]],Table3152025[[#This Row],[Amount 19]],Table315202530[[#This Row],[Amount 19]]),0)</f>
        <v>0</v>
      </c>
      <c r="W18" s="18">
        <f>IFERROR(AVERAGE(Table31520[[#This Row],[Ret.Time ]],Table3152025[[#This Row],[Ret.Time ]],Table315202530[[#This Row],[Ret.Time ]]),0)</f>
        <v>0</v>
      </c>
      <c r="X18" s="18">
        <f>IFERROR(AVERAGE(Table31520[[#This Row],[Amount 20]],Table3152025[[#This Row],[Amount 20]],Table315202530[[#This Row],[Amount 20]]),0)</f>
        <v>0</v>
      </c>
      <c r="Y18" s="18">
        <f>IFERROR(AVERAGE(Table31520[[#This Row],[Ret.Time]],Table3152025[[#This Row],[Ret.Time]],Table315202530[[#This Row],[Ret.Time]]),0)</f>
        <v>0</v>
      </c>
      <c r="Z18" s="18">
        <f>IFERROR(AVERAGE(Table31520[[#This Row],[Amount 21]],Table3152025[[#This Row],[Amount 21]],Table315202530[[#This Row],[Amount 21]]),0)</f>
        <v>0</v>
      </c>
      <c r="AA18" s="18">
        <f>IFERROR(AVERAGE(Table31520[[#This Row],[Ret.Time22]],Table3152025[[#This Row],[Ret.Time22]],Table315202530[[#This Row],[Ret.Time22]]),0)</f>
        <v>0</v>
      </c>
      <c r="AB18" s="18">
        <f>IFERROR(AVERAGE(Table31520[[#This Row],[Amount 23]],Table3152025[[#This Row],[Amount 23]],Table315202530[[#This Row],[Amount 23]]),0)</f>
        <v>0</v>
      </c>
      <c r="AC18" s="18">
        <f>IFERROR(AVERAGE(Table31520[[#This Row],[Ret.Time24]],Table3152025[[#This Row],[Ret.Time24]],Table315202530[[#This Row],[Ret.Time24]]),0)</f>
        <v>0</v>
      </c>
      <c r="AD18" s="18">
        <f>IFERROR(AVERAGE(Table31520[[#This Row],[Amount 25]],Table3152025[[#This Row],[Amount 25]],Table315202530[[#This Row],[Amount 25]]),0)</f>
        <v>0</v>
      </c>
      <c r="AE18" s="18">
        <f>IFERROR(AVERAGE(Table31520[[#This Row],[pH]],Table3152025[[#This Row],[pH]],Table315202530[[#This Row],[pH]]),0)</f>
        <v>5.9333333333333327</v>
      </c>
      <c r="AF18" s="18">
        <f>IFERROR(AVERAGE(Table31520[[#This Row],[dilution ]],Table3152025[[#This Row],[dilution ]],Table315202530[[#This Row],[dilution ]]),0)</f>
        <v>110</v>
      </c>
      <c r="AG18" s="18">
        <f>IFERROR(AVERAGE(Table31520[[#This Row],[correction]],Table3152025[[#This Row],[correction]],Table315202530[[#This Row],[correction factor]]),0)</f>
        <v>1</v>
      </c>
      <c r="AH18" s="18">
        <f>IFERROR(AVERAGE(Table31520[[#This Row],[amount]],Table3152025[[#This Row],[amount]],Table315202530[[#This Row],[amount]]),0)</f>
        <v>94.281999999999996</v>
      </c>
      <c r="AI18" s="18">
        <f>IFERROR(AVERAGE(Table31520[[#This Row],[pressure]],Table3152025[[#This Row],[pressure]],Table315202530[[#This Row],[pressure]]),0)</f>
        <v>0</v>
      </c>
      <c r="AJ18" s="64" t="e">
        <f>AVERAGE(Table51621[[#This Row],[Concentration]],Table5162126[[#This Row],[Concentration]],Table516212631[[#This Row],[Concentration]])</f>
        <v>#VALUE!</v>
      </c>
      <c r="AK18" s="64" t="e">
        <f>AVERAGE(Table51621[[#This Row],[Concentration2]],Table5162126[[#This Row],[Concentration2]],Table516212631[[#This Row],[Concentration2]])</f>
        <v>#VALUE!</v>
      </c>
      <c r="AL18" s="64" t="e">
        <f>AVERAGE(Table51621[[#This Row],[Concentration3]],Table5162126[[#This Row],[Concentration3]],Table516212631[[#This Row],[Concentration3]])</f>
        <v>#VALUE!</v>
      </c>
      <c r="AM18" s="64" t="e">
        <f>AVERAGE(Table51621[[#This Row],[Concentration4]],Table5162126[[#This Row],[Concentration4]],Table516212631[[#This Row],[Concentration4]])</f>
        <v>#VALUE!</v>
      </c>
      <c r="AN18" s="64" t="e">
        <f>AVERAGE(Table51621[[#This Row],[Concentration5]],Table5162126[[#This Row],[Concentration5]],Table516212631[[#This Row],[Concentration5]])</f>
        <v>#VALUE!</v>
      </c>
      <c r="AO18" s="64">
        <f>AVERAGE(Table51621[[#This Row],[Concentration6]],Table5162126[[#This Row],[Concentration6]],Table516212631[[#This Row],[Concentration6]])</f>
        <v>4.9805314404941447E-4</v>
      </c>
      <c r="AP18" s="162">
        <f t="shared" si="3"/>
        <v>2.0495619936342589E-4</v>
      </c>
      <c r="AQ18" s="162">
        <f t="shared" si="2"/>
        <v>2.1359593098958332E-3</v>
      </c>
      <c r="AR18" s="162">
        <f t="shared" si="2"/>
        <v>0</v>
      </c>
      <c r="AS18" s="162">
        <f t="shared" si="2"/>
        <v>6.6737192563657394E-4</v>
      </c>
      <c r="AT18" s="162">
        <f t="shared" si="2"/>
        <v>0</v>
      </c>
      <c r="AU18" s="162">
        <f t="shared" si="2"/>
        <v>0</v>
      </c>
      <c r="AV18" s="162">
        <f t="shared" si="2"/>
        <v>0</v>
      </c>
      <c r="AW18" s="162">
        <f t="shared" si="2"/>
        <v>1.2735130931712963E-4</v>
      </c>
      <c r="AX18" s="64">
        <f>AVERAGE(Table51621[[#This Row],[Concentration15]],Table5162126[[#This Row],[Concentration15]],Table516212631[[#This Row],[Concentration15]])</f>
        <v>0</v>
      </c>
      <c r="AY18" s="64">
        <f>AVERAGE(Table51621[[#This Row],[Concentration16]],Table5162126[[#This Row],[Concentration16]],Table516212631[[#This Row],[Concentration16]])</f>
        <v>0</v>
      </c>
      <c r="AZ18" s="64">
        <f>AVERAGE(Table51621[[#This Row],[Concentration17]],Table5162126[[#This Row],[Concentration17]],Table516212631[[#This Row],[Concentration17]])</f>
        <v>115.13121669626999</v>
      </c>
      <c r="BA18" s="64">
        <f>AVERAGE(Table51621[[#This Row],[Concentration172]],Table5162126[[#This Row],[Concentration172]],Table516212631[[#This Row],[Concentration172]])</f>
        <v>10.37102</v>
      </c>
      <c r="BB18" s="64" t="e">
        <f>AVERAGE(Table51621[[#This Row],[Concentration18]],Table5162126[[#This Row],[Concentration18]],Table516212631[[#This Row],[Concentration18]])</f>
        <v>#DIV/0!</v>
      </c>
      <c r="BC18" s="64" t="e">
        <f>AVERAGE(Table51621[[#This Row],[Concentration19]],Table5162126[[#This Row],[Concentration19]],Table516212631[[#This Row],[Concentration19]])</f>
        <v>#DIV/0!</v>
      </c>
      <c r="BD18" s="64" t="e">
        <f>AVERAGE(Table51621[[#This Row],[Concentration]],Table5162126[[#This Row],[Concentration]],Table516212631[[#This Row],[Concentration]])</f>
        <v>#VALUE!</v>
      </c>
      <c r="BE18" s="64" t="e">
        <f>AVERAGE(Table51621[[#This Row],[Concentration2]],Table5162126[[#This Row],[Concentration2]],Table516212631[[#This Row],[Concentration2]])</f>
        <v>#VALUE!</v>
      </c>
      <c r="BF18" s="64" t="e">
        <f>AVERAGE(Table51621[[#This Row],[Concentration3]],Table5162126[[#This Row],[Concentration3]],Table516212631[[#This Row],[Concentration3]])</f>
        <v>#VALUE!</v>
      </c>
      <c r="BG18" s="64" t="e">
        <f>AVERAGE(Table51621[[#This Row],[Concentration4]],Table5162126[[#This Row],[Concentration4]],Table516212631[[#This Row],[Concentration4]])</f>
        <v>#VALUE!</v>
      </c>
      <c r="BH18" s="64" t="e">
        <f>AVERAGE(Table51621[[#This Row],[Concentration5]],Table5162126[[#This Row],[Concentration5]],Table516212631[[#This Row],[Concentration5]])</f>
        <v>#VALUE!</v>
      </c>
      <c r="BI18" s="64">
        <f>AVERAGE(Table61722[[#This Row],[Concentration7]],Table6172227[[#This Row],[Concentration7]],Table617222732[[#This Row],[Concentration7]])</f>
        <v>0</v>
      </c>
      <c r="BJ18" s="64">
        <f>AVERAGE(Table61722[[#This Row],[Concentration8]],Table6172227[[#This Row],[Concentration8]],Table617222732[[#This Row],[Concentration8]])</f>
        <v>0</v>
      </c>
      <c r="BK18" s="64">
        <f>AVERAGE(Table61722[[#This Row],[Concentration9]],Table6172227[[#This Row],[Concentration9]],Table617222732[[#This Row],[Concentration9]])</f>
        <v>0</v>
      </c>
      <c r="BL18" s="64">
        <f>AVERAGE(Table61722[[#This Row],[Concentration10]],Table6172227[[#This Row],[Concentration10]],Table617222732[[#This Row],[Concentration10]])</f>
        <v>0</v>
      </c>
      <c r="BM18" s="64">
        <f>AVERAGE(Table61722[[#This Row],[Concentration11]],Table6172227[[#This Row],[Concentration11]],Table617222732[[#This Row],[Concentration11]])</f>
        <v>0</v>
      </c>
      <c r="BN18" s="64">
        <f>AVERAGE(Table61722[[#This Row],[Concentration12]],Table6172227[[#This Row],[Concentration12]],Table617222732[[#This Row],[Concentration12]])</f>
        <v>0</v>
      </c>
      <c r="BO18" s="64">
        <f>AVERAGE(Table61722[[#This Row],[Concentration13]],Table6172227[[#This Row],[Concentration13]],Table617222732[[#This Row],[Concentration13]])</f>
        <v>0</v>
      </c>
      <c r="BP18" s="64">
        <f>Table5162126313641465156616671[[#This Row],[Concentration14]]*6</f>
        <v>7.6410785590277778E-4</v>
      </c>
      <c r="BQ18" s="64">
        <f>AVERAGE(Table61722[[#This Row],[Concentration15]],Table6172227[[#This Row],[Concentration15]],Table617222732[[#This Row],[Concentration15]])</f>
        <v>0</v>
      </c>
      <c r="BR18" s="64">
        <f>AVERAGE(Table61722[[#This Row],[Concentration16]],Table6172227[[#This Row],[Concentration16]],Table617222732[[#This Row],[Concentration16]])</f>
        <v>0</v>
      </c>
      <c r="BS18" s="64">
        <v>0</v>
      </c>
      <c r="BT18" s="64">
        <f>AVERAGE(Table61722[[#This Row],[Concentration17]],Table6172227[[#This Row],[Concentration17]],Table617222732[[#This Row],[Concentration17]])</f>
        <v>0.34539365008880996</v>
      </c>
      <c r="BU18" s="64" t="e">
        <f>AVERAGE(Table61722[[#This Row],[concentration18]],Table6172227[[#This Row],[concentration18]],Table617222732[[#This Row],[concentration18]])</f>
        <v>#DIV/0!</v>
      </c>
      <c r="BV18" s="64">
        <f>SUM(IFERROR(Table6172227323742475257626772[[#This Row],[Concentration7]],0),IFERROR(Table6172227323742475257626772[[#This Row],[Concentration8]],0),IFERROR(Table6172227323742475257626772[[#This Row],[Concentration9]],0),IFERROR(Table6172227323742475257626772[[#This Row],[Concentration10]],0),IFERROR(Table6172227323742475257626772[[#This Row],[Concentration11]],0),IFERROR(Table6172227323742475257626772[[#This Row],[Concentration12]],0),IFERROR(Table6172227323742475257626772[[#This Row],[Concentration13]],0),IFERROR(Table6172227323742475257626772[[#This Row],[Concentration14]],0),IFERROR(Table6172227323742475257626772[[#This Row],[Concentration15]],0),IFERROR(Table6172227323742475257626772[[#This Row],[Concentration16]],0),IFERROR(Table6172227323742475257626772[[#This Row],[concentration18]],0))</f>
        <v>7.6410785590277778E-4</v>
      </c>
      <c r="BW18" s="64">
        <f>IF(Table6172227323742475257626772[[#This Row],[Concentration162]]-Table6172227323742475257626772[[#This Row],[concentration19]]&lt;0,0,Table6172227323742475257626772[[#This Row],[Concentration162]]-Table6172227323742475257626772[[#This Row],[concentration19]])</f>
        <v>0</v>
      </c>
      <c r="CC18" s="178">
        <f>Table5162126313641465156616671[[#This Row],[Concentration18]]</f>
        <v>10.37102</v>
      </c>
      <c r="CD18" s="66">
        <f t="shared" ref="CD18:CD24" si="4">CD17-CE17</f>
        <v>49.3</v>
      </c>
      <c r="CE18" s="80">
        <v>1.5</v>
      </c>
      <c r="CF18" s="181">
        <f>CC18*(CE18/1000)/constants!$B$23*1000*constants!$C$23</f>
        <v>0.51809047513321493</v>
      </c>
      <c r="CG18" s="181">
        <f>AP18*(CE18/1000)/constants!$B$5*1000*constants!$C$5</f>
        <v>1.023893622344431E-5</v>
      </c>
      <c r="CH18" s="181">
        <f>AQ18*(CE18/1000)/constants!$B$11*1000*constants!$C$11</f>
        <v>1.2975089964134572E-4</v>
      </c>
      <c r="CI18" s="181">
        <f>AS18*(CE18/1000)/constants!$B$4*1000*constants!$C$4</f>
        <v>4.5447887247400218E-5</v>
      </c>
      <c r="CJ18" s="181">
        <f>AR18*(CE18/1000)/constants!$B$19*1000*constants!$C$19</f>
        <v>0</v>
      </c>
      <c r="CK18" s="181">
        <f>AU18*(CE18/1000)/constants!$B$12*1000*constants!$C$12</f>
        <v>0</v>
      </c>
      <c r="CL18" s="181">
        <f>AW18*(CE18/1000)/constants!$B$13*1000*constants!$C$13</f>
        <v>9.8670952466784326E-6</v>
      </c>
    </row>
    <row r="19" spans="1:105" s="47" customFormat="1" ht="16" thickBot="1" x14ac:dyDescent="0.4">
      <c r="A19" s="63" t="str">
        <f>Table2[[#This Row],[Date]]</f>
        <v>19-04</v>
      </c>
      <c r="B19" s="167">
        <f>Table2[[#This Row],[Time]]</f>
        <v>32</v>
      </c>
      <c r="C19" s="77">
        <v>10</v>
      </c>
      <c r="D19" s="18">
        <f>IFERROR(AVERAGE(Table31520[[#This Row],[Amount ]],Table3152025[[#This Row],[Amount ]],Table315202530[[#This Row],[Amount ]]),0)</f>
        <v>0</v>
      </c>
      <c r="E19" s="18">
        <f>IFERROR(AVERAGE(Table31520[[#This Row],[Amount 2]],Table3152025[[#This Row],[Amount 2]],Table315202530[[#This Row],[Amount 2]]),0)</f>
        <v>0</v>
      </c>
      <c r="F19" s="18">
        <f>IFERROR(AVERAGE(Table31520[[#This Row],[Amount 3]],Table3152025[[#This Row],[Amount 3]],Table315202530[[#This Row],[Amount 3]]),0)</f>
        <v>0</v>
      </c>
      <c r="G19" s="18">
        <f>IFERROR(AVERAGE(Table31520[[#This Row],[Amount 4]],Table3152025[[#This Row],[Amount 4]],Table315202530[[#This Row],[Amount 4]]),0)</f>
        <v>0</v>
      </c>
      <c r="H19" s="18">
        <f>IFERROR(AVERAGE(Table31520[[#This Row],[Amount 5]],Table3152025[[#This Row],[Amount 5]],Table315202530[[#This Row],[Amount 5]]),0)</f>
        <v>0</v>
      </c>
      <c r="I19" s="18">
        <f>IFERROR(AVERAGE(Table31520[[#This Row],[Amount 6]],Table3152025[[#This Row],[Amount 6]],Table315202530[[#This Row],[Amount 6]]),0)</f>
        <v>0.75550098400115906</v>
      </c>
      <c r="J19" s="18">
        <f>IFERROR(AVERAGE(Table31520[[#This Row],[Amount 7]],Table3152025[[#This Row],[Amount 7]],Table315202530[[#This Row],[Amount 7]]),0)</f>
        <v>8.1749360615207056</v>
      </c>
      <c r="K19" s="18">
        <f>IFERROR(AVERAGE(Table31520[[#This Row],[Amount 8]],Table3152025[[#This Row],[Amount 8]],Table315202530[[#This Row],[Amount 8]]),0)</f>
        <v>32.053198678120303</v>
      </c>
      <c r="L19" s="18">
        <f>IFERROR(AVERAGE(Table31520[[#This Row],[Amount 9]],Table3152025[[#This Row],[Amount 9]],Table315202530[[#This Row],[Amount 9]]),0)</f>
        <v>0.25913378096221124</v>
      </c>
      <c r="M19" s="18">
        <f>IFERROR(AVERAGE(Table31520[[#This Row],[Amount 10]],Table3152025[[#This Row],[Amount 10]],Table315202530[[#This Row],[Amount 10]]),0)</f>
        <v>14.590565818647837</v>
      </c>
      <c r="N19" s="18">
        <f>IFERROR(AVERAGE(Table31520[[#This Row],[Amount 11]],Table3152025[[#This Row],[Amount 11]],Table315202530[[#This Row],[Amount 11]]),0)</f>
        <v>0</v>
      </c>
      <c r="O19" s="18">
        <f>IFERROR(AVERAGE(Table31520[[#This Row],[Amount 12]],Table3152025[[#This Row],[Amount 12]],Table315202530[[#This Row],[Amount 12]]),0)</f>
        <v>0.70068794818992153</v>
      </c>
      <c r="P19" s="18">
        <f>IFERROR(AVERAGE(Table31520[[#This Row],[Amount 13]],Table3152025[[#This Row],[Amount 13]],Table315202530[[#This Row],[Amount 13]]),0)</f>
        <v>0</v>
      </c>
      <c r="Q19" s="18">
        <f>IFERROR(AVERAGE(Table31520[[#This Row],[Amount 14]],Table3152025[[#This Row],[Amount 14]],Table315202530[[#This Row],[Amount 14]]),0)</f>
        <v>4.4885410855665455</v>
      </c>
      <c r="R19" s="18">
        <f>IFERROR(AVERAGE(Table31520[[#This Row],[Amount 15]],Table3152025[[#This Row],[Amount 15]],Table315202530[[#This Row],[Amount 15]]),0)</f>
        <v>1.1609821746171536</v>
      </c>
      <c r="S19" s="18">
        <f>IFERROR(AVERAGE(Table31520[[#This Row],[Amount 16]],Table3152025[[#This Row],[Amount 16]],Table315202530[[#This Row],[Amount 16]]),0)</f>
        <v>1.8025521360350873</v>
      </c>
      <c r="T19" s="18">
        <f>IFERROR(AVERAGE(Table31520[[#This Row],[Amount 17]],Table3152025[[#This Row],[Amount 17]],Table315202530[[#This Row],[Amount 17]]),0)</f>
        <v>0</v>
      </c>
      <c r="U19" s="18">
        <f>IFERROR(AVERAGE(Table31520[[#This Row],[Amount 18]],Table3152025[[#This Row],[Amount 18]],Table315202530[[#This Row],[Amount 18]]),0)</f>
        <v>0</v>
      </c>
      <c r="V19" s="18">
        <f>IFERROR(AVERAGE(Table31520[[#This Row],[Amount 19]],Table3152025[[#This Row],[Amount 19]],Table315202530[[#This Row],[Amount 19]]),0)</f>
        <v>0</v>
      </c>
      <c r="W19" s="18">
        <f>IFERROR(AVERAGE(Table31520[[#This Row],[Ret.Time ]],Table3152025[[#This Row],[Ret.Time ]],Table315202530[[#This Row],[Ret.Time ]]),0)</f>
        <v>0</v>
      </c>
      <c r="X19" s="18">
        <f>IFERROR(AVERAGE(Table31520[[#This Row],[Amount 20]],Table3152025[[#This Row],[Amount 20]],Table315202530[[#This Row],[Amount 20]]),0)</f>
        <v>0</v>
      </c>
      <c r="Y19" s="18">
        <f>IFERROR(AVERAGE(Table31520[[#This Row],[Ret.Time]],Table3152025[[#This Row],[Ret.Time]],Table315202530[[#This Row],[Ret.Time]]),0)</f>
        <v>0</v>
      </c>
      <c r="Z19" s="18">
        <f>IFERROR(AVERAGE(Table31520[[#This Row],[Amount 21]],Table3152025[[#This Row],[Amount 21]],Table315202530[[#This Row],[Amount 21]]),0)</f>
        <v>0</v>
      </c>
      <c r="AA19" s="18">
        <f>IFERROR(AVERAGE(Table31520[[#This Row],[Ret.Time22]],Table3152025[[#This Row],[Ret.Time22]],Table315202530[[#This Row],[Ret.Time22]]),0)</f>
        <v>0</v>
      </c>
      <c r="AB19" s="18">
        <f>IFERROR(AVERAGE(Table31520[[#This Row],[Amount 23]],Table3152025[[#This Row],[Amount 23]],Table315202530[[#This Row],[Amount 23]]),0)</f>
        <v>0</v>
      </c>
      <c r="AC19" s="18">
        <f>IFERROR(AVERAGE(Table31520[[#This Row],[Ret.Time24]],Table3152025[[#This Row],[Ret.Time24]],Table315202530[[#This Row],[Ret.Time24]]),0)</f>
        <v>0</v>
      </c>
      <c r="AD19" s="18">
        <f>IFERROR(AVERAGE(Table31520[[#This Row],[Amount 25]],Table3152025[[#This Row],[Amount 25]],Table315202530[[#This Row],[Amount 25]]),0)</f>
        <v>0</v>
      </c>
      <c r="AE19" s="18">
        <f>IFERROR(AVERAGE(Table31520[[#This Row],[pH]],Table3152025[[#This Row],[pH]],Table315202530[[#This Row],[pH]]),0)</f>
        <v>6.1133333333333333</v>
      </c>
      <c r="AF19" s="18">
        <f>IFERROR(AVERAGE(Table31520[[#This Row],[dilution ]],Table3152025[[#This Row],[dilution ]],Table315202530[[#This Row],[dilution ]]),0)</f>
        <v>100</v>
      </c>
      <c r="AG19" s="18">
        <f>IFERROR(AVERAGE(Table31520[[#This Row],[correction]],Table3152025[[#This Row],[correction]],Table315202530[[#This Row],[correction factor]]),0)</f>
        <v>1</v>
      </c>
      <c r="AH19" s="18">
        <f>IFERROR(AVERAGE(Table31520[[#This Row],[amount]],Table3152025[[#This Row],[amount]],Table315202530[[#This Row],[amount]]),0)</f>
        <v>56.733333333333327</v>
      </c>
      <c r="AI19" s="18">
        <f>IFERROR(AVERAGE(Table31520[[#This Row],[pressure]],Table3152025[[#This Row],[pressure]],Table315202530[[#This Row],[pressure]]),0)</f>
        <v>0</v>
      </c>
      <c r="AJ19" s="64" t="e">
        <f>AVERAGE(Table51621[[#This Row],[Concentration]],Table5162126[[#This Row],[Concentration]],Table516212631[[#This Row],[Concentration]])</f>
        <v>#VALUE!</v>
      </c>
      <c r="AK19" s="64" t="e">
        <f>AVERAGE(Table51621[[#This Row],[Concentration2]],Table5162126[[#This Row],[Concentration2]],Table516212631[[#This Row],[Concentration2]])</f>
        <v>#VALUE!</v>
      </c>
      <c r="AL19" s="64" t="e">
        <f>AVERAGE(Table51621[[#This Row],[Concentration3]],Table5162126[[#This Row],[Concentration3]],Table516212631[[#This Row],[Concentration3]])</f>
        <v>#VALUE!</v>
      </c>
      <c r="AM19" s="64" t="e">
        <f>AVERAGE(Table51621[[#This Row],[Concentration4]],Table5162126[[#This Row],[Concentration4]],Table516212631[[#This Row],[Concentration4]])</f>
        <v>#VALUE!</v>
      </c>
      <c r="AN19" s="64" t="e">
        <f>AVERAGE(Table51621[[#This Row],[Concentration5]],Table5162126[[#This Row],[Concentration5]],Table516212631[[#This Row],[Concentration5]])</f>
        <v>#VALUE!</v>
      </c>
      <c r="AO19" s="64" t="e">
        <f>AVERAGE(Table51621[[#This Row],[Concentration6]],Table5162126[[#This Row],[Concentration6]],Table516212631[[#This Row],[Concentration6]])</f>
        <v>#VALUE!</v>
      </c>
      <c r="AP19" s="162">
        <f t="shared" si="3"/>
        <v>8.1749360615207059E-2</v>
      </c>
      <c r="AQ19" s="162">
        <f t="shared" si="2"/>
        <v>0.32053198678120304</v>
      </c>
      <c r="AR19" s="162">
        <f t="shared" si="2"/>
        <v>2.5913378096221124E-3</v>
      </c>
      <c r="AS19" s="162">
        <f t="shared" si="2"/>
        <v>0.14590565818647838</v>
      </c>
      <c r="AT19" s="162">
        <f t="shared" si="2"/>
        <v>0</v>
      </c>
      <c r="AU19" s="162">
        <f t="shared" si="2"/>
        <v>7.0068794818992156E-3</v>
      </c>
      <c r="AV19" s="162">
        <f t="shared" si="2"/>
        <v>0</v>
      </c>
      <c r="AW19" s="162">
        <f t="shared" si="2"/>
        <v>4.4885410855665456E-2</v>
      </c>
      <c r="AX19" s="64">
        <f>AVERAGE(Table51621[[#This Row],[Concentration15]],Table5162126[[#This Row],[Concentration15]],Table516212631[[#This Row],[Concentration15]])</f>
        <v>0</v>
      </c>
      <c r="AY19" s="64">
        <f>AVERAGE(Table51621[[#This Row],[Concentration16]],Table5162126[[#This Row],[Concentration16]],Table516212631[[#This Row],[Concentration16]])</f>
        <v>9.22422753319911E-2</v>
      </c>
      <c r="AZ19" s="64">
        <f>AVERAGE(Table51621[[#This Row],[Concentration17]],Table5162126[[#This Row],[Concentration17]],Table516212631[[#This Row],[Concentration17]])</f>
        <v>62.981053878034345</v>
      </c>
      <c r="BA19" s="64">
        <f>AVERAGE(Table51621[[#This Row],[Concentration172]],Table5162126[[#This Row],[Concentration172]],Table516212631[[#This Row],[Concentration172]])</f>
        <v>5.6733333333333329</v>
      </c>
      <c r="BB19" s="64" t="e">
        <f>AVERAGE(Table51621[[#This Row],[Concentration18]],Table5162126[[#This Row],[Concentration18]],Table516212631[[#This Row],[Concentration18]])</f>
        <v>#DIV/0!</v>
      </c>
      <c r="BC19" s="64" t="e">
        <f>AVERAGE(Table51621[[#This Row],[Concentration19]],Table5162126[[#This Row],[Concentration19]],Table516212631[[#This Row],[Concentration19]])</f>
        <v>#DIV/0!</v>
      </c>
      <c r="BD19" s="64" t="e">
        <f>AVERAGE(Table51621[[#This Row],[Concentration]],Table5162126[[#This Row],[Concentration]],Table516212631[[#This Row],[Concentration]])</f>
        <v>#VALUE!</v>
      </c>
      <c r="BE19" s="64" t="e">
        <f>AVERAGE(Table51621[[#This Row],[Concentration2]],Table5162126[[#This Row],[Concentration2]],Table516212631[[#This Row],[Concentration2]])</f>
        <v>#VALUE!</v>
      </c>
      <c r="BF19" s="64" t="e">
        <f>AVERAGE(Table51621[[#This Row],[Concentration3]],Table5162126[[#This Row],[Concentration3]],Table516212631[[#This Row],[Concentration3]])</f>
        <v>#VALUE!</v>
      </c>
      <c r="BG19" s="64" t="e">
        <f>AVERAGE(Table51621[[#This Row],[Concentration4]],Table5162126[[#This Row],[Concentration4]],Table516212631[[#This Row],[Concentration4]])</f>
        <v>#VALUE!</v>
      </c>
      <c r="BH19" s="64" t="e">
        <f>AVERAGE(Table51621[[#This Row],[Concentration5]],Table5162126[[#This Row],[Concentration5]],Table516212631[[#This Row],[Concentration5]])</f>
        <v>#VALUE!</v>
      </c>
      <c r="BI19" s="64">
        <f>AVERAGE(Table61722[[#This Row],[Concentration7]],Table6172227[[#This Row],[Concentration7]],Table617222732[[#This Row],[Concentration7]])</f>
        <v>0.16349872123041409</v>
      </c>
      <c r="BJ19" s="64">
        <f>AVERAGE(Table61722[[#This Row],[Concentration8]],Table6172227[[#This Row],[Concentration8]],Table617222732[[#This Row],[Concentration8]])</f>
        <v>0.96159596034360906</v>
      </c>
      <c r="BK19" s="64">
        <f>AVERAGE(Table61722[[#This Row],[Concentration9]],Table6172227[[#This Row],[Concentration9]],Table617222732[[#This Row],[Concentration9]])</f>
        <v>0</v>
      </c>
      <c r="BL19" s="64">
        <f>AVERAGE(Table61722[[#This Row],[Concentration10]],Table6172227[[#This Row],[Concentration10]],Table617222732[[#This Row],[Concentration10]])</f>
        <v>0.54697153023155709</v>
      </c>
      <c r="BM19" s="64">
        <f>AVERAGE(Table61722[[#This Row],[Concentration11]],Table6172227[[#This Row],[Concentration11]],Table617222732[[#This Row],[Concentration11]])</f>
        <v>0</v>
      </c>
      <c r="BN19" s="64">
        <f>AVERAGE(Table61722[[#This Row],[Concentration12]],Table6172227[[#This Row],[Concentration12]],Table617222732[[#This Row],[Concentration12]])</f>
        <v>0</v>
      </c>
      <c r="BO19" s="64">
        <f>AVERAGE(Table61722[[#This Row],[Concentration13]],Table6172227[[#This Row],[Concentration13]],Table617222732[[#This Row],[Concentration13]])</f>
        <v>0</v>
      </c>
      <c r="BP19" s="64">
        <f>Table5162126313641465156616671[[#This Row],[Concentration14]]*6</f>
        <v>0.26931246513399276</v>
      </c>
      <c r="BQ19" s="64">
        <f>AVERAGE(Table61722[[#This Row],[Concentration15]],Table6172227[[#This Row],[Concentration15]],Table617222732[[#This Row],[Concentration15]])</f>
        <v>0</v>
      </c>
      <c r="BR19" s="64">
        <f>AVERAGE(Table61722[[#This Row],[Concentration16]],Table6172227[[#This Row],[Concentration16]],Table617222732[[#This Row],[Concentration16]])</f>
        <v>0.7379382026559288</v>
      </c>
      <c r="BS19" s="64">
        <f>($BT$16*1000)-Table6172227323742475257626772[[#This Row],[Concentration17]]*1000</f>
        <v>101.32881882770874</v>
      </c>
      <c r="BT19" s="64">
        <f>AVERAGE(Table61722[[#This Row],[Concentration17]],Table6172227[[#This Row],[Concentration17]],Table617222732[[#This Row],[Concentration17]])</f>
        <v>0.18894316163410299</v>
      </c>
      <c r="BU19" s="64" t="e">
        <f>AVERAGE(Table61722[[#This Row],[concentration18]],Table6172227[[#This Row],[concentration18]],Table617222732[[#This Row],[concentration18]])</f>
        <v>#DIV/0!</v>
      </c>
      <c r="BV19" s="64">
        <f>SUM(IFERROR(Table6172227323742475257626772[[#This Row],[Concentration7]],0),IFERROR(Table6172227323742475257626772[[#This Row],[Concentration8]],0),IFERROR(Table6172227323742475257626772[[#This Row],[Concentration9]],0),IFERROR(Table6172227323742475257626772[[#This Row],[Concentration10]],0),IFERROR(Table6172227323742475257626772[[#This Row],[Concentration11]],0),IFERROR(Table6172227323742475257626772[[#This Row],[Concentration12]],0),IFERROR(Table6172227323742475257626772[[#This Row],[Concentration13]],0),IFERROR(Table6172227323742475257626772[[#This Row],[Concentration14]],0),IFERROR(Table6172227323742475257626772[[#This Row],[Concentration15]],0),IFERROR(Table6172227323742475257626772[[#This Row],[Concentration16]],0),IFERROR(Table6172227323742475257626772[[#This Row],[concentration18]],0))</f>
        <v>2.6793168795955018</v>
      </c>
      <c r="BW19" s="64">
        <f>IF(Table6172227323742475257626772[[#This Row],[Concentration162]]-Table6172227323742475257626772[[#This Row],[concentration19]]&lt;0,0,Table6172227323742475257626772[[#This Row],[Concentration162]]-Table6172227323742475257626772[[#This Row],[concentration19]])</f>
        <v>98.64950194811324</v>
      </c>
      <c r="CC19" s="178">
        <f>Table5162126313641465156616671[[#This Row],[Concentration18]]</f>
        <v>5.6733333333333329</v>
      </c>
      <c r="CD19" s="66">
        <f t="shared" si="4"/>
        <v>47.8</v>
      </c>
      <c r="CE19" s="80">
        <v>1.5</v>
      </c>
      <c r="CF19" s="181">
        <f>CC19*(CE19/1000)/constants!$B$23*1000*constants!$C$23</f>
        <v>0.2834147424511545</v>
      </c>
      <c r="CG19" s="181">
        <f>AP19*(CE19/1000)/constants!$B$5*1000*constants!$C$5</f>
        <v>4.0839286259511959E-3</v>
      </c>
      <c r="CH19" s="181">
        <f>AQ19*(CE19/1000)/constants!$B$11*1000*constants!$C$11</f>
        <v>1.9471023373903721E-2</v>
      </c>
      <c r="CI19" s="181">
        <f>AS19*(CE19/1000)/constants!$B$4*1000*constants!$C$4</f>
        <v>9.936144520451164E-3</v>
      </c>
      <c r="CJ19" s="181">
        <f>AR19*(CE19/1000)/constants!$B$19*1000*constants!$C$19</f>
        <v>8.8234778889818375E-5</v>
      </c>
      <c r="CK19" s="181">
        <f>AU19*(CE19/1000)/constants!$B$12*1000*constants!$C$12</f>
        <v>5.1454080575567265E-4</v>
      </c>
      <c r="CL19" s="181">
        <f>AW19*(CE19/1000)/constants!$B$13*1000*constants!$C$13</f>
        <v>3.4776919567922624E-3</v>
      </c>
    </row>
    <row r="20" spans="1:105" s="66" customFormat="1" ht="16" thickBot="1" x14ac:dyDescent="0.4">
      <c r="A20" s="63" t="str">
        <f>Table2[[#This Row],[Date]]</f>
        <v>26-04</v>
      </c>
      <c r="B20" s="167">
        <f>Table2[[#This Row],[Time]]</f>
        <v>38</v>
      </c>
      <c r="C20" s="77">
        <v>10</v>
      </c>
      <c r="D20" s="18">
        <f>IFERROR(AVERAGE(Table31520[[#This Row],[Amount ]],Table3152025[[#This Row],[Amount ]],Table315202530[[#This Row],[Amount ]]),0)</f>
        <v>0.38370819109665799</v>
      </c>
      <c r="E20" s="18">
        <f>IFERROR(AVERAGE(Table31520[[#This Row],[Amount 2]],Table3152025[[#This Row],[Amount 2]],Table315202530[[#This Row],[Amount 2]]),0)</f>
        <v>0</v>
      </c>
      <c r="F20" s="18">
        <f>IFERROR(AVERAGE(Table31520[[#This Row],[Amount 3]],Table3152025[[#This Row],[Amount 3]],Table315202530[[#This Row],[Amount 3]]),0)</f>
        <v>0</v>
      </c>
      <c r="G20" s="18">
        <f>IFERROR(AVERAGE(Table31520[[#This Row],[Amount 4]],Table3152025[[#This Row],[Amount 4]],Table315202530[[#This Row],[Amount 4]]),0)</f>
        <v>0</v>
      </c>
      <c r="H20" s="18">
        <f>IFERROR(AVERAGE(Table31520[[#This Row],[Amount 5]],Table3152025[[#This Row],[Amount 5]],Table315202530[[#This Row],[Amount 5]]),0)</f>
        <v>0</v>
      </c>
      <c r="I20" s="18">
        <f>IFERROR(AVERAGE(Table31520[[#This Row],[Amount 6]],Table3152025[[#This Row],[Amount 6]],Table315202530[[#This Row],[Amount 6]]),0)</f>
        <v>0</v>
      </c>
      <c r="J20" s="18">
        <f>IFERROR(AVERAGE(Table31520[[#This Row],[Amount 7]],Table3152025[[#This Row],[Amount 7]],Table315202530[[#This Row],[Amount 7]]),0)</f>
        <v>17.729263593096132</v>
      </c>
      <c r="K20" s="18">
        <f>IFERROR(AVERAGE(Table31520[[#This Row],[Amount 8]],Table3152025[[#This Row],[Amount 8]],Table315202530[[#This Row],[Amount 8]]),0)</f>
        <v>17.705395251668833</v>
      </c>
      <c r="L20" s="18">
        <f>IFERROR(AVERAGE(Table31520[[#This Row],[Amount 9]],Table3152025[[#This Row],[Amount 9]],Table315202530[[#This Row],[Amount 9]]),0)</f>
        <v>6.5083610066130531</v>
      </c>
      <c r="M20" s="18">
        <f>IFERROR(AVERAGE(Table31520[[#This Row],[Amount 10]],Table3152025[[#This Row],[Amount 10]],Table315202530[[#This Row],[Amount 10]]),0)</f>
        <v>81.891727137094904</v>
      </c>
      <c r="N20" s="18">
        <f>IFERROR(AVERAGE(Table31520[[#This Row],[Amount 11]],Table3152025[[#This Row],[Amount 11]],Table315202530[[#This Row],[Amount 11]]),0)</f>
        <v>0.22446763563189939</v>
      </c>
      <c r="O20" s="18">
        <f>IFERROR(AVERAGE(Table31520[[#This Row],[Amount 12]],Table3152025[[#This Row],[Amount 12]],Table315202530[[#This Row],[Amount 12]]),0)</f>
        <v>2.2952454673613123</v>
      </c>
      <c r="P20" s="18">
        <f>IFERROR(AVERAGE(Table31520[[#This Row],[Amount 13]],Table3152025[[#This Row],[Amount 13]],Table315202530[[#This Row],[Amount 13]]),0)</f>
        <v>0</v>
      </c>
      <c r="Q20" s="18">
        <f>IFERROR(AVERAGE(Table31520[[#This Row],[Amount 14]],Table3152025[[#This Row],[Amount 14]],Table315202530[[#This Row],[Amount 14]]),0)</f>
        <v>8.9947030702269988</v>
      </c>
      <c r="R20" s="18">
        <f>IFERROR(AVERAGE(Table31520[[#This Row],[Amount 15]],Table3152025[[#This Row],[Amount 15]],Table315202530[[#This Row],[Amount 15]]),0)</f>
        <v>0</v>
      </c>
      <c r="S20" s="18">
        <f>IFERROR(AVERAGE(Table31520[[#This Row],[Amount 16]],Table3152025[[#This Row],[Amount 16]],Table315202530[[#This Row],[Amount 16]]),0)</f>
        <v>1.3176825920010165</v>
      </c>
      <c r="T20" s="18">
        <f>IFERROR(AVERAGE(Table31520[[#This Row],[Amount 17]],Table3152025[[#This Row],[Amount 17]],Table315202530[[#This Row],[Amount 17]]),0)</f>
        <v>0</v>
      </c>
      <c r="U20" s="18">
        <f>IFERROR(AVERAGE(Table31520[[#This Row],[Amount 18]],Table3152025[[#This Row],[Amount 18]],Table315202530[[#This Row],[Amount 18]]),0)</f>
        <v>0</v>
      </c>
      <c r="V20" s="18">
        <f>IFERROR(AVERAGE(Table31520[[#This Row],[Amount 19]],Table3152025[[#This Row],[Amount 19]],Table315202530[[#This Row],[Amount 19]]),0)</f>
        <v>0</v>
      </c>
      <c r="W20" s="18">
        <f>IFERROR(AVERAGE(Table31520[[#This Row],[Ret.Time ]],Table3152025[[#This Row],[Ret.Time ]],Table315202530[[#This Row],[Ret.Time ]]),0)</f>
        <v>0.9774166666666666</v>
      </c>
      <c r="X20" s="18">
        <f>IFERROR(AVERAGE(Table31520[[#This Row],[Amount 20]],Table3152025[[#This Row],[Amount 20]],Table315202530[[#This Row],[Amount 20]]),0)</f>
        <v>0.15066063766070162</v>
      </c>
      <c r="Y20" s="18">
        <f>IFERROR(AVERAGE(Table31520[[#This Row],[Ret.Time]],Table3152025[[#This Row],[Ret.Time]],Table315202530[[#This Row],[Ret.Time]]),0)</f>
        <v>1.3490833333333332</v>
      </c>
      <c r="Z20" s="18">
        <f>IFERROR(AVERAGE(Table31520[[#This Row],[Amount 21]],Table3152025[[#This Row],[Amount 21]],Table315202530[[#This Row],[Amount 21]]),0)</f>
        <v>85.919092321048183</v>
      </c>
      <c r="AA20" s="18">
        <f>IFERROR(AVERAGE(Table31520[[#This Row],[Ret.Time22]],Table3152025[[#This Row],[Ret.Time22]],Table315202530[[#This Row],[Ret.Time22]]),0)</f>
        <v>0</v>
      </c>
      <c r="AB20" s="18">
        <f>IFERROR(AVERAGE(Table31520[[#This Row],[Amount 23]],Table3152025[[#This Row],[Amount 23]],Table315202530[[#This Row],[Amount 23]]),0)</f>
        <v>0</v>
      </c>
      <c r="AC20" s="18">
        <f>IFERROR(AVERAGE(Table31520[[#This Row],[Ret.Time24]],Table3152025[[#This Row],[Ret.Time24]],Table315202530[[#This Row],[Ret.Time24]]),0)</f>
        <v>2.5213333333333336</v>
      </c>
      <c r="AD20" s="18">
        <f>IFERROR(AVERAGE(Table31520[[#This Row],[Amount 25]],Table3152025[[#This Row],[Amount 25]],Table315202530[[#This Row],[Amount 25]]),0)</f>
        <v>7.4020468933364327</v>
      </c>
      <c r="AE20" s="18" t="e">
        <v>#N/A</v>
      </c>
      <c r="AF20" s="18">
        <f>IFERROR(AVERAGE(Table31520[[#This Row],[dilution ]],Table3152025[[#This Row],[dilution ]],Table315202530[[#This Row],[dilution ]]),0)</f>
        <v>33.333333333333336</v>
      </c>
      <c r="AG20" s="18">
        <f>IFERROR(AVERAGE(Table31520[[#This Row],[correction]],Table3152025[[#This Row],[correction]],Table315202530[[#This Row],[correction factor]]),0)</f>
        <v>1</v>
      </c>
      <c r="AH20" s="18">
        <f>IFERROR(AVERAGE(Table31520[[#This Row],[amount]],Table3152025[[#This Row],[amount]],Table315202530[[#This Row],[amount]]),0)</f>
        <v>199.46666666666667</v>
      </c>
      <c r="AI20" s="18">
        <f>IFERROR(AVERAGE(Table31520[[#This Row],[pressure]],Table3152025[[#This Row],[pressure]],Table315202530[[#This Row],[pressure]]),0)</f>
        <v>0</v>
      </c>
      <c r="AJ20" s="64" t="e">
        <f>AVERAGE(Table51621[[#This Row],[Concentration]],Table5162126[[#This Row],[Concentration]],Table516212631[[#This Row],[Concentration]])</f>
        <v>#VALUE!</v>
      </c>
      <c r="AK20" s="64" t="e">
        <f>AVERAGE(Table51621[[#This Row],[Concentration2]],Table5162126[[#This Row],[Concentration2]],Table516212631[[#This Row],[Concentration2]])</f>
        <v>#VALUE!</v>
      </c>
      <c r="AL20" s="64" t="e">
        <f>AVERAGE(Table51621[[#This Row],[Concentration3]],Table5162126[[#This Row],[Concentration3]],Table516212631[[#This Row],[Concentration3]])</f>
        <v>#VALUE!</v>
      </c>
      <c r="AM20" s="64" t="e">
        <f>AVERAGE(Table51621[[#This Row],[Concentration4]],Table5162126[[#This Row],[Concentration4]],Table516212631[[#This Row],[Concentration4]])</f>
        <v>#VALUE!</v>
      </c>
      <c r="AN20" s="64" t="e">
        <f>AVERAGE(Table51621[[#This Row],[Concentration5]],Table5162126[[#This Row],[Concentration5]],Table516212631[[#This Row],[Concentration5]])</f>
        <v>#VALUE!</v>
      </c>
      <c r="AO20" s="64" t="e">
        <f>AVERAGE(Table51621[[#This Row],[Concentration6]],Table5162126[[#This Row],[Concentration6]],Table516212631[[#This Row],[Concentration6]])</f>
        <v>#VALUE!</v>
      </c>
      <c r="AP20" s="162">
        <f t="shared" si="3"/>
        <v>0.17729263593096131</v>
      </c>
      <c r="AQ20" s="162">
        <f t="shared" si="2"/>
        <v>0.17705395251668832</v>
      </c>
      <c r="AR20" s="162">
        <f t="shared" si="2"/>
        <v>6.5083610066130532E-2</v>
      </c>
      <c r="AS20" s="162">
        <f t="shared" si="2"/>
        <v>0.81891727137094905</v>
      </c>
      <c r="AT20" s="162">
        <f t="shared" si="2"/>
        <v>2.244676356318994E-3</v>
      </c>
      <c r="AU20" s="162">
        <f t="shared" si="2"/>
        <v>2.2952454673613121E-2</v>
      </c>
      <c r="AV20" s="162">
        <f t="shared" si="2"/>
        <v>0</v>
      </c>
      <c r="AW20" s="162">
        <f t="shared" si="2"/>
        <v>8.9947030702269989E-2</v>
      </c>
      <c r="AX20" s="64">
        <f>AVERAGE(Table51621[[#This Row],[Concentration15]],Table5162126[[#This Row],[Concentration15]],Table516212631[[#This Row],[Concentration15]])</f>
        <v>0</v>
      </c>
      <c r="AY20" s="64">
        <f>AVERAGE(Table51621[[#This Row],[Concentration16]],Table5162126[[#This Row],[Concentration16]],Table516212631[[#This Row],[Concentration16]])</f>
        <v>5.0795123384378908E-2</v>
      </c>
      <c r="AZ20" s="64">
        <f>AVERAGE(Table51621[[#This Row],[Concentration17]],Table5162126[[#This Row],[Concentration17]],Table516212631[[#This Row],[Concentration17]])</f>
        <v>74.933392539964487</v>
      </c>
      <c r="BA20" s="64">
        <f>AVERAGE(Table51621[[#This Row],[Concentration172]],Table5162126[[#This Row],[Concentration172]],Table516212631[[#This Row],[Concentration172]])</f>
        <v>6.75</v>
      </c>
      <c r="BB20" s="64" t="e">
        <f>AVERAGE(Table51621[[#This Row],[Concentration18]],Table5162126[[#This Row],[Concentration18]],Table516212631[[#This Row],[Concentration18]])</f>
        <v>#DIV/0!</v>
      </c>
      <c r="BC20" s="64" t="e">
        <f>AVERAGE(Table51621[[#This Row],[Concentration19]],Table5162126[[#This Row],[Concentration19]],Table516212631[[#This Row],[Concentration19]])</f>
        <v>#DIV/0!</v>
      </c>
      <c r="BD20" s="64" t="e">
        <f>AVERAGE(Table51621[[#This Row],[Concentration]],Table5162126[[#This Row],[Concentration]],Table516212631[[#This Row],[Concentration]])</f>
        <v>#VALUE!</v>
      </c>
      <c r="BE20" s="64" t="e">
        <f>AVERAGE(Table51621[[#This Row],[Concentration2]],Table5162126[[#This Row],[Concentration2]],Table516212631[[#This Row],[Concentration2]])</f>
        <v>#VALUE!</v>
      </c>
      <c r="BF20" s="64" t="e">
        <f>AVERAGE(Table51621[[#This Row],[Concentration3]],Table5162126[[#This Row],[Concentration3]],Table516212631[[#This Row],[Concentration3]])</f>
        <v>#VALUE!</v>
      </c>
      <c r="BG20" s="64" t="e">
        <f>AVERAGE(Table51621[[#This Row],[Concentration4]],Table5162126[[#This Row],[Concentration4]],Table516212631[[#This Row],[Concentration4]])</f>
        <v>#VALUE!</v>
      </c>
      <c r="BH20" s="64" t="e">
        <f>AVERAGE(Table51621[[#This Row],[Concentration5]],Table5162126[[#This Row],[Concentration5]],Table516212631[[#This Row],[Concentration5]])</f>
        <v>#VALUE!</v>
      </c>
      <c r="BI20" s="64">
        <f>AVERAGE(Table61722[[#This Row],[Concentration7]],Table6172227[[#This Row],[Concentration7]],Table617222732[[#This Row],[Concentration7]])</f>
        <v>0.35458527186192262</v>
      </c>
      <c r="BJ20" s="64">
        <f>AVERAGE(Table61722[[#This Row],[Concentration8]],Table6172227[[#This Row],[Concentration8]],Table617222732[[#This Row],[Concentration8]])</f>
        <v>0.53116185755006506</v>
      </c>
      <c r="BK20" s="64">
        <f>AVERAGE(Table61722[[#This Row],[Concentration9]],Table6172227[[#This Row],[Concentration9]],Table617222732[[#This Row],[Concentration9]])</f>
        <v>0.22872903892431781</v>
      </c>
      <c r="BL20" s="64">
        <f>AVERAGE(Table61722[[#This Row],[Concentration10]],Table6172227[[#This Row],[Concentration10]],Table617222732[[#This Row],[Concentration10]])</f>
        <v>3.2756690854837962</v>
      </c>
      <c r="BM20" s="64">
        <f>AVERAGE(Table61722[[#This Row],[Concentration11]],Table6172227[[#This Row],[Concentration11]],Table617222732[[#This Row],[Concentration11]])</f>
        <v>0</v>
      </c>
      <c r="BN20" s="64">
        <f>AVERAGE(Table61722[[#This Row],[Concentration12]],Table6172227[[#This Row],[Concentration12]],Table617222732[[#This Row],[Concentration12]])</f>
        <v>7.931867605535331E-2</v>
      </c>
      <c r="BO20" s="64">
        <f>AVERAGE(Table61722[[#This Row],[Concentration13]],Table6172227[[#This Row],[Concentration13]],Table617222732[[#This Row],[Concentration13]])</f>
        <v>0</v>
      </c>
      <c r="BP20" s="64">
        <f>Table5162126313641465156616671[[#This Row],[Concentration14]]*6</f>
        <v>0.53968218421361991</v>
      </c>
      <c r="BQ20" s="64">
        <f>AVERAGE(Table61722[[#This Row],[Concentration15]],Table6172227[[#This Row],[Concentration15]],Table617222732[[#This Row],[Concentration15]])</f>
        <v>0</v>
      </c>
      <c r="BR20" s="64">
        <f>AVERAGE(Table61722[[#This Row],[Concentration16]],Table6172227[[#This Row],[Concentration16]],Table617222732[[#This Row],[Concentration16]])</f>
        <v>0.40636098707503127</v>
      </c>
      <c r="BS20" s="64">
        <f>($BT$16*1000)-Table6172227323742475257626772[[#This Row],[Concentration17]]*1000</f>
        <v>65.471802841918304</v>
      </c>
      <c r="BT20" s="64">
        <f>AVERAGE(Table61722[[#This Row],[Concentration17]],Table6172227[[#This Row],[Concentration17]],Table617222732[[#This Row],[Concentration17]])</f>
        <v>0.22480017761989343</v>
      </c>
      <c r="BU20" s="64" t="e">
        <f>AVERAGE(Table61722[[#This Row],[concentration18]],Table6172227[[#This Row],[concentration18]],Table617222732[[#This Row],[concentration18]])</f>
        <v>#DIV/0!</v>
      </c>
      <c r="BV20" s="64">
        <f>SUM(IFERROR(Table6172227323742475257626772[[#This Row],[Concentration7]],0),IFERROR(Table6172227323742475257626772[[#This Row],[Concentration8]],0),IFERROR(Table6172227323742475257626772[[#This Row],[Concentration9]],0),IFERROR(Table6172227323742475257626772[[#This Row],[Concentration10]],0),IFERROR(Table6172227323742475257626772[[#This Row],[Concentration11]],0),IFERROR(Table6172227323742475257626772[[#This Row],[Concentration12]],0),IFERROR(Table6172227323742475257626772[[#This Row],[Concentration13]],0),IFERROR(Table6172227323742475257626772[[#This Row],[Concentration14]],0),IFERROR(Table6172227323742475257626772[[#This Row],[Concentration15]],0),IFERROR(Table6172227323742475257626772[[#This Row],[Concentration16]],0),IFERROR(Table6172227323742475257626772[[#This Row],[concentration18]],0))</f>
        <v>5.4155071011641063</v>
      </c>
      <c r="BW20" s="64">
        <f>IF(Table6172227323742475257626772[[#This Row],[Concentration162]]-Table6172227323742475257626772[[#This Row],[concentration19]]&lt;0,0,Table6172227323742475257626772[[#This Row],[Concentration162]]-Table6172227323742475257626772[[#This Row],[concentration19]])</f>
        <v>60.056295740754194</v>
      </c>
      <c r="CC20" s="178">
        <f>Table5162126313641465156616671[[#This Row],[Concentration18]]</f>
        <v>6.75</v>
      </c>
      <c r="CD20" s="66">
        <f t="shared" si="4"/>
        <v>46.3</v>
      </c>
      <c r="CE20" s="80">
        <v>1.5</v>
      </c>
      <c r="CF20" s="181">
        <f>CC20*(CE20/1000)/constants!$B$23*1000*constants!$C$23</f>
        <v>0.33720026642984019</v>
      </c>
      <c r="CG20" s="181">
        <f>AP20*(CE20/1000)/constants!$B$5*1000*constants!$C$5</f>
        <v>8.8569557682156141E-3</v>
      </c>
      <c r="CH20" s="181">
        <f>AQ20*(CE20/1000)/constants!$B$11*1000*constants!$C$11</f>
        <v>1.0755312387115072E-2</v>
      </c>
      <c r="CI20" s="181">
        <f>AS20*(CE20/1000)/constants!$B$4*1000*constants!$C$4</f>
        <v>5.576809329927241E-2</v>
      </c>
      <c r="CJ20" s="181">
        <f>AR20*(CE20/1000)/constants!$B$19*1000*constants!$C$19</f>
        <v>2.2160900528725809E-3</v>
      </c>
      <c r="CK20" s="181">
        <f>AU20*(CE20/1000)/constants!$B$12*1000*constants!$C$12</f>
        <v>1.685482753391151E-3</v>
      </c>
      <c r="CL20" s="181">
        <f>AW20*(CE20/1000)/constants!$B$13*1000*constants!$C$13</f>
        <v>6.9690364697006704E-3</v>
      </c>
    </row>
    <row r="21" spans="1:105" s="47" customFormat="1" ht="16" thickBot="1" x14ac:dyDescent="0.4">
      <c r="A21" s="63">
        <f>Table2[[#This Row],[Date]]</f>
        <v>43105</v>
      </c>
      <c r="B21" s="167">
        <f>Table2[[#This Row],[Time]]</f>
        <v>43</v>
      </c>
      <c r="C21" s="77">
        <v>20</v>
      </c>
      <c r="D21" s="18">
        <f>IFERROR(AVERAGE(Table31520[[#This Row],[Amount ]],Table3152025[[#This Row],[Amount ]],Table315202530[[#This Row],[Amount ]]),0)</f>
        <v>0</v>
      </c>
      <c r="E21" s="18">
        <f>IFERROR(AVERAGE(Table31520[[#This Row],[Amount 2]],Table3152025[[#This Row],[Amount 2]],Table315202530[[#This Row],[Amount 2]]),0)</f>
        <v>0</v>
      </c>
      <c r="F21" s="18">
        <f>IFERROR(AVERAGE(Table31520[[#This Row],[Amount 3]],Table3152025[[#This Row],[Amount 3]],Table315202530[[#This Row],[Amount 3]]),0)</f>
        <v>0</v>
      </c>
      <c r="G21" s="18">
        <f>IFERROR(AVERAGE(Table31520[[#This Row],[Amount 4]],Table3152025[[#This Row],[Amount 4]],Table315202530[[#This Row],[Amount 4]]),0)</f>
        <v>0</v>
      </c>
      <c r="H21" s="18">
        <f>IFERROR(AVERAGE(Table31520[[#This Row],[Amount 5]],Table3152025[[#This Row],[Amount 5]],Table315202530[[#This Row],[Amount 5]]),0)</f>
        <v>0</v>
      </c>
      <c r="I21" s="18">
        <f>IFERROR(AVERAGE(Table31520[[#This Row],[Amount 6]],Table3152025[[#This Row],[Amount 6]],Table315202530[[#This Row],[Amount 6]]),0)</f>
        <v>0</v>
      </c>
      <c r="J21" s="18">
        <f>IFERROR(AVERAGE(Table31520[[#This Row],[Amount 7]],Table3152025[[#This Row],[Amount 7]],Table315202530[[#This Row],[Amount 7]]),0)</f>
        <v>14.708296068465449</v>
      </c>
      <c r="K21" s="18">
        <f>IFERROR(AVERAGE(Table31520[[#This Row],[Amount 8]],Table3152025[[#This Row],[Amount 8]],Table315202530[[#This Row],[Amount 8]]),0)</f>
        <v>9.966666452359112</v>
      </c>
      <c r="L21" s="18">
        <f>IFERROR(AVERAGE(Table31520[[#This Row],[Amount 9]],Table3152025[[#This Row],[Amount 9]],Table315202530[[#This Row],[Amount 9]]),0)</f>
        <v>4.801080979327728</v>
      </c>
      <c r="M21" s="18">
        <f>IFERROR(AVERAGE(Table31520[[#This Row],[Amount 10]],Table3152025[[#This Row],[Amount 10]],Table315202530[[#This Row],[Amount 10]]),0)</f>
        <v>39.049035778283681</v>
      </c>
      <c r="N21" s="18">
        <f>IFERROR(AVERAGE(Table31520[[#This Row],[Amount 11]],Table3152025[[#This Row],[Amount 11]],Table315202530[[#This Row],[Amount 11]]),0)</f>
        <v>0</v>
      </c>
      <c r="O21" s="18">
        <f>IFERROR(AVERAGE(Table31520[[#This Row],[Amount 12]],Table3152025[[#This Row],[Amount 12]],Table315202530[[#This Row],[Amount 12]]),0)</f>
        <v>1.296951313367007</v>
      </c>
      <c r="P21" s="18">
        <f>IFERROR(AVERAGE(Table31520[[#This Row],[Amount 13]],Table3152025[[#This Row],[Amount 13]],Table315202530[[#This Row],[Amount 13]]),0)</f>
        <v>0</v>
      </c>
      <c r="Q21" s="18">
        <f>IFERROR(AVERAGE(Table31520[[#This Row],[Amount 14]],Table3152025[[#This Row],[Amount 14]],Table315202530[[#This Row],[Amount 14]]),0)</f>
        <v>3.3969612036549965</v>
      </c>
      <c r="R21" s="18">
        <f>IFERROR(AVERAGE(Table31520[[#This Row],[Amount 15]],Table3152025[[#This Row],[Amount 15]],Table315202530[[#This Row],[Amount 15]]),0)</f>
        <v>0</v>
      </c>
      <c r="S21" s="18">
        <f>IFERROR(AVERAGE(Table31520[[#This Row],[Amount 16]],Table3152025[[#This Row],[Amount 16]],Table315202530[[#This Row],[Amount 16]]),0)</f>
        <v>0</v>
      </c>
      <c r="T21" s="18">
        <f>IFERROR(AVERAGE(Table31520[[#This Row],[Amount 17]],Table3152025[[#This Row],[Amount 17]],Table315202530[[#This Row],[Amount 17]]),0)</f>
        <v>0</v>
      </c>
      <c r="U21" s="18">
        <f>IFERROR(AVERAGE(Table31520[[#This Row],[Amount 18]],Table3152025[[#This Row],[Amount 18]],Table315202530[[#This Row],[Amount 18]]),0)</f>
        <v>0</v>
      </c>
      <c r="V21" s="18">
        <f>IFERROR(AVERAGE(Table31520[[#This Row],[Amount 19]],Table3152025[[#This Row],[Amount 19]],Table315202530[[#This Row],[Amount 19]]),0)</f>
        <v>0</v>
      </c>
      <c r="W21" s="18">
        <f>IFERROR(AVERAGE(Table31520[[#This Row],[Ret.Time ]],Table3152025[[#This Row],[Ret.Time ]],Table315202530[[#This Row],[Ret.Time ]]),0)</f>
        <v>0</v>
      </c>
      <c r="X21" s="18">
        <f>IFERROR(AVERAGE(Table31520[[#This Row],[Amount 20]],Table3152025[[#This Row],[Amount 20]],Table315202530[[#This Row],[Amount 20]]),0)</f>
        <v>0</v>
      </c>
      <c r="Y21" s="18">
        <f>IFERROR(AVERAGE(Table31520[[#This Row],[Ret.Time]],Table3152025[[#This Row],[Ret.Time]],Table315202530[[#This Row],[Ret.Time]]),0)</f>
        <v>0</v>
      </c>
      <c r="Z21" s="18">
        <f>IFERROR(AVERAGE(Table31520[[#This Row],[Amount 21]],Table3152025[[#This Row],[Amount 21]],Table315202530[[#This Row],[Amount 21]]),0)</f>
        <v>0</v>
      </c>
      <c r="AA21" s="18">
        <f>IFERROR(AVERAGE(Table31520[[#This Row],[Ret.Time22]],Table3152025[[#This Row],[Ret.Time22]],Table315202530[[#This Row],[Ret.Time22]]),0)</f>
        <v>0</v>
      </c>
      <c r="AB21" s="18">
        <f>IFERROR(AVERAGE(Table31520[[#This Row],[Amount 23]],Table3152025[[#This Row],[Amount 23]],Table315202530[[#This Row],[Amount 23]]),0)</f>
        <v>0</v>
      </c>
      <c r="AC21" s="18">
        <f>IFERROR(AVERAGE(Table31520[[#This Row],[Ret.Time24]],Table3152025[[#This Row],[Ret.Time24]],Table315202530[[#This Row],[Ret.Time24]]),0)</f>
        <v>0</v>
      </c>
      <c r="AD21" s="18">
        <f>IFERROR(AVERAGE(Table31520[[#This Row],[Amount 25]],Table3152025[[#This Row],[Amount 25]],Table315202530[[#This Row],[Amount 25]]),0)</f>
        <v>0</v>
      </c>
      <c r="AE21" s="18">
        <f>IFERROR(AVERAGE(Table31520[[#This Row],[pH]],Table3152025[[#This Row],[pH]],Table315202530[[#This Row],[pH]]),0)</f>
        <v>7.0366666666666662</v>
      </c>
      <c r="AF21" s="18">
        <f>IFERROR(AVERAGE(Table31520[[#This Row],[dilution ]],Table3152025[[#This Row],[dilution ]],Table315202530[[#This Row],[dilution ]]),0)</f>
        <v>20</v>
      </c>
      <c r="AG21" s="18">
        <f>IFERROR(AVERAGE(Table31520[[#This Row],[correction]],Table3152025[[#This Row],[correction]],Table315202530[[#This Row],[correction factor]]),0)</f>
        <v>1</v>
      </c>
      <c r="AH21" s="18">
        <f>IFERROR(AVERAGE(Table31520[[#This Row],[amount]],Table3152025[[#This Row],[amount]],Table315202530[[#This Row],[amount]]),0)</f>
        <v>285.53333333333336</v>
      </c>
      <c r="AI21" s="18">
        <f>IFERROR(AVERAGE(Table31520[[#This Row],[pressure]],Table3152025[[#This Row],[pressure]],Table315202530[[#This Row],[pressure]]),0)</f>
        <v>0</v>
      </c>
      <c r="AJ21" s="64" t="e">
        <f>AVERAGE(Table51621[[#This Row],[Concentration]],Table5162126[[#This Row],[Concentration]],Table516212631[[#This Row],[Concentration]])</f>
        <v>#VALUE!</v>
      </c>
      <c r="AK21" s="64" t="e">
        <f>AVERAGE(Table51621[[#This Row],[Concentration2]],Table5162126[[#This Row],[Concentration2]],Table516212631[[#This Row],[Concentration2]])</f>
        <v>#VALUE!</v>
      </c>
      <c r="AL21" s="64" t="e">
        <f>AVERAGE(Table51621[[#This Row],[Concentration3]],Table5162126[[#This Row],[Concentration3]],Table516212631[[#This Row],[Concentration3]])</f>
        <v>#VALUE!</v>
      </c>
      <c r="AM21" s="64" t="e">
        <f>AVERAGE(Table51621[[#This Row],[Concentration4]],Table5162126[[#This Row],[Concentration4]],Table516212631[[#This Row],[Concentration4]])</f>
        <v>#VALUE!</v>
      </c>
      <c r="AN21" s="64" t="e">
        <f>AVERAGE(Table51621[[#This Row],[Concentration5]],Table5162126[[#This Row],[Concentration5]],Table516212631[[#This Row],[Concentration5]])</f>
        <v>#VALUE!</v>
      </c>
      <c r="AO21" s="64" t="e">
        <f>AVERAGE(Table51621[[#This Row],[Concentration6]],Table5162126[[#This Row],[Concentration6]],Table516212631[[#This Row],[Concentration6]])</f>
        <v>#VALUE!</v>
      </c>
      <c r="AP21" s="162">
        <f t="shared" si="3"/>
        <v>0.29416592136930897</v>
      </c>
      <c r="AQ21" s="162">
        <f t="shared" si="2"/>
        <v>0.19933332904718223</v>
      </c>
      <c r="AR21" s="162">
        <f t="shared" si="2"/>
        <v>9.6021619586554557E-2</v>
      </c>
      <c r="AS21" s="162">
        <f t="shared" si="2"/>
        <v>0.78098071556567361</v>
      </c>
      <c r="AT21" s="162">
        <f t="shared" si="2"/>
        <v>0</v>
      </c>
      <c r="AU21" s="162">
        <f t="shared" si="2"/>
        <v>2.593902626734014E-2</v>
      </c>
      <c r="AV21" s="162">
        <f t="shared" si="2"/>
        <v>0</v>
      </c>
      <c r="AW21" s="162">
        <f t="shared" si="2"/>
        <v>6.7939224073099935E-2</v>
      </c>
      <c r="AX21" s="64">
        <f>AVERAGE(Table51621[[#This Row],[Concentration15]],Table5162126[[#This Row],[Concentration15]],Table516212631[[#This Row],[Concentration15]])</f>
        <v>0</v>
      </c>
      <c r="AY21" s="64">
        <f>AVERAGE(Table51621[[#This Row],[Concentration16]],Table5162126[[#This Row],[Concentration16]],Table516212631[[#This Row],[Concentration16]])</f>
        <v>0</v>
      </c>
      <c r="AZ21" s="64">
        <f>AVERAGE(Table51621[[#This Row],[Concentration17]],Table5162126[[#This Row],[Concentration17]],Table516212631[[#This Row],[Concentration17]])</f>
        <v>63.395500296033163</v>
      </c>
      <c r="BA21" s="64">
        <f>AVERAGE(Table51621[[#This Row],[Concentration172]],Table5162126[[#This Row],[Concentration172]],Table516212631[[#This Row],[Concentration172]])</f>
        <v>5.7106666666666657</v>
      </c>
      <c r="BB21" s="64" t="e">
        <f>AVERAGE(Table51621[[#This Row],[Concentration18]],Table5162126[[#This Row],[Concentration18]],Table516212631[[#This Row],[Concentration18]])</f>
        <v>#DIV/0!</v>
      </c>
      <c r="BC21" s="64" t="e">
        <f>AVERAGE(Table51621[[#This Row],[Concentration19]],Table5162126[[#This Row],[Concentration19]],Table516212631[[#This Row],[Concentration19]])</f>
        <v>#DIV/0!</v>
      </c>
      <c r="BD21" s="64" t="e">
        <f>AVERAGE(Table51621[[#This Row],[Concentration]],Table5162126[[#This Row],[Concentration]],Table516212631[[#This Row],[Concentration]])</f>
        <v>#VALUE!</v>
      </c>
      <c r="BE21" s="64" t="e">
        <f>AVERAGE(Table51621[[#This Row],[Concentration2]],Table5162126[[#This Row],[Concentration2]],Table516212631[[#This Row],[Concentration2]])</f>
        <v>#VALUE!</v>
      </c>
      <c r="BF21" s="64" t="e">
        <f>AVERAGE(Table51621[[#This Row],[Concentration3]],Table5162126[[#This Row],[Concentration3]],Table516212631[[#This Row],[Concentration3]])</f>
        <v>#VALUE!</v>
      </c>
      <c r="BG21" s="64" t="e">
        <f>AVERAGE(Table51621[[#This Row],[Concentration4]],Table5162126[[#This Row],[Concentration4]],Table516212631[[#This Row],[Concentration4]])</f>
        <v>#VALUE!</v>
      </c>
      <c r="BH21" s="64" t="e">
        <f>AVERAGE(Table51621[[#This Row],[Concentration5]],Table5162126[[#This Row],[Concentration5]],Table516212631[[#This Row],[Concentration5]])</f>
        <v>#VALUE!</v>
      </c>
      <c r="BI21" s="64">
        <f>AVERAGE(Table61722[[#This Row],[Concentration7]],Table6172227[[#This Row],[Concentration7]],Table617222732[[#This Row],[Concentration7]])</f>
        <v>0.58833184273861805</v>
      </c>
      <c r="BJ21" s="64">
        <f>AVERAGE(Table61722[[#This Row],[Concentration8]],Table6172227[[#This Row],[Concentration8]],Table617222732[[#This Row],[Concentration8]])</f>
        <v>0.59799998714154667</v>
      </c>
      <c r="BK21" s="64">
        <f>AVERAGE(Table61722[[#This Row],[Concentration9]],Table6172227[[#This Row],[Concentration9]],Table617222732[[#This Row],[Concentration9]])</f>
        <v>0.35941099999682929</v>
      </c>
      <c r="BL21" s="64">
        <f>AVERAGE(Table61722[[#This Row],[Concentration10]],Table6172227[[#This Row],[Concentration10]],Table617222732[[#This Row],[Concentration10]])</f>
        <v>3.1239228622626949</v>
      </c>
      <c r="BM21" s="64">
        <f>AVERAGE(Table61722[[#This Row],[Concentration11]],Table6172227[[#This Row],[Concentration11]],Table617222732[[#This Row],[Concentration11]])</f>
        <v>0</v>
      </c>
      <c r="BN21" s="64">
        <f>AVERAGE(Table61722[[#This Row],[Concentration12]],Table6172227[[#This Row],[Concentration12]],Table617222732[[#This Row],[Concentration12]])</f>
        <v>0.10501404665296162</v>
      </c>
      <c r="BO21" s="64">
        <f>AVERAGE(Table61722[[#This Row],[Concentration13]],Table6172227[[#This Row],[Concentration13]],Table617222732[[#This Row],[Concentration13]])</f>
        <v>0</v>
      </c>
      <c r="BP21" s="64">
        <f>Table5162126313641465156616671[[#This Row],[Concentration14]]*6</f>
        <v>0.40763534443859961</v>
      </c>
      <c r="BQ21" s="64">
        <f>AVERAGE(Table61722[[#This Row],[Concentration15]],Table6172227[[#This Row],[Concentration15]],Table617222732[[#This Row],[Concentration15]])</f>
        <v>0</v>
      </c>
      <c r="BR21" s="64">
        <f>AVERAGE(Table61722[[#This Row],[Concentration16]],Table6172227[[#This Row],[Concentration16]],Table617222732[[#This Row],[Concentration16]])</f>
        <v>0</v>
      </c>
      <c r="BS21" s="64">
        <f>($BT$16*1000)-Table6172227323742475257626772[[#This Row],[Concentration17]]*1000</f>
        <v>100.08547957371223</v>
      </c>
      <c r="BT21" s="64">
        <f>AVERAGE(Table61722[[#This Row],[Concentration17]],Table6172227[[#This Row],[Concentration17]],Table617222732[[#This Row],[Concentration17]])</f>
        <v>0.19018650088809949</v>
      </c>
      <c r="BU21" s="64" t="e">
        <f>AVERAGE(Table61722[[#This Row],[concentration18]],Table6172227[[#This Row],[concentration18]],Table617222732[[#This Row],[concentration18]])</f>
        <v>#DIV/0!</v>
      </c>
      <c r="BV21" s="64">
        <f>SUM(IFERROR(Table6172227323742475257626772[[#This Row],[Concentration7]],0),IFERROR(Table6172227323742475257626772[[#This Row],[Concentration8]],0),IFERROR(Table6172227323742475257626772[[#This Row],[Concentration9]],0),IFERROR(Table6172227323742475257626772[[#This Row],[Concentration10]],0),IFERROR(Table6172227323742475257626772[[#This Row],[Concentration11]],0),IFERROR(Table6172227323742475257626772[[#This Row],[Concentration12]],0),IFERROR(Table6172227323742475257626772[[#This Row],[Concentration13]],0),IFERROR(Table6172227323742475257626772[[#This Row],[Concentration14]],0),IFERROR(Table6172227323742475257626772[[#This Row],[Concentration15]],0),IFERROR(Table6172227323742475257626772[[#This Row],[Concentration16]],0),IFERROR(Table6172227323742475257626772[[#This Row],[concentration18]],0))</f>
        <v>5.1823150832312495</v>
      </c>
      <c r="BW21" s="64">
        <f>IF(Table6172227323742475257626772[[#This Row],[Concentration162]]-Table6172227323742475257626772[[#This Row],[concentration19]]&lt;0,0,Table6172227323742475257626772[[#This Row],[Concentration162]]-Table6172227323742475257626772[[#This Row],[concentration19]])</f>
        <v>94.903164490480989</v>
      </c>
      <c r="CC21" s="178">
        <f>Table5162126313641465156616671[[#This Row],[Concentration18]]</f>
        <v>5.7106666666666657</v>
      </c>
      <c r="CD21" s="66">
        <f t="shared" si="4"/>
        <v>44.8</v>
      </c>
      <c r="CE21" s="80">
        <v>1.5</v>
      </c>
      <c r="CF21" s="181">
        <f>CC21*(CE21/1000)/constants!$B$23*1000*constants!$C$23</f>
        <v>0.28527975133214922</v>
      </c>
      <c r="CG21" s="181">
        <f>AP21*(CE21/1000)/constants!$B$5*1000*constants!$C$5</f>
        <v>1.4695559916537782E-2</v>
      </c>
      <c r="CH21" s="181">
        <f>AQ21*(CE21/1000)/constants!$B$11*1000*constants!$C$11</f>
        <v>1.2108694511431312E-2</v>
      </c>
      <c r="CI21" s="181">
        <f>AS21*(CE21/1000)/constants!$B$4*1000*constants!$C$4</f>
        <v>5.3184621857694625E-2</v>
      </c>
      <c r="CJ21" s="181">
        <f>AR21*(CE21/1000)/constants!$B$19*1000*constants!$C$19</f>
        <v>3.2695260113915475E-3</v>
      </c>
      <c r="CK21" s="181">
        <f>AU21*(CE21/1000)/constants!$B$12*1000*constants!$C$12</f>
        <v>1.9047976364647183E-3</v>
      </c>
      <c r="CL21" s="181">
        <f>AW21*(CE21/1000)/constants!$B$13*1000*constants!$C$13</f>
        <v>5.2638861626885282E-3</v>
      </c>
    </row>
    <row r="22" spans="1:105" s="66" customFormat="1" ht="16" thickBot="1" x14ac:dyDescent="0.4">
      <c r="A22" s="63">
        <f>Table2[[#This Row],[Date]]</f>
        <v>43195</v>
      </c>
      <c r="B22" s="167">
        <f>Table2[[#This Row],[Time]]</f>
        <v>46</v>
      </c>
      <c r="C22" s="77">
        <v>20</v>
      </c>
      <c r="D22" s="18">
        <f>IFERROR(AVERAGE(Table31520[[#This Row],[Amount ]],Table3152025[[#This Row],[Amount ]],Table315202530[[#This Row],[Amount ]]),0)</f>
        <v>0</v>
      </c>
      <c r="E22" s="18">
        <f>IFERROR(AVERAGE(Table31520[[#This Row],[Amount 2]],Table3152025[[#This Row],[Amount 2]],Table315202530[[#This Row],[Amount 2]]),0)</f>
        <v>0</v>
      </c>
      <c r="F22" s="18">
        <f>IFERROR(AVERAGE(Table31520[[#This Row],[Amount 3]],Table3152025[[#This Row],[Amount 3]],Table315202530[[#This Row],[Amount 3]]),0)</f>
        <v>0</v>
      </c>
      <c r="G22" s="18">
        <f>IFERROR(AVERAGE(Table31520[[#This Row],[Amount 4]],Table3152025[[#This Row],[Amount 4]],Table315202530[[#This Row],[Amount 4]]),0)</f>
        <v>0</v>
      </c>
      <c r="H22" s="18">
        <f>IFERROR(AVERAGE(Table31520[[#This Row],[Amount 5]],Table3152025[[#This Row],[Amount 5]],Table315202530[[#This Row],[Amount 5]]),0)</f>
        <v>0</v>
      </c>
      <c r="I22" s="18">
        <f>IFERROR(AVERAGE(Table31520[[#This Row],[Amount 6]],Table3152025[[#This Row],[Amount 6]],Table315202530[[#This Row],[Amount 6]]),0)</f>
        <v>0.5532639880509117</v>
      </c>
      <c r="J22" s="18">
        <f>IFERROR(AVERAGE(Table31520[[#This Row],[Amount 7]],Table3152025[[#This Row],[Amount 7]],Table315202530[[#This Row],[Amount 7]]),0)</f>
        <v>20.418655878248799</v>
      </c>
      <c r="K22" s="18">
        <f>IFERROR(AVERAGE(Table31520[[#This Row],[Amount 8]],Table3152025[[#This Row],[Amount 8]],Table315202530[[#This Row],[Amount 8]]),0)</f>
        <v>18.706181582891073</v>
      </c>
      <c r="L22" s="18">
        <f>IFERROR(AVERAGE(Table31520[[#This Row],[Amount 9]],Table3152025[[#This Row],[Amount 9]],Table315202530[[#This Row],[Amount 9]]),0)</f>
        <v>10.371539316205633</v>
      </c>
      <c r="M22" s="18">
        <f>IFERROR(AVERAGE(Table31520[[#This Row],[Amount 10]],Table3152025[[#This Row],[Amount 10]],Table315202530[[#This Row],[Amount 10]]),0)</f>
        <v>80.014557499184193</v>
      </c>
      <c r="N22" s="18">
        <f>IFERROR(AVERAGE(Table31520[[#This Row],[Amount 11]],Table3152025[[#This Row],[Amount 11]],Table315202530[[#This Row],[Amount 11]]),0)</f>
        <v>0.32698934882458214</v>
      </c>
      <c r="O22" s="18">
        <f>IFERROR(AVERAGE(Table31520[[#This Row],[Amount 12]],Table3152025[[#This Row],[Amount 12]],Table315202530[[#This Row],[Amount 12]]),0)</f>
        <v>3.2397252982151841</v>
      </c>
      <c r="P22" s="18">
        <f>IFERROR(AVERAGE(Table31520[[#This Row],[Amount 13]],Table3152025[[#This Row],[Amount 13]],Table315202530[[#This Row],[Amount 13]]),0)</f>
        <v>0</v>
      </c>
      <c r="Q22" s="18">
        <f>IFERROR(AVERAGE(Table31520[[#This Row],[Amount 14]],Table3152025[[#This Row],[Amount 14]],Table315202530[[#This Row],[Amount 14]]),0)</f>
        <v>6.6545322590419085</v>
      </c>
      <c r="R22" s="18">
        <f>IFERROR(AVERAGE(Table31520[[#This Row],[Amount 15]],Table3152025[[#This Row],[Amount 15]],Table315202530[[#This Row],[Amount 15]]),0)</f>
        <v>0</v>
      </c>
      <c r="S22" s="18">
        <f>IFERROR(AVERAGE(Table31520[[#This Row],[Amount 16]],Table3152025[[#This Row],[Amount 16]],Table315202530[[#This Row],[Amount 16]]),0)</f>
        <v>7.3168012771347699E-2</v>
      </c>
      <c r="T22" s="18">
        <f>IFERROR(AVERAGE(Table31520[[#This Row],[Amount 17]],Table3152025[[#This Row],[Amount 17]],Table315202530[[#This Row],[Amount 17]]),0)</f>
        <v>0</v>
      </c>
      <c r="U22" s="18">
        <f>IFERROR(AVERAGE(Table31520[[#This Row],[Amount 18]],Table3152025[[#This Row],[Amount 18]],Table315202530[[#This Row],[Amount 18]]),0)</f>
        <v>0</v>
      </c>
      <c r="V22" s="18">
        <f>IFERROR(AVERAGE(Table31520[[#This Row],[Amount 19]],Table3152025[[#This Row],[Amount 19]],Table315202530[[#This Row],[Amount 19]]),0)</f>
        <v>0</v>
      </c>
      <c r="W22" s="18">
        <f>IFERROR(AVERAGE(Table31520[[#This Row],[Ret.Time ]],Table3152025[[#This Row],[Ret.Time ]],Table315202530[[#This Row],[Ret.Time ]]),0)</f>
        <v>0</v>
      </c>
      <c r="X22" s="18">
        <f>IFERROR(AVERAGE(Table31520[[#This Row],[Amount 20]],Table3152025[[#This Row],[Amount 20]],Table315202530[[#This Row],[Amount 20]]),0)</f>
        <v>0</v>
      </c>
      <c r="Y22" s="18">
        <f>IFERROR(AVERAGE(Table31520[[#This Row],[Ret.Time]],Table3152025[[#This Row],[Ret.Time]],Table315202530[[#This Row],[Ret.Time]]),0)</f>
        <v>0</v>
      </c>
      <c r="Z22" s="18">
        <f>IFERROR(AVERAGE(Table31520[[#This Row],[Amount 21]],Table3152025[[#This Row],[Amount 21]],Table315202530[[#This Row],[Amount 21]]),0)</f>
        <v>0</v>
      </c>
      <c r="AA22" s="18">
        <f>IFERROR(AVERAGE(Table31520[[#This Row],[Ret.Time22]],Table3152025[[#This Row],[Ret.Time22]],Table315202530[[#This Row],[Ret.Time22]]),0)</f>
        <v>0</v>
      </c>
      <c r="AB22" s="18">
        <f>IFERROR(AVERAGE(Table31520[[#This Row],[Amount 23]],Table3152025[[#This Row],[Amount 23]],Table315202530[[#This Row],[Amount 23]]),0)</f>
        <v>0</v>
      </c>
      <c r="AC22" s="18">
        <f>IFERROR(AVERAGE(Table31520[[#This Row],[Ret.Time24]],Table3152025[[#This Row],[Ret.Time24]],Table315202530[[#This Row],[Ret.Time24]]),0)</f>
        <v>0</v>
      </c>
      <c r="AD22" s="18">
        <f>IFERROR(AVERAGE(Table31520[[#This Row],[Amount 25]],Table3152025[[#This Row],[Amount 25]],Table315202530[[#This Row],[Amount 25]]),0)</f>
        <v>0</v>
      </c>
      <c r="AE22" s="18">
        <f>IFERROR(AVERAGE(Table31520[[#This Row],[pH]],Table3152025[[#This Row],[pH]],Table315202530[[#This Row],[pH]]),0)</f>
        <v>6.94</v>
      </c>
      <c r="AF22" s="18">
        <f>IFERROR(AVERAGE(Table31520[[#This Row],[dilution ]],Table3152025[[#This Row],[dilution ]],Table315202530[[#This Row],[dilution ]]),0)</f>
        <v>20</v>
      </c>
      <c r="AG22" s="18">
        <f>IFERROR(AVERAGE(Table31520[[#This Row],[correction]],Table3152025[[#This Row],[correction]],Table315202530[[#This Row],[correction factor]]),0)</f>
        <v>1</v>
      </c>
      <c r="AH22" s="18">
        <f>IFERROR(AVERAGE(Table31520[[#This Row],[amount]],Table3152025[[#This Row],[amount]],Table315202530[[#This Row],[amount]]),0)</f>
        <v>255.76666666666665</v>
      </c>
      <c r="AI22" s="18">
        <f>IFERROR(AVERAGE(Table31520[[#This Row],[pressure]],Table3152025[[#This Row],[pressure]],Table315202530[[#This Row],[pressure]]),0)</f>
        <v>0</v>
      </c>
      <c r="AJ22" s="64" t="e">
        <f>AVERAGE(Table51621[[#This Row],[Concentration]],Table5162126[[#This Row],[Concentration]],Table516212631[[#This Row],[Concentration]])</f>
        <v>#VALUE!</v>
      </c>
      <c r="AK22" s="64" t="e">
        <f>AVERAGE(Table51621[[#This Row],[Concentration2]],Table5162126[[#This Row],[Concentration2]],Table516212631[[#This Row],[Concentration2]])</f>
        <v>#VALUE!</v>
      </c>
      <c r="AL22" s="64" t="e">
        <f>AVERAGE(Table51621[[#This Row],[Concentration3]],Table5162126[[#This Row],[Concentration3]],Table516212631[[#This Row],[Concentration3]])</f>
        <v>#VALUE!</v>
      </c>
      <c r="AM22" s="64" t="e">
        <f>AVERAGE(Table51621[[#This Row],[Concentration4]],Table5162126[[#This Row],[Concentration4]],Table516212631[[#This Row],[Concentration4]])</f>
        <v>#VALUE!</v>
      </c>
      <c r="AN22" s="64" t="e">
        <f>AVERAGE(Table51621[[#This Row],[Concentration5]],Table5162126[[#This Row],[Concentration5]],Table516212631[[#This Row],[Concentration5]])</f>
        <v>#VALUE!</v>
      </c>
      <c r="AO22" s="64" t="e">
        <f>AVERAGE(Table51621[[#This Row],[Concentration6]],Table5162126[[#This Row],[Concentration6]],Table516212631[[#This Row],[Concentration6]])</f>
        <v>#VALUE!</v>
      </c>
      <c r="AP22" s="162">
        <f t="shared" si="3"/>
        <v>0.40837311756497596</v>
      </c>
      <c r="AQ22" s="162">
        <f t="shared" si="2"/>
        <v>0.37412363165782148</v>
      </c>
      <c r="AR22" s="162">
        <f t="shared" si="2"/>
        <v>0.20743078632411266</v>
      </c>
      <c r="AS22" s="162">
        <f t="shared" si="2"/>
        <v>1.6002911499836838</v>
      </c>
      <c r="AT22" s="162">
        <f t="shared" si="2"/>
        <v>6.5397869764916424E-3</v>
      </c>
      <c r="AU22" s="162">
        <f t="shared" si="2"/>
        <v>6.4794505964303681E-2</v>
      </c>
      <c r="AV22" s="162">
        <f t="shared" si="2"/>
        <v>0</v>
      </c>
      <c r="AW22" s="162">
        <f t="shared" si="2"/>
        <v>0.13309064518083819</v>
      </c>
      <c r="AX22" s="64">
        <f>AVERAGE(Table51621[[#This Row],[Concentration15]],Table5162126[[#This Row],[Concentration15]],Table516212631[[#This Row],[Concentration15]])</f>
        <v>0</v>
      </c>
      <c r="AY22" s="64">
        <f>AVERAGE(Table51621[[#This Row],[Concentration16]],Table5162126[[#This Row],[Concentration16]],Table516212631[[#This Row],[Concentration16]])</f>
        <v>0</v>
      </c>
      <c r="AZ22" s="64">
        <f>AVERAGE(Table51621[[#This Row],[Concentration17]],Table5162126[[#This Row],[Concentration17]],Table516212631[[#This Row],[Concentration17]])</f>
        <v>56.786560094730611</v>
      </c>
      <c r="BA22" s="64">
        <f>AVERAGE(Table51621[[#This Row],[Concentration172]],Table5162126[[#This Row],[Concentration172]],Table516212631[[#This Row],[Concentration172]])</f>
        <v>5.1153333333333331</v>
      </c>
      <c r="BB22" s="64" t="e">
        <f>AVERAGE(Table51621[[#This Row],[Concentration18]],Table5162126[[#This Row],[Concentration18]],Table516212631[[#This Row],[Concentration18]])</f>
        <v>#DIV/0!</v>
      </c>
      <c r="BC22" s="64" t="e">
        <f>AVERAGE(Table51621[[#This Row],[Concentration19]],Table5162126[[#This Row],[Concentration19]],Table516212631[[#This Row],[Concentration19]])</f>
        <v>#DIV/0!</v>
      </c>
      <c r="BD22" s="64" t="e">
        <f>AVERAGE(Table51621[[#This Row],[Concentration]],Table5162126[[#This Row],[Concentration]],Table516212631[[#This Row],[Concentration]])</f>
        <v>#VALUE!</v>
      </c>
      <c r="BE22" s="64" t="e">
        <f>AVERAGE(Table51621[[#This Row],[Concentration2]],Table5162126[[#This Row],[Concentration2]],Table516212631[[#This Row],[Concentration2]])</f>
        <v>#VALUE!</v>
      </c>
      <c r="BF22" s="64" t="e">
        <f>AVERAGE(Table51621[[#This Row],[Concentration3]],Table5162126[[#This Row],[Concentration3]],Table516212631[[#This Row],[Concentration3]])</f>
        <v>#VALUE!</v>
      </c>
      <c r="BG22" s="64" t="e">
        <f>AVERAGE(Table51621[[#This Row],[Concentration4]],Table5162126[[#This Row],[Concentration4]],Table516212631[[#This Row],[Concentration4]])</f>
        <v>#VALUE!</v>
      </c>
      <c r="BH22" s="64" t="e">
        <f>AVERAGE(Table51621[[#This Row],[Concentration5]],Table5162126[[#This Row],[Concentration5]],Table516212631[[#This Row],[Concentration5]])</f>
        <v>#VALUE!</v>
      </c>
      <c r="BI22" s="64">
        <f>AVERAGE(Table61722[[#This Row],[Concentration7]],Table6172227[[#This Row],[Concentration7]],Table617222732[[#This Row],[Concentration7]])</f>
        <v>0.81674623512995181</v>
      </c>
      <c r="BJ22" s="64">
        <f>AVERAGE(Table61722[[#This Row],[Concentration8]],Table6172227[[#This Row],[Concentration8]],Table617222732[[#This Row],[Concentration8]])</f>
        <v>1.1223708949734643</v>
      </c>
      <c r="BK22" s="64">
        <f>AVERAGE(Table61722[[#This Row],[Concentration9]],Table6172227[[#This Row],[Concentration9]],Table617222732[[#This Row],[Concentration9]])</f>
        <v>0.70945612200584574</v>
      </c>
      <c r="BL22" s="64">
        <f>AVERAGE(Table61722[[#This Row],[Concentration10]],Table6172227[[#This Row],[Concentration10]],Table617222732[[#This Row],[Concentration10]])</f>
        <v>6.4011645999347353</v>
      </c>
      <c r="BM22" s="64">
        <f>AVERAGE(Table61722[[#This Row],[Concentration11]],Table6172227[[#This Row],[Concentration11]],Table617222732[[#This Row],[Concentration11]])</f>
        <v>0</v>
      </c>
      <c r="BN22" s="64">
        <f>AVERAGE(Table61722[[#This Row],[Concentration12]],Table6172227[[#This Row],[Concentration12]],Table617222732[[#This Row],[Concentration12]])</f>
        <v>0.21607389560369358</v>
      </c>
      <c r="BO22" s="64">
        <f>AVERAGE(Table61722[[#This Row],[Concentration13]],Table6172227[[#This Row],[Concentration13]],Table617222732[[#This Row],[Concentration13]])</f>
        <v>0</v>
      </c>
      <c r="BP22" s="64">
        <f>Table5162126313641465156616671[[#This Row],[Concentration14]]*6</f>
        <v>0.79854387108502911</v>
      </c>
      <c r="BQ22" s="64">
        <f>AVERAGE(Table61722[[#This Row],[Concentration15]],Table6172227[[#This Row],[Concentration15]],Table617222732[[#This Row],[Concentration15]])</f>
        <v>0</v>
      </c>
      <c r="BR22" s="64">
        <f>AVERAGE(Table61722[[#This Row],[Concentration16]],Table6172227[[#This Row],[Concentration16]],Table617222732[[#This Row],[Concentration16]])</f>
        <v>0</v>
      </c>
      <c r="BS22" s="64">
        <f>($BT$16*1000)-Table6172227323742475257626772[[#This Row],[Concentration17]]*1000</f>
        <v>119.9123001776199</v>
      </c>
      <c r="BT22" s="64">
        <f>AVERAGE(Table61722[[#This Row],[Concentration17]],Table6172227[[#This Row],[Concentration17]],Table617222732[[#This Row],[Concentration17]])</f>
        <v>0.17035968028419182</v>
      </c>
      <c r="BU22" s="64" t="e">
        <f>AVERAGE(Table61722[[#This Row],[concentration18]],Table6172227[[#This Row],[concentration18]],Table617222732[[#This Row],[concentration18]])</f>
        <v>#DIV/0!</v>
      </c>
      <c r="BV22" s="64">
        <f>SUM(IFERROR(Table6172227323742475257626772[[#This Row],[Concentration7]],0),IFERROR(Table6172227323742475257626772[[#This Row],[Concentration8]],0),IFERROR(Table6172227323742475257626772[[#This Row],[Concentration9]],0),IFERROR(Table6172227323742475257626772[[#This Row],[Concentration10]],0),IFERROR(Table6172227323742475257626772[[#This Row],[Concentration11]],0),IFERROR(Table6172227323742475257626772[[#This Row],[Concentration12]],0),IFERROR(Table6172227323742475257626772[[#This Row],[Concentration13]],0),IFERROR(Table6172227323742475257626772[[#This Row],[Concentration14]],0),IFERROR(Table6172227323742475257626772[[#This Row],[Concentration15]],0),IFERROR(Table6172227323742475257626772[[#This Row],[Concentration16]],0),IFERROR(Table6172227323742475257626772[[#This Row],[concentration18]],0))</f>
        <v>10.064355618732719</v>
      </c>
      <c r="BW22" s="64">
        <f>IF(Table6172227323742475257626772[[#This Row],[Concentration162]]-Table6172227323742475257626772[[#This Row],[concentration19]]&lt;0,0,Table6172227323742475257626772[[#This Row],[Concentration162]]-Table6172227323742475257626772[[#This Row],[concentration19]])</f>
        <v>109.84794455888718</v>
      </c>
      <c r="CC22" s="178">
        <f>Table5162126313641465156616671[[#This Row],[Concentration18]]</f>
        <v>5.1153333333333331</v>
      </c>
      <c r="CD22" s="66">
        <f t="shared" si="4"/>
        <v>43.3</v>
      </c>
      <c r="CE22" s="80">
        <v>1.5</v>
      </c>
      <c r="CF22" s="181">
        <f>CC22*(CE22/1000)/constants!$B$23*1000*constants!$C$23</f>
        <v>0.25553952042628775</v>
      </c>
      <c r="CG22" s="181">
        <f>AP22*(CE22/1000)/constants!$B$5*1000*constants!$C$5</f>
        <v>2.0400975033220008E-2</v>
      </c>
      <c r="CH22" s="181">
        <f>AQ22*(CE22/1000)/constants!$B$11*1000*constants!$C$11</f>
        <v>2.2726499311008473E-2</v>
      </c>
      <c r="CI22" s="181">
        <f>AS22*(CE22/1000)/constants!$B$4*1000*constants!$C$4</f>
        <v>0.10897948947747151</v>
      </c>
      <c r="CJ22" s="181">
        <f>AR22*(CE22/1000)/constants!$B$19*1000*constants!$C$19</f>
        <v>7.0629963790472617E-3</v>
      </c>
      <c r="CK22" s="181">
        <f>AU22*(CE22/1000)/constants!$B$12*1000*constants!$C$12</f>
        <v>4.7580977228934588E-3</v>
      </c>
      <c r="CL22" s="181">
        <f>AW22*(CE22/1000)/constants!$B$13*1000*constants!$C$13</f>
        <v>1.0311775194796348E-2</v>
      </c>
    </row>
    <row r="23" spans="1:105" s="47" customFormat="1" ht="16" thickBot="1" x14ac:dyDescent="0.4">
      <c r="A23" s="63">
        <f>Table2[[#This Row],[Date]]</f>
        <v>43317</v>
      </c>
      <c r="B23" s="167">
        <f>Table2[[#This Row],[Time]]</f>
        <v>50</v>
      </c>
      <c r="C23" s="77">
        <v>50</v>
      </c>
      <c r="D23" s="18">
        <f>IFERROR(AVERAGE(Table31520[[#This Row],[Amount ]],Table3152025[[#This Row],[Amount ]],Table315202530[[#This Row],[Amount ]]),0)</f>
        <v>1.1548369332099033</v>
      </c>
      <c r="E23" s="18">
        <f>IFERROR(AVERAGE(Table31520[[#This Row],[Amount 2]],Table3152025[[#This Row],[Amount 2]],Table315202530[[#This Row],[Amount 2]]),0)</f>
        <v>0</v>
      </c>
      <c r="F23" s="18">
        <f>IFERROR(AVERAGE(Table31520[[#This Row],[Amount 3]],Table3152025[[#This Row],[Amount 3]],Table315202530[[#This Row],[Amount 3]]),0)</f>
        <v>3.0612884218881944</v>
      </c>
      <c r="G23" s="18">
        <f>IFERROR(AVERAGE(Table31520[[#This Row],[Amount 4]],Table3152025[[#This Row],[Amount 4]],Table315202530[[#This Row],[Amount 4]]),0)</f>
        <v>1.5893246711346265</v>
      </c>
      <c r="H23" s="18">
        <f>IFERROR(AVERAGE(Table31520[[#This Row],[Amount 5]],Table3152025[[#This Row],[Amount 5]],Table315202530[[#This Row],[Amount 5]]),0)</f>
        <v>0.56908285103823175</v>
      </c>
      <c r="I23" s="18">
        <f>IFERROR(AVERAGE(Table31520[[#This Row],[Amount 6]],Table3152025[[#This Row],[Amount 6]],Table315202530[[#This Row],[Amount 6]]),0)</f>
        <v>0</v>
      </c>
      <c r="J23" s="18">
        <f>IFERROR(AVERAGE(Table31520[[#This Row],[Amount 7]],Table3152025[[#This Row],[Amount 7]],Table315202530[[#This Row],[Amount 7]]),0)</f>
        <v>11.385642840551769</v>
      </c>
      <c r="K23" s="18">
        <f>IFERROR(AVERAGE(Table31520[[#This Row],[Amount 8]],Table3152025[[#This Row],[Amount 8]],Table315202530[[#This Row],[Amount 8]]),0)</f>
        <v>10.833469893345864</v>
      </c>
      <c r="L23" s="18">
        <f>IFERROR(AVERAGE(Table31520[[#This Row],[Amount 9]],Table3152025[[#This Row],[Amount 9]],Table315202530[[#This Row],[Amount 9]]),0)</f>
        <v>5.8780219093709789</v>
      </c>
      <c r="M23" s="18">
        <f>IFERROR(AVERAGE(Table31520[[#This Row],[Amount 10]],Table3152025[[#This Row],[Amount 10]],Table315202530[[#This Row],[Amount 10]]),0)</f>
        <v>36.728150152994758</v>
      </c>
      <c r="N23" s="18">
        <f>IFERROR(AVERAGE(Table31520[[#This Row],[Amount 11]],Table3152025[[#This Row],[Amount 11]],Table315202530[[#This Row],[Amount 11]]),0)</f>
        <v>0.23982250196110044</v>
      </c>
      <c r="O23" s="18">
        <f>IFERROR(AVERAGE(Table31520[[#This Row],[Amount 12]],Table3152025[[#This Row],[Amount 12]],Table315202530[[#This Row],[Amount 12]]),0)</f>
        <v>1.9832047337911469</v>
      </c>
      <c r="P23" s="18">
        <f>IFERROR(AVERAGE(Table31520[[#This Row],[Amount 13]],Table3152025[[#This Row],[Amount 13]],Table315202530[[#This Row],[Amount 13]]),0)</f>
        <v>0</v>
      </c>
      <c r="Q23" s="18">
        <f>IFERROR(AVERAGE(Table31520[[#This Row],[Amount 14]],Table3152025[[#This Row],[Amount 14]],Table315202530[[#This Row],[Amount 14]]),0)</f>
        <v>2.6401748052710654</v>
      </c>
      <c r="R23" s="18">
        <f>IFERROR(AVERAGE(Table31520[[#This Row],[Amount 15]],Table3152025[[#This Row],[Amount 15]],Table315202530[[#This Row],[Amount 15]]),0)</f>
        <v>0</v>
      </c>
      <c r="S23" s="18">
        <f>IFERROR(AVERAGE(Table31520[[#This Row],[Amount 16]],Table3152025[[#This Row],[Amount 16]],Table315202530[[#This Row],[Amount 16]]),0)</f>
        <v>1.0619111182527665E-2</v>
      </c>
      <c r="T23" s="18">
        <f>IFERROR(AVERAGE(Table31520[[#This Row],[Amount 17]],Table3152025[[#This Row],[Amount 17]],Table315202530[[#This Row],[Amount 17]]),0)</f>
        <v>0</v>
      </c>
      <c r="U23" s="18">
        <f>IFERROR(AVERAGE(Table31520[[#This Row],[Amount 18]],Table3152025[[#This Row],[Amount 18]],Table315202530[[#This Row],[Amount 18]]),0)</f>
        <v>0</v>
      </c>
      <c r="V23" s="18">
        <f>IFERROR(AVERAGE(Table31520[[#This Row],[Amount 19]],Table3152025[[#This Row],[Amount 19]],Table315202530[[#This Row],[Amount 19]]),0)</f>
        <v>0</v>
      </c>
      <c r="W23" s="18">
        <f>IFERROR(AVERAGE(Table31520[[#This Row],[Ret.Time ]],Table3152025[[#This Row],[Ret.Time ]],Table315202530[[#This Row],[Ret.Time ]]),0)</f>
        <v>0</v>
      </c>
      <c r="X23" s="18">
        <f>IFERROR(AVERAGE(Table31520[[#This Row],[Amount 20]],Table3152025[[#This Row],[Amount 20]],Table315202530[[#This Row],[Amount 20]]),0)</f>
        <v>0</v>
      </c>
      <c r="Y23" s="18">
        <f>IFERROR(AVERAGE(Table31520[[#This Row],[Ret.Time]],Table3152025[[#This Row],[Ret.Time]],Table315202530[[#This Row],[Ret.Time]]),0)</f>
        <v>0</v>
      </c>
      <c r="Z23" s="18">
        <f>IFERROR(AVERAGE(Table31520[[#This Row],[Amount 21]],Table3152025[[#This Row],[Amount 21]],Table315202530[[#This Row],[Amount 21]]),0)</f>
        <v>0</v>
      </c>
      <c r="AA23" s="18">
        <f>IFERROR(AVERAGE(Table31520[[#This Row],[Ret.Time22]],Table3152025[[#This Row],[Ret.Time22]],Table315202530[[#This Row],[Ret.Time22]]),0)</f>
        <v>0</v>
      </c>
      <c r="AB23" s="18">
        <f>IFERROR(AVERAGE(Table31520[[#This Row],[Amount 23]],Table3152025[[#This Row],[Amount 23]],Table315202530[[#This Row],[Amount 23]]),0)</f>
        <v>0</v>
      </c>
      <c r="AC23" s="18">
        <f>IFERROR(AVERAGE(Table31520[[#This Row],[Ret.Time24]],Table3152025[[#This Row],[Ret.Time24]],Table315202530[[#This Row],[Ret.Time24]]),0)</f>
        <v>0</v>
      </c>
      <c r="AD23" s="18">
        <f>IFERROR(AVERAGE(Table31520[[#This Row],[Amount 25]],Table3152025[[#This Row],[Amount 25]],Table315202530[[#This Row],[Amount 25]]),0)</f>
        <v>0</v>
      </c>
      <c r="AE23" s="18" t="e">
        <v>#N/A</v>
      </c>
      <c r="AF23" s="18">
        <f>IFERROR(AVERAGE(Table31520[[#This Row],[dilution ]],Table3152025[[#This Row],[dilution ]],Table315202530[[#This Row],[dilution ]]),0)</f>
        <v>36.666666666666664</v>
      </c>
      <c r="AG23" s="18">
        <f>IFERROR(AVERAGE(Table31520[[#This Row],[correction]],Table3152025[[#This Row],[correction]],Table315202530[[#This Row],[correction factor]]),0)</f>
        <v>1</v>
      </c>
      <c r="AH23" s="18">
        <f>IFERROR(AVERAGE(Table31520[[#This Row],[amount]],Table3152025[[#This Row],[amount]],Table315202530[[#This Row],[amount]]),0)</f>
        <v>69.100000000000009</v>
      </c>
      <c r="AI23" s="18">
        <f>IFERROR(AVERAGE(Table31520[[#This Row],[pressure]],Table3152025[[#This Row],[pressure]],Table315202530[[#This Row],[pressure]]),0)</f>
        <v>0</v>
      </c>
      <c r="AJ23" s="64" t="e">
        <f>AVERAGE(Table51621[[#This Row],[Concentration]],Table5162126[[#This Row],[Concentration]],Table516212631[[#This Row],[Concentration]])</f>
        <v>#VALUE!</v>
      </c>
      <c r="AK23" s="64" t="e">
        <f>AVERAGE(Table51621[[#This Row],[Concentration2]],Table5162126[[#This Row],[Concentration2]],Table516212631[[#This Row],[Concentration2]])</f>
        <v>#VALUE!</v>
      </c>
      <c r="AL23" s="64" t="e">
        <f>AVERAGE(Table51621[[#This Row],[Concentration3]],Table5162126[[#This Row],[Concentration3]],Table516212631[[#This Row],[Concentration3]])</f>
        <v>#VALUE!</v>
      </c>
      <c r="AM23" s="64" t="e">
        <f>AVERAGE(Table51621[[#This Row],[Concentration4]],Table5162126[[#This Row],[Concentration4]],Table516212631[[#This Row],[Concentration4]])</f>
        <v>#VALUE!</v>
      </c>
      <c r="AN23" s="64" t="e">
        <f>AVERAGE(Table51621[[#This Row],[Concentration5]],Table5162126[[#This Row],[Concentration5]],Table516212631[[#This Row],[Concentration5]])</f>
        <v>#VALUE!</v>
      </c>
      <c r="AO23" s="64" t="e">
        <f>AVERAGE(Table51621[[#This Row],[Concentration6]],Table5162126[[#This Row],[Concentration6]],Table516212631[[#This Row],[Concentration6]])</f>
        <v>#VALUE!</v>
      </c>
      <c r="AP23" s="162">
        <f t="shared" si="3"/>
        <v>0.56928214202758853</v>
      </c>
      <c r="AQ23" s="162">
        <f t="shared" si="2"/>
        <v>0.5416734946672932</v>
      </c>
      <c r="AR23" s="162">
        <f t="shared" si="2"/>
        <v>0.29390109546854892</v>
      </c>
      <c r="AS23" s="162">
        <f t="shared" si="2"/>
        <v>1.8364075076497379</v>
      </c>
      <c r="AT23" s="162">
        <f t="shared" si="2"/>
        <v>1.1991125098055022E-2</v>
      </c>
      <c r="AU23" s="162">
        <f t="shared" si="2"/>
        <v>9.9160236689557354E-2</v>
      </c>
      <c r="AV23" s="162">
        <f t="shared" si="2"/>
        <v>0</v>
      </c>
      <c r="AW23" s="162">
        <f t="shared" si="2"/>
        <v>0.13200874026355328</v>
      </c>
      <c r="AX23" s="64">
        <f>AVERAGE(Table51621[[#This Row],[Concentration15]],Table5162126[[#This Row],[Concentration15]],Table516212631[[#This Row],[Concentration15]])</f>
        <v>0</v>
      </c>
      <c r="AY23" s="64">
        <f>AVERAGE(Table51621[[#This Row],[Concentration16]],Table5162126[[#This Row],[Concentration16]],Table516212631[[#This Row],[Concentration16]])</f>
        <v>0</v>
      </c>
      <c r="AZ23" s="64">
        <f>AVERAGE(Table51621[[#This Row],[Concentration17]],Table5162126[[#This Row],[Concentration17]],Table516212631[[#This Row],[Concentration17]])</f>
        <v>38.354795737122558</v>
      </c>
      <c r="BA23" s="64">
        <f>AVERAGE(Table51621[[#This Row],[Concentration172]],Table5162126[[#This Row],[Concentration172]],Table516212631[[#This Row],[Concentration172]])</f>
        <v>3.4550000000000001</v>
      </c>
      <c r="BB23" s="64" t="e">
        <f>AVERAGE(Table51621[[#This Row],[Concentration18]],Table5162126[[#This Row],[Concentration18]],Table516212631[[#This Row],[Concentration18]])</f>
        <v>#DIV/0!</v>
      </c>
      <c r="BC23" s="64" t="e">
        <f>AVERAGE(Table51621[[#This Row],[Concentration19]],Table5162126[[#This Row],[Concentration19]],Table516212631[[#This Row],[Concentration19]])</f>
        <v>#DIV/0!</v>
      </c>
      <c r="BD23" s="64" t="e">
        <f>AVERAGE(Table51621[[#This Row],[Concentration]],Table5162126[[#This Row],[Concentration]],Table516212631[[#This Row],[Concentration]])</f>
        <v>#VALUE!</v>
      </c>
      <c r="BE23" s="64" t="e">
        <f>AVERAGE(Table51621[[#This Row],[Concentration2]],Table5162126[[#This Row],[Concentration2]],Table516212631[[#This Row],[Concentration2]])</f>
        <v>#VALUE!</v>
      </c>
      <c r="BF23" s="64" t="e">
        <f>AVERAGE(Table51621[[#This Row],[Concentration3]],Table5162126[[#This Row],[Concentration3]],Table516212631[[#This Row],[Concentration3]])</f>
        <v>#VALUE!</v>
      </c>
      <c r="BG23" s="64" t="e">
        <f>AVERAGE(Table51621[[#This Row],[Concentration4]],Table5162126[[#This Row],[Concentration4]],Table516212631[[#This Row],[Concentration4]])</f>
        <v>#VALUE!</v>
      </c>
      <c r="BH23" s="64" t="e">
        <f>AVERAGE(Table51621[[#This Row],[Concentration5]],Table5162126[[#This Row],[Concentration5]],Table516212631[[#This Row],[Concentration5]])</f>
        <v>#VALUE!</v>
      </c>
      <c r="BI23" s="64">
        <f>AVERAGE(Table61722[[#This Row],[Concentration7]],Table6172227[[#This Row],[Concentration7]],Table617222732[[#This Row],[Concentration7]])</f>
        <v>1.1385642840551771</v>
      </c>
      <c r="BJ23" s="64">
        <f>AVERAGE(Table61722[[#This Row],[Concentration8]],Table6172227[[#This Row],[Concentration8]],Table617222732[[#This Row],[Concentration8]])</f>
        <v>1.6250204840018796</v>
      </c>
      <c r="BK23" s="64">
        <f>AVERAGE(Table61722[[#This Row],[Concentration9]],Table6172227[[#This Row],[Concentration9]],Table617222732[[#This Row],[Concentration9]])</f>
        <v>0.70304781323852739</v>
      </c>
      <c r="BL23" s="64">
        <f>AVERAGE(Table61722[[#This Row],[Concentration10]],Table6172227[[#This Row],[Concentration10]],Table617222732[[#This Row],[Concentration10]])</f>
        <v>7.3456300305989517</v>
      </c>
      <c r="BM23" s="64">
        <f>AVERAGE(Table61722[[#This Row],[Concentration11]],Table6172227[[#This Row],[Concentration11]],Table617222732[[#This Row],[Concentration11]])</f>
        <v>0</v>
      </c>
      <c r="BN23" s="64">
        <f>AVERAGE(Table61722[[#This Row],[Concentration12]],Table6172227[[#This Row],[Concentration12]],Table617222732[[#This Row],[Concentration12]])</f>
        <v>0</v>
      </c>
      <c r="BO23" s="64">
        <f>AVERAGE(Table61722[[#This Row],[Concentration13]],Table6172227[[#This Row],[Concentration13]],Table617222732[[#This Row],[Concentration13]])</f>
        <v>0</v>
      </c>
      <c r="BP23" s="64">
        <f>Table5162126313641465156616671[[#This Row],[Concentration14]]*6</f>
        <v>0.79205244158131971</v>
      </c>
      <c r="BQ23" s="64">
        <f>AVERAGE(Table61722[[#This Row],[Concentration15]],Table6172227[[#This Row],[Concentration15]],Table617222732[[#This Row],[Concentration15]])</f>
        <v>0</v>
      </c>
      <c r="BR23" s="64">
        <f>AVERAGE(Table61722[[#This Row],[Concentration16]],Table6172227[[#This Row],[Concentration16]],Table617222732[[#This Row],[Concentration16]])</f>
        <v>0</v>
      </c>
      <c r="BS23" s="64">
        <f>($BT$16*1000)-Table6172227323742475257626772[[#This Row],[Concentration17]]*1000</f>
        <v>175.20759325044403</v>
      </c>
      <c r="BT23" s="64">
        <f>AVERAGE(Table61722[[#This Row],[Concentration17]],Table6172227[[#This Row],[Concentration17]],Table617222732[[#This Row],[Concentration17]])</f>
        <v>0.11506438721136769</v>
      </c>
      <c r="BU23" s="64" t="e">
        <f>AVERAGE(Table61722[[#This Row],[concentration18]],Table6172227[[#This Row],[concentration18]],Table617222732[[#This Row],[concentration18]])</f>
        <v>#DIV/0!</v>
      </c>
      <c r="BV23" s="64">
        <f>SUM(IFERROR(Table6172227323742475257626772[[#This Row],[Concentration7]],0),IFERROR(Table6172227323742475257626772[[#This Row],[Concentration8]],0),IFERROR(Table6172227323742475257626772[[#This Row],[Concentration9]],0),IFERROR(Table6172227323742475257626772[[#This Row],[Concentration10]],0),IFERROR(Table6172227323742475257626772[[#This Row],[Concentration11]],0),IFERROR(Table6172227323742475257626772[[#This Row],[Concentration12]],0),IFERROR(Table6172227323742475257626772[[#This Row],[Concentration13]],0),IFERROR(Table6172227323742475257626772[[#This Row],[Concentration14]],0),IFERROR(Table6172227323742475257626772[[#This Row],[Concentration15]],0),IFERROR(Table6172227323742475257626772[[#This Row],[Concentration16]],0),IFERROR(Table6172227323742475257626772[[#This Row],[concentration18]],0))</f>
        <v>11.604315053475855</v>
      </c>
      <c r="BW23" s="64">
        <f>IF(Table6172227323742475257626772[[#This Row],[Concentration162]]-Table6172227323742475257626772[[#This Row],[concentration19]]&lt;0,0,Table6172227323742475257626772[[#This Row],[Concentration162]]-Table6172227323742475257626772[[#This Row],[concentration19]])</f>
        <v>163.60327819696818</v>
      </c>
      <c r="CC23" s="178">
        <f>Table5162126313641465156616671[[#This Row],[Concentration18]]</f>
        <v>3.4550000000000001</v>
      </c>
      <c r="CD23" s="66">
        <f t="shared" si="4"/>
        <v>41.8</v>
      </c>
      <c r="CE23" s="80">
        <v>1.5</v>
      </c>
      <c r="CF23" s="181">
        <f>CC23*(CE23/1000)/constants!$B$23*1000*constants!$C$23</f>
        <v>0.17259658081705154</v>
      </c>
      <c r="CG23" s="181">
        <f>AP23*(CE23/1000)/constants!$B$5*1000*constants!$C$5</f>
        <v>2.8439459569752308E-2</v>
      </c>
      <c r="CH23" s="181">
        <f>AQ23*(CE23/1000)/constants!$B$11*1000*constants!$C$11</f>
        <v>3.290447665334062E-2</v>
      </c>
      <c r="CI23" s="181">
        <f>AS23*(CE23/1000)/constants!$B$4*1000*constants!$C$4</f>
        <v>0.12505896358816002</v>
      </c>
      <c r="CJ23" s="181">
        <f>AR23*(CE23/1000)/constants!$B$19*1000*constants!$C$19</f>
        <v>1.0007301278070129E-2</v>
      </c>
      <c r="CK23" s="181">
        <f>AU23*(CE23/1000)/constants!$B$12*1000*constants!$C$12</f>
        <v>7.2816991097067567E-3</v>
      </c>
      <c r="CL23" s="181">
        <f>AW23*(CE23/1000)/constants!$B$13*1000*constants!$C$13</f>
        <v>1.0227949917114149E-2</v>
      </c>
    </row>
    <row r="24" spans="1:105" s="66" customFormat="1" ht="16" thickBot="1" x14ac:dyDescent="0.4">
      <c r="A24" s="63" t="str">
        <f>Table2[[#This Row],[Date]]</f>
        <v>16-05-2018</v>
      </c>
      <c r="B24" s="167">
        <f>Table2[[#This Row],[Time]]</f>
        <v>58</v>
      </c>
      <c r="C24" s="77">
        <v>20</v>
      </c>
      <c r="D24" s="18">
        <f>IFERROR(AVERAGE(Table31520[[#This Row],[Amount ]],Table3152025[[#This Row],[Amount ]],Table315202530[[#This Row],[Amount ]]),0)</f>
        <v>0</v>
      </c>
      <c r="E24" s="18">
        <f>IFERROR(AVERAGE(Table31520[[#This Row],[Amount 2]],Table3152025[[#This Row],[Amount 2]],Table315202530[[#This Row],[Amount 2]]),0)</f>
        <v>0.41496728432452656</v>
      </c>
      <c r="F24" s="18">
        <f>IFERROR(AVERAGE(Table31520[[#This Row],[Amount 3]],Table3152025[[#This Row],[Amount 3]],Table315202530[[#This Row],[Amount 3]]),0)</f>
        <v>0</v>
      </c>
      <c r="G24" s="18">
        <f>IFERROR(AVERAGE(Table31520[[#This Row],[Amount 4]],Table3152025[[#This Row],[Amount 4]],Table315202530[[#This Row],[Amount 4]]),0)</f>
        <v>0</v>
      </c>
      <c r="H24" s="18">
        <f>IFERROR(AVERAGE(Table31520[[#This Row],[Amount 5]],Table3152025[[#This Row],[Amount 5]],Table315202530[[#This Row],[Amount 5]]),0)</f>
        <v>0</v>
      </c>
      <c r="I24" s="18">
        <f>IFERROR(AVERAGE(Table31520[[#This Row],[Amount 6]],Table3152025[[#This Row],[Amount 6]],Table315202530[[#This Row],[Amount 6]]),0)</f>
        <v>0</v>
      </c>
      <c r="J24" s="18">
        <f>IFERROR(AVERAGE(Table31520[[#This Row],[Amount 7]],Table3152025[[#This Row],[Amount 7]],Table315202530[[#This Row],[Amount 7]]),0)</f>
        <v>43.942258262744012</v>
      </c>
      <c r="K24" s="18">
        <f>IFERROR(AVERAGE(Table31520[[#This Row],[Amount 8]],Table3152025[[#This Row],[Amount 8]],Table315202530[[#This Row],[Amount 8]]),0)</f>
        <v>40.972862604204487</v>
      </c>
      <c r="L24" s="18">
        <f>IFERROR(AVERAGE(Table31520[[#This Row],[Amount 9]],Table3152025[[#This Row],[Amount 9]],Table315202530[[#This Row],[Amount 9]]),0)</f>
        <v>42.984844146838192</v>
      </c>
      <c r="M24" s="18">
        <f>IFERROR(AVERAGE(Table31520[[#This Row],[Amount 10]],Table3152025[[#This Row],[Amount 10]],Table315202530[[#This Row],[Amount 10]]),0)</f>
        <v>248.31738244071684</v>
      </c>
      <c r="N24" s="18">
        <f>IFERROR(AVERAGE(Table31520[[#This Row],[Amount 11]],Table3152025[[#This Row],[Amount 11]],Table315202530[[#This Row],[Amount 11]]),0)</f>
        <v>1.1317526526671913</v>
      </c>
      <c r="O24" s="18">
        <f>IFERROR(AVERAGE(Table31520[[#This Row],[Amount 12]],Table3152025[[#This Row],[Amount 12]],Table315202530[[#This Row],[Amount 12]]),0)</f>
        <v>13.576440221535272</v>
      </c>
      <c r="P24" s="18">
        <f>IFERROR(AVERAGE(Table31520[[#This Row],[Amount 13]],Table3152025[[#This Row],[Amount 13]],Table315202530[[#This Row],[Amount 13]]),0)</f>
        <v>0</v>
      </c>
      <c r="Q24" s="18">
        <f>IFERROR(AVERAGE(Table31520[[#This Row],[Amount 14]],Table3152025[[#This Row],[Amount 14]],Table315202530[[#This Row],[Amount 14]]),0)</f>
        <v>9.8821192114056942</v>
      </c>
      <c r="R24" s="18">
        <f>IFERROR(AVERAGE(Table31520[[#This Row],[Amount 15]],Table3152025[[#This Row],[Amount 15]],Table315202530[[#This Row],[Amount 15]]),0)</f>
        <v>0</v>
      </c>
      <c r="S24" s="18">
        <f>IFERROR(AVERAGE(Table31520[[#This Row],[Amount 16]],Table3152025[[#This Row],[Amount 16]],Table315202530[[#This Row],[Amount 16]]),0)</f>
        <v>0.23672819720337049</v>
      </c>
      <c r="T24" s="18">
        <f>IFERROR(AVERAGE(Table31520[[#This Row],[Amount 17]],Table3152025[[#This Row],[Amount 17]],Table315202530[[#This Row],[Amount 17]]),0)</f>
        <v>0</v>
      </c>
      <c r="U24" s="18">
        <f>IFERROR(AVERAGE(Table31520[[#This Row],[Amount 18]],Table3152025[[#This Row],[Amount 18]],Table315202530[[#This Row],[Amount 18]]),0)</f>
        <v>0</v>
      </c>
      <c r="V24" s="18">
        <f>IFERROR(AVERAGE(Table31520[[#This Row],[Amount 19]],Table3152025[[#This Row],[Amount 19]],Table315202530[[#This Row],[Amount 19]]),0)</f>
        <v>0</v>
      </c>
      <c r="W24" s="18">
        <f>IFERROR(AVERAGE(Table31520[[#This Row],[Ret.Time ]],Table3152025[[#This Row],[Ret.Time ]],Table315202530[[#This Row],[Ret.Time ]]),0)</f>
        <v>0</v>
      </c>
      <c r="X24" s="18">
        <f>IFERROR(AVERAGE(Table31520[[#This Row],[Amount 20]],Table3152025[[#This Row],[Amount 20]],Table315202530[[#This Row],[Amount 20]]),0)</f>
        <v>0</v>
      </c>
      <c r="Y24" s="18">
        <f>IFERROR(AVERAGE(Table31520[[#This Row],[Ret.Time]],Table3152025[[#This Row],[Ret.Time]],Table315202530[[#This Row],[Ret.Time]]),0)</f>
        <v>0</v>
      </c>
      <c r="Z24" s="18">
        <f>IFERROR(AVERAGE(Table31520[[#This Row],[Amount 21]],Table3152025[[#This Row],[Amount 21]],Table315202530[[#This Row],[Amount 21]]),0)</f>
        <v>0</v>
      </c>
      <c r="AA24" s="18">
        <f>IFERROR(AVERAGE(Table31520[[#This Row],[Ret.Time22]],Table3152025[[#This Row],[Ret.Time22]],Table315202530[[#This Row],[Ret.Time22]]),0)</f>
        <v>0</v>
      </c>
      <c r="AB24" s="18">
        <f>IFERROR(AVERAGE(Table31520[[#This Row],[Amount 23]],Table3152025[[#This Row],[Amount 23]],Table315202530[[#This Row],[Amount 23]]),0)</f>
        <v>0</v>
      </c>
      <c r="AC24" s="18">
        <f>IFERROR(AVERAGE(Table31520[[#This Row],[Ret.Time24]],Table3152025[[#This Row],[Ret.Time24]],Table315202530[[#This Row],[Ret.Time24]]),0)</f>
        <v>0</v>
      </c>
      <c r="AD24" s="18">
        <f>IFERROR(AVERAGE(Table31520[[#This Row],[Amount 25]],Table3152025[[#This Row],[Amount 25]],Table315202530[[#This Row],[Amount 25]]),0)</f>
        <v>0</v>
      </c>
      <c r="AE24" s="18">
        <f>IFERROR(AVERAGE(Table31520[[#This Row],[pH]],Table3152025[[#This Row],[pH]],Table315202530[[#This Row],[pH]]),0)</f>
        <v>7.6499999999999995</v>
      </c>
      <c r="AF24" s="18">
        <f>IFERROR(AVERAGE(Table31520[[#This Row],[dilution ]],Table3152025[[#This Row],[dilution ]],Table315202530[[#This Row],[dilution ]]),0)</f>
        <v>0</v>
      </c>
      <c r="AG24" s="18">
        <f>IFERROR(AVERAGE(Table31520[[#This Row],[correction]],Table3152025[[#This Row],[correction]],Table315202530[[#This Row],[correction factor]]),0)</f>
        <v>1</v>
      </c>
      <c r="AH24" s="18">
        <f>IFERROR(AVERAGE(Table31520[[#This Row],[amount]],Table3152025[[#This Row],[amount]],Table315202530[[#This Row],[amount]]),0)</f>
        <v>0</v>
      </c>
      <c r="AI24" s="18">
        <f>IFERROR(AVERAGE(Table31520[[#This Row],[pressure]],Table3152025[[#This Row],[pressure]],Table315202530[[#This Row],[pressure]]),0)</f>
        <v>0</v>
      </c>
      <c r="AJ24" s="64" t="e">
        <f>AVERAGE(Table51621[[#This Row],[Concentration]],Table5162126[[#This Row],[Concentration]],Table516212631[[#This Row],[Concentration]])</f>
        <v>#VALUE!</v>
      </c>
      <c r="AK24" s="64" t="e">
        <f>AVERAGE(Table51621[[#This Row],[Concentration2]],Table5162126[[#This Row],[Concentration2]],Table516212631[[#This Row],[Concentration2]])</f>
        <v>#VALUE!</v>
      </c>
      <c r="AL24" s="64" t="e">
        <f>AVERAGE(Table51621[[#This Row],[Concentration3]],Table5162126[[#This Row],[Concentration3]],Table516212631[[#This Row],[Concentration3]])</f>
        <v>#VALUE!</v>
      </c>
      <c r="AM24" s="64" t="e">
        <f>AVERAGE(Table51621[[#This Row],[Concentration4]],Table5162126[[#This Row],[Concentration4]],Table516212631[[#This Row],[Concentration4]])</f>
        <v>#VALUE!</v>
      </c>
      <c r="AN24" s="64" t="e">
        <f>AVERAGE(Table51621[[#This Row],[Concentration5]],Table5162126[[#This Row],[Concentration5]],Table516212631[[#This Row],[Concentration5]])</f>
        <v>#VALUE!</v>
      </c>
      <c r="AO24" s="64" t="e">
        <f>AVERAGE(Table51621[[#This Row],[Concentration6]],Table5162126[[#This Row],[Concentration6]],Table516212631[[#This Row],[Concentration6]])</f>
        <v>#VALUE!</v>
      </c>
      <c r="AP24" s="162">
        <f t="shared" si="3"/>
        <v>0.87884516525488032</v>
      </c>
      <c r="AQ24" s="162">
        <f t="shared" si="2"/>
        <v>0.8194572520840897</v>
      </c>
      <c r="AR24" s="162">
        <f t="shared" si="2"/>
        <v>0.85969688293676383</v>
      </c>
      <c r="AS24" s="162">
        <f t="shared" si="2"/>
        <v>4.9663476488143372</v>
      </c>
      <c r="AT24" s="162">
        <f t="shared" si="2"/>
        <v>2.2635053053343825E-2</v>
      </c>
      <c r="AU24" s="162">
        <f t="shared" si="2"/>
        <v>0.27152880443070548</v>
      </c>
      <c r="AV24" s="162">
        <f t="shared" si="2"/>
        <v>0</v>
      </c>
      <c r="AW24" s="162">
        <f t="shared" si="2"/>
        <v>0.19764238422811389</v>
      </c>
      <c r="AX24" s="64">
        <f>AVERAGE(Table51621[[#This Row],[Concentration15]],Table5162126[[#This Row],[Concentration15]],Table516212631[[#This Row],[Concentration15]])</f>
        <v>0</v>
      </c>
      <c r="AY24" s="64">
        <f>AVERAGE(Table51621[[#This Row],[Concentration16]],Table5162126[[#This Row],[Concentration16]],Table516212631[[#This Row],[Concentration16]])</f>
        <v>4.73456394406741E-3</v>
      </c>
      <c r="AZ24" s="64">
        <f>AVERAGE(Table51621[[#This Row],[Concentration17]],Table5162126[[#This Row],[Concentration17]],Table516212631[[#This Row],[Concentration17]])</f>
        <v>0</v>
      </c>
      <c r="BA24" s="64">
        <f>AVERAGE(Table51621[[#This Row],[Concentration172]],Table5162126[[#This Row],[Concentration172]],Table516212631[[#This Row],[Concentration172]])</f>
        <v>0</v>
      </c>
      <c r="BB24" s="64" t="e">
        <f>AVERAGE(Table51621[[#This Row],[Concentration18]],Table5162126[[#This Row],[Concentration18]],Table516212631[[#This Row],[Concentration18]])</f>
        <v>#DIV/0!</v>
      </c>
      <c r="BC24" s="64" t="e">
        <f>AVERAGE(Table51621[[#This Row],[Concentration19]],Table5162126[[#This Row],[Concentration19]],Table516212631[[#This Row],[Concentration19]])</f>
        <v>#DIV/0!</v>
      </c>
      <c r="BD24" s="64" t="e">
        <f>AVERAGE(Table51621[[#This Row],[Concentration]],Table5162126[[#This Row],[Concentration]],Table516212631[[#This Row],[Concentration]])</f>
        <v>#VALUE!</v>
      </c>
      <c r="BE24" s="64" t="e">
        <f>AVERAGE(Table51621[[#This Row],[Concentration2]],Table5162126[[#This Row],[Concentration2]],Table516212631[[#This Row],[Concentration2]])</f>
        <v>#VALUE!</v>
      </c>
      <c r="BF24" s="64" t="e">
        <f>AVERAGE(Table51621[[#This Row],[Concentration3]],Table5162126[[#This Row],[Concentration3]],Table516212631[[#This Row],[Concentration3]])</f>
        <v>#VALUE!</v>
      </c>
      <c r="BG24" s="64" t="e">
        <f>AVERAGE(Table51621[[#This Row],[Concentration4]],Table5162126[[#This Row],[Concentration4]],Table516212631[[#This Row],[Concentration4]])</f>
        <v>#VALUE!</v>
      </c>
      <c r="BH24" s="64" t="e">
        <f>AVERAGE(Table51621[[#This Row],[Concentration5]],Table5162126[[#This Row],[Concentration5]],Table516212631[[#This Row],[Concentration5]])</f>
        <v>#VALUE!</v>
      </c>
      <c r="BI24" s="64">
        <f>AVERAGE(Table61722[[#This Row],[Concentration7]],Table6172227[[#This Row],[Concentration7]],Table617222732[[#This Row],[Concentration7]])</f>
        <v>1.7576903305097604</v>
      </c>
      <c r="BJ24" s="64">
        <f>AVERAGE(Table61722[[#This Row],[Concentration8]],Table6172227[[#This Row],[Concentration8]],Table617222732[[#This Row],[Concentration8]])</f>
        <v>2.4583717562522689</v>
      </c>
      <c r="BK24" s="64">
        <f>AVERAGE(Table61722[[#This Row],[Concentration9]],Table6172227[[#This Row],[Concentration9]],Table617222732[[#This Row],[Concentration9]])</f>
        <v>3.4387875317470553</v>
      </c>
      <c r="BL24" s="64">
        <f>AVERAGE(Table61722[[#This Row],[Concentration10]],Table6172227[[#This Row],[Concentration10]],Table617222732[[#This Row],[Concentration10]])</f>
        <v>19.865390595257349</v>
      </c>
      <c r="BM24" s="64">
        <f>AVERAGE(Table61722[[#This Row],[Concentration11]],Table6172227[[#This Row],[Concentration11]],Table617222732[[#This Row],[Concentration11]])</f>
        <v>0</v>
      </c>
      <c r="BN24" s="64">
        <f>AVERAGE(Table61722[[#This Row],[Concentration12]],Table6172227[[#This Row],[Concentration12]],Table617222732[[#This Row],[Concentration12]])</f>
        <v>1.3576440221535269</v>
      </c>
      <c r="BO24" s="64">
        <f>AVERAGE(Table61722[[#This Row],[Concentration13]],Table6172227[[#This Row],[Concentration13]],Table617222732[[#This Row],[Concentration13]])</f>
        <v>0</v>
      </c>
      <c r="BP24" s="64">
        <f>Table5162126313641465156616671[[#This Row],[Concentration14]]*6</f>
        <v>1.1858543053686834</v>
      </c>
      <c r="BQ24" s="64">
        <f>AVERAGE(Table61722[[#This Row],[Concentration15]],Table6172227[[#This Row],[Concentration15]],Table617222732[[#This Row],[Concentration15]])</f>
        <v>0</v>
      </c>
      <c r="BR24" s="64">
        <f>AVERAGE(Table61722[[#This Row],[Concentration16]],Table6172227[[#This Row],[Concentration16]],Table617222732[[#This Row],[Concentration16]])</f>
        <v>3.787651155253928E-2</v>
      </c>
      <c r="BS24" s="64">
        <f>($BT$16*1000)-Table6172227323742475257626772[[#This Row],[Concentration17]]*1000</f>
        <v>290.27198046181172</v>
      </c>
      <c r="BT24" s="64">
        <f>AVERAGE(Table61722[[#This Row],[Concentration17]],Table6172227[[#This Row],[Concentration17]],Table617222732[[#This Row],[Concentration17]])</f>
        <v>0</v>
      </c>
      <c r="BU24" s="64" t="e">
        <f>AVERAGE(Table61722[[#This Row],[concentration18]],Table6172227[[#This Row],[concentration18]],Table617222732[[#This Row],[concentration18]])</f>
        <v>#DIV/0!</v>
      </c>
      <c r="BV24" s="64">
        <f>SUM(IFERROR(Table6172227323742475257626772[[#This Row],[Concentration7]],0),IFERROR(Table6172227323742475257626772[[#This Row],[Concentration8]],0),IFERROR(Table6172227323742475257626772[[#This Row],[Concentration9]],0),IFERROR(Table6172227323742475257626772[[#This Row],[Concentration10]],0),IFERROR(Table6172227323742475257626772[[#This Row],[Concentration11]],0),IFERROR(Table6172227323742475257626772[[#This Row],[Concentration12]],0),IFERROR(Table6172227323742475257626772[[#This Row],[Concentration13]],0),IFERROR(Table6172227323742475257626772[[#This Row],[Concentration14]],0),IFERROR(Table6172227323742475257626772[[#This Row],[Concentration15]],0),IFERROR(Table6172227323742475257626772[[#This Row],[Concentration16]],0),IFERROR(Table6172227323742475257626772[[#This Row],[concentration18]],0))</f>
        <v>30.101615052841183</v>
      </c>
      <c r="BW24" s="64">
        <f>IF(Table6172227323742475257626772[[#This Row],[Concentration162]]-Table6172227323742475257626772[[#This Row],[concentration19]]&lt;0,0,Table6172227323742475257626772[[#This Row],[Concentration162]]-Table6172227323742475257626772[[#This Row],[concentration19]])</f>
        <v>260.17036540897055</v>
      </c>
      <c r="CC24" s="178">
        <f>Table5162126313641465156616671[[#This Row],[Concentration18]]</f>
        <v>0</v>
      </c>
      <c r="CD24" s="66">
        <f t="shared" si="4"/>
        <v>40.299999999999997</v>
      </c>
      <c r="CE24" s="80">
        <v>1.5</v>
      </c>
      <c r="CF24" s="181">
        <f>CC24*(CE24/1000)/constants!$B$23*1000*constants!$C$23</f>
        <v>0</v>
      </c>
      <c r="CG24" s="181">
        <f>AP24*(CE24/1000)/constants!$B$5*1000*constants!$C$5</f>
        <v>4.3904207949188055E-2</v>
      </c>
      <c r="CH24" s="181">
        <f>AQ24*(CE24/1000)/constants!$B$11*1000*constants!$C$11</f>
        <v>4.9778717779376119E-2</v>
      </c>
      <c r="CI24" s="181">
        <f>AS24*(CE24/1000)/constants!$B$4*1000*constants!$C$4</f>
        <v>0.33820722644185441</v>
      </c>
      <c r="CJ24" s="181">
        <f>AR24*(CE24/1000)/constants!$B$19*1000*constants!$C$19</f>
        <v>2.9272588118973642E-2</v>
      </c>
      <c r="CK24" s="181">
        <f>AU24*(CE24/1000)/constants!$B$12*1000*constants!$C$12</f>
        <v>1.9939353913331549E-2</v>
      </c>
      <c r="CL24" s="181">
        <f>AW24*(CE24/1000)/constants!$B$13*1000*constants!$C$13</f>
        <v>1.5313201257343534E-2</v>
      </c>
      <c r="CM24" s="66">
        <f>AP24*(CD24/1000)/constants!$B$5*1000*constants!$C$5</f>
        <v>1.1795597202348522</v>
      </c>
      <c r="CN24" s="66">
        <f>AQ24*(CD24/1000)/constants!$B$11*1000*constants!$C$11</f>
        <v>1.3373882176725718</v>
      </c>
      <c r="CO24" s="66">
        <f>AS24*(CD24/1000)/constants!$B$4*1000*constants!$C$4</f>
        <v>9.0865008170711548</v>
      </c>
      <c r="CP24" s="66">
        <f>AR24*(CD24/1000)/constants!$B$19*1000*constants!$C$19</f>
        <v>0.78645686746309174</v>
      </c>
      <c r="CQ24" s="66">
        <f>AU24*(CD24/1000)/constants!$B$12*1000*constants!$C$12</f>
        <v>0.53570397513817425</v>
      </c>
      <c r="CR24" s="66">
        <f>AW24*(CD24/1000)/constants!$B$13*1000*constants!$C$13</f>
        <v>0.41141467378062957</v>
      </c>
    </row>
    <row r="25" spans="1:105" s="47" customFormat="1" ht="16" thickBot="1" x14ac:dyDescent="0.4">
      <c r="A25" s="63">
        <f>Table2[[#This Row],[Date]]</f>
        <v>0</v>
      </c>
      <c r="B25" s="74">
        <f>Table2[[#This Row],[Time]]</f>
        <v>0</v>
      </c>
      <c r="C25" s="54">
        <v>20</v>
      </c>
      <c r="D25" s="18">
        <f>IFERROR(AVERAGE(Table31520[[#This Row],[Amount ]],Table3152025[[#This Row],[Amount ]],Table315202530[[#This Row],[Amount ]]),0)</f>
        <v>0</v>
      </c>
      <c r="E25" s="18">
        <f>IFERROR(AVERAGE(Table31520[[#This Row],[Amount 2]],Table3152025[[#This Row],[Amount 2]],Table315202530[[#This Row],[Amount 2]]),0)</f>
        <v>0</v>
      </c>
      <c r="F25" s="18">
        <f>IFERROR(AVERAGE(Table31520[[#This Row],[Amount 3]],Table3152025[[#This Row],[Amount 3]],Table315202530[[#This Row],[Amount 3]]),0)</f>
        <v>0</v>
      </c>
      <c r="G25" s="18">
        <f>IFERROR(AVERAGE(Table31520[[#This Row],[Amount 4]],Table3152025[[#This Row],[Amount 4]],Table315202530[[#This Row],[Amount 4]]),0)</f>
        <v>0</v>
      </c>
      <c r="H25" s="18">
        <f>IFERROR(AVERAGE(Table31520[[#This Row],[Amount 5]],Table3152025[[#This Row],[Amount 5]],Table315202530[[#This Row],[Amount 5]]),0)</f>
        <v>0</v>
      </c>
      <c r="I25" s="18">
        <f>IFERROR(AVERAGE(Table31520[[#This Row],[Amount 6]],Table3152025[[#This Row],[Amount 6]],Table315202530[[#This Row],[Amount 6]]),0)</f>
        <v>0</v>
      </c>
      <c r="J25" s="18">
        <f>IFERROR(AVERAGE(Table31520[[#This Row],[Amount 7]],Table3152025[[#This Row],[Amount 7]],Table315202530[[#This Row],[Amount 7]]),0)</f>
        <v>35.340462408012428</v>
      </c>
      <c r="K25" s="18">
        <f>IFERROR(AVERAGE(Table31520[[#This Row],[Amount 8]],Table3152025[[#This Row],[Amount 8]],Table315202530[[#This Row],[Amount 8]]),0)</f>
        <v>31.745672306472269</v>
      </c>
      <c r="L25" s="18">
        <f>IFERROR(AVERAGE(Table31520[[#This Row],[Amount 9]],Table3152025[[#This Row],[Amount 9]],Table315202530[[#This Row],[Amount 9]]),0)</f>
        <v>35.865034027981601</v>
      </c>
      <c r="M25" s="18">
        <f>IFERROR(AVERAGE(Table31520[[#This Row],[Amount 10]],Table3152025[[#This Row],[Amount 10]],Table315202530[[#This Row],[Amount 10]]),0)</f>
        <v>205.80966875234907</v>
      </c>
      <c r="N25" s="18">
        <f>IFERROR(AVERAGE(Table31520[[#This Row],[Amount 11]],Table3152025[[#This Row],[Amount 11]],Table315202530[[#This Row],[Amount 11]]),0)</f>
        <v>0.50093742122014928</v>
      </c>
      <c r="O25" s="18">
        <f>IFERROR(AVERAGE(Table31520[[#This Row],[Amount 12]],Table3152025[[#This Row],[Amount 12]],Table315202530[[#This Row],[Amount 12]]),0)</f>
        <v>5.8891474372053985</v>
      </c>
      <c r="P25" s="18">
        <f>IFERROR(AVERAGE(Table31520[[#This Row],[Amount 13]],Table3152025[[#This Row],[Amount 13]],Table315202530[[#This Row],[Amount 13]]),0)</f>
        <v>0</v>
      </c>
      <c r="Q25" s="18">
        <f>IFERROR(AVERAGE(Table31520[[#This Row],[Amount 14]],Table3152025[[#This Row],[Amount 14]],Table315202530[[#This Row],[Amount 14]]),0)</f>
        <v>0</v>
      </c>
      <c r="R25" s="18">
        <f>IFERROR(AVERAGE(Table31520[[#This Row],[Amount 15]],Table3152025[[#This Row],[Amount 15]],Table315202530[[#This Row],[Amount 15]]),0)</f>
        <v>0.34879838507721006</v>
      </c>
      <c r="S25" s="18">
        <f>IFERROR(AVERAGE(Table31520[[#This Row],[Amount 16]],Table3152025[[#This Row],[Amount 16]],Table315202530[[#This Row],[Amount 16]]),0)</f>
        <v>0</v>
      </c>
      <c r="T25" s="18">
        <f>IFERROR(AVERAGE(Table31520[[#This Row],[Amount 17]],Table3152025[[#This Row],[Amount 17]],Table315202530[[#This Row],[Amount 17]]),0)</f>
        <v>0</v>
      </c>
      <c r="U25" s="18">
        <f>IFERROR(AVERAGE(Table31520[[#This Row],[Amount 18]],Table3152025[[#This Row],[Amount 18]],Table315202530[[#This Row],[Amount 18]]),0)</f>
        <v>0</v>
      </c>
      <c r="V25" s="18">
        <f>IFERROR(AVERAGE(Table31520[[#This Row],[Amount 19]],Table3152025[[#This Row],[Amount 19]],Table315202530[[#This Row],[Amount 19]]),0)</f>
        <v>0</v>
      </c>
      <c r="W25" s="18">
        <f>IFERROR(AVERAGE(Table31520[[#This Row],[Ret.Time ]],Table3152025[[#This Row],[Ret.Time ]],Table315202530[[#This Row],[Ret.Time ]]),0)</f>
        <v>0</v>
      </c>
      <c r="X25" s="18">
        <f>IFERROR(AVERAGE(Table31520[[#This Row],[Amount 20]],Table3152025[[#This Row],[Amount 20]],Table315202530[[#This Row],[Amount 20]]),0)</f>
        <v>0</v>
      </c>
      <c r="Y25" s="18">
        <f>IFERROR(AVERAGE(Table31520[[#This Row],[Ret.Time]],Table3152025[[#This Row],[Ret.Time]],Table315202530[[#This Row],[Ret.Time]]),0)</f>
        <v>0</v>
      </c>
      <c r="Z25" s="18">
        <f>IFERROR(AVERAGE(Table31520[[#This Row],[Amount 21]],Table3152025[[#This Row],[Amount 21]],Table315202530[[#This Row],[Amount 21]]),0)</f>
        <v>0</v>
      </c>
      <c r="AA25" s="18">
        <f>IFERROR(AVERAGE(Table31520[[#This Row],[Ret.Time22]],Table3152025[[#This Row],[Ret.Time22]],Table315202530[[#This Row],[Ret.Time22]]),0)</f>
        <v>0</v>
      </c>
      <c r="AB25" s="18">
        <f>IFERROR(AVERAGE(Table31520[[#This Row],[Amount 23]],Table3152025[[#This Row],[Amount 23]],Table315202530[[#This Row],[Amount 23]]),0)</f>
        <v>0</v>
      </c>
      <c r="AC25" s="18">
        <f>IFERROR(AVERAGE(Table31520[[#This Row],[Ret.Time24]],Table3152025[[#This Row],[Ret.Time24]],Table315202530[[#This Row],[Ret.Time24]]),0)</f>
        <v>0</v>
      </c>
      <c r="AD25" s="18">
        <f>IFERROR(AVERAGE(Table31520[[#This Row],[Amount 25]],Table3152025[[#This Row],[Amount 25]],Table315202530[[#This Row],[Amount 25]]),0)</f>
        <v>0</v>
      </c>
      <c r="AE25" s="18">
        <f>IFERROR(AVERAGE(Table31520[[#This Row],[pH]],Table3152025[[#This Row],[pH]],Table315202530[[#This Row],[pH]]),0)</f>
        <v>8.8699999999999992</v>
      </c>
      <c r="AF25" s="18">
        <f>IFERROR(AVERAGE(Table31520[[#This Row],[dilution ]],Table3152025[[#This Row],[dilution ]],Table315202530[[#This Row],[dilution ]]),0)</f>
        <v>0</v>
      </c>
      <c r="AG25" s="18">
        <f>IFERROR(AVERAGE(Table31520[[#This Row],[correction]],Table3152025[[#This Row],[correction]],Table315202530[[#This Row],[correction factor]]),0)</f>
        <v>1</v>
      </c>
      <c r="AH25" s="18">
        <f>IFERROR(AVERAGE(Table31520[[#This Row],[amount]],Table3152025[[#This Row],[amount]],Table315202530[[#This Row],[amount]]),0)</f>
        <v>0</v>
      </c>
      <c r="AI25" s="18">
        <f>IFERROR(AVERAGE(Table31520[[#This Row],[pressure]],Table3152025[[#This Row],[pressure]],Table315202530[[#This Row],[pressure]]),0)</f>
        <v>0</v>
      </c>
      <c r="AJ25" s="64" t="e">
        <f>AVERAGE(Table51621[[#This Row],[Concentration]],Table5162126[[#This Row],[Concentration]],Table516212631[[#This Row],[Concentration]])</f>
        <v>#VALUE!</v>
      </c>
      <c r="AK25" s="64" t="e">
        <f>AVERAGE(Table51621[[#This Row],[Concentration2]],Table5162126[[#This Row],[Concentration2]],Table516212631[[#This Row],[Concentration2]])</f>
        <v>#VALUE!</v>
      </c>
      <c r="AL25" s="64" t="e">
        <f>AVERAGE(Table51621[[#This Row],[Concentration3]],Table5162126[[#This Row],[Concentration3]],Table516212631[[#This Row],[Concentration3]])</f>
        <v>#VALUE!</v>
      </c>
      <c r="AM25" s="64" t="e">
        <f>AVERAGE(Table51621[[#This Row],[Concentration4]],Table5162126[[#This Row],[Concentration4]],Table516212631[[#This Row],[Concentration4]])</f>
        <v>#VALUE!</v>
      </c>
      <c r="AN25" s="64" t="e">
        <f>AVERAGE(Table51621[[#This Row],[Concentration5]],Table5162126[[#This Row],[Concentration5]],Table516212631[[#This Row],[Concentration5]])</f>
        <v>#VALUE!</v>
      </c>
      <c r="AO25" s="64" t="e">
        <f>AVERAGE(Table51621[[#This Row],[Concentration6]],Table5162126[[#This Row],[Concentration6]],Table516212631[[#This Row],[Concentration6]])</f>
        <v>#VALUE!</v>
      </c>
      <c r="AP25" s="162">
        <f t="shared" si="3"/>
        <v>0.70680924816024859</v>
      </c>
      <c r="AQ25" s="162">
        <f t="shared" si="2"/>
        <v>0.63491344612944534</v>
      </c>
      <c r="AR25" s="162">
        <f t="shared" si="2"/>
        <v>0.71730068055963203</v>
      </c>
      <c r="AS25" s="162">
        <f t="shared" si="2"/>
        <v>4.1161933750469819</v>
      </c>
      <c r="AT25" s="162">
        <f t="shared" si="2"/>
        <v>1.0018748424402986E-2</v>
      </c>
      <c r="AU25" s="162">
        <f t="shared" si="2"/>
        <v>0.11778294874410797</v>
      </c>
      <c r="AV25" s="162">
        <f t="shared" si="2"/>
        <v>0</v>
      </c>
      <c r="AW25" s="162">
        <f t="shared" si="2"/>
        <v>0</v>
      </c>
      <c r="AX25" s="64">
        <f>AVERAGE(Table51621[[#This Row],[Concentration15]],Table5162126[[#This Row],[Concentration15]],Table516212631[[#This Row],[Concentration15]])</f>
        <v>0</v>
      </c>
      <c r="AY25" s="64">
        <f>AVERAGE(Table51621[[#This Row],[Concentration16]],Table5162126[[#This Row],[Concentration16]],Table516212631[[#This Row],[Concentration16]])</f>
        <v>0</v>
      </c>
      <c r="AZ25" s="64">
        <f>AVERAGE(Table51621[[#This Row],[Concentration17]],Table5162126[[#This Row],[Concentration17]],Table516212631[[#This Row],[Concentration17]])</f>
        <v>0</v>
      </c>
      <c r="BA25" s="64">
        <f>AVERAGE(Table51621[[#This Row],[Concentration172]],Table5162126[[#This Row],[Concentration172]],Table516212631[[#This Row],[Concentration172]])</f>
        <v>0</v>
      </c>
      <c r="BB25" s="64" t="e">
        <f>AVERAGE(Table51621[[#This Row],[Concentration18]],Table5162126[[#This Row],[Concentration18]],Table516212631[[#This Row],[Concentration18]])</f>
        <v>#DIV/0!</v>
      </c>
      <c r="BC25" s="64" t="e">
        <f>AVERAGE(Table51621[[#This Row],[Concentration19]],Table5162126[[#This Row],[Concentration19]],Table516212631[[#This Row],[Concentration19]])</f>
        <v>#DIV/0!</v>
      </c>
      <c r="BD25" s="64" t="e">
        <f>AVERAGE(Table51621[[#This Row],[Concentration]],Table5162126[[#This Row],[Concentration]],Table516212631[[#This Row],[Concentration]])</f>
        <v>#VALUE!</v>
      </c>
      <c r="BE25" s="64" t="e">
        <f>AVERAGE(Table51621[[#This Row],[Concentration2]],Table5162126[[#This Row],[Concentration2]],Table516212631[[#This Row],[Concentration2]])</f>
        <v>#VALUE!</v>
      </c>
      <c r="BF25" s="64" t="e">
        <f>AVERAGE(Table51621[[#This Row],[Concentration3]],Table5162126[[#This Row],[Concentration3]],Table516212631[[#This Row],[Concentration3]])</f>
        <v>#VALUE!</v>
      </c>
      <c r="BG25" s="64" t="e">
        <f>AVERAGE(Table51621[[#This Row],[Concentration4]],Table5162126[[#This Row],[Concentration4]],Table516212631[[#This Row],[Concentration4]])</f>
        <v>#VALUE!</v>
      </c>
      <c r="BH25" s="64" t="e">
        <f>AVERAGE(Table51621[[#This Row],[Concentration5]],Table5162126[[#This Row],[Concentration5]],Table516212631[[#This Row],[Concentration5]])</f>
        <v>#VALUE!</v>
      </c>
      <c r="BI25" s="64">
        <f>AVERAGE(Table61722[[#This Row],[Concentration7]],Table6172227[[#This Row],[Concentration7]],Table617222732[[#This Row],[Concentration7]])</f>
        <v>1.4136184963204972</v>
      </c>
      <c r="BJ25" s="64">
        <f>AVERAGE(Table61722[[#This Row],[Concentration8]],Table6172227[[#This Row],[Concentration8]],Table617222732[[#This Row],[Concentration8]])</f>
        <v>1.9047403383883359</v>
      </c>
      <c r="BK25" s="64">
        <f>AVERAGE(Table61722[[#This Row],[Concentration9]],Table6172227[[#This Row],[Concentration9]],Table617222732[[#This Row],[Concentration9]])</f>
        <v>2.8692027222385281</v>
      </c>
      <c r="BL25" s="64">
        <f>AVERAGE(Table61722[[#This Row],[Concentration10]],Table6172227[[#This Row],[Concentration10]],Table617222732[[#This Row],[Concentration10]])</f>
        <v>16.464773500187924</v>
      </c>
      <c r="BM25" s="64">
        <f>AVERAGE(Table61722[[#This Row],[Concentration11]],Table6172227[[#This Row],[Concentration11]],Table617222732[[#This Row],[Concentration11]])</f>
        <v>0</v>
      </c>
      <c r="BN25" s="64">
        <f>AVERAGE(Table61722[[#This Row],[Concentration12]],Table6172227[[#This Row],[Concentration12]],Table617222732[[#This Row],[Concentration12]])</f>
        <v>0.58891474372053987</v>
      </c>
      <c r="BO25" s="64">
        <f>AVERAGE(Table61722[[#This Row],[Concentration13]],Table6172227[[#This Row],[Concentration13]],Table617222732[[#This Row],[Concentration13]])</f>
        <v>0</v>
      </c>
      <c r="BP25" s="64">
        <f>Table5162126313641465156616671[[#This Row],[Concentration14]]*6</f>
        <v>0</v>
      </c>
      <c r="BQ25" s="64">
        <f>AVERAGE(Table61722[[#This Row],[Concentration15]],Table6172227[[#This Row],[Concentration15]],Table617222732[[#This Row],[Concentration15]])</f>
        <v>0</v>
      </c>
      <c r="BR25" s="64">
        <f>AVERAGE(Table61722[[#This Row],[Concentration16]],Table6172227[[#This Row],[Concentration16]],Table617222732[[#This Row],[Concentration16]])</f>
        <v>0</v>
      </c>
      <c r="BS25" s="64">
        <f>($BT$16*1000)-Table6172227323742475257626772[[#This Row],[Concentration17]]*1000</f>
        <v>290.27198046181172</v>
      </c>
      <c r="BT25" s="64">
        <f>AVERAGE(Table61722[[#This Row],[Concentration17]],Table6172227[[#This Row],[Concentration17]],Table617222732[[#This Row],[Concentration17]])</f>
        <v>0</v>
      </c>
      <c r="BU25" s="64" t="e">
        <f>AVERAGE(Table61722[[#This Row],[concentration18]],Table6172227[[#This Row],[concentration18]],Table617222732[[#This Row],[concentration18]])</f>
        <v>#DIV/0!</v>
      </c>
      <c r="BV25" s="64">
        <f>SUM(IFERROR(Table6172227323742475257626772[[#This Row],[Concentration7]],0),IFERROR(Table6172227323742475257626772[[#This Row],[Concentration8]],0),IFERROR(Table6172227323742475257626772[[#This Row],[Concentration9]],0),IFERROR(Table6172227323742475257626772[[#This Row],[Concentration10]],0),IFERROR(Table6172227323742475257626772[[#This Row],[Concentration11]],0),IFERROR(Table6172227323742475257626772[[#This Row],[Concentration12]],0),IFERROR(Table6172227323742475257626772[[#This Row],[Concentration13]],0),IFERROR(Table6172227323742475257626772[[#This Row],[Concentration14]],0),IFERROR(Table6172227323742475257626772[[#This Row],[Concentration15]],0),IFERROR(Table6172227323742475257626772[[#This Row],[Concentration16]],0),IFERROR(Table6172227323742475257626772[[#This Row],[concentration18]],0))</f>
        <v>23.241249800855826</v>
      </c>
      <c r="BW25" s="64"/>
      <c r="CF25" s="180" t="s">
        <v>196</v>
      </c>
      <c r="CG25" s="183" t="s">
        <v>198</v>
      </c>
      <c r="CH25" s="183" t="s">
        <v>199</v>
      </c>
      <c r="CI25" s="183" t="s">
        <v>200</v>
      </c>
      <c r="CJ25" s="183" t="s">
        <v>201</v>
      </c>
      <c r="CK25" s="183" t="s">
        <v>202</v>
      </c>
      <c r="CL25" s="183" t="s">
        <v>203</v>
      </c>
      <c r="CM25" s="182" t="s">
        <v>198</v>
      </c>
      <c r="CN25" s="182" t="s">
        <v>199</v>
      </c>
      <c r="CO25" s="182" t="s">
        <v>200</v>
      </c>
      <c r="CP25" s="182" t="s">
        <v>201</v>
      </c>
      <c r="CQ25" s="182" t="s">
        <v>202</v>
      </c>
      <c r="CR25" s="182" t="s">
        <v>203</v>
      </c>
    </row>
    <row r="26" spans="1:105" s="160" customFormat="1" ht="16" thickBot="1" x14ac:dyDescent="0.4">
      <c r="A26" s="156">
        <f>Table2[[#This Row],[Date]]</f>
        <v>0</v>
      </c>
      <c r="B26" s="157">
        <f>Table2[[#This Row],[Time]]</f>
        <v>0</v>
      </c>
      <c r="C26" s="158"/>
      <c r="D26" s="159">
        <f>IFERROR(AVERAGE(Table31520[[#This Row],[Amount ]],Table3152025[[#This Row],[Amount ]],Table315202530[[#This Row],[Amount ]]),0)</f>
        <v>0</v>
      </c>
      <c r="E26" s="159">
        <f>IFERROR(AVERAGE(Table31520[[#This Row],[Amount 2]],Table3152025[[#This Row],[Amount 2]],Table315202530[[#This Row],[Amount 2]]),0)</f>
        <v>0</v>
      </c>
      <c r="F26" s="159">
        <f>IFERROR(AVERAGE(Table31520[[#This Row],[Amount 3]],Table3152025[[#This Row],[Amount 3]],Table315202530[[#This Row],[Amount 3]]),0)</f>
        <v>0</v>
      </c>
      <c r="G26" s="159">
        <f>IFERROR(AVERAGE(Table31520[[#This Row],[Amount 4]],Table3152025[[#This Row],[Amount 4]],Table315202530[[#This Row],[Amount 4]]),0)</f>
        <v>0</v>
      </c>
      <c r="H26" s="159">
        <f>IFERROR(AVERAGE(Table31520[[#This Row],[Amount 5]],Table3152025[[#This Row],[Amount 5]],Table315202530[[#This Row],[Amount 5]]),0)</f>
        <v>0</v>
      </c>
      <c r="I26" s="159">
        <f>IFERROR(AVERAGE(Table31520[[#This Row],[Amount 6]],Table3152025[[#This Row],[Amount 6]],Table315202530[[#This Row],[Amount 6]]),0)</f>
        <v>0</v>
      </c>
      <c r="J26" s="159">
        <f>IFERROR(AVERAGE(Table31520[[#This Row],[Amount 7]],Table3152025[[#This Row],[Amount 7]],Table315202530[[#This Row],[Amount 7]]),0)</f>
        <v>0</v>
      </c>
      <c r="K26" s="159">
        <f>IFERROR(AVERAGE(Table31520[[#This Row],[Amount 8]],Table3152025[[#This Row],[Amount 8]],Table315202530[[#This Row],[Amount 8]]),0)</f>
        <v>0</v>
      </c>
      <c r="L26" s="159">
        <f>IFERROR(AVERAGE(Table31520[[#This Row],[Amount 9]],Table3152025[[#This Row],[Amount 9]],Table315202530[[#This Row],[Amount 9]]),0)</f>
        <v>0</v>
      </c>
      <c r="M26" s="159">
        <f>IFERROR(AVERAGE(Table31520[[#This Row],[Amount 10]],Table3152025[[#This Row],[Amount 10]],Table315202530[[#This Row],[Amount 10]]),0)</f>
        <v>0</v>
      </c>
      <c r="N26" s="159">
        <f>IFERROR(AVERAGE(Table31520[[#This Row],[Amount 11]],Table3152025[[#This Row],[Amount 11]],Table315202530[[#This Row],[Amount 11]]),0)</f>
        <v>0</v>
      </c>
      <c r="O26" s="159">
        <f>IFERROR(AVERAGE(Table31520[[#This Row],[Amount 12]],Table3152025[[#This Row],[Amount 12]],Table315202530[[#This Row],[Amount 12]]),0)</f>
        <v>0</v>
      </c>
      <c r="P26" s="159">
        <f>IFERROR(AVERAGE(Table31520[[#This Row],[Amount 13]],Table3152025[[#This Row],[Amount 13]],Table315202530[[#This Row],[Amount 13]]),0)</f>
        <v>0</v>
      </c>
      <c r="Q26" s="159">
        <f>IFERROR(AVERAGE(Table31520[[#This Row],[Amount 14]],Table3152025[[#This Row],[Amount 14]],Table315202530[[#This Row],[Amount 14]]),0)</f>
        <v>0</v>
      </c>
      <c r="R26" s="159">
        <f>IFERROR(AVERAGE(Table31520[[#This Row],[Amount 15]],Table3152025[[#This Row],[Amount 15]],Table315202530[[#This Row],[Amount 15]]),0)</f>
        <v>0</v>
      </c>
      <c r="S26" s="159">
        <f>IFERROR(AVERAGE(Table31520[[#This Row],[Amount 16]],Table3152025[[#This Row],[Amount 16]],Table315202530[[#This Row],[Amount 16]]),0)</f>
        <v>0</v>
      </c>
      <c r="T26" s="159">
        <f>IFERROR(AVERAGE(Table31520[[#This Row],[Amount 17]],Table3152025[[#This Row],[Amount 17]],Table315202530[[#This Row],[Amount 17]]),0)</f>
        <v>0</v>
      </c>
      <c r="U26" s="159">
        <f>IFERROR(AVERAGE(Table31520[[#This Row],[Amount 18]],Table3152025[[#This Row],[Amount 18]],Table315202530[[#This Row],[Amount 18]]),0)</f>
        <v>0</v>
      </c>
      <c r="V26" s="159">
        <f>IFERROR(AVERAGE(Table31520[[#This Row],[Amount 19]],Table3152025[[#This Row],[Amount 19]],Table315202530[[#This Row],[Amount 19]]),0)</f>
        <v>0</v>
      </c>
      <c r="W26" s="159">
        <f>IFERROR(AVERAGE(Table31520[[#This Row],[Ret.Time ]],Table3152025[[#This Row],[Ret.Time ]],Table315202530[[#This Row],[Ret.Time ]]),0)</f>
        <v>0</v>
      </c>
      <c r="X26" s="159">
        <f>IFERROR(AVERAGE(Table31520[[#This Row],[Amount 20]],Table3152025[[#This Row],[Amount 20]],Table315202530[[#This Row],[Amount 20]]),0)</f>
        <v>0</v>
      </c>
      <c r="Y26" s="159">
        <f>IFERROR(AVERAGE(Table31520[[#This Row],[Ret.Time]],Table3152025[[#This Row],[Ret.Time]],Table315202530[[#This Row],[Ret.Time]]),0)</f>
        <v>0</v>
      </c>
      <c r="Z26" s="159">
        <f>IFERROR(AVERAGE(Table31520[[#This Row],[Amount 21]],Table3152025[[#This Row],[Amount 21]],Table315202530[[#This Row],[Amount 21]]),0)</f>
        <v>0</v>
      </c>
      <c r="AA26" s="159">
        <f>IFERROR(AVERAGE(Table31520[[#This Row],[Ret.Time22]],Table3152025[[#This Row],[Ret.Time22]],Table315202530[[#This Row],[Ret.Time22]]),0)</f>
        <v>0</v>
      </c>
      <c r="AB26" s="159">
        <f>IFERROR(AVERAGE(Table31520[[#This Row],[Amount 23]],Table3152025[[#This Row],[Amount 23]],Table315202530[[#This Row],[Amount 23]]),0)</f>
        <v>0</v>
      </c>
      <c r="AC26" s="159">
        <f>IFERROR(AVERAGE(Table31520[[#This Row],[Ret.Time24]],Table3152025[[#This Row],[Ret.Time24]],Table315202530[[#This Row],[Ret.Time24]]),0)</f>
        <v>0</v>
      </c>
      <c r="AD26" s="159">
        <f>IFERROR(AVERAGE(Table31520[[#This Row],[Amount 25]],Table3152025[[#This Row],[Amount 25]],Table315202530[[#This Row],[Amount 25]]),0)</f>
        <v>0</v>
      </c>
      <c r="AE26" s="159">
        <f>IFERROR(AVERAGE(Table31520[[#This Row],[pH]],Table3152025[[#This Row],[pH]],Table315202530[[#This Row],[pH]]),0)</f>
        <v>0</v>
      </c>
      <c r="AF26" s="159">
        <f>IFERROR(AVERAGE(Table31520[[#This Row],[dilution ]],Table3152025[[#This Row],[dilution ]],Table315202530[[#This Row],[dilution ]]),0)</f>
        <v>0</v>
      </c>
      <c r="AG26" s="159">
        <f>IFERROR(AVERAGE(Table31520[[#This Row],[correction]],Table3152025[[#This Row],[correction]],Table315202530[[#This Row],[correction factor]]),0)</f>
        <v>1</v>
      </c>
      <c r="AH26" s="159">
        <f>IFERROR(AVERAGE(Table31520[[#This Row],[amount]],Table3152025[[#This Row],[amount]],Table315202530[[#This Row],[amount]]),0)</f>
        <v>0</v>
      </c>
      <c r="AI26" s="159">
        <f>IFERROR(AVERAGE(Table31520[[#This Row],[pressure]],Table3152025[[#This Row],[pressure]],Table315202530[[#This Row],[pressure]]),0)</f>
        <v>0</v>
      </c>
      <c r="AJ26" s="154" t="e">
        <f>AVERAGE(Table51621[[#This Row],[Concentration]],Table5162126[[#This Row],[Concentration]],Table516212631[[#This Row],[Concentration]])</f>
        <v>#VALUE!</v>
      </c>
      <c r="AK26" s="154" t="e">
        <f>AVERAGE(Table51621[[#This Row],[Concentration2]],Table5162126[[#This Row],[Concentration2]],Table516212631[[#This Row],[Concentration2]])</f>
        <v>#VALUE!</v>
      </c>
      <c r="AL26" s="154" t="e">
        <f>AVERAGE(Table51621[[#This Row],[Concentration3]],Table5162126[[#This Row],[Concentration3]],Table516212631[[#This Row],[Concentration3]])</f>
        <v>#VALUE!</v>
      </c>
      <c r="AM26" s="154" t="e">
        <f>AVERAGE(Table51621[[#This Row],[Concentration4]],Table5162126[[#This Row],[Concentration4]],Table516212631[[#This Row],[Concentration4]])</f>
        <v>#VALUE!</v>
      </c>
      <c r="AN26" s="154" t="e">
        <f>AVERAGE(Table51621[[#This Row],[Concentration5]],Table5162126[[#This Row],[Concentration5]],Table516212631[[#This Row],[Concentration5]])</f>
        <v>#VALUE!</v>
      </c>
      <c r="AO26" s="154" t="e">
        <f>AVERAGE(Table51621[[#This Row],[Concentration6]],Table5162126[[#This Row],[Concentration6]],Table516212631[[#This Row],[Concentration6]])</f>
        <v>#VALUE!</v>
      </c>
      <c r="AP26" s="154">
        <f>AVERAGE(Table51621[[#This Row],[Concentration7]],Table5162126[[#This Row],[Concentration7]],Table516212631[[#This Row],[Concentration7]])</f>
        <v>0.12612779485438719</v>
      </c>
      <c r="AQ26" s="154">
        <f>AVERAGE(Table51621[[#This Row],[Concentration8]],Table5162126[[#This Row],[Concentration8]],Table516212631[[#This Row],[Concentration8]])</f>
        <v>6.088672043065238E-2</v>
      </c>
      <c r="AR26" s="154">
        <f>AVERAGE(Table51621[[#This Row],[Concentration9]],Table5162126[[#This Row],[Concentration9]],Table516212631[[#This Row],[Concentration9]])</f>
        <v>9.3045894304145005E-2</v>
      </c>
      <c r="AS26" s="154">
        <f>AVERAGE(Table51621[[#This Row],[Concentration10]],Table5162126[[#This Row],[Concentration10]],Table516212631[[#This Row],[Concentration10]])</f>
        <v>0.8173133357952691</v>
      </c>
      <c r="AT26" s="154">
        <f>AVERAGE(Table51621[[#This Row],[Concentration11]],Table5162126[[#This Row],[Concentration11]],Table516212631[[#This Row],[Concentration11]])</f>
        <v>0</v>
      </c>
      <c r="AU26" s="154">
        <f>AVERAGE(Table51621[[#This Row],[Concentration12]],Table5162126[[#This Row],[Concentration12]],Table516212631[[#This Row],[Concentration12]])</f>
        <v>0.11733415847006046</v>
      </c>
      <c r="AV26" s="154">
        <f>AVERAGE(Table51621[[#This Row],[Concentration13]],Table5162126[[#This Row],[Concentration13]],Table516212631[[#This Row],[Concentration13]])</f>
        <v>0</v>
      </c>
      <c r="AW26" s="154">
        <f>AW24-AW25</f>
        <v>0.19764238422811389</v>
      </c>
      <c r="AX26" s="154">
        <f>AVERAGE(Table51621[[#This Row],[Concentration15]],Table5162126[[#This Row],[Concentration15]],Table516212631[[#This Row],[Concentration15]])</f>
        <v>0</v>
      </c>
      <c r="AY26" s="154">
        <f>AVERAGE(Table51621[[#This Row],[Concentration16]],Table5162126[[#This Row],[Concentration16]],Table516212631[[#This Row],[Concentration16]])</f>
        <v>7.101845916101115E-3</v>
      </c>
      <c r="AZ26" s="154">
        <f>AVERAGE(Table51621[[#This Row],[Concentration17]],Table5162126[[#This Row],[Concentration17]],Table516212631[[#This Row],[Concentration17]])</f>
        <v>0</v>
      </c>
      <c r="BA26" s="154">
        <f>AVERAGE(Table51621[[#This Row],[Concentration172]],Table5162126[[#This Row],[Concentration172]],Table516212631[[#This Row],[Concentration172]])</f>
        <v>0</v>
      </c>
      <c r="BB26" s="154" t="e">
        <f>AVERAGE(Table51621[[#This Row],[Concentration18]],Table5162126[[#This Row],[Concentration18]],Table516212631[[#This Row],[Concentration18]])</f>
        <v>#DIV/0!</v>
      </c>
      <c r="BC26" s="154" t="e">
        <f>AVERAGE(Table51621[[#This Row],[Concentration19]],Table5162126[[#This Row],[Concentration19]],Table516212631[[#This Row],[Concentration19]])</f>
        <v>#DIV/0!</v>
      </c>
      <c r="BD26" s="154" t="e">
        <f>AVERAGE(Table51621[[#This Row],[Concentration]],Table5162126[[#This Row],[Concentration]],Table516212631[[#This Row],[Concentration]])</f>
        <v>#VALUE!</v>
      </c>
      <c r="BE26" s="154" t="e">
        <f>AVERAGE(Table51621[[#This Row],[Concentration2]],Table5162126[[#This Row],[Concentration2]],Table516212631[[#This Row],[Concentration2]])</f>
        <v>#VALUE!</v>
      </c>
      <c r="BF26" s="154" t="e">
        <f>AVERAGE(Table51621[[#This Row],[Concentration3]],Table5162126[[#This Row],[Concentration3]],Table516212631[[#This Row],[Concentration3]])</f>
        <v>#VALUE!</v>
      </c>
      <c r="BG26" s="154" t="e">
        <f>AVERAGE(Table51621[[#This Row],[Concentration4]],Table5162126[[#This Row],[Concentration4]],Table516212631[[#This Row],[Concentration4]])</f>
        <v>#VALUE!</v>
      </c>
      <c r="BH26" s="154" t="e">
        <f>AVERAGE(Table51621[[#This Row],[Concentration5]],Table5162126[[#This Row],[Concentration5]],Table516212631[[#This Row],[Concentration5]])</f>
        <v>#VALUE!</v>
      </c>
      <c r="BI26" s="154">
        <f>AVERAGE(Table61722[[#This Row],[Concentration7]],Table6172227[[#This Row],[Concentration7]],Table617222732[[#This Row],[Concentration7]])</f>
        <v>0.25225558970877437</v>
      </c>
      <c r="BJ26" s="154">
        <f>AVERAGE(Table61722[[#This Row],[Concentration8]],Table6172227[[#This Row],[Concentration8]],Table617222732[[#This Row],[Concentration8]])</f>
        <v>0.18266016129195714</v>
      </c>
      <c r="BK26" s="154">
        <f>AVERAGE(Table61722[[#This Row],[Concentration9]],Table6172227[[#This Row],[Concentration9]],Table617222732[[#This Row],[Concentration9]])</f>
        <v>0.37218357721658002</v>
      </c>
      <c r="BL26" s="154">
        <f>AVERAGE(Table61722[[#This Row],[Concentration10]],Table6172227[[#This Row],[Concentration10]],Table617222732[[#This Row],[Concentration10]])</f>
        <v>3.2692533431810764</v>
      </c>
      <c r="BM26" s="154">
        <f>AVERAGE(Table61722[[#This Row],[Concentration11]],Table6172227[[#This Row],[Concentration11]],Table617222732[[#This Row],[Concentration11]])</f>
        <v>0</v>
      </c>
      <c r="BN26" s="154">
        <f>AVERAGE(Table61722[[#This Row],[Concentration12]],Table6172227[[#This Row],[Concentration12]],Table617222732[[#This Row],[Concentration12]])</f>
        <v>0.58667079235030228</v>
      </c>
      <c r="BO26" s="154">
        <f>AVERAGE(Table61722[[#This Row],[Concentration13]],Table6172227[[#This Row],[Concentration13]],Table617222732[[#This Row],[Concentration13]])</f>
        <v>0</v>
      </c>
      <c r="BP26" s="154">
        <f>Table5162126313641465156616671[[#This Row],[Concentration14]]*6</f>
        <v>1.1858543053686834</v>
      </c>
      <c r="BQ26" s="154">
        <f>AVERAGE(Table61722[[#This Row],[Concentration15]],Table6172227[[#This Row],[Concentration15]],Table617222732[[#This Row],[Concentration15]])</f>
        <v>0</v>
      </c>
      <c r="BR26" s="154">
        <f>AVERAGE(Table61722[[#This Row],[Concentration16]],Table6172227[[#This Row],[Concentration16]],Table617222732[[#This Row],[Concentration16]])</f>
        <v>5.681476732880892E-2</v>
      </c>
      <c r="BS26" s="154">
        <f>($BT$16*1000)-Table6172227323742475257626772[[#This Row],[Concentration17]]*1000</f>
        <v>290.27198046181172</v>
      </c>
      <c r="BT26" s="154">
        <f>AVERAGE(Table61722[[#This Row],[Concentration17]],Table6172227[[#This Row],[Concentration17]],Table617222732[[#This Row],[Concentration17]])</f>
        <v>0</v>
      </c>
      <c r="BU26" s="154" t="e">
        <f>AVERAGE(Table61722[[#This Row],[concentration18]],Table6172227[[#This Row],[concentration18]],Table617222732[[#This Row],[concentration18]])</f>
        <v>#DIV/0!</v>
      </c>
      <c r="BV26" s="154">
        <f>SUM(IFERROR(Table6172227323742475257626772[[#This Row],[Concentration7]],0),IFERROR(Table6172227323742475257626772[[#This Row],[Concentration8]],0),IFERROR(Table6172227323742475257626772[[#This Row],[Concentration9]],0),IFERROR(Table6172227323742475257626772[[#This Row],[Concentration10]],0),IFERROR(Table6172227323742475257626772[[#This Row],[Concentration11]],0),IFERROR(Table6172227323742475257626772[[#This Row],[Concentration12]],0),IFERROR(Table6172227323742475257626772[[#This Row],[Concentration13]],0),IFERROR(Table6172227323742475257626772[[#This Row],[Concentration14]],0),IFERROR(Table6172227323742475257626772[[#This Row],[Concentration15]],0),IFERROR(Table6172227323742475257626772[[#This Row],[Concentration16]],0),IFERROR(Table6172227323742475257626772[[#This Row],[concentration18]],0))</f>
        <v>5.9056925364461819</v>
      </c>
      <c r="BW26" s="154"/>
      <c r="CF26" s="179" t="s">
        <v>204</v>
      </c>
      <c r="CG26" s="179"/>
      <c r="CH26" s="179"/>
      <c r="CI26" s="179"/>
      <c r="CJ26" s="179"/>
      <c r="CK26" s="179"/>
      <c r="CL26" s="179"/>
      <c r="CM26" s="160" t="s">
        <v>205</v>
      </c>
    </row>
    <row r="27" spans="1:105" s="47" customFormat="1" ht="16" thickBot="1" x14ac:dyDescent="0.4">
      <c r="A27" s="63">
        <f>Table2[[#This Row],[Date]]</f>
        <v>0</v>
      </c>
      <c r="B27" s="74">
        <f>Table2[[#This Row],[Time]]</f>
        <v>0</v>
      </c>
      <c r="C27" s="54"/>
      <c r="D27" s="18">
        <f>IFERROR(AVERAGE(Table31520[[#This Row],[Amount ]],Table3152025[[#This Row],[Amount ]],Table315202530[[#This Row],[Amount ]]),0)</f>
        <v>0</v>
      </c>
      <c r="E27" s="18">
        <f>IFERROR(AVERAGE(Table31520[[#This Row],[Amount 2]],Table3152025[[#This Row],[Amount 2]],Table315202530[[#This Row],[Amount 2]]),0)</f>
        <v>0</v>
      </c>
      <c r="F27" s="18">
        <f>IFERROR(AVERAGE(Table31520[[#This Row],[Amount 3]],Table3152025[[#This Row],[Amount 3]],Table315202530[[#This Row],[Amount 3]]),0)</f>
        <v>0</v>
      </c>
      <c r="G27" s="18">
        <f>IFERROR(AVERAGE(Table31520[[#This Row],[Amount 4]],Table3152025[[#This Row],[Amount 4]],Table315202530[[#This Row],[Amount 4]]),0)</f>
        <v>0</v>
      </c>
      <c r="H27" s="18">
        <f>IFERROR(AVERAGE(Table31520[[#This Row],[Amount 5]],Table3152025[[#This Row],[Amount 5]],Table315202530[[#This Row],[Amount 5]]),0)</f>
        <v>0</v>
      </c>
      <c r="I27" s="18">
        <f>IFERROR(AVERAGE(Table31520[[#This Row],[Amount 6]],Table3152025[[#This Row],[Amount 6]],Table315202530[[#This Row],[Amount 6]]),0)</f>
        <v>0</v>
      </c>
      <c r="J27" s="18">
        <f>IFERROR(AVERAGE(Table31520[[#This Row],[Amount 7]],Table3152025[[#This Row],[Amount 7]],Table315202530[[#This Row],[Amount 7]]),0)</f>
        <v>0</v>
      </c>
      <c r="K27" s="18">
        <f>IFERROR(AVERAGE(Table31520[[#This Row],[Amount 8]],Table3152025[[#This Row],[Amount 8]],Table315202530[[#This Row],[Amount 8]]),0)</f>
        <v>0</v>
      </c>
      <c r="L27" s="18">
        <f>IFERROR(AVERAGE(Table31520[[#This Row],[Amount 9]],Table3152025[[#This Row],[Amount 9]],Table315202530[[#This Row],[Amount 9]]),0)</f>
        <v>0</v>
      </c>
      <c r="M27" s="18">
        <f>IFERROR(AVERAGE(Table31520[[#This Row],[Amount 10]],Table3152025[[#This Row],[Amount 10]],Table315202530[[#This Row],[Amount 10]]),0)</f>
        <v>0</v>
      </c>
      <c r="N27" s="18">
        <f>IFERROR(AVERAGE(Table31520[[#This Row],[Amount 11]],Table3152025[[#This Row],[Amount 11]],Table315202530[[#This Row],[Amount 11]]),0)</f>
        <v>0</v>
      </c>
      <c r="O27" s="18">
        <f>IFERROR(AVERAGE(Table31520[[#This Row],[Amount 12]],Table3152025[[#This Row],[Amount 12]],Table315202530[[#This Row],[Amount 12]]),0)</f>
        <v>0</v>
      </c>
      <c r="P27" s="18">
        <f>IFERROR(AVERAGE(Table31520[[#This Row],[Amount 13]],Table3152025[[#This Row],[Amount 13]],Table315202530[[#This Row],[Amount 13]]),0)</f>
        <v>0</v>
      </c>
      <c r="Q27" s="18">
        <f>IFERROR(AVERAGE(Table31520[[#This Row],[Amount 14]],Table3152025[[#This Row],[Amount 14]],Table315202530[[#This Row],[Amount 14]]),0)</f>
        <v>0</v>
      </c>
      <c r="R27" s="18">
        <f>IFERROR(AVERAGE(Table31520[[#This Row],[Amount 15]],Table3152025[[#This Row],[Amount 15]],Table315202530[[#This Row],[Amount 15]]),0)</f>
        <v>0</v>
      </c>
      <c r="S27" s="18">
        <f>IFERROR(AVERAGE(Table31520[[#This Row],[Amount 16]],Table3152025[[#This Row],[Amount 16]],Table315202530[[#This Row],[Amount 16]]),0)</f>
        <v>0</v>
      </c>
      <c r="T27" s="18">
        <f>IFERROR(AVERAGE(Table31520[[#This Row],[Amount 17]],Table3152025[[#This Row],[Amount 17]],Table315202530[[#This Row],[Amount 17]]),0)</f>
        <v>0</v>
      </c>
      <c r="U27" s="18">
        <f>IFERROR(AVERAGE(Table31520[[#This Row],[Amount 18]],Table3152025[[#This Row],[Amount 18]],Table315202530[[#This Row],[Amount 18]]),0)</f>
        <v>0</v>
      </c>
      <c r="V27" s="18">
        <f>IFERROR(AVERAGE(Table31520[[#This Row],[Amount 19]],Table3152025[[#This Row],[Amount 19]],Table315202530[[#This Row],[Amount 19]]),0)</f>
        <v>0</v>
      </c>
      <c r="W27" s="18">
        <f>IFERROR(AVERAGE(Table31520[[#This Row],[Ret.Time ]],Table3152025[[#This Row],[Ret.Time ]],Table315202530[[#This Row],[Ret.Time ]]),0)</f>
        <v>0</v>
      </c>
      <c r="X27" s="18">
        <f>IFERROR(AVERAGE(Table31520[[#This Row],[Amount 20]],Table3152025[[#This Row],[Amount 20]],Table315202530[[#This Row],[Amount 20]]),0)</f>
        <v>0</v>
      </c>
      <c r="Y27" s="18">
        <f>IFERROR(AVERAGE(Table31520[[#This Row],[Ret.Time]],Table3152025[[#This Row],[Ret.Time]],Table315202530[[#This Row],[Ret.Time]]),0)</f>
        <v>0</v>
      </c>
      <c r="Z27" s="18">
        <f>IFERROR(AVERAGE(Table31520[[#This Row],[Amount 21]],Table3152025[[#This Row],[Amount 21]],Table315202530[[#This Row],[Amount 21]]),0)</f>
        <v>0</v>
      </c>
      <c r="AA27" s="18">
        <f>IFERROR(AVERAGE(Table31520[[#This Row],[Ret.Time22]],Table3152025[[#This Row],[Ret.Time22]],Table315202530[[#This Row],[Ret.Time22]]),0)</f>
        <v>0</v>
      </c>
      <c r="AB27" s="18">
        <f>IFERROR(AVERAGE(Table31520[[#This Row],[Amount 23]],Table3152025[[#This Row],[Amount 23]],Table315202530[[#This Row],[Amount 23]]),0)</f>
        <v>0</v>
      </c>
      <c r="AC27" s="18">
        <f>IFERROR(AVERAGE(Table31520[[#This Row],[Ret.Time24]],Table3152025[[#This Row],[Ret.Time24]],Table315202530[[#This Row],[Ret.Time24]]),0)</f>
        <v>0</v>
      </c>
      <c r="AD27" s="18">
        <f>IFERROR(AVERAGE(Table31520[[#This Row],[Amount 25]],Table3152025[[#This Row],[Amount 25]],Table315202530[[#This Row],[Amount 25]]),0)</f>
        <v>0</v>
      </c>
      <c r="AE27" s="18">
        <f>IFERROR(AVERAGE(Table31520[[#This Row],[pH]],Table3152025[[#This Row],[pH]],Table315202530[[#This Row],[pH]]),0)</f>
        <v>0</v>
      </c>
      <c r="AF27" s="18">
        <f>IFERROR(AVERAGE(Table31520[[#This Row],[dilution ]],Table3152025[[#This Row],[dilution ]],Table315202530[[#This Row],[dilution ]]),0)</f>
        <v>0</v>
      </c>
      <c r="AG27" s="18">
        <f>IFERROR(AVERAGE(Table31520[[#This Row],[correction]],Table3152025[[#This Row],[correction]],Table315202530[[#This Row],[correction factor]]),0)</f>
        <v>1</v>
      </c>
      <c r="AH27" s="18">
        <f>IFERROR(AVERAGE(Table31520[[#This Row],[amount]],Table3152025[[#This Row],[amount]],Table315202530[[#This Row],[amount]]),0)</f>
        <v>0</v>
      </c>
      <c r="AI27" s="18">
        <f>IFERROR(AVERAGE(Table31520[[#This Row],[pressure]],Table3152025[[#This Row],[pressure]],Table315202530[[#This Row],[pressure]]),0)</f>
        <v>0</v>
      </c>
      <c r="AJ27" s="64">
        <f>AVERAGE(Table51621[[#This Row],[Concentration]],Table5162126[[#This Row],[Concentration]],Table516212631[[#This Row],[Concentration]])</f>
        <v>0</v>
      </c>
      <c r="AK27" s="64">
        <f>AVERAGE(Table51621[[#This Row],[Concentration2]],Table5162126[[#This Row],[Concentration2]],Table516212631[[#This Row],[Concentration2]])</f>
        <v>0</v>
      </c>
      <c r="AL27" s="64">
        <f>AVERAGE(Table51621[[#This Row],[Concentration3]],Table5162126[[#This Row],[Concentration3]],Table516212631[[#This Row],[Concentration3]])</f>
        <v>0</v>
      </c>
      <c r="AM27" s="64">
        <f>AVERAGE(Table51621[[#This Row],[Concentration4]],Table5162126[[#This Row],[Concentration4]],Table516212631[[#This Row],[Concentration4]])</f>
        <v>0</v>
      </c>
      <c r="AN27" s="64">
        <f>AVERAGE(Table51621[[#This Row],[Concentration5]],Table5162126[[#This Row],[Concentration5]],Table516212631[[#This Row],[Concentration5]])</f>
        <v>0</v>
      </c>
      <c r="AO27" s="64">
        <f>AVERAGE(Table51621[[#This Row],[Concentration6]],Table5162126[[#This Row],[Concentration6]],Table516212631[[#This Row],[Concentration6]])</f>
        <v>0</v>
      </c>
      <c r="AP27" s="64">
        <f>AVERAGE(Table51621[[#This Row],[Concentration7]],Table5162126[[#This Row],[Concentration7]],Table516212631[[#This Row],[Concentration7]])</f>
        <v>0</v>
      </c>
      <c r="AQ27" s="64">
        <f>AVERAGE(Table51621[[#This Row],[Concentration8]],Table5162126[[#This Row],[Concentration8]],Table516212631[[#This Row],[Concentration8]])</f>
        <v>0</v>
      </c>
      <c r="AR27" s="64">
        <f>AVERAGE(Table51621[[#This Row],[Concentration9]],Table5162126[[#This Row],[Concentration9]],Table516212631[[#This Row],[Concentration9]])</f>
        <v>0</v>
      </c>
      <c r="AS27" s="64">
        <f>AVERAGE(Table51621[[#This Row],[Concentration10]],Table5162126[[#This Row],[Concentration10]],Table516212631[[#This Row],[Concentration10]])</f>
        <v>0</v>
      </c>
      <c r="AT27" s="64">
        <f>AVERAGE(Table51621[[#This Row],[Concentration11]],Table5162126[[#This Row],[Concentration11]],Table516212631[[#This Row],[Concentration11]])</f>
        <v>0</v>
      </c>
      <c r="AU27" s="64">
        <f>AVERAGE(Table51621[[#This Row],[Concentration12]],Table5162126[[#This Row],[Concentration12]],Table516212631[[#This Row],[Concentration12]])</f>
        <v>0</v>
      </c>
      <c r="AV27" s="64">
        <f>AVERAGE(Table51621[[#This Row],[Concentration13]],Table5162126[[#This Row],[Concentration13]],Table516212631[[#This Row],[Concentration13]])</f>
        <v>0</v>
      </c>
      <c r="AW27" s="64">
        <f>(IF(IFERROR(Q27-#REF!,Q27)&gt;constants!$D$13,(IFERROR(Q27-#REF!,Q27)*$C27/constants!$B$13),0))</f>
        <v>0</v>
      </c>
      <c r="AX27" s="64">
        <f>AVERAGE(Table51621[[#This Row],[Concentration15]],Table5162126[[#This Row],[Concentration15]],Table516212631[[#This Row],[Concentration15]])</f>
        <v>0</v>
      </c>
      <c r="AY27" s="64">
        <f>AVERAGE(Table51621[[#This Row],[Concentration16]],Table5162126[[#This Row],[Concentration16]],Table516212631[[#This Row],[Concentration16]])</f>
        <v>0</v>
      </c>
      <c r="AZ27" s="64">
        <f>AVERAGE(Table51621[[#This Row],[Concentration17]],Table5162126[[#This Row],[Concentration17]],Table516212631[[#This Row],[Concentration17]])</f>
        <v>0</v>
      </c>
      <c r="BA27" s="64">
        <f>AVERAGE(Table51621[[#This Row],[Concentration172]],Table5162126[[#This Row],[Concentration172]],Table516212631[[#This Row],[Concentration172]])</f>
        <v>0</v>
      </c>
      <c r="BB27" s="64" t="e">
        <f>AVERAGE(Table51621[[#This Row],[Concentration18]],Table5162126[[#This Row],[Concentration18]],Table516212631[[#This Row],[Concentration18]])</f>
        <v>#DIV/0!</v>
      </c>
      <c r="BC27" s="64" t="e">
        <f>AVERAGE(Table51621[[#This Row],[Concentration19]],Table5162126[[#This Row],[Concentration19]],Table516212631[[#This Row],[Concentration19]])</f>
        <v>#DIV/0!</v>
      </c>
      <c r="BD27" s="64">
        <f>AVERAGE(Table51621[[#This Row],[Concentration]],Table5162126[[#This Row],[Concentration]],Table516212631[[#This Row],[Concentration]])</f>
        <v>0</v>
      </c>
      <c r="BE27" s="64">
        <f>AVERAGE(Table51621[[#This Row],[Concentration2]],Table5162126[[#This Row],[Concentration2]],Table516212631[[#This Row],[Concentration2]])</f>
        <v>0</v>
      </c>
      <c r="BF27" s="64">
        <f>AVERAGE(Table51621[[#This Row],[Concentration3]],Table5162126[[#This Row],[Concentration3]],Table516212631[[#This Row],[Concentration3]])</f>
        <v>0</v>
      </c>
      <c r="BG27" s="64">
        <f>AVERAGE(Table51621[[#This Row],[Concentration4]],Table5162126[[#This Row],[Concentration4]],Table516212631[[#This Row],[Concentration4]])</f>
        <v>0</v>
      </c>
      <c r="BH27" s="64">
        <f>AVERAGE(Table51621[[#This Row],[Concentration5]],Table5162126[[#This Row],[Concentration5]],Table516212631[[#This Row],[Concentration5]])</f>
        <v>0</v>
      </c>
      <c r="BI27" s="64"/>
      <c r="BJ27" s="64"/>
      <c r="BK27" s="64"/>
      <c r="BL27" s="64"/>
      <c r="BM27" s="64"/>
      <c r="BN27" s="64"/>
      <c r="BO27" s="64"/>
      <c r="BP27" s="64"/>
      <c r="BQ27" s="64"/>
      <c r="BR27" s="64"/>
      <c r="BS27" s="64"/>
      <c r="BT27" s="64"/>
      <c r="BU27" s="64"/>
      <c r="BV27" s="64"/>
      <c r="BW27" s="64"/>
      <c r="CE27" s="47" t="s">
        <v>159</v>
      </c>
      <c r="CF27" s="184">
        <f>SUM(CF16:CF23)</f>
        <v>2.760432948490231</v>
      </c>
    </row>
    <row r="28" spans="1:105" s="66" customFormat="1" ht="16" thickBot="1" x14ac:dyDescent="0.4">
      <c r="A28" s="63">
        <f>Table2[[#This Row],[Date]]</f>
        <v>0</v>
      </c>
      <c r="B28" s="74">
        <f>Table2[[#This Row],[Time]]</f>
        <v>0</v>
      </c>
      <c r="C28" s="79"/>
      <c r="D28" s="18">
        <f>IFERROR(AVERAGE(Table31520[[#This Row],[Amount ]],Table3152025[[#This Row],[Amount ]],Table315202530[[#This Row],[Amount ]]),0)</f>
        <v>0</v>
      </c>
      <c r="E28" s="18">
        <f>IFERROR(AVERAGE(Table31520[[#This Row],[Amount 2]],Table3152025[[#This Row],[Amount 2]],Table315202530[[#This Row],[Amount 2]]),0)</f>
        <v>0</v>
      </c>
      <c r="F28" s="18">
        <f>IFERROR(AVERAGE(Table31520[[#This Row],[Amount 3]],Table3152025[[#This Row],[Amount 3]],Table315202530[[#This Row],[Amount 3]]),0)</f>
        <v>0</v>
      </c>
      <c r="G28" s="18">
        <f>IFERROR(AVERAGE(Table31520[[#This Row],[Amount 4]],Table3152025[[#This Row],[Amount 4]],Table315202530[[#This Row],[Amount 4]]),0)</f>
        <v>0</v>
      </c>
      <c r="H28" s="18">
        <f>IFERROR(AVERAGE(Table31520[[#This Row],[Amount 5]],Table3152025[[#This Row],[Amount 5]],Table315202530[[#This Row],[Amount 5]]),0)</f>
        <v>0</v>
      </c>
      <c r="I28" s="18">
        <f>IFERROR(AVERAGE(Table31520[[#This Row],[Amount 6]],Table3152025[[#This Row],[Amount 6]],Table315202530[[#This Row],[Amount 6]]),0)</f>
        <v>0</v>
      </c>
      <c r="J28" s="18">
        <f>IFERROR(AVERAGE(Table31520[[#This Row],[Amount 7]],Table3152025[[#This Row],[Amount 7]],Table315202530[[#This Row],[Amount 7]]),0)</f>
        <v>0</v>
      </c>
      <c r="K28" s="18">
        <f>IFERROR(AVERAGE(Table31520[[#This Row],[Amount 8]],Table3152025[[#This Row],[Amount 8]],Table315202530[[#This Row],[Amount 8]]),0)</f>
        <v>0</v>
      </c>
      <c r="L28" s="18">
        <f>IFERROR(AVERAGE(Table31520[[#This Row],[Amount 9]],Table3152025[[#This Row],[Amount 9]],Table315202530[[#This Row],[Amount 9]]),0)</f>
        <v>0</v>
      </c>
      <c r="M28" s="18">
        <f>IFERROR(AVERAGE(Table31520[[#This Row],[Amount 10]],Table3152025[[#This Row],[Amount 10]],Table315202530[[#This Row],[Amount 10]]),0)</f>
        <v>0</v>
      </c>
      <c r="N28" s="18">
        <f>IFERROR(AVERAGE(Table31520[[#This Row],[Amount 11]],Table3152025[[#This Row],[Amount 11]],Table315202530[[#This Row],[Amount 11]]),0)</f>
        <v>0</v>
      </c>
      <c r="O28" s="18">
        <f>IFERROR(AVERAGE(Table31520[[#This Row],[Amount 12]],Table3152025[[#This Row],[Amount 12]],Table315202530[[#This Row],[Amount 12]]),0)</f>
        <v>0</v>
      </c>
      <c r="P28" s="18">
        <f>IFERROR(AVERAGE(Table31520[[#This Row],[Amount 13]],Table3152025[[#This Row],[Amount 13]],Table315202530[[#This Row],[Amount 13]]),0)</f>
        <v>0</v>
      </c>
      <c r="Q28" s="18">
        <f>IFERROR(AVERAGE(Table31520[[#This Row],[Amount 14]],Table3152025[[#This Row],[Amount 14]],Table315202530[[#This Row],[Amount 14]]),0)</f>
        <v>0</v>
      </c>
      <c r="R28" s="18">
        <f>IFERROR(AVERAGE(Table31520[[#This Row],[Amount 15]],Table3152025[[#This Row],[Amount 15]],Table315202530[[#This Row],[Amount 15]]),0)</f>
        <v>0</v>
      </c>
      <c r="S28" s="18">
        <f>IFERROR(AVERAGE(Table31520[[#This Row],[Amount 16]],Table3152025[[#This Row],[Amount 16]],Table315202530[[#This Row],[Amount 16]]),0)</f>
        <v>0</v>
      </c>
      <c r="T28" s="18">
        <f>IFERROR(AVERAGE(Table31520[[#This Row],[Amount 17]],Table3152025[[#This Row],[Amount 17]],Table315202530[[#This Row],[Amount 17]]),0)</f>
        <v>0</v>
      </c>
      <c r="U28" s="18">
        <f>IFERROR(AVERAGE(Table31520[[#This Row],[Amount 18]],Table3152025[[#This Row],[Amount 18]],Table315202530[[#This Row],[Amount 18]]),0)</f>
        <v>0</v>
      </c>
      <c r="V28" s="18">
        <f>IFERROR(AVERAGE(Table31520[[#This Row],[Amount 19]],Table3152025[[#This Row],[Amount 19]],Table315202530[[#This Row],[Amount 19]]),0)</f>
        <v>0</v>
      </c>
      <c r="W28" s="18">
        <f>IFERROR(AVERAGE(Table31520[[#This Row],[Ret.Time ]],Table3152025[[#This Row],[Ret.Time ]],Table315202530[[#This Row],[Ret.Time ]]),0)</f>
        <v>0</v>
      </c>
      <c r="X28" s="18">
        <f>IFERROR(AVERAGE(Table31520[[#This Row],[Amount 20]],Table3152025[[#This Row],[Amount 20]],Table315202530[[#This Row],[Amount 20]]),0)</f>
        <v>0</v>
      </c>
      <c r="Y28" s="18">
        <f>IFERROR(AVERAGE(Table31520[[#This Row],[Ret.Time]],Table3152025[[#This Row],[Ret.Time]],Table315202530[[#This Row],[Ret.Time]]),0)</f>
        <v>0</v>
      </c>
      <c r="Z28" s="18">
        <f>IFERROR(AVERAGE(Table31520[[#This Row],[Amount 21]],Table3152025[[#This Row],[Amount 21]],Table315202530[[#This Row],[Amount 21]]),0)</f>
        <v>0</v>
      </c>
      <c r="AA28" s="18">
        <f>IFERROR(AVERAGE(Table31520[[#This Row],[Ret.Time22]],Table3152025[[#This Row],[Ret.Time22]],Table315202530[[#This Row],[Ret.Time22]]),0)</f>
        <v>0</v>
      </c>
      <c r="AB28" s="18">
        <f>IFERROR(AVERAGE(Table31520[[#This Row],[Amount 23]],Table3152025[[#This Row],[Amount 23]],Table315202530[[#This Row],[Amount 23]]),0)</f>
        <v>0</v>
      </c>
      <c r="AC28" s="18">
        <f>IFERROR(AVERAGE(Table31520[[#This Row],[Ret.Time24]],Table3152025[[#This Row],[Ret.Time24]],Table315202530[[#This Row],[Ret.Time24]]),0)</f>
        <v>0</v>
      </c>
      <c r="AD28" s="18">
        <f>IFERROR(AVERAGE(Table31520[[#This Row],[Amount 25]],Table3152025[[#This Row],[Amount 25]],Table315202530[[#This Row],[Amount 25]]),0)</f>
        <v>0</v>
      </c>
      <c r="AE28" s="18">
        <f>IFERROR(AVERAGE(Table31520[[#This Row],[pH]],Table3152025[[#This Row],[pH]],Table315202530[[#This Row],[pH]]),0)</f>
        <v>0</v>
      </c>
      <c r="AF28" s="18">
        <f>IFERROR(AVERAGE(Table31520[[#This Row],[dilution ]],Table3152025[[#This Row],[dilution ]],Table315202530[[#This Row],[dilution ]]),0)</f>
        <v>0</v>
      </c>
      <c r="AG28" s="18">
        <f>IFERROR(AVERAGE(Table31520[[#This Row],[correction]],Table3152025[[#This Row],[correction]],Table315202530[[#This Row],[correction factor]]),0)</f>
        <v>1</v>
      </c>
      <c r="AH28" s="18">
        <f>IFERROR(AVERAGE(Table31520[[#This Row],[amount]],Table3152025[[#This Row],[amount]],Table315202530[[#This Row],[amount]]),0)</f>
        <v>0</v>
      </c>
      <c r="AI28" s="18">
        <f>IFERROR(AVERAGE(Table31520[[#This Row],[pressure]],Table3152025[[#This Row],[pressure]],Table315202530[[#This Row],[pressure]]),0)</f>
        <v>0</v>
      </c>
      <c r="AJ28" s="64">
        <f>AVERAGE(Table51621[[#This Row],[Concentration]],Table5162126[[#This Row],[Concentration]],Table516212631[[#This Row],[Concentration]])</f>
        <v>0</v>
      </c>
      <c r="AK28" s="64">
        <f>AVERAGE(Table51621[[#This Row],[Concentration2]],Table5162126[[#This Row],[Concentration2]],Table516212631[[#This Row],[Concentration2]])</f>
        <v>0</v>
      </c>
      <c r="AL28" s="64">
        <f>AVERAGE(Table51621[[#This Row],[Concentration3]],Table5162126[[#This Row],[Concentration3]],Table516212631[[#This Row],[Concentration3]])</f>
        <v>0</v>
      </c>
      <c r="AM28" s="64">
        <f>AVERAGE(Table51621[[#This Row],[Concentration4]],Table5162126[[#This Row],[Concentration4]],Table516212631[[#This Row],[Concentration4]])</f>
        <v>0</v>
      </c>
      <c r="AN28" s="64">
        <f>AVERAGE(Table51621[[#This Row],[Concentration5]],Table5162126[[#This Row],[Concentration5]],Table516212631[[#This Row],[Concentration5]])</f>
        <v>0</v>
      </c>
      <c r="AO28" s="64">
        <f>AVERAGE(Table51621[[#This Row],[Concentration6]],Table5162126[[#This Row],[Concentration6]],Table516212631[[#This Row],[Concentration6]])</f>
        <v>0</v>
      </c>
      <c r="AP28" s="64">
        <f>AVERAGE(Table51621[[#This Row],[Concentration7]],Table5162126[[#This Row],[Concentration7]],Table516212631[[#This Row],[Concentration7]])</f>
        <v>0</v>
      </c>
      <c r="AQ28" s="64">
        <f>AVERAGE(Table51621[[#This Row],[Concentration8]],Table5162126[[#This Row],[Concentration8]],Table516212631[[#This Row],[Concentration8]])</f>
        <v>0</v>
      </c>
      <c r="AR28" s="64">
        <f>AVERAGE(Table51621[[#This Row],[Concentration9]],Table5162126[[#This Row],[Concentration9]],Table516212631[[#This Row],[Concentration9]])</f>
        <v>0</v>
      </c>
      <c r="AS28" s="64">
        <f>AVERAGE(Table51621[[#This Row],[Concentration10]],Table5162126[[#This Row],[Concentration10]],Table516212631[[#This Row],[Concentration10]])</f>
        <v>0</v>
      </c>
      <c r="AT28" s="64">
        <f>AVERAGE(Table51621[[#This Row],[Concentration11]],Table5162126[[#This Row],[Concentration11]],Table516212631[[#This Row],[Concentration11]])</f>
        <v>0</v>
      </c>
      <c r="AU28" s="64">
        <f>AVERAGE(Table51621[[#This Row],[Concentration12]],Table5162126[[#This Row],[Concentration12]],Table516212631[[#This Row],[Concentration12]])</f>
        <v>0</v>
      </c>
      <c r="AV28" s="64">
        <f>AVERAGE(Table51621[[#This Row],[Concentration13]],Table5162126[[#This Row],[Concentration13]],Table516212631[[#This Row],[Concentration13]])</f>
        <v>0</v>
      </c>
      <c r="AW28" s="64">
        <f>(IF(IFERROR(Q28-#REF!,Q28)&gt;constants!$D$13,(IFERROR(Q28-#REF!,Q28)*$C28/constants!$B$13),0))</f>
        <v>0</v>
      </c>
      <c r="AX28" s="64">
        <f>AVERAGE(Table51621[[#This Row],[Concentration15]],Table5162126[[#This Row],[Concentration15]],Table516212631[[#This Row],[Concentration15]])</f>
        <v>0</v>
      </c>
      <c r="AY28" s="64">
        <f>AVERAGE(Table51621[[#This Row],[Concentration16]],Table5162126[[#This Row],[Concentration16]],Table516212631[[#This Row],[Concentration16]])</f>
        <v>0</v>
      </c>
      <c r="AZ28" s="64">
        <f>AVERAGE(Table51621[[#This Row],[Concentration17]],Table5162126[[#This Row],[Concentration17]],Table516212631[[#This Row],[Concentration17]])</f>
        <v>0</v>
      </c>
      <c r="BA28" s="64">
        <f>AVERAGE(Table51621[[#This Row],[Concentration172]],Table5162126[[#This Row],[Concentration172]],Table516212631[[#This Row],[Concentration172]])</f>
        <v>0</v>
      </c>
      <c r="BB28" s="64" t="e">
        <f>AVERAGE(Table51621[[#This Row],[Concentration18]],Table5162126[[#This Row],[Concentration18]],Table516212631[[#This Row],[Concentration18]])</f>
        <v>#DIV/0!</v>
      </c>
      <c r="BC28" s="64" t="e">
        <f>AVERAGE(Table51621[[#This Row],[Concentration19]],Table5162126[[#This Row],[Concentration19]],Table516212631[[#This Row],[Concentration19]])</f>
        <v>#DIV/0!</v>
      </c>
      <c r="BD28" s="64">
        <f>AVERAGE(Table51621[[#This Row],[Concentration]],Table5162126[[#This Row],[Concentration]],Table516212631[[#This Row],[Concentration]])</f>
        <v>0</v>
      </c>
      <c r="BE28" s="64">
        <f>AVERAGE(Table51621[[#This Row],[Concentration2]],Table5162126[[#This Row],[Concentration2]],Table516212631[[#This Row],[Concentration2]])</f>
        <v>0</v>
      </c>
      <c r="BF28" s="64">
        <f>AVERAGE(Table51621[[#This Row],[Concentration3]],Table5162126[[#This Row],[Concentration3]],Table516212631[[#This Row],[Concentration3]])</f>
        <v>0</v>
      </c>
      <c r="BG28" s="64">
        <f>AVERAGE(Table51621[[#This Row],[Concentration4]],Table5162126[[#This Row],[Concentration4]],Table516212631[[#This Row],[Concentration4]])</f>
        <v>0</v>
      </c>
      <c r="BH28" s="64">
        <f>AVERAGE(Table51621[[#This Row],[Concentration5]],Table5162126[[#This Row],[Concentration5]],Table516212631[[#This Row],[Concentration5]])</f>
        <v>0</v>
      </c>
      <c r="BI28" s="64"/>
      <c r="BJ28" s="64"/>
      <c r="BK28" s="64"/>
      <c r="BL28" s="64"/>
      <c r="BM28" s="64"/>
      <c r="BN28" s="64"/>
      <c r="BO28" s="64"/>
      <c r="BP28" s="64"/>
      <c r="BQ28" s="64"/>
      <c r="BR28" s="64"/>
      <c r="BS28" s="64"/>
      <c r="BT28" s="64"/>
      <c r="BU28" s="64"/>
      <c r="BV28" s="64"/>
      <c r="BW28" s="64"/>
      <c r="CM28" s="66" t="s">
        <v>206</v>
      </c>
    </row>
    <row r="29" spans="1:105" s="47" customFormat="1" ht="16" thickBot="1" x14ac:dyDescent="0.4">
      <c r="A29" s="63">
        <f>Table2[[#This Row],[Date]]</f>
        <v>0</v>
      </c>
      <c r="B29" s="74">
        <f>Table2[[#This Row],[Time]]</f>
        <v>0</v>
      </c>
      <c r="C29" s="54"/>
      <c r="D29" s="18">
        <f>IFERROR(AVERAGE(Table31520[[#This Row],[Amount ]],Table3152025[[#This Row],[Amount ]],Table315202530[[#This Row],[Amount ]]),0)</f>
        <v>0</v>
      </c>
      <c r="E29" s="18">
        <f>IFERROR(AVERAGE(Table31520[[#This Row],[Amount 2]],Table3152025[[#This Row],[Amount 2]],Table315202530[[#This Row],[Amount 2]]),0)</f>
        <v>0</v>
      </c>
      <c r="F29" s="18">
        <f>IFERROR(AVERAGE(Table31520[[#This Row],[Amount 3]],Table3152025[[#This Row],[Amount 3]],Table315202530[[#This Row],[Amount 3]]),0)</f>
        <v>0</v>
      </c>
      <c r="G29" s="18">
        <f>IFERROR(AVERAGE(Table31520[[#This Row],[Amount 4]],Table3152025[[#This Row],[Amount 4]],Table315202530[[#This Row],[Amount 4]]),0)</f>
        <v>0</v>
      </c>
      <c r="H29" s="18">
        <f>IFERROR(AVERAGE(Table31520[[#This Row],[Amount 5]],Table3152025[[#This Row],[Amount 5]],Table315202530[[#This Row],[Amount 5]]),0)</f>
        <v>0</v>
      </c>
      <c r="I29" s="18">
        <f>IFERROR(AVERAGE(Table31520[[#This Row],[Amount 6]],Table3152025[[#This Row],[Amount 6]],Table315202530[[#This Row],[Amount 6]]),0)</f>
        <v>0</v>
      </c>
      <c r="J29" s="18">
        <f>IFERROR(AVERAGE(Table31520[[#This Row],[Amount 7]],Table3152025[[#This Row],[Amount 7]],Table315202530[[#This Row],[Amount 7]]),0)</f>
        <v>0</v>
      </c>
      <c r="K29" s="18">
        <f>IFERROR(AVERAGE(Table31520[[#This Row],[Amount 8]],Table3152025[[#This Row],[Amount 8]],Table315202530[[#This Row],[Amount 8]]),0)</f>
        <v>0</v>
      </c>
      <c r="L29" s="18">
        <f>IFERROR(AVERAGE(Table31520[[#This Row],[Amount 9]],Table3152025[[#This Row],[Amount 9]],Table315202530[[#This Row],[Amount 9]]),0)</f>
        <v>0</v>
      </c>
      <c r="M29" s="18">
        <f>IFERROR(AVERAGE(Table31520[[#This Row],[Amount 10]],Table3152025[[#This Row],[Amount 10]],Table315202530[[#This Row],[Amount 10]]),0)</f>
        <v>0</v>
      </c>
      <c r="N29" s="18">
        <f>IFERROR(AVERAGE(Table31520[[#This Row],[Amount 11]],Table3152025[[#This Row],[Amount 11]],Table315202530[[#This Row],[Amount 11]]),0)</f>
        <v>0</v>
      </c>
      <c r="O29" s="18">
        <f>IFERROR(AVERAGE(Table31520[[#This Row],[Amount 12]],Table3152025[[#This Row],[Amount 12]],Table315202530[[#This Row],[Amount 12]]),0)</f>
        <v>0</v>
      </c>
      <c r="P29" s="18">
        <f>IFERROR(AVERAGE(Table31520[[#This Row],[Amount 13]],Table3152025[[#This Row],[Amount 13]],Table315202530[[#This Row],[Amount 13]]),0)</f>
        <v>0</v>
      </c>
      <c r="Q29" s="18">
        <f>IFERROR(AVERAGE(Table31520[[#This Row],[Amount 14]],Table3152025[[#This Row],[Amount 14]],Table315202530[[#This Row],[Amount 14]]),0)</f>
        <v>0</v>
      </c>
      <c r="R29" s="18">
        <f>IFERROR(AVERAGE(Table31520[[#This Row],[Amount 15]],Table3152025[[#This Row],[Amount 15]],Table315202530[[#This Row],[Amount 15]]),0)</f>
        <v>0</v>
      </c>
      <c r="S29" s="18">
        <f>IFERROR(AVERAGE(Table31520[[#This Row],[Amount 16]],Table3152025[[#This Row],[Amount 16]],Table315202530[[#This Row],[Amount 16]]),0)</f>
        <v>0</v>
      </c>
      <c r="T29" s="18">
        <f>IFERROR(AVERAGE(Table31520[[#This Row],[Amount 17]],Table3152025[[#This Row],[Amount 17]],Table315202530[[#This Row],[Amount 17]]),0)</f>
        <v>0</v>
      </c>
      <c r="U29" s="18">
        <f>IFERROR(AVERAGE(Table31520[[#This Row],[Amount 18]],Table3152025[[#This Row],[Amount 18]],Table315202530[[#This Row],[Amount 18]]),0)</f>
        <v>0</v>
      </c>
      <c r="V29" s="18">
        <f>IFERROR(AVERAGE(Table31520[[#This Row],[Amount 19]],Table3152025[[#This Row],[Amount 19]],Table315202530[[#This Row],[Amount 19]]),0)</f>
        <v>0</v>
      </c>
      <c r="W29" s="18">
        <f>IFERROR(AVERAGE(Table31520[[#This Row],[Ret.Time ]],Table3152025[[#This Row],[Ret.Time ]],Table315202530[[#This Row],[Ret.Time ]]),0)</f>
        <v>0</v>
      </c>
      <c r="X29" s="18">
        <f>IFERROR(AVERAGE(Table31520[[#This Row],[Amount 20]],Table3152025[[#This Row],[Amount 20]],Table315202530[[#This Row],[Amount 20]]),0)</f>
        <v>0</v>
      </c>
      <c r="Y29" s="18">
        <f>IFERROR(AVERAGE(Table31520[[#This Row],[Ret.Time]],Table3152025[[#This Row],[Ret.Time]],Table315202530[[#This Row],[Ret.Time]]),0)</f>
        <v>0</v>
      </c>
      <c r="Z29" s="18">
        <f>IFERROR(AVERAGE(Table31520[[#This Row],[Amount 21]],Table3152025[[#This Row],[Amount 21]],Table315202530[[#This Row],[Amount 21]]),0)</f>
        <v>0</v>
      </c>
      <c r="AA29" s="18">
        <f>IFERROR(AVERAGE(Table31520[[#This Row],[Ret.Time22]],Table3152025[[#This Row],[Ret.Time22]],Table315202530[[#This Row],[Ret.Time22]]),0)</f>
        <v>0</v>
      </c>
      <c r="AB29" s="18">
        <f>IFERROR(AVERAGE(Table31520[[#This Row],[Amount 23]],Table3152025[[#This Row],[Amount 23]],Table315202530[[#This Row],[Amount 23]]),0)</f>
        <v>0</v>
      </c>
      <c r="AC29" s="18">
        <f>IFERROR(AVERAGE(Table31520[[#This Row],[Ret.Time24]],Table3152025[[#This Row],[Ret.Time24]],Table315202530[[#This Row],[Ret.Time24]]),0)</f>
        <v>0</v>
      </c>
      <c r="AD29" s="18">
        <f>IFERROR(AVERAGE(Table31520[[#This Row],[Amount 25]],Table3152025[[#This Row],[Amount 25]],Table315202530[[#This Row],[Amount 25]]),0)</f>
        <v>0</v>
      </c>
      <c r="AE29" s="18">
        <f>IFERROR(AVERAGE(Table31520[[#This Row],[pH]],Table3152025[[#This Row],[pH]],Table315202530[[#This Row],[pH]]),0)</f>
        <v>0</v>
      </c>
      <c r="AF29" s="18">
        <f>IFERROR(AVERAGE(Table31520[[#This Row],[dilution ]],Table3152025[[#This Row],[dilution ]],Table315202530[[#This Row],[dilution ]]),0)</f>
        <v>0</v>
      </c>
      <c r="AG29" s="18">
        <f>IFERROR(AVERAGE(Table31520[[#This Row],[correction]],Table3152025[[#This Row],[correction]],Table315202530[[#This Row],[correction factor]]),0)</f>
        <v>1</v>
      </c>
      <c r="AH29" s="18">
        <f>IFERROR(AVERAGE(Table31520[[#This Row],[amount]],Table3152025[[#This Row],[amount]],Table315202530[[#This Row],[amount]]),0)</f>
        <v>0</v>
      </c>
      <c r="AI29" s="18">
        <f>IFERROR(AVERAGE(Table31520[[#This Row],[pressure]],Table3152025[[#This Row],[pressure]],Table315202530[[#This Row],[pressure]]),0)</f>
        <v>0</v>
      </c>
      <c r="AJ29" s="64">
        <f>AVERAGE(Table51621[[#This Row],[Concentration]],Table5162126[[#This Row],[Concentration]],Table516212631[[#This Row],[Concentration]])</f>
        <v>0</v>
      </c>
      <c r="AK29" s="64">
        <f>AVERAGE(Table51621[[#This Row],[Concentration2]],Table5162126[[#This Row],[Concentration2]],Table516212631[[#This Row],[Concentration2]])</f>
        <v>0</v>
      </c>
      <c r="AL29" s="64">
        <f>AVERAGE(Table51621[[#This Row],[Concentration3]],Table5162126[[#This Row],[Concentration3]],Table516212631[[#This Row],[Concentration3]])</f>
        <v>0</v>
      </c>
      <c r="AM29" s="64">
        <f>AVERAGE(Table51621[[#This Row],[Concentration4]],Table5162126[[#This Row],[Concentration4]],Table516212631[[#This Row],[Concentration4]])</f>
        <v>0</v>
      </c>
      <c r="AN29" s="64">
        <f>AVERAGE(Table51621[[#This Row],[Concentration5]],Table5162126[[#This Row],[Concentration5]],Table516212631[[#This Row],[Concentration5]])</f>
        <v>0</v>
      </c>
      <c r="AO29" s="64">
        <f>AVERAGE(Table51621[[#This Row],[Concentration6]],Table5162126[[#This Row],[Concentration6]],Table516212631[[#This Row],[Concentration6]])</f>
        <v>0</v>
      </c>
      <c r="AP29" s="64">
        <f>AVERAGE(Table51621[[#This Row],[Concentration7]],Table5162126[[#This Row],[Concentration7]],Table516212631[[#This Row],[Concentration7]])</f>
        <v>0</v>
      </c>
      <c r="AQ29" s="64">
        <f>AVERAGE(Table51621[[#This Row],[Concentration8]],Table5162126[[#This Row],[Concentration8]],Table516212631[[#This Row],[Concentration8]])</f>
        <v>0</v>
      </c>
      <c r="AR29" s="64">
        <f>AVERAGE(Table51621[[#This Row],[Concentration9]],Table5162126[[#This Row],[Concentration9]],Table516212631[[#This Row],[Concentration9]])</f>
        <v>0</v>
      </c>
      <c r="AS29" s="64">
        <f>AVERAGE(Table51621[[#This Row],[Concentration10]],Table5162126[[#This Row],[Concentration10]],Table516212631[[#This Row],[Concentration10]])</f>
        <v>0</v>
      </c>
      <c r="AT29" s="64">
        <f>AVERAGE(Table51621[[#This Row],[Concentration11]],Table5162126[[#This Row],[Concentration11]],Table516212631[[#This Row],[Concentration11]])</f>
        <v>0</v>
      </c>
      <c r="AU29" s="64">
        <f>AVERAGE(Table51621[[#This Row],[Concentration12]],Table5162126[[#This Row],[Concentration12]],Table516212631[[#This Row],[Concentration12]])</f>
        <v>0</v>
      </c>
      <c r="AV29" s="64">
        <f>AVERAGE(Table51621[[#This Row],[Concentration13]],Table5162126[[#This Row],[Concentration13]],Table516212631[[#This Row],[Concentration13]])</f>
        <v>0</v>
      </c>
      <c r="AW29" s="64">
        <f>(IF(IFERROR(Q29-#REF!,Q29)&gt;constants!$D$13,(IFERROR(Q29-#REF!,Q29)*$C29/constants!$B$13),0))</f>
        <v>0</v>
      </c>
      <c r="AX29" s="64">
        <f>AVERAGE(Table51621[[#This Row],[Concentration15]],Table5162126[[#This Row],[Concentration15]],Table516212631[[#This Row],[Concentration15]])</f>
        <v>0</v>
      </c>
      <c r="AY29" s="64">
        <f>AVERAGE(Table51621[[#This Row],[Concentration16]],Table5162126[[#This Row],[Concentration16]],Table516212631[[#This Row],[Concentration16]])</f>
        <v>0</v>
      </c>
      <c r="AZ29" s="64">
        <f>AVERAGE(Table51621[[#This Row],[Concentration17]],Table5162126[[#This Row],[Concentration17]],Table516212631[[#This Row],[Concentration17]])</f>
        <v>0</v>
      </c>
      <c r="BA29" s="64">
        <f>AVERAGE(Table51621[[#This Row],[Concentration172]],Table5162126[[#This Row],[Concentration172]],Table516212631[[#This Row],[Concentration172]])</f>
        <v>0</v>
      </c>
      <c r="BB29" s="64" t="e">
        <f>AVERAGE(Table51621[[#This Row],[Concentration18]],Table5162126[[#This Row],[Concentration18]],Table516212631[[#This Row],[Concentration18]])</f>
        <v>#DIV/0!</v>
      </c>
      <c r="BC29" s="64" t="e">
        <f>AVERAGE(Table51621[[#This Row],[Concentration19]],Table5162126[[#This Row],[Concentration19]],Table516212631[[#This Row],[Concentration19]])</f>
        <v>#DIV/0!</v>
      </c>
      <c r="BD29" s="64">
        <f>AVERAGE(Table51621[[#This Row],[Concentration]],Table5162126[[#This Row],[Concentration]],Table516212631[[#This Row],[Concentration]])</f>
        <v>0</v>
      </c>
      <c r="BE29" s="64">
        <f>AVERAGE(Table51621[[#This Row],[Concentration2]],Table5162126[[#This Row],[Concentration2]],Table516212631[[#This Row],[Concentration2]])</f>
        <v>0</v>
      </c>
      <c r="BF29" s="64">
        <f>AVERAGE(Table51621[[#This Row],[Concentration3]],Table5162126[[#This Row],[Concentration3]],Table516212631[[#This Row],[Concentration3]])</f>
        <v>0</v>
      </c>
      <c r="BG29" s="64">
        <f>AVERAGE(Table51621[[#This Row],[Concentration4]],Table5162126[[#This Row],[Concentration4]],Table516212631[[#This Row],[Concentration4]])</f>
        <v>0</v>
      </c>
      <c r="BH29" s="64">
        <f>AVERAGE(Table51621[[#This Row],[Concentration5]],Table5162126[[#This Row],[Concentration5]],Table516212631[[#This Row],[Concentration5]])</f>
        <v>0</v>
      </c>
      <c r="BI29" s="64"/>
      <c r="BJ29" s="64"/>
      <c r="BK29" s="64"/>
      <c r="BL29" s="64"/>
      <c r="BM29" s="64"/>
      <c r="BN29" s="64"/>
      <c r="BO29" s="64"/>
      <c r="BP29" s="64"/>
      <c r="BQ29" s="64"/>
      <c r="BR29" s="64"/>
      <c r="BS29" s="64"/>
      <c r="BT29" s="64"/>
      <c r="BU29" s="64"/>
      <c r="BV29" s="64"/>
      <c r="BW29" s="64"/>
      <c r="CM29" s="184">
        <f>SUM(CG16:CG23)</f>
        <v>8.6050463533372146E-2</v>
      </c>
      <c r="CN29" s="184">
        <f t="shared" ref="CN29:CR29" si="5">SUM(CH16:CH23)</f>
        <v>0.13302547264995884</v>
      </c>
      <c r="CO29" s="184">
        <f t="shared" si="5"/>
        <v>0.35860817310672244</v>
      </c>
      <c r="CP29" s="184">
        <f t="shared" si="5"/>
        <v>2.2881968824902E-2</v>
      </c>
      <c r="CQ29" s="184">
        <f t="shared" si="5"/>
        <v>1.6355423129604623E-2</v>
      </c>
      <c r="CR29" s="184">
        <f t="shared" si="5"/>
        <v>3.9452160557521751E-2</v>
      </c>
    </row>
    <row r="30" spans="1:105" s="66" customFormat="1" ht="16" thickBot="1" x14ac:dyDescent="0.4">
      <c r="A30" s="63">
        <f>Table2[[#This Row],[Date]]</f>
        <v>0</v>
      </c>
      <c r="B30" s="74">
        <f>Table2[[#This Row],[Time]]</f>
        <v>0</v>
      </c>
      <c r="C30" s="79"/>
      <c r="D30" s="18">
        <f>IFERROR(AVERAGE(Table31520[[#This Row],[Amount ]],Table3152025[[#This Row],[Amount ]],Table315202530[[#This Row],[Amount ]]),0)</f>
        <v>0</v>
      </c>
      <c r="E30" s="18">
        <f>IFERROR(AVERAGE(Table31520[[#This Row],[Amount 2]],Table3152025[[#This Row],[Amount 2]],Table315202530[[#This Row],[Amount 2]]),0)</f>
        <v>0</v>
      </c>
      <c r="F30" s="18">
        <f>IFERROR(AVERAGE(Table31520[[#This Row],[Amount 3]],Table3152025[[#This Row],[Amount 3]],Table315202530[[#This Row],[Amount 3]]),0)</f>
        <v>0</v>
      </c>
      <c r="G30" s="18">
        <f>IFERROR(AVERAGE(Table31520[[#This Row],[Amount 4]],Table3152025[[#This Row],[Amount 4]],Table315202530[[#This Row],[Amount 4]]),0)</f>
        <v>0</v>
      </c>
      <c r="H30" s="18">
        <f>IFERROR(AVERAGE(Table31520[[#This Row],[Amount 5]],Table3152025[[#This Row],[Amount 5]],Table315202530[[#This Row],[Amount 5]]),0)</f>
        <v>0</v>
      </c>
      <c r="I30" s="18">
        <f>IFERROR(AVERAGE(Table31520[[#This Row],[Amount 6]],Table3152025[[#This Row],[Amount 6]],Table315202530[[#This Row],[Amount 6]]),0)</f>
        <v>0</v>
      </c>
      <c r="J30" s="18">
        <f>IFERROR(AVERAGE(Table31520[[#This Row],[Amount 7]],Table3152025[[#This Row],[Amount 7]],Table315202530[[#This Row],[Amount 7]]),0)</f>
        <v>0</v>
      </c>
      <c r="K30" s="18">
        <f>IFERROR(AVERAGE(Table31520[[#This Row],[Amount 8]],Table3152025[[#This Row],[Amount 8]],Table315202530[[#This Row],[Amount 8]]),0)</f>
        <v>0</v>
      </c>
      <c r="L30" s="18">
        <f>IFERROR(AVERAGE(Table31520[[#This Row],[Amount 9]],Table3152025[[#This Row],[Amount 9]],Table315202530[[#This Row],[Amount 9]]),0)</f>
        <v>0</v>
      </c>
      <c r="M30" s="18">
        <f>IFERROR(AVERAGE(Table31520[[#This Row],[Amount 10]],Table3152025[[#This Row],[Amount 10]],Table315202530[[#This Row],[Amount 10]]),0)</f>
        <v>0</v>
      </c>
      <c r="N30" s="18">
        <f>IFERROR(AVERAGE(Table31520[[#This Row],[Amount 11]],Table3152025[[#This Row],[Amount 11]],Table315202530[[#This Row],[Amount 11]]),0)</f>
        <v>0</v>
      </c>
      <c r="O30" s="18">
        <f>IFERROR(AVERAGE(Table31520[[#This Row],[Amount 12]],Table3152025[[#This Row],[Amount 12]],Table315202530[[#This Row],[Amount 12]]),0)</f>
        <v>0</v>
      </c>
      <c r="P30" s="18">
        <f>IFERROR(AVERAGE(Table31520[[#This Row],[Amount 13]],Table3152025[[#This Row],[Amount 13]],Table315202530[[#This Row],[Amount 13]]),0)</f>
        <v>0</v>
      </c>
      <c r="Q30" s="18">
        <f>IFERROR(AVERAGE(Table31520[[#This Row],[Amount 14]],Table3152025[[#This Row],[Amount 14]],Table315202530[[#This Row],[Amount 14]]),0)</f>
        <v>0</v>
      </c>
      <c r="R30" s="18">
        <f>IFERROR(AVERAGE(Table31520[[#This Row],[Amount 15]],Table3152025[[#This Row],[Amount 15]],Table315202530[[#This Row],[Amount 15]]),0)</f>
        <v>0</v>
      </c>
      <c r="S30" s="18">
        <f>IFERROR(AVERAGE(Table31520[[#This Row],[Amount 16]],Table3152025[[#This Row],[Amount 16]],Table315202530[[#This Row],[Amount 16]]),0)</f>
        <v>0</v>
      </c>
      <c r="T30" s="18">
        <f>IFERROR(AVERAGE(Table31520[[#This Row],[Amount 17]],Table3152025[[#This Row],[Amount 17]],Table315202530[[#This Row],[Amount 17]]),0)</f>
        <v>0</v>
      </c>
      <c r="U30" s="18">
        <f>IFERROR(AVERAGE(Table31520[[#This Row],[Amount 18]],Table3152025[[#This Row],[Amount 18]],Table315202530[[#This Row],[Amount 18]]),0)</f>
        <v>0</v>
      </c>
      <c r="V30" s="18">
        <f>IFERROR(AVERAGE(Table31520[[#This Row],[Amount 19]],Table3152025[[#This Row],[Amount 19]],Table315202530[[#This Row],[Amount 19]]),0)</f>
        <v>0</v>
      </c>
      <c r="W30" s="18">
        <f>IFERROR(AVERAGE(Table31520[[#This Row],[Ret.Time ]],Table3152025[[#This Row],[Ret.Time ]],Table315202530[[#This Row],[Ret.Time ]]),0)</f>
        <v>0</v>
      </c>
      <c r="X30" s="18">
        <f>IFERROR(AVERAGE(Table31520[[#This Row],[Amount 20]],Table3152025[[#This Row],[Amount 20]],Table315202530[[#This Row],[Amount 20]]),0)</f>
        <v>0</v>
      </c>
      <c r="Y30" s="18">
        <f>IFERROR(AVERAGE(Table31520[[#This Row],[Ret.Time]],Table3152025[[#This Row],[Ret.Time]],Table315202530[[#This Row],[Ret.Time]]),0)</f>
        <v>0</v>
      </c>
      <c r="Z30" s="18">
        <f>IFERROR(AVERAGE(Table31520[[#This Row],[Amount 21]],Table3152025[[#This Row],[Amount 21]],Table315202530[[#This Row],[Amount 21]]),0)</f>
        <v>0</v>
      </c>
      <c r="AA30" s="18">
        <f>IFERROR(AVERAGE(Table31520[[#This Row],[Ret.Time22]],Table3152025[[#This Row],[Ret.Time22]],Table315202530[[#This Row],[Ret.Time22]]),0)</f>
        <v>0</v>
      </c>
      <c r="AB30" s="18">
        <f>IFERROR(AVERAGE(Table31520[[#This Row],[Amount 23]],Table3152025[[#This Row],[Amount 23]],Table315202530[[#This Row],[Amount 23]]),0)</f>
        <v>0</v>
      </c>
      <c r="AC30" s="18">
        <f>IFERROR(AVERAGE(Table31520[[#This Row],[Ret.Time24]],Table3152025[[#This Row],[Ret.Time24]],Table315202530[[#This Row],[Ret.Time24]]),0)</f>
        <v>0</v>
      </c>
      <c r="AD30" s="18">
        <f>IFERROR(AVERAGE(Table31520[[#This Row],[Amount 25]],Table3152025[[#This Row],[Amount 25]],Table315202530[[#This Row],[Amount 25]]),0)</f>
        <v>0</v>
      </c>
      <c r="AE30" s="18">
        <f>IFERROR(AVERAGE(Table31520[[#This Row],[pH]],Table3152025[[#This Row],[pH]],Table315202530[[#This Row],[pH]]),0)</f>
        <v>0</v>
      </c>
      <c r="AF30" s="18">
        <f>IFERROR(AVERAGE(Table31520[[#This Row],[dilution ]],Table3152025[[#This Row],[dilution ]],Table315202530[[#This Row],[dilution ]]),0)</f>
        <v>0</v>
      </c>
      <c r="AG30" s="18">
        <f>IFERROR(AVERAGE(Table31520[[#This Row],[correction]],Table3152025[[#This Row],[correction]],Table315202530[[#This Row],[correction factor]]),0)</f>
        <v>1</v>
      </c>
      <c r="AH30" s="18">
        <f>IFERROR(AVERAGE(Table31520[[#This Row],[amount]],Table3152025[[#This Row],[amount]],Table315202530[[#This Row],[amount]]),0)</f>
        <v>0</v>
      </c>
      <c r="AI30" s="18">
        <f>IFERROR(AVERAGE(Table31520[[#This Row],[pressure]],Table3152025[[#This Row],[pressure]],Table315202530[[#This Row],[pressure]]),0)</f>
        <v>0</v>
      </c>
      <c r="AJ30" s="64">
        <f>AVERAGE(Table51621[[#This Row],[Concentration]],Table5162126[[#This Row],[Concentration]],Table516212631[[#This Row],[Concentration]])</f>
        <v>0</v>
      </c>
      <c r="AK30" s="64">
        <f>AVERAGE(Table51621[[#This Row],[Concentration2]],Table5162126[[#This Row],[Concentration2]],Table516212631[[#This Row],[Concentration2]])</f>
        <v>0</v>
      </c>
      <c r="AL30" s="64">
        <f>AVERAGE(Table51621[[#This Row],[Concentration3]],Table5162126[[#This Row],[Concentration3]],Table516212631[[#This Row],[Concentration3]])</f>
        <v>0</v>
      </c>
      <c r="AM30" s="64">
        <f>AVERAGE(Table51621[[#This Row],[Concentration4]],Table5162126[[#This Row],[Concentration4]],Table516212631[[#This Row],[Concentration4]])</f>
        <v>0</v>
      </c>
      <c r="AN30" s="64">
        <f>AVERAGE(Table51621[[#This Row],[Concentration5]],Table5162126[[#This Row],[Concentration5]],Table516212631[[#This Row],[Concentration5]])</f>
        <v>0</v>
      </c>
      <c r="AO30" s="64">
        <f>AVERAGE(Table51621[[#This Row],[Concentration6]],Table5162126[[#This Row],[Concentration6]],Table516212631[[#This Row],[Concentration6]])</f>
        <v>0</v>
      </c>
      <c r="AP30" s="64">
        <f>AVERAGE(Table51621[[#This Row],[Concentration7]],Table5162126[[#This Row],[Concentration7]],Table516212631[[#This Row],[Concentration7]])</f>
        <v>0</v>
      </c>
      <c r="AQ30" s="64">
        <f>AVERAGE(Table51621[[#This Row],[Concentration8]],Table5162126[[#This Row],[Concentration8]],Table516212631[[#This Row],[Concentration8]])</f>
        <v>0</v>
      </c>
      <c r="AR30" s="64">
        <f>AVERAGE(Table51621[[#This Row],[Concentration9]],Table5162126[[#This Row],[Concentration9]],Table516212631[[#This Row],[Concentration9]])</f>
        <v>0</v>
      </c>
      <c r="AS30" s="64">
        <f>AVERAGE(Table51621[[#This Row],[Concentration10]],Table5162126[[#This Row],[Concentration10]],Table516212631[[#This Row],[Concentration10]])</f>
        <v>0</v>
      </c>
      <c r="AT30" s="64">
        <f>AVERAGE(Table51621[[#This Row],[Concentration11]],Table5162126[[#This Row],[Concentration11]],Table516212631[[#This Row],[Concentration11]])</f>
        <v>0</v>
      </c>
      <c r="AU30" s="64">
        <f>AVERAGE(Table51621[[#This Row],[Concentration12]],Table5162126[[#This Row],[Concentration12]],Table516212631[[#This Row],[Concentration12]])</f>
        <v>0</v>
      </c>
      <c r="AV30" s="64">
        <f>AVERAGE(Table51621[[#This Row],[Concentration13]],Table5162126[[#This Row],[Concentration13]],Table516212631[[#This Row],[Concentration13]])</f>
        <v>0</v>
      </c>
      <c r="AW30" s="64">
        <f>(IF(IFERROR(Q30-#REF!,Q30)&gt;constants!$D$13,(IFERROR(Q30-#REF!,Q30)*$C30/constants!$B$13),0))</f>
        <v>0</v>
      </c>
      <c r="AX30" s="64">
        <f>AVERAGE(Table51621[[#This Row],[Concentration15]],Table5162126[[#This Row],[Concentration15]],Table516212631[[#This Row],[Concentration15]])</f>
        <v>0</v>
      </c>
      <c r="AY30" s="64">
        <f>AVERAGE(Table51621[[#This Row],[Concentration16]],Table5162126[[#This Row],[Concentration16]],Table516212631[[#This Row],[Concentration16]])</f>
        <v>0</v>
      </c>
      <c r="AZ30" s="64">
        <f>AVERAGE(Table51621[[#This Row],[Concentration17]],Table5162126[[#This Row],[Concentration17]],Table516212631[[#This Row],[Concentration17]])</f>
        <v>0</v>
      </c>
      <c r="BA30" s="64">
        <f>AVERAGE(Table51621[[#This Row],[Concentration172]],Table5162126[[#This Row],[Concentration172]],Table516212631[[#This Row],[Concentration172]])</f>
        <v>0</v>
      </c>
      <c r="BB30" s="64" t="e">
        <f>AVERAGE(Table51621[[#This Row],[Concentration18]],Table5162126[[#This Row],[Concentration18]],Table516212631[[#This Row],[Concentration18]])</f>
        <v>#DIV/0!</v>
      </c>
      <c r="BC30" s="64" t="e">
        <f>AVERAGE(Table51621[[#This Row],[Concentration19]],Table5162126[[#This Row],[Concentration19]],Table516212631[[#This Row],[Concentration19]])</f>
        <v>#DIV/0!</v>
      </c>
      <c r="BD30" s="64">
        <f>AVERAGE(Table51621[[#This Row],[Concentration]],Table5162126[[#This Row],[Concentration]],Table516212631[[#This Row],[Concentration]])</f>
        <v>0</v>
      </c>
      <c r="BE30" s="64">
        <f>AVERAGE(Table51621[[#This Row],[Concentration2]],Table5162126[[#This Row],[Concentration2]],Table516212631[[#This Row],[Concentration2]])</f>
        <v>0</v>
      </c>
      <c r="BF30" s="64">
        <f>AVERAGE(Table51621[[#This Row],[Concentration3]],Table5162126[[#This Row],[Concentration3]],Table516212631[[#This Row],[Concentration3]])</f>
        <v>0</v>
      </c>
      <c r="BG30" s="64">
        <f>AVERAGE(Table51621[[#This Row],[Concentration4]],Table5162126[[#This Row],[Concentration4]],Table516212631[[#This Row],[Concentration4]])</f>
        <v>0</v>
      </c>
      <c r="BH30" s="64">
        <f>AVERAGE(Table51621[[#This Row],[Concentration5]],Table5162126[[#This Row],[Concentration5]],Table516212631[[#This Row],[Concentration5]])</f>
        <v>0</v>
      </c>
      <c r="BI30" s="64"/>
      <c r="BJ30" s="64"/>
      <c r="BK30" s="64"/>
      <c r="BL30" s="64"/>
      <c r="BM30" s="64"/>
      <c r="BN30" s="64"/>
      <c r="BO30" s="64"/>
      <c r="BP30" s="64"/>
      <c r="BQ30" s="64"/>
      <c r="BR30" s="64"/>
      <c r="BS30" s="64"/>
      <c r="BT30" s="64"/>
      <c r="BU30" s="64"/>
      <c r="BV30" s="64"/>
      <c r="BW30" s="64"/>
      <c r="CM30" s="66" t="s">
        <v>207</v>
      </c>
      <c r="CT30" s="66" t="s">
        <v>208</v>
      </c>
    </row>
    <row r="31" spans="1:105" s="47" customFormat="1" ht="16" thickBot="1" x14ac:dyDescent="0.4">
      <c r="A31" s="63">
        <f>Table2[[#This Row],[Date]]</f>
        <v>0</v>
      </c>
      <c r="B31" s="74">
        <f>Table2[[#This Row],[Time]]</f>
        <v>0</v>
      </c>
      <c r="C31" s="54"/>
      <c r="D31" s="18">
        <f>IFERROR(AVERAGE(Table31520[[#This Row],[Amount ]],Table3152025[[#This Row],[Amount ]],Table315202530[[#This Row],[Amount ]]),0)</f>
        <v>0</v>
      </c>
      <c r="E31" s="18">
        <f>IFERROR(AVERAGE(Table31520[[#This Row],[Amount 2]],Table3152025[[#This Row],[Amount 2]],Table315202530[[#This Row],[Amount 2]]),0)</f>
        <v>0</v>
      </c>
      <c r="F31" s="18">
        <f>IFERROR(AVERAGE(Table31520[[#This Row],[Amount 3]],Table3152025[[#This Row],[Amount 3]],Table315202530[[#This Row],[Amount 3]]),0)</f>
        <v>0</v>
      </c>
      <c r="G31" s="18">
        <f>IFERROR(AVERAGE(Table31520[[#This Row],[Amount 4]],Table3152025[[#This Row],[Amount 4]],Table315202530[[#This Row],[Amount 4]]),0)</f>
        <v>0</v>
      </c>
      <c r="H31" s="18">
        <f>IFERROR(AVERAGE(Table31520[[#This Row],[Amount 5]],Table3152025[[#This Row],[Amount 5]],Table315202530[[#This Row],[Amount 5]]),0)</f>
        <v>0</v>
      </c>
      <c r="I31" s="18">
        <f>IFERROR(AVERAGE(Table31520[[#This Row],[Amount 6]],Table3152025[[#This Row],[Amount 6]],Table315202530[[#This Row],[Amount 6]]),0)</f>
        <v>0</v>
      </c>
      <c r="J31" s="18">
        <f>IFERROR(AVERAGE(Table31520[[#This Row],[Amount 7]],Table3152025[[#This Row],[Amount 7]],Table315202530[[#This Row],[Amount 7]]),0)</f>
        <v>0</v>
      </c>
      <c r="K31" s="18">
        <f>IFERROR(AVERAGE(Table31520[[#This Row],[Amount 8]],Table3152025[[#This Row],[Amount 8]],Table315202530[[#This Row],[Amount 8]]),0)</f>
        <v>0</v>
      </c>
      <c r="L31" s="18">
        <f>IFERROR(AVERAGE(Table31520[[#This Row],[Amount 9]],Table3152025[[#This Row],[Amount 9]],Table315202530[[#This Row],[Amount 9]]),0)</f>
        <v>0</v>
      </c>
      <c r="M31" s="18">
        <f>IFERROR(AVERAGE(Table31520[[#This Row],[Amount 10]],Table3152025[[#This Row],[Amount 10]],Table315202530[[#This Row],[Amount 10]]),0)</f>
        <v>0</v>
      </c>
      <c r="N31" s="18">
        <f>IFERROR(AVERAGE(Table31520[[#This Row],[Amount 11]],Table3152025[[#This Row],[Amount 11]],Table315202530[[#This Row],[Amount 11]]),0)</f>
        <v>0</v>
      </c>
      <c r="O31" s="18">
        <f>IFERROR(AVERAGE(Table31520[[#This Row],[Amount 12]],Table3152025[[#This Row],[Amount 12]],Table315202530[[#This Row],[Amount 12]]),0)</f>
        <v>0</v>
      </c>
      <c r="P31" s="18">
        <f>IFERROR(AVERAGE(Table31520[[#This Row],[Amount 13]],Table3152025[[#This Row],[Amount 13]],Table315202530[[#This Row],[Amount 13]]),0)</f>
        <v>0</v>
      </c>
      <c r="Q31" s="18">
        <f>IFERROR(AVERAGE(Table31520[[#This Row],[Amount 14]],Table3152025[[#This Row],[Amount 14]],Table315202530[[#This Row],[Amount 14]]),0)</f>
        <v>0</v>
      </c>
      <c r="R31" s="18">
        <f>IFERROR(AVERAGE(Table31520[[#This Row],[Amount 15]],Table3152025[[#This Row],[Amount 15]],Table315202530[[#This Row],[Amount 15]]),0)</f>
        <v>0</v>
      </c>
      <c r="S31" s="18">
        <f>IFERROR(AVERAGE(Table31520[[#This Row],[Amount 16]],Table3152025[[#This Row],[Amount 16]],Table315202530[[#This Row],[Amount 16]]),0)</f>
        <v>0</v>
      </c>
      <c r="T31" s="18">
        <f>IFERROR(AVERAGE(Table31520[[#This Row],[Amount 17]],Table3152025[[#This Row],[Amount 17]],Table315202530[[#This Row],[Amount 17]]),0)</f>
        <v>0</v>
      </c>
      <c r="U31" s="18">
        <f>IFERROR(AVERAGE(Table31520[[#This Row],[Amount 18]],Table3152025[[#This Row],[Amount 18]],Table315202530[[#This Row],[Amount 18]]),0)</f>
        <v>0</v>
      </c>
      <c r="V31" s="18">
        <f>IFERROR(AVERAGE(Table31520[[#This Row],[Amount 19]],Table3152025[[#This Row],[Amount 19]],Table315202530[[#This Row],[Amount 19]]),0)</f>
        <v>0</v>
      </c>
      <c r="W31" s="18">
        <f>IFERROR(AVERAGE(Table31520[[#This Row],[Ret.Time ]],Table3152025[[#This Row],[Ret.Time ]],Table315202530[[#This Row],[Ret.Time ]]),0)</f>
        <v>0</v>
      </c>
      <c r="X31" s="18">
        <f>IFERROR(AVERAGE(Table31520[[#This Row],[Amount 20]],Table3152025[[#This Row],[Amount 20]],Table315202530[[#This Row],[Amount 20]]),0)</f>
        <v>0</v>
      </c>
      <c r="Y31" s="18">
        <f>IFERROR(AVERAGE(Table31520[[#This Row],[Ret.Time]],Table3152025[[#This Row],[Ret.Time]],Table315202530[[#This Row],[Ret.Time]]),0)</f>
        <v>0</v>
      </c>
      <c r="Z31" s="18">
        <f>IFERROR(AVERAGE(Table31520[[#This Row],[Amount 21]],Table3152025[[#This Row],[Amount 21]],Table315202530[[#This Row],[Amount 21]]),0)</f>
        <v>0</v>
      </c>
      <c r="AA31" s="18">
        <f>IFERROR(AVERAGE(Table31520[[#This Row],[Ret.Time22]],Table3152025[[#This Row],[Ret.Time22]],Table315202530[[#This Row],[Ret.Time22]]),0)</f>
        <v>0</v>
      </c>
      <c r="AB31" s="18">
        <f>IFERROR(AVERAGE(Table31520[[#This Row],[Amount 23]],Table3152025[[#This Row],[Amount 23]],Table315202530[[#This Row],[Amount 23]]),0)</f>
        <v>0</v>
      </c>
      <c r="AC31" s="18">
        <f>IFERROR(AVERAGE(Table31520[[#This Row],[Ret.Time24]],Table3152025[[#This Row],[Ret.Time24]],Table315202530[[#This Row],[Ret.Time24]]),0)</f>
        <v>0</v>
      </c>
      <c r="AD31" s="18">
        <f>IFERROR(AVERAGE(Table31520[[#This Row],[Amount 25]],Table3152025[[#This Row],[Amount 25]],Table315202530[[#This Row],[Amount 25]]),0)</f>
        <v>0</v>
      </c>
      <c r="AE31" s="18">
        <f>IFERROR(AVERAGE(Table31520[[#This Row],[pH]],Table3152025[[#This Row],[pH]],Table315202530[[#This Row],[pH]]),0)</f>
        <v>0</v>
      </c>
      <c r="AF31" s="18">
        <f>IFERROR(AVERAGE(Table31520[[#This Row],[dilution ]],Table3152025[[#This Row],[dilution ]],Table315202530[[#This Row],[dilution ]]),0)</f>
        <v>0</v>
      </c>
      <c r="AG31" s="18">
        <f>IFERROR(AVERAGE(Table31520[[#This Row],[correction]],Table3152025[[#This Row],[correction]],Table315202530[[#This Row],[correction factor]]),0)</f>
        <v>1</v>
      </c>
      <c r="AH31" s="18">
        <f>IFERROR(AVERAGE(Table31520[[#This Row],[amount]],Table3152025[[#This Row],[amount]],Table315202530[[#This Row],[amount]]),0)</f>
        <v>0</v>
      </c>
      <c r="AI31" s="18">
        <f>IFERROR(AVERAGE(Table31520[[#This Row],[pressure]],Table3152025[[#This Row],[pressure]],Table315202530[[#This Row],[pressure]]),0)</f>
        <v>0</v>
      </c>
      <c r="AJ31" s="64">
        <f>AVERAGE(Table51621[[#This Row],[Concentration]],Table5162126[[#This Row],[Concentration]],Table516212631[[#This Row],[Concentration]])</f>
        <v>0</v>
      </c>
      <c r="AK31" s="64">
        <f>AVERAGE(Table51621[[#This Row],[Concentration2]],Table5162126[[#This Row],[Concentration2]],Table516212631[[#This Row],[Concentration2]])</f>
        <v>0</v>
      </c>
      <c r="AL31" s="64">
        <f>AVERAGE(Table51621[[#This Row],[Concentration3]],Table5162126[[#This Row],[Concentration3]],Table516212631[[#This Row],[Concentration3]])</f>
        <v>0</v>
      </c>
      <c r="AM31" s="64">
        <f>AVERAGE(Table51621[[#This Row],[Concentration4]],Table5162126[[#This Row],[Concentration4]],Table516212631[[#This Row],[Concentration4]])</f>
        <v>0</v>
      </c>
      <c r="AN31" s="64">
        <f>AVERAGE(Table51621[[#This Row],[Concentration5]],Table5162126[[#This Row],[Concentration5]],Table516212631[[#This Row],[Concentration5]])</f>
        <v>0</v>
      </c>
      <c r="AO31" s="64">
        <f>AVERAGE(Table51621[[#This Row],[Concentration6]],Table5162126[[#This Row],[Concentration6]],Table516212631[[#This Row],[Concentration6]])</f>
        <v>0</v>
      </c>
      <c r="AP31" s="64">
        <f>AVERAGE(Table51621[[#This Row],[Concentration7]],Table5162126[[#This Row],[Concentration7]],Table516212631[[#This Row],[Concentration7]])</f>
        <v>0</v>
      </c>
      <c r="AQ31" s="64">
        <f>AVERAGE(Table51621[[#This Row],[Concentration8]],Table5162126[[#This Row],[Concentration8]],Table516212631[[#This Row],[Concentration8]])</f>
        <v>0</v>
      </c>
      <c r="AR31" s="64">
        <f>AVERAGE(Table51621[[#This Row],[Concentration9]],Table5162126[[#This Row],[Concentration9]],Table516212631[[#This Row],[Concentration9]])</f>
        <v>0</v>
      </c>
      <c r="AS31" s="64">
        <f>AVERAGE(Table51621[[#This Row],[Concentration10]],Table5162126[[#This Row],[Concentration10]],Table516212631[[#This Row],[Concentration10]])</f>
        <v>0</v>
      </c>
      <c r="AT31" s="64">
        <f>AVERAGE(Table51621[[#This Row],[Concentration11]],Table5162126[[#This Row],[Concentration11]],Table516212631[[#This Row],[Concentration11]])</f>
        <v>0</v>
      </c>
      <c r="AU31" s="64">
        <f>AVERAGE(Table51621[[#This Row],[Concentration12]],Table5162126[[#This Row],[Concentration12]],Table516212631[[#This Row],[Concentration12]])</f>
        <v>0</v>
      </c>
      <c r="AV31" s="64">
        <f>AVERAGE(Table51621[[#This Row],[Concentration13]],Table5162126[[#This Row],[Concentration13]],Table516212631[[#This Row],[Concentration13]])</f>
        <v>0</v>
      </c>
      <c r="AW31" s="64">
        <f>(IF(IFERROR(Q31-#REF!,Q31)&gt;constants!$D$13,(IFERROR(Q31-#REF!,Q31)*$C31/constants!$B$13),0))</f>
        <v>0</v>
      </c>
      <c r="AX31" s="64">
        <f>AVERAGE(Table51621[[#This Row],[Concentration15]],Table5162126[[#This Row],[Concentration15]],Table516212631[[#This Row],[Concentration15]])</f>
        <v>0</v>
      </c>
      <c r="AY31" s="64">
        <f>AVERAGE(Table51621[[#This Row],[Concentration16]],Table5162126[[#This Row],[Concentration16]],Table516212631[[#This Row],[Concentration16]])</f>
        <v>0</v>
      </c>
      <c r="AZ31" s="64">
        <f>AVERAGE(Table51621[[#This Row],[Concentration17]],Table5162126[[#This Row],[Concentration17]],Table516212631[[#This Row],[Concentration17]])</f>
        <v>0</v>
      </c>
      <c r="BA31" s="64">
        <f>AVERAGE(Table51621[[#This Row],[Concentration172]],Table5162126[[#This Row],[Concentration172]],Table516212631[[#This Row],[Concentration172]])</f>
        <v>0</v>
      </c>
      <c r="BB31" s="64" t="e">
        <f>AVERAGE(Table51621[[#This Row],[Concentration18]],Table5162126[[#This Row],[Concentration18]],Table516212631[[#This Row],[Concentration18]])</f>
        <v>#DIV/0!</v>
      </c>
      <c r="BC31" s="64" t="e">
        <f>AVERAGE(Table51621[[#This Row],[Concentration19]],Table5162126[[#This Row],[Concentration19]],Table516212631[[#This Row],[Concentration19]])</f>
        <v>#DIV/0!</v>
      </c>
      <c r="BD31" s="64">
        <f>AVERAGE(Table51621[[#This Row],[Concentration]],Table5162126[[#This Row],[Concentration]],Table516212631[[#This Row],[Concentration]])</f>
        <v>0</v>
      </c>
      <c r="BE31" s="64">
        <f>AVERAGE(Table51621[[#This Row],[Concentration2]],Table5162126[[#This Row],[Concentration2]],Table516212631[[#This Row],[Concentration2]])</f>
        <v>0</v>
      </c>
      <c r="BF31" s="64">
        <f>AVERAGE(Table51621[[#This Row],[Concentration3]],Table5162126[[#This Row],[Concentration3]],Table516212631[[#This Row],[Concentration3]])</f>
        <v>0</v>
      </c>
      <c r="BG31" s="64">
        <f>AVERAGE(Table51621[[#This Row],[Concentration4]],Table5162126[[#This Row],[Concentration4]],Table516212631[[#This Row],[Concentration4]])</f>
        <v>0</v>
      </c>
      <c r="BH31" s="64">
        <f>AVERAGE(Table51621[[#This Row],[Concentration5]],Table5162126[[#This Row],[Concentration5]],Table516212631[[#This Row],[Concentration5]])</f>
        <v>0</v>
      </c>
      <c r="BI31" s="64"/>
      <c r="BJ31" s="64"/>
      <c r="BK31" s="64"/>
      <c r="BL31" s="64"/>
      <c r="BM31" s="64"/>
      <c r="BN31" s="64"/>
      <c r="BO31" s="64"/>
      <c r="BP31" s="64"/>
      <c r="BQ31" s="64"/>
      <c r="BR31" s="64"/>
      <c r="BS31" s="64"/>
      <c r="BT31" s="64"/>
      <c r="BU31" s="64"/>
      <c r="BV31" s="64"/>
      <c r="BW31" s="64"/>
      <c r="CM31" s="184">
        <f>CM24+CM29</f>
        <v>1.2656101837682243</v>
      </c>
      <c r="CN31" s="184">
        <f t="shared" ref="CN31:CR31" si="6">CN24+CN29</f>
        <v>1.4704136903225307</v>
      </c>
      <c r="CO31" s="184">
        <f t="shared" si="6"/>
        <v>9.4451089901778769</v>
      </c>
      <c r="CP31" s="184">
        <f t="shared" si="6"/>
        <v>0.80933883628799375</v>
      </c>
      <c r="CQ31" s="184">
        <f t="shared" si="6"/>
        <v>0.55205939826777883</v>
      </c>
      <c r="CR31" s="184">
        <f t="shared" si="6"/>
        <v>0.45086683433815133</v>
      </c>
      <c r="CT31" s="184">
        <f>SUM(CM31:CR31)</f>
        <v>13.993397933162557</v>
      </c>
      <c r="CW31" s="185">
        <f>CT31/BZ16*100</f>
        <v>92.175686230875002</v>
      </c>
      <c r="CX31" s="185" t="s">
        <v>209</v>
      </c>
      <c r="CY31" s="185"/>
      <c r="CZ31" s="185"/>
      <c r="DA31" s="185"/>
    </row>
    <row r="32" spans="1:105" ht="16" thickBot="1" x14ac:dyDescent="0.4">
      <c r="A32" s="63">
        <f>Table2[[#This Row],[Date]]</f>
        <v>0</v>
      </c>
      <c r="B32" s="74">
        <f>Table2[[#This Row],[Time]]</f>
        <v>0</v>
      </c>
      <c r="C32" s="83"/>
      <c r="D32" s="18">
        <f>IFERROR(AVERAGE(Table31520[[#This Row],[Amount ]],Table3152025[[#This Row],[Amount ]],Table315202530[[#This Row],[Amount ]]),0)</f>
        <v>0</v>
      </c>
      <c r="E32" s="18">
        <f>IFERROR(AVERAGE(Table31520[[#This Row],[Amount 2]],Table3152025[[#This Row],[Amount 2]],Table315202530[[#This Row],[Amount 2]]),0)</f>
        <v>0</v>
      </c>
      <c r="F32" s="18">
        <f>IFERROR(AVERAGE(Table31520[[#This Row],[Amount 3]],Table3152025[[#This Row],[Amount 3]],Table315202530[[#This Row],[Amount 3]]),0)</f>
        <v>0</v>
      </c>
      <c r="G32" s="18">
        <f>IFERROR(AVERAGE(Table31520[[#This Row],[Amount 4]],Table3152025[[#This Row],[Amount 4]],Table315202530[[#This Row],[Amount 4]]),0)</f>
        <v>0</v>
      </c>
      <c r="H32" s="18">
        <f>IFERROR(AVERAGE(Table31520[[#This Row],[Amount 5]],Table3152025[[#This Row],[Amount 5]],Table315202530[[#This Row],[Amount 5]]),0)</f>
        <v>0</v>
      </c>
      <c r="I32" s="18">
        <f>IFERROR(AVERAGE(Table31520[[#This Row],[Amount 6]],Table3152025[[#This Row],[Amount 6]],Table315202530[[#This Row],[Amount 6]]),0)</f>
        <v>0</v>
      </c>
      <c r="J32" s="18">
        <f>IFERROR(AVERAGE(Table31520[[#This Row],[Amount 7]],Table3152025[[#This Row],[Amount 7]],Table315202530[[#This Row],[Amount 7]]),0)</f>
        <v>0</v>
      </c>
      <c r="K32" s="18">
        <f>IFERROR(AVERAGE(Table31520[[#This Row],[Amount 8]],Table3152025[[#This Row],[Amount 8]],Table315202530[[#This Row],[Amount 8]]),0)</f>
        <v>0</v>
      </c>
      <c r="L32" s="18">
        <f>IFERROR(AVERAGE(Table31520[[#This Row],[Amount 9]],Table3152025[[#This Row],[Amount 9]],Table315202530[[#This Row],[Amount 9]]),0)</f>
        <v>0</v>
      </c>
      <c r="M32" s="18">
        <f>IFERROR(AVERAGE(Table31520[[#This Row],[Amount 10]],Table3152025[[#This Row],[Amount 10]],Table315202530[[#This Row],[Amount 10]]),0)</f>
        <v>0</v>
      </c>
      <c r="N32" s="18">
        <f>IFERROR(AVERAGE(Table31520[[#This Row],[Amount 11]],Table3152025[[#This Row],[Amount 11]],Table315202530[[#This Row],[Amount 11]]),0)</f>
        <v>0</v>
      </c>
      <c r="O32" s="18">
        <f>IFERROR(AVERAGE(Table31520[[#This Row],[Amount 12]],Table3152025[[#This Row],[Amount 12]],Table315202530[[#This Row],[Amount 12]]),0)</f>
        <v>0</v>
      </c>
      <c r="P32" s="18">
        <f>IFERROR(AVERAGE(Table31520[[#This Row],[Amount 13]],Table3152025[[#This Row],[Amount 13]],Table315202530[[#This Row],[Amount 13]]),0)</f>
        <v>0</v>
      </c>
      <c r="Q32" s="18">
        <f>IFERROR(AVERAGE(Table31520[[#This Row],[Amount 14]],Table3152025[[#This Row],[Amount 14]],Table315202530[[#This Row],[Amount 14]]),0)</f>
        <v>0</v>
      </c>
      <c r="R32" s="18">
        <f>IFERROR(AVERAGE(Table31520[[#This Row],[Amount 15]],Table3152025[[#This Row],[Amount 15]],Table315202530[[#This Row],[Amount 15]]),0)</f>
        <v>0</v>
      </c>
      <c r="S32" s="18">
        <f>IFERROR(AVERAGE(Table31520[[#This Row],[Amount 16]],Table3152025[[#This Row],[Amount 16]],Table315202530[[#This Row],[Amount 16]]),0)</f>
        <v>0</v>
      </c>
      <c r="T32" s="18">
        <f>IFERROR(AVERAGE(Table31520[[#This Row],[Amount 17]],Table3152025[[#This Row],[Amount 17]],Table315202530[[#This Row],[Amount 17]]),0)</f>
        <v>0</v>
      </c>
      <c r="U32" s="18">
        <f>IFERROR(AVERAGE(Table31520[[#This Row],[Amount 18]],Table3152025[[#This Row],[Amount 18]],Table315202530[[#This Row],[Amount 18]]),0)</f>
        <v>0</v>
      </c>
      <c r="V32" s="18">
        <f>IFERROR(AVERAGE(Table31520[[#This Row],[Amount 19]],Table3152025[[#This Row],[Amount 19]],Table315202530[[#This Row],[Amount 19]]),0)</f>
        <v>0</v>
      </c>
      <c r="W32" s="18">
        <f>IFERROR(AVERAGE(Table31520[[#This Row],[Ret.Time ]],Table3152025[[#This Row],[Ret.Time ]],Table315202530[[#This Row],[Ret.Time ]]),0)</f>
        <v>0</v>
      </c>
      <c r="X32" s="18">
        <f>IFERROR(AVERAGE(Table31520[[#This Row],[Amount 20]],Table3152025[[#This Row],[Amount 20]],Table315202530[[#This Row],[Amount 20]]),0)</f>
        <v>0</v>
      </c>
      <c r="Y32" s="18">
        <f>IFERROR(AVERAGE(Table31520[[#This Row],[Ret.Time]],Table3152025[[#This Row],[Ret.Time]],Table315202530[[#This Row],[Ret.Time]]),0)</f>
        <v>0</v>
      </c>
      <c r="Z32" s="18">
        <f>IFERROR(AVERAGE(Table31520[[#This Row],[Amount 21]],Table3152025[[#This Row],[Amount 21]],Table315202530[[#This Row],[Amount 21]]),0)</f>
        <v>0</v>
      </c>
      <c r="AA32" s="18">
        <f>IFERROR(AVERAGE(Table31520[[#This Row],[Ret.Time22]],Table3152025[[#This Row],[Ret.Time22]],Table315202530[[#This Row],[Ret.Time22]]),0)</f>
        <v>0</v>
      </c>
      <c r="AB32" s="18">
        <f>IFERROR(AVERAGE(Table31520[[#This Row],[Amount 23]],Table3152025[[#This Row],[Amount 23]],Table315202530[[#This Row],[Amount 23]]),0)</f>
        <v>0</v>
      </c>
      <c r="AC32" s="18">
        <f>IFERROR(AVERAGE(Table31520[[#This Row],[Ret.Time24]],Table3152025[[#This Row],[Ret.Time24]],Table315202530[[#This Row],[Ret.Time24]]),0)</f>
        <v>0</v>
      </c>
      <c r="AD32" s="18">
        <f>IFERROR(AVERAGE(Table31520[[#This Row],[Amount 25]],Table3152025[[#This Row],[Amount 25]],Table315202530[[#This Row],[Amount 25]]),0)</f>
        <v>0</v>
      </c>
      <c r="AE32" s="18">
        <f>IFERROR(AVERAGE(Table31520[[#This Row],[pH]],Table3152025[[#This Row],[pH]],Table315202530[[#This Row],[pH]]),0)</f>
        <v>0</v>
      </c>
      <c r="AF32" s="18">
        <f>IFERROR(AVERAGE(Table31520[[#This Row],[dilution ]],Table3152025[[#This Row],[dilution ]],Table315202530[[#This Row],[dilution ]]),0)</f>
        <v>0</v>
      </c>
      <c r="AG32" s="18">
        <f>IFERROR(AVERAGE(Table31520[[#This Row],[correction]],Table3152025[[#This Row],[correction]],Table315202530[[#This Row],[correction factor]]),0)</f>
        <v>0</v>
      </c>
      <c r="AH32" s="18">
        <f>IFERROR(AVERAGE(Table31520[[#This Row],[amount]],Table3152025[[#This Row],[amount]],Table315202530[[#This Row],[amount]]),0)</f>
        <v>0</v>
      </c>
      <c r="AI32" s="18">
        <f>IFERROR(AVERAGE(Table31520[[#This Row],[pressure]],Table3152025[[#This Row],[pressure]],Table315202530[[#This Row],[pressure]]),0)</f>
        <v>0</v>
      </c>
      <c r="AJ32" s="64">
        <f>AVERAGE(Table51621[[#This Row],[Concentration]],Table5162126[[#This Row],[Concentration]],Table516212631[[#This Row],[Concentration]])</f>
        <v>0</v>
      </c>
      <c r="AK32" s="64">
        <f>AVERAGE(Table51621[[#This Row],[Concentration2]],Table5162126[[#This Row],[Concentration2]],Table516212631[[#This Row],[Concentration2]])</f>
        <v>0</v>
      </c>
      <c r="AL32" s="64">
        <f>AVERAGE(Table51621[[#This Row],[Concentration3]],Table5162126[[#This Row],[Concentration3]],Table516212631[[#This Row],[Concentration3]])</f>
        <v>0</v>
      </c>
      <c r="AM32" s="64">
        <f>AVERAGE(Table51621[[#This Row],[Concentration4]],Table5162126[[#This Row],[Concentration4]],Table516212631[[#This Row],[Concentration4]])</f>
        <v>0</v>
      </c>
      <c r="AN32" s="64">
        <f>AVERAGE(Table51621[[#This Row],[Concentration5]],Table5162126[[#This Row],[Concentration5]],Table516212631[[#This Row],[Concentration5]])</f>
        <v>0</v>
      </c>
      <c r="AO32" s="64">
        <f>AVERAGE(Table51621[[#This Row],[Concentration6]],Table5162126[[#This Row],[Concentration6]],Table516212631[[#This Row],[Concentration6]])</f>
        <v>0</v>
      </c>
      <c r="AP32" s="64">
        <f>AVERAGE(Table51621[[#This Row],[Concentration7]],Table5162126[[#This Row],[Concentration7]],Table516212631[[#This Row],[Concentration7]])</f>
        <v>0</v>
      </c>
      <c r="AQ32" s="64">
        <f>AVERAGE(Table51621[[#This Row],[Concentration8]],Table5162126[[#This Row],[Concentration8]],Table516212631[[#This Row],[Concentration8]])</f>
        <v>0</v>
      </c>
      <c r="AR32" s="64">
        <f>AVERAGE(Table51621[[#This Row],[Concentration9]],Table5162126[[#This Row],[Concentration9]],Table516212631[[#This Row],[Concentration9]])</f>
        <v>0</v>
      </c>
      <c r="AS32" s="64">
        <f>AVERAGE(Table51621[[#This Row],[Concentration10]],Table5162126[[#This Row],[Concentration10]],Table516212631[[#This Row],[Concentration10]])</f>
        <v>0</v>
      </c>
      <c r="AT32" s="64">
        <f>AVERAGE(Table51621[[#This Row],[Concentration11]],Table5162126[[#This Row],[Concentration11]],Table516212631[[#This Row],[Concentration11]])</f>
        <v>0</v>
      </c>
      <c r="AU32" s="64">
        <f>AVERAGE(Table51621[[#This Row],[Concentration12]],Table5162126[[#This Row],[Concentration12]],Table516212631[[#This Row],[Concentration12]])</f>
        <v>0</v>
      </c>
      <c r="AV32" s="64">
        <f>AVERAGE(Table51621[[#This Row],[Concentration13]],Table5162126[[#This Row],[Concentration13]],Table516212631[[#This Row],[Concentration13]])</f>
        <v>0</v>
      </c>
      <c r="AW32" s="64">
        <f>(IF(IFERROR(Q32-#REF!,Q32)&gt;constants!$D$13,(IFERROR(Q32-#REF!,Q32)*$C32/constants!$B$13),0))</f>
        <v>0</v>
      </c>
      <c r="AX32" s="64">
        <f>AVERAGE(Table51621[[#This Row],[Concentration15]],Table5162126[[#This Row],[Concentration15]],Table516212631[[#This Row],[Concentration15]])</f>
        <v>0</v>
      </c>
      <c r="AY32" s="64">
        <f>AVERAGE(Table51621[[#This Row],[Concentration16]],Table5162126[[#This Row],[Concentration16]],Table516212631[[#This Row],[Concentration16]])</f>
        <v>0</v>
      </c>
      <c r="AZ32" s="64">
        <f>AVERAGE(Table51621[[#This Row],[Concentration17]],Table5162126[[#This Row],[Concentration17]],Table516212631[[#This Row],[Concentration17]])</f>
        <v>0</v>
      </c>
      <c r="BA32" s="64">
        <f>AVERAGE(Table51621[[#This Row],[Concentration172]],Table5162126[[#This Row],[Concentration172]],Table516212631[[#This Row],[Concentration172]])</f>
        <v>0</v>
      </c>
      <c r="BB32" s="64" t="e">
        <f>AVERAGE(Table51621[[#This Row],[Concentration18]],Table5162126[[#This Row],[Concentration18]],Table516212631[[#This Row],[Concentration18]])</f>
        <v>#DIV/0!</v>
      </c>
      <c r="BC32" s="64" t="e">
        <f>AVERAGE(Table51621[[#This Row],[Concentration19]],Table5162126[[#This Row],[Concentration19]],Table516212631[[#This Row],[Concentration19]])</f>
        <v>#DIV/0!</v>
      </c>
      <c r="BD32" s="64">
        <f>AVERAGE(Table51621[[#This Row],[Concentration]],Table5162126[[#This Row],[Concentration]],Table516212631[[#This Row],[Concentration]])</f>
        <v>0</v>
      </c>
      <c r="BE32" s="64">
        <f>AVERAGE(Table51621[[#This Row],[Concentration2]],Table5162126[[#This Row],[Concentration2]],Table516212631[[#This Row],[Concentration2]])</f>
        <v>0</v>
      </c>
      <c r="BF32" s="64">
        <f>AVERAGE(Table51621[[#This Row],[Concentration3]],Table5162126[[#This Row],[Concentration3]],Table516212631[[#This Row],[Concentration3]])</f>
        <v>0</v>
      </c>
      <c r="BG32" s="64">
        <f>AVERAGE(Table51621[[#This Row],[Concentration4]],Table5162126[[#This Row],[Concentration4]],Table516212631[[#This Row],[Concentration4]])</f>
        <v>0</v>
      </c>
      <c r="BH32" s="64">
        <f>AVERAGE(Table51621[[#This Row],[Concentration5]],Table5162126[[#This Row],[Concentration5]],Table516212631[[#This Row],[Concentration5]])</f>
        <v>0</v>
      </c>
      <c r="BI32" s="64"/>
      <c r="BJ32" s="64"/>
      <c r="BK32" s="64"/>
      <c r="BL32" s="64"/>
      <c r="BM32" s="64"/>
      <c r="BN32" s="64"/>
      <c r="BO32" s="64"/>
      <c r="BP32" s="64"/>
      <c r="BQ32" s="64"/>
      <c r="BR32" s="64"/>
      <c r="BS32" s="64"/>
      <c r="BT32" s="64"/>
      <c r="BU32" s="64"/>
      <c r="BV32" s="64"/>
      <c r="BW32" s="64"/>
    </row>
    <row r="33" spans="1:74" x14ac:dyDescent="0.35">
      <c r="A33" s="60"/>
      <c r="AE33" s="43"/>
    </row>
    <row r="34" spans="1:74" x14ac:dyDescent="0.35">
      <c r="AE34" s="43"/>
    </row>
    <row r="35" spans="1:74" x14ac:dyDescent="0.35">
      <c r="AE35" s="43"/>
    </row>
    <row r="36" spans="1:74" ht="15" thickBot="1" x14ac:dyDescent="0.4">
      <c r="A36" t="s">
        <v>146</v>
      </c>
      <c r="AE36" s="44"/>
    </row>
    <row r="37" spans="1:74" x14ac:dyDescent="0.35">
      <c r="C37" s="5" t="s">
        <v>3</v>
      </c>
      <c r="D37" s="6" t="s">
        <v>4</v>
      </c>
      <c r="E37" s="6" t="s">
        <v>90</v>
      </c>
      <c r="F37" s="6" t="s">
        <v>91</v>
      </c>
      <c r="G37" s="6" t="s">
        <v>92</v>
      </c>
      <c r="H37" s="6" t="s">
        <v>93</v>
      </c>
      <c r="I37" s="6" t="s">
        <v>94</v>
      </c>
      <c r="J37" s="6" t="s">
        <v>95</v>
      </c>
      <c r="K37" s="6" t="s">
        <v>96</v>
      </c>
      <c r="L37" s="6" t="s">
        <v>97</v>
      </c>
      <c r="M37" s="6" t="s">
        <v>98</v>
      </c>
      <c r="N37" s="6" t="s">
        <v>99</v>
      </c>
      <c r="O37" s="6" t="s">
        <v>100</v>
      </c>
      <c r="P37" s="6" t="s">
        <v>101</v>
      </c>
      <c r="Q37" s="6" t="s">
        <v>102</v>
      </c>
      <c r="R37" s="6" t="s">
        <v>103</v>
      </c>
      <c r="S37" s="7" t="s">
        <v>104</v>
      </c>
      <c r="T37" s="7" t="s">
        <v>105</v>
      </c>
      <c r="U37" s="7" t="s">
        <v>106</v>
      </c>
      <c r="V37" s="8" t="s">
        <v>107</v>
      </c>
      <c r="W37" s="36" t="s">
        <v>61</v>
      </c>
      <c r="X37" s="33" t="s">
        <v>108</v>
      </c>
      <c r="Y37" s="36" t="s">
        <v>62</v>
      </c>
      <c r="Z37" s="35" t="s">
        <v>109</v>
      </c>
      <c r="AA37" s="34" t="s">
        <v>110</v>
      </c>
      <c r="AB37" s="33" t="s">
        <v>111</v>
      </c>
      <c r="AC37" s="36" t="s">
        <v>112</v>
      </c>
      <c r="AD37" s="35" t="s">
        <v>113</v>
      </c>
      <c r="AE37" s="38" t="s">
        <v>68</v>
      </c>
      <c r="AF37" s="39" t="s">
        <v>70</v>
      </c>
      <c r="AG37" s="39" t="s">
        <v>71</v>
      </c>
      <c r="AH37" s="40" t="s">
        <v>32</v>
      </c>
      <c r="AI37" s="127" t="s">
        <v>136</v>
      </c>
      <c r="AJ37" s="69" t="s">
        <v>35</v>
      </c>
      <c r="AK37" s="70" t="s">
        <v>114</v>
      </c>
      <c r="AL37" s="70" t="s">
        <v>115</v>
      </c>
      <c r="AM37" s="70" t="s">
        <v>116</v>
      </c>
      <c r="AN37" s="70" t="s">
        <v>117</v>
      </c>
      <c r="AO37" s="70" t="s">
        <v>118</v>
      </c>
      <c r="AP37" s="70" t="s">
        <v>119</v>
      </c>
      <c r="AQ37" s="70" t="s">
        <v>120</v>
      </c>
      <c r="AR37" s="70" t="s">
        <v>121</v>
      </c>
      <c r="AS37" s="70" t="s">
        <v>122</v>
      </c>
      <c r="AT37" s="70" t="s">
        <v>123</v>
      </c>
      <c r="AU37" s="70" t="s">
        <v>124</v>
      </c>
      <c r="AV37" s="70" t="s">
        <v>125</v>
      </c>
      <c r="AW37" s="70" t="s">
        <v>126</v>
      </c>
      <c r="AX37" s="70" t="s">
        <v>127</v>
      </c>
      <c r="AY37" s="71" t="s">
        <v>128</v>
      </c>
      <c r="AZ37" s="72" t="s">
        <v>129</v>
      </c>
      <c r="BA37" s="85" t="s">
        <v>134</v>
      </c>
      <c r="BB37" s="88" t="s">
        <v>135</v>
      </c>
      <c r="BC37" s="69" t="s">
        <v>35</v>
      </c>
      <c r="BD37" s="70" t="s">
        <v>114</v>
      </c>
      <c r="BE37" s="70" t="s">
        <v>115</v>
      </c>
      <c r="BF37" s="70" t="s">
        <v>116</v>
      </c>
      <c r="BG37" s="70" t="s">
        <v>117</v>
      </c>
      <c r="BH37" s="70" t="s">
        <v>118</v>
      </c>
      <c r="BI37" s="70" t="s">
        <v>119</v>
      </c>
      <c r="BJ37" s="70" t="s">
        <v>120</v>
      </c>
      <c r="BK37" s="70" t="s">
        <v>121</v>
      </c>
      <c r="BL37" s="70" t="s">
        <v>122</v>
      </c>
      <c r="BM37" s="70" t="s">
        <v>123</v>
      </c>
      <c r="BN37" s="70" t="s">
        <v>124</v>
      </c>
      <c r="BO37" s="70" t="s">
        <v>125</v>
      </c>
      <c r="BP37" s="70" t="s">
        <v>126</v>
      </c>
      <c r="BQ37" s="70" t="s">
        <v>127</v>
      </c>
      <c r="BR37" s="71" t="s">
        <v>128</v>
      </c>
      <c r="BS37" s="72" t="s">
        <v>129</v>
      </c>
      <c r="BT37" s="85" t="s">
        <v>130</v>
      </c>
      <c r="BU37" s="85" t="s">
        <v>132</v>
      </c>
      <c r="BV37" s="85" t="s">
        <v>140</v>
      </c>
    </row>
    <row r="38" spans="1:74" x14ac:dyDescent="0.35">
      <c r="C38" s="9" t="s">
        <v>5</v>
      </c>
      <c r="D38" s="10" t="s">
        <v>7</v>
      </c>
      <c r="E38" s="10" t="s">
        <v>7</v>
      </c>
      <c r="F38" s="10" t="s">
        <v>7</v>
      </c>
      <c r="G38" s="10" t="s">
        <v>7</v>
      </c>
      <c r="H38" s="10" t="s">
        <v>7</v>
      </c>
      <c r="I38" s="10" t="s">
        <v>7</v>
      </c>
      <c r="J38" s="10" t="s">
        <v>7</v>
      </c>
      <c r="K38" s="10" t="s">
        <v>7</v>
      </c>
      <c r="L38" s="10" t="s">
        <v>7</v>
      </c>
      <c r="M38" s="10" t="s">
        <v>7</v>
      </c>
      <c r="N38" s="10" t="s">
        <v>7</v>
      </c>
      <c r="O38" s="10" t="s">
        <v>7</v>
      </c>
      <c r="P38" s="10" t="s">
        <v>7</v>
      </c>
      <c r="Q38" s="10" t="s">
        <v>7</v>
      </c>
      <c r="R38" s="10" t="s">
        <v>7</v>
      </c>
      <c r="S38" s="11" t="s">
        <v>7</v>
      </c>
      <c r="T38" s="11" t="s">
        <v>6</v>
      </c>
      <c r="U38" s="11" t="s">
        <v>6</v>
      </c>
      <c r="V38" s="12" t="s">
        <v>6</v>
      </c>
      <c r="W38" s="36" t="s">
        <v>63</v>
      </c>
      <c r="X38" s="33" t="s">
        <v>64</v>
      </c>
      <c r="Y38" s="36" t="s">
        <v>63</v>
      </c>
      <c r="Z38" s="35" t="s">
        <v>64</v>
      </c>
      <c r="AA38" s="34" t="s">
        <v>63</v>
      </c>
      <c r="AB38" s="33" t="s">
        <v>64</v>
      </c>
      <c r="AC38" s="36" t="s">
        <v>63</v>
      </c>
      <c r="AD38" s="35" t="s">
        <v>64</v>
      </c>
      <c r="AE38" s="38"/>
      <c r="AF38" s="39" t="s">
        <v>5</v>
      </c>
      <c r="AG38" s="39" t="s">
        <v>72</v>
      </c>
      <c r="AH38" s="40" t="s">
        <v>7</v>
      </c>
      <c r="AI38" s="39" t="s">
        <v>137</v>
      </c>
      <c r="AJ38" s="9" t="s">
        <v>36</v>
      </c>
      <c r="AK38" s="10" t="s">
        <v>36</v>
      </c>
      <c r="AL38" s="10" t="s">
        <v>36</v>
      </c>
      <c r="AM38" s="10" t="s">
        <v>36</v>
      </c>
      <c r="AN38" s="10" t="s">
        <v>36</v>
      </c>
      <c r="AO38" s="10" t="s">
        <v>36</v>
      </c>
      <c r="AP38" s="163" t="s">
        <v>149</v>
      </c>
      <c r="AQ38" s="163" t="s">
        <v>149</v>
      </c>
      <c r="AR38" s="163" t="s">
        <v>149</v>
      </c>
      <c r="AS38" s="163" t="s">
        <v>149</v>
      </c>
      <c r="AT38" s="163" t="s">
        <v>149</v>
      </c>
      <c r="AU38" s="163" t="s">
        <v>149</v>
      </c>
      <c r="AV38" s="163" t="s">
        <v>149</v>
      </c>
      <c r="AW38" s="163" t="s">
        <v>149</v>
      </c>
      <c r="AX38" s="10" t="s">
        <v>36</v>
      </c>
      <c r="AY38" s="12" t="s">
        <v>36</v>
      </c>
      <c r="AZ38" s="58" t="s">
        <v>36</v>
      </c>
      <c r="BA38" s="86" t="s">
        <v>152</v>
      </c>
      <c r="BB38" s="86" t="s">
        <v>36</v>
      </c>
      <c r="BC38" s="9" t="s">
        <v>89</v>
      </c>
      <c r="BD38" s="9" t="s">
        <v>89</v>
      </c>
      <c r="BE38" s="9" t="s">
        <v>89</v>
      </c>
      <c r="BF38" s="9" t="s">
        <v>89</v>
      </c>
      <c r="BG38" s="9" t="s">
        <v>89</v>
      </c>
      <c r="BH38" s="9" t="s">
        <v>89</v>
      </c>
      <c r="BI38" s="9" t="s">
        <v>139</v>
      </c>
      <c r="BJ38" s="9" t="s">
        <v>139</v>
      </c>
      <c r="BK38" s="9" t="s">
        <v>139</v>
      </c>
      <c r="BL38" s="9" t="s">
        <v>139</v>
      </c>
      <c r="BM38" s="9" t="s">
        <v>139</v>
      </c>
      <c r="BN38" s="9" t="s">
        <v>139</v>
      </c>
      <c r="BO38" s="9" t="s">
        <v>139</v>
      </c>
      <c r="BP38" s="9" t="s">
        <v>139</v>
      </c>
      <c r="BQ38" s="9" t="s">
        <v>139</v>
      </c>
      <c r="BR38" s="9" t="s">
        <v>139</v>
      </c>
      <c r="BS38" s="9" t="s">
        <v>89</v>
      </c>
      <c r="BT38" s="9" t="s">
        <v>89</v>
      </c>
      <c r="BU38" s="9" t="s">
        <v>89</v>
      </c>
      <c r="BV38" t="s">
        <v>142</v>
      </c>
    </row>
    <row r="39" spans="1:74" ht="16" thickBot="1" x14ac:dyDescent="0.4">
      <c r="A39" s="22" t="s">
        <v>0</v>
      </c>
      <c r="B39" s="128" t="s">
        <v>1</v>
      </c>
      <c r="C39" s="13" t="s">
        <v>6</v>
      </c>
      <c r="D39" s="14" t="s">
        <v>8</v>
      </c>
      <c r="E39" s="14" t="s">
        <v>9</v>
      </c>
      <c r="F39" s="14" t="s">
        <v>10</v>
      </c>
      <c r="G39" s="14" t="s">
        <v>11</v>
      </c>
      <c r="H39" s="14" t="s">
        <v>12</v>
      </c>
      <c r="I39" s="14" t="s">
        <v>13</v>
      </c>
      <c r="J39" s="14" t="s">
        <v>14</v>
      </c>
      <c r="K39" s="14" t="s">
        <v>15</v>
      </c>
      <c r="L39" s="14" t="s">
        <v>16</v>
      </c>
      <c r="M39" s="14" t="s">
        <v>17</v>
      </c>
      <c r="N39" s="14" t="s">
        <v>18</v>
      </c>
      <c r="O39" s="14" t="s">
        <v>19</v>
      </c>
      <c r="P39" s="14" t="s">
        <v>20</v>
      </c>
      <c r="Q39" s="14" t="s">
        <v>21</v>
      </c>
      <c r="R39" s="14" t="s">
        <v>22</v>
      </c>
      <c r="S39" s="15" t="s">
        <v>23</v>
      </c>
      <c r="T39" s="15" t="s">
        <v>24</v>
      </c>
      <c r="U39" s="15" t="s">
        <v>25</v>
      </c>
      <c r="V39" s="16" t="s">
        <v>26</v>
      </c>
      <c r="W39" s="36" t="s">
        <v>65</v>
      </c>
      <c r="X39" s="33" t="s">
        <v>65</v>
      </c>
      <c r="Y39" s="36" t="s">
        <v>66</v>
      </c>
      <c r="Z39" s="35" t="s">
        <v>66</v>
      </c>
      <c r="AA39" s="34" t="s">
        <v>55</v>
      </c>
      <c r="AB39" s="33" t="s">
        <v>55</v>
      </c>
      <c r="AC39" s="36" t="s">
        <v>67</v>
      </c>
      <c r="AD39" s="35" t="s">
        <v>67</v>
      </c>
      <c r="AE39" s="38"/>
      <c r="AF39" s="39"/>
      <c r="AG39" s="39" t="s">
        <v>63</v>
      </c>
      <c r="AH39" s="40" t="s">
        <v>73</v>
      </c>
      <c r="AI39" s="39" t="s">
        <v>145</v>
      </c>
      <c r="AJ39" s="13" t="s">
        <v>8</v>
      </c>
      <c r="AK39" s="14" t="s">
        <v>9</v>
      </c>
      <c r="AL39" s="14" t="s">
        <v>10</v>
      </c>
      <c r="AM39" s="14" t="s">
        <v>11</v>
      </c>
      <c r="AN39" s="14" t="s">
        <v>12</v>
      </c>
      <c r="AO39" s="14" t="s">
        <v>13</v>
      </c>
      <c r="AP39" s="164" t="s">
        <v>14</v>
      </c>
      <c r="AQ39" s="164" t="s">
        <v>15</v>
      </c>
      <c r="AR39" s="164" t="s">
        <v>16</v>
      </c>
      <c r="AS39" s="164" t="s">
        <v>17</v>
      </c>
      <c r="AT39" s="164" t="s">
        <v>18</v>
      </c>
      <c r="AU39" s="164" t="s">
        <v>19</v>
      </c>
      <c r="AV39" s="164" t="s">
        <v>20</v>
      </c>
      <c r="AW39" s="164" t="s">
        <v>21</v>
      </c>
      <c r="AX39" s="14" t="s">
        <v>22</v>
      </c>
      <c r="AY39" s="16" t="s">
        <v>23</v>
      </c>
      <c r="AZ39" s="59" t="s">
        <v>78</v>
      </c>
      <c r="BA39" s="87" t="s">
        <v>78</v>
      </c>
      <c r="BB39" s="87" t="s">
        <v>131</v>
      </c>
      <c r="BC39" s="13" t="s">
        <v>8</v>
      </c>
      <c r="BD39" s="14" t="s">
        <v>9</v>
      </c>
      <c r="BE39" s="14" t="s">
        <v>10</v>
      </c>
      <c r="BF39" s="14" t="s">
        <v>11</v>
      </c>
      <c r="BG39" s="14" t="s">
        <v>12</v>
      </c>
      <c r="BH39" s="14" t="s">
        <v>13</v>
      </c>
      <c r="BI39" s="14" t="s">
        <v>14</v>
      </c>
      <c r="BJ39" s="14" t="s">
        <v>15</v>
      </c>
      <c r="BK39" s="14" t="s">
        <v>16</v>
      </c>
      <c r="BL39" s="14" t="s">
        <v>17</v>
      </c>
      <c r="BM39" s="14" t="s">
        <v>18</v>
      </c>
      <c r="BN39" s="14" t="s">
        <v>19</v>
      </c>
      <c r="BO39" s="14" t="s">
        <v>20</v>
      </c>
      <c r="BP39" s="14" t="s">
        <v>21</v>
      </c>
      <c r="BQ39" s="14" t="s">
        <v>22</v>
      </c>
      <c r="BR39" s="16" t="s">
        <v>23</v>
      </c>
      <c r="BS39" s="59" t="s">
        <v>78</v>
      </c>
      <c r="BT39" t="s">
        <v>131</v>
      </c>
      <c r="BU39" t="s">
        <v>133</v>
      </c>
      <c r="BV39" t="s">
        <v>143</v>
      </c>
    </row>
    <row r="40" spans="1:74" ht="16" thickBot="1" x14ac:dyDescent="0.4">
      <c r="A40" s="63" t="str">
        <f t="shared" ref="A40:B63" si="7">A9</f>
        <v>20-03-18</v>
      </c>
      <c r="B40" s="129">
        <f t="shared" si="7"/>
        <v>0</v>
      </c>
      <c r="C40" s="41">
        <v>0</v>
      </c>
      <c r="D40" s="123">
        <f>IFERROR(_xlfn.STDEV.S('B4'!D9,'B5'!D9,'B6'!D9),0)</f>
        <v>0</v>
      </c>
      <c r="E40" s="123">
        <f>IFERROR(_xlfn.STDEV.S('B4'!E9,'B5'!E9,'B6'!E9),0)</f>
        <v>0</v>
      </c>
      <c r="F40" s="123">
        <f>IFERROR(_xlfn.STDEV.S('B4'!F9,'B5'!F9,'B6'!F9),0)</f>
        <v>0</v>
      </c>
      <c r="G40" s="123">
        <f>IFERROR(_xlfn.STDEV.S('B4'!G9,'B5'!G9,'B6'!G9),0)</f>
        <v>0</v>
      </c>
      <c r="H40" s="123">
        <f>IFERROR(_xlfn.STDEV.S('B4'!H9,'B5'!H9,'B6'!H9),0)</f>
        <v>0</v>
      </c>
      <c r="I40" s="123">
        <f>IFERROR(_xlfn.STDEV.S('B4'!I9,'B5'!I9,'B6'!I9),0)</f>
        <v>0</v>
      </c>
      <c r="J40" s="123">
        <f>IFERROR(_xlfn.STDEV.S('B4'!J9,'B5'!J9,'B6'!J9),0)</f>
        <v>0</v>
      </c>
      <c r="K40" s="123">
        <f>IFERROR(_xlfn.STDEV.S('B4'!K9,'B5'!K9,'B6'!K9),0)</f>
        <v>0</v>
      </c>
      <c r="L40" s="123">
        <f>IFERROR(_xlfn.STDEV.S('B4'!L9,'B5'!L9,'B6'!L9),0)</f>
        <v>0</v>
      </c>
      <c r="M40" s="123">
        <f>IFERROR(_xlfn.STDEV.S('B4'!M9,'B5'!M9,'B6'!M9),0)</f>
        <v>0</v>
      </c>
      <c r="N40" s="123">
        <f>IFERROR(_xlfn.STDEV.S('B4'!N9,'B5'!N9,'B6'!N9),0)</f>
        <v>0</v>
      </c>
      <c r="O40" s="123">
        <f>IFERROR(_xlfn.STDEV.S('B4'!O9,'B5'!O9,'B6'!O9),0)</f>
        <v>0</v>
      </c>
      <c r="P40" s="123">
        <f>IFERROR(_xlfn.STDEV.S('B4'!P9,'B5'!P9,'B6'!P9),0)</f>
        <v>0</v>
      </c>
      <c r="Q40" s="123">
        <f>IFERROR(_xlfn.STDEV.S('B4'!Q9,'B5'!Q9,'B6'!Q9),0)</f>
        <v>0</v>
      </c>
      <c r="R40" s="123">
        <f>IFERROR(_xlfn.STDEV.S('B4'!R9,'B5'!R9,'B6'!R9),0)</f>
        <v>0</v>
      </c>
      <c r="S40" s="123">
        <f>IFERROR(_xlfn.STDEV.S('B4'!S9,'B5'!S9,'B6'!S9),0)</f>
        <v>0</v>
      </c>
      <c r="T40" s="123">
        <f>IFERROR(_xlfn.STDEV.S('B4'!T9,'B5'!T9,'B6'!T9),0)</f>
        <v>0</v>
      </c>
      <c r="U40" s="123">
        <f>IFERROR(_xlfn.STDEV.S('B4'!U9,'B5'!U9,'B6'!U9),0)</f>
        <v>0</v>
      </c>
      <c r="V40" s="123">
        <f>IFERROR(_xlfn.STDEV.S('B4'!V9,'B5'!V9,'B6'!V9),0)</f>
        <v>0</v>
      </c>
      <c r="W40" s="123">
        <f>IFERROR(_xlfn.STDEV.S('B4'!W9,'B5'!W9,'B6'!W9),0)</f>
        <v>0</v>
      </c>
      <c r="X40" s="123">
        <f>IFERROR(_xlfn.STDEV.S('B4'!X9,'B5'!X9,'B6'!X9),0)</f>
        <v>0</v>
      </c>
      <c r="Y40" s="123">
        <f>IFERROR(_xlfn.STDEV.S('B4'!Y9,'B5'!Y9,'B6'!Y9),0)</f>
        <v>0</v>
      </c>
      <c r="Z40" s="123">
        <f>IFERROR(_xlfn.STDEV.S('B4'!Z9,'B5'!Z9,'B6'!Z9),0)</f>
        <v>0</v>
      </c>
      <c r="AA40" s="123">
        <f>IFERROR(_xlfn.STDEV.S('B4'!AA9,'B5'!AA9,'B6'!AA9),0)</f>
        <v>0</v>
      </c>
      <c r="AB40" s="123">
        <f>IFERROR(_xlfn.STDEV.S('B4'!AB9,'B5'!AB9,'B6'!AB9),0)</f>
        <v>0</v>
      </c>
      <c r="AC40" s="123">
        <f>IFERROR(_xlfn.STDEV.S('B4'!AC9,'B5'!AC9,'B6'!AC9),0)</f>
        <v>0</v>
      </c>
      <c r="AD40" s="123">
        <f>IFERROR(_xlfn.STDEV.S('B4'!AD9,'B5'!AD9,'B6'!AD9),0)</f>
        <v>0</v>
      </c>
      <c r="AE40" s="18">
        <f>IFERROR(_xlfn.STDEV.S('B4'!AE9,'B5'!AE9,'B6'!AE9),0)</f>
        <v>0</v>
      </c>
      <c r="AF40" s="18">
        <f>IFERROR(_xlfn.STDEV.S('B4'!AF9,'B5'!AF9,'B6'!AF9),0)</f>
        <v>0</v>
      </c>
      <c r="AG40" s="18">
        <f>IFERROR(_xlfn.STDEV.S('B4'!AG9,'B5'!AG9,'B6'!AG9),0)</f>
        <v>0</v>
      </c>
      <c r="AH40" s="18">
        <f>IFERROR(_xlfn.STDEV.S('B4'!AH9,'B5'!AH9,'B6'!AH9),0)</f>
        <v>0</v>
      </c>
      <c r="AI40" s="18">
        <f>IFERROR(_xlfn.STDEV.S('B4'!AI9,'B5'!AI9,'B6'!AI9),0)</f>
        <v>0</v>
      </c>
      <c r="AJ40" s="124">
        <f>IFERROR(_xlfn.STDEV.S('B4'!AJ9,'B5'!AJ9,'B6'!AJ9),0)</f>
        <v>0</v>
      </c>
      <c r="AK40" s="124">
        <f>IFERROR(_xlfn.STDEV.S('B4'!AK9,'B5'!AK9,'B6'!AK9),0)</f>
        <v>0</v>
      </c>
      <c r="AL40" s="124">
        <f>IFERROR(_xlfn.STDEV.S('B4'!AL9,'B5'!AL9,'B6'!AL9),0)</f>
        <v>0</v>
      </c>
      <c r="AM40" s="124">
        <f>IFERROR(_xlfn.STDEV.S('B4'!AM9,'B5'!AM9,'B6'!AM9),0)</f>
        <v>0</v>
      </c>
      <c r="AN40" s="124">
        <f>IFERROR(_xlfn.STDEV.S('B4'!AN9,'B5'!AN9,'B6'!AN9),0)</f>
        <v>0</v>
      </c>
      <c r="AO40" s="124">
        <f>IFERROR(_xlfn.STDEV.S('B4'!AO9,'B5'!AO9,'B6'!AO9),0)</f>
        <v>0</v>
      </c>
      <c r="AP40" s="124">
        <f>IFERROR(_xlfn.STDEV.S('B4'!AP9,'B5'!AP9,'B6'!AP9),0)</f>
        <v>0</v>
      </c>
      <c r="AQ40" s="124">
        <f>IFERROR(_xlfn.STDEV.S('B4'!AQ9,'B5'!AQ9,'B6'!AQ9),0)</f>
        <v>0</v>
      </c>
      <c r="AR40" s="124">
        <f>IFERROR(_xlfn.STDEV.S('B4'!AR9,'B5'!AR9,'B6'!AR9),0)</f>
        <v>0</v>
      </c>
      <c r="AS40" s="124">
        <f>IFERROR(_xlfn.STDEV.S('B4'!AS9,'B5'!AS9,'B6'!AS9),0)</f>
        <v>0</v>
      </c>
      <c r="AT40" s="124">
        <f>IFERROR(_xlfn.STDEV.S('B4'!AT9,'B5'!AT9,'B6'!AT9),0)</f>
        <v>0</v>
      </c>
      <c r="AU40" s="124">
        <f>IFERROR(_xlfn.STDEV.S('B4'!AU9,'B5'!AU9,'B6'!AU9),0)</f>
        <v>0</v>
      </c>
      <c r="AV40" s="124">
        <f>IFERROR(_xlfn.STDEV.S('B4'!AV9,'B5'!AV9,'B6'!AV9),0)</f>
        <v>0</v>
      </c>
      <c r="AW40" s="124">
        <f>IFERROR(_xlfn.STDEV.S('B4'!AW9,'B5'!AW9,'B6'!AW9),0)</f>
        <v>0</v>
      </c>
      <c r="AX40" s="124">
        <f>IFERROR(_xlfn.STDEV.S('B4'!AX9,'B5'!AX9,'B6'!AX9),0)</f>
        <v>0</v>
      </c>
      <c r="AY40" s="124">
        <f>IFERROR(_xlfn.STDEV.S('B4'!AY9,'B5'!AY9,'B6'!AY9),0)</f>
        <v>0</v>
      </c>
      <c r="AZ40" s="64">
        <f>IFERROR(_xlfn.STDEV.S('B4'!AZ9,'B5'!AZ9,'B6'!AZ9),0)</f>
        <v>0</v>
      </c>
      <c r="BA40" s="161">
        <f>IFERROR(_xlfn.STDEV.S('B4'!BA9,'B5'!BA9,'B6'!BA9),0)</f>
        <v>0</v>
      </c>
      <c r="BB40" s="124">
        <f>IFERROR(_xlfn.STDEV.S('B4'!BC9,'B5'!BC9,'B6'!BC9),0)</f>
        <v>0</v>
      </c>
      <c r="BC40" s="124">
        <f>IFERROR(_xlfn.STDEV.S('B4'!BD9,'B5'!BD9,'B6'!BD9),0)</f>
        <v>0</v>
      </c>
      <c r="BD40" s="124">
        <f>IFERROR(_xlfn.STDEV.S('B4'!BE9,'B5'!BE9,'B6'!BE9),0)</f>
        <v>0</v>
      </c>
      <c r="BE40" s="124">
        <f>IFERROR(_xlfn.STDEV.S('B4'!BF9,'B5'!BF9,'B6'!BF9),0)</f>
        <v>0</v>
      </c>
      <c r="BF40" s="124">
        <f>IFERROR(_xlfn.STDEV.S('B4'!BG9,'B5'!BG9,'B6'!BG9),0)</f>
        <v>0</v>
      </c>
      <c r="BG40" s="124">
        <f>IFERROR(_xlfn.STDEV.S('B4'!BH9,'B5'!BH9,'B6'!BH9),0)</f>
        <v>0</v>
      </c>
      <c r="BH40" s="124">
        <f>IFERROR(_xlfn.STDEV.S('B4'!BI9,'B5'!BI9,'B6'!BI9),0)</f>
        <v>0</v>
      </c>
      <c r="BI40" s="124">
        <f>IFERROR(_xlfn.STDEV.S('B4'!BJ9,'B5'!BJ9,'B6'!BJ9),0)</f>
        <v>0</v>
      </c>
      <c r="BJ40" s="124">
        <f>IFERROR(_xlfn.STDEV.S('B4'!BK9,'B5'!BK9,'B6'!BK9),0)</f>
        <v>0</v>
      </c>
      <c r="BK40" s="124">
        <f>IFERROR(_xlfn.STDEV.S('B4'!BL9,'B5'!BL9,'B6'!BL9),0)</f>
        <v>0</v>
      </c>
      <c r="BL40" s="124">
        <f>IFERROR(_xlfn.STDEV.S('B4'!BM9,'B5'!BM9,'B6'!BM9),0)</f>
        <v>0</v>
      </c>
      <c r="BM40" s="124">
        <f>IFERROR(_xlfn.STDEV.S('B4'!BN9,'B5'!BN9,'B6'!BN9),0)</f>
        <v>0</v>
      </c>
      <c r="BN40" s="124">
        <f>IFERROR(_xlfn.STDEV.S('B4'!BO9,'B5'!BO9,'B6'!BO9),0)</f>
        <v>0</v>
      </c>
      <c r="BO40" s="124">
        <f>IFERROR(_xlfn.STDEV.S('B4'!BP9,'B5'!BP9,'B6'!BP9),0)</f>
        <v>0</v>
      </c>
      <c r="BP40" s="124">
        <f>IFERROR(_xlfn.STDEV.S('B4'!BQ9,'B5'!BQ9,'B6'!BQ9),0)</f>
        <v>0</v>
      </c>
      <c r="BQ40" s="124">
        <f>IFERROR(_xlfn.STDEV.S('B4'!BR9,'B5'!BR9,'B6'!BR9),0)</f>
        <v>0</v>
      </c>
      <c r="BR40" s="124">
        <f>IFERROR(_xlfn.STDEV.S('B4'!BS9,'B5'!BS9,'B6'!BS9),0)</f>
        <v>0</v>
      </c>
      <c r="BS40" s="64">
        <f>IFERROR(_xlfn.STDEV.S('B4'!BT9,'B5'!BT9,'B6'!BT9),0)</f>
        <v>0</v>
      </c>
      <c r="BT40" s="64">
        <f>IFERROR(_xlfn.STDEV.S('B4'!BU9,'B5'!BU9,'B6'!BU9),0)</f>
        <v>0</v>
      </c>
      <c r="BU40" s="64">
        <f>IFERROR(_xlfn.STDEV.S('B4'!BV9,'B5'!BV9,'B6'!BV9),0)</f>
        <v>0</v>
      </c>
      <c r="BV40" s="64">
        <f>IFERROR(_xlfn.STDEV.S('B4'!BW9,'B5'!BW9,'B6'!BW9),0)</f>
        <v>0</v>
      </c>
    </row>
    <row r="41" spans="1:74" ht="16" thickBot="1" x14ac:dyDescent="0.4">
      <c r="A41" s="63" t="str">
        <f t="shared" si="7"/>
        <v>22-03-18</v>
      </c>
      <c r="B41" s="129">
        <f t="shared" si="7"/>
        <v>2</v>
      </c>
      <c r="C41" s="77">
        <v>0</v>
      </c>
      <c r="D41" s="123">
        <f>IFERROR(_xlfn.STDEV.S('B4'!D10,'B5'!D10,'B6'!D10),0)</f>
        <v>0</v>
      </c>
      <c r="E41" s="123">
        <f>IFERROR(_xlfn.STDEV.S('B4'!E10,'B5'!E10,'B6'!E10),0)</f>
        <v>0</v>
      </c>
      <c r="F41" s="123">
        <f>IFERROR(_xlfn.STDEV.S('B4'!F10,'B5'!F10,'B6'!F10),0)</f>
        <v>0</v>
      </c>
      <c r="G41" s="123">
        <f>IFERROR(_xlfn.STDEV.S('B4'!G10,'B5'!G10,'B6'!G10),0)</f>
        <v>0</v>
      </c>
      <c r="H41" s="123">
        <f>IFERROR(_xlfn.STDEV.S('B4'!H10,'B5'!H10,'B6'!H10),0)</f>
        <v>0</v>
      </c>
      <c r="I41" s="123">
        <f>IFERROR(_xlfn.STDEV.S('B4'!I10,'B5'!I10,'B6'!I10),0)</f>
        <v>0</v>
      </c>
      <c r="J41" s="123">
        <f>IFERROR(_xlfn.STDEV.S('B4'!J10,'B5'!J10,'B6'!J10),0)</f>
        <v>0</v>
      </c>
      <c r="K41" s="123">
        <f>IFERROR(_xlfn.STDEV.S('B4'!K10,'B5'!K10,'B6'!K10),0)</f>
        <v>0</v>
      </c>
      <c r="L41" s="123">
        <f>IFERROR(_xlfn.STDEV.S('B4'!L10,'B5'!L10,'B6'!L10),0)</f>
        <v>0</v>
      </c>
      <c r="M41" s="123">
        <f>IFERROR(_xlfn.STDEV.S('B4'!M10,'B5'!M10,'B6'!M10),0)</f>
        <v>0</v>
      </c>
      <c r="N41" s="123">
        <f>IFERROR(_xlfn.STDEV.S('B4'!N10,'B5'!N10,'B6'!N10),0)</f>
        <v>0</v>
      </c>
      <c r="O41" s="123">
        <f>IFERROR(_xlfn.STDEV.S('B4'!O10,'B5'!O10,'B6'!O10),0)</f>
        <v>0</v>
      </c>
      <c r="P41" s="123">
        <f>IFERROR(_xlfn.STDEV.S('B4'!P10,'B5'!P10,'B6'!P10),0)</f>
        <v>0</v>
      </c>
      <c r="Q41" s="123">
        <f>IFERROR(_xlfn.STDEV.S('B4'!Q10,'B5'!Q10,'B6'!Q10),0)</f>
        <v>0</v>
      </c>
      <c r="R41" s="123">
        <f>IFERROR(_xlfn.STDEV.S('B4'!R10,'B5'!R10,'B6'!R10),0)</f>
        <v>0</v>
      </c>
      <c r="S41" s="123">
        <f>IFERROR(_xlfn.STDEV.S('B4'!S10,'B5'!S10,'B6'!S10),0)</f>
        <v>0</v>
      </c>
      <c r="T41" s="123">
        <f>IFERROR(_xlfn.STDEV.S('B4'!T10,'B5'!T10,'B6'!T10),0)</f>
        <v>0</v>
      </c>
      <c r="U41" s="123">
        <f>IFERROR(_xlfn.STDEV.S('B4'!U10,'B5'!U10,'B6'!U10),0)</f>
        <v>0</v>
      </c>
      <c r="V41" s="123">
        <f>IFERROR(_xlfn.STDEV.S('B4'!V10,'B5'!V10,'B6'!V10),0)</f>
        <v>0</v>
      </c>
      <c r="W41" s="123">
        <f>IFERROR(_xlfn.STDEV.S('B4'!W10,'B5'!W10,'B6'!W10),0)</f>
        <v>0</v>
      </c>
      <c r="X41" s="123">
        <f>IFERROR(_xlfn.STDEV.S('B4'!X10,'B5'!X10,'B6'!X10),0)</f>
        <v>0</v>
      </c>
      <c r="Y41" s="123">
        <f>IFERROR(_xlfn.STDEV.S('B4'!Y10,'B5'!Y10,'B6'!Y10),0)</f>
        <v>0</v>
      </c>
      <c r="Z41" s="123">
        <f>IFERROR(_xlfn.STDEV.S('B4'!Z10,'B5'!Z10,'B6'!Z10),0)</f>
        <v>0</v>
      </c>
      <c r="AA41" s="123">
        <f>IFERROR(_xlfn.STDEV.S('B4'!AA10,'B5'!AA10,'B6'!AA10),0)</f>
        <v>0</v>
      </c>
      <c r="AB41" s="123">
        <f>IFERROR(_xlfn.STDEV.S('B4'!AB10,'B5'!AB10,'B6'!AB10),0)</f>
        <v>0</v>
      </c>
      <c r="AC41" s="123">
        <f>IFERROR(_xlfn.STDEV.S('B4'!AC10,'B5'!AC10,'B6'!AC10),0)</f>
        <v>0</v>
      </c>
      <c r="AD41" s="123">
        <f>IFERROR(_xlfn.STDEV.S('B4'!AD10,'B5'!AD10,'B6'!AD10),0)</f>
        <v>0</v>
      </c>
      <c r="AE41" s="18">
        <f>IFERROR(_xlfn.STDEV.S('B4'!AE10,'B5'!AE10,'B6'!AE10),0)</f>
        <v>1.1547005383792781E-2</v>
      </c>
      <c r="AF41" s="18">
        <f>IFERROR(_xlfn.STDEV.S('B4'!AF10,'B5'!AF10,'B6'!AF10),0)</f>
        <v>0</v>
      </c>
      <c r="AG41" s="18">
        <f>IFERROR(_xlfn.STDEV.S('B4'!AG10,'B5'!AG10,'B6'!AG10),0)</f>
        <v>0</v>
      </c>
      <c r="AH41" s="18">
        <f>IFERROR(_xlfn.STDEV.S('B4'!AH10,'B5'!AH10,'B6'!AH10),0)</f>
        <v>0.85798212879600999</v>
      </c>
      <c r="AI41" s="18">
        <f>IFERROR(_xlfn.STDEV.S('B4'!AI10,'B5'!AI10,'B6'!AI10),0)</f>
        <v>0</v>
      </c>
      <c r="AJ41" s="124">
        <f>IFERROR(_xlfn.STDEV.S('B4'!AJ10,'B5'!AJ10,'B6'!AJ10),0)</f>
        <v>0</v>
      </c>
      <c r="AK41" s="124">
        <f>IFERROR(_xlfn.STDEV.S('B4'!AK10,'B5'!AK10,'B6'!AK10),0)</f>
        <v>0</v>
      </c>
      <c r="AL41" s="124">
        <f>IFERROR(_xlfn.STDEV.S('B4'!AL10,'B5'!AL10,'B6'!AL10),0)</f>
        <v>0</v>
      </c>
      <c r="AM41" s="124">
        <f>IFERROR(_xlfn.STDEV.S('B4'!AM10,'B5'!AM10,'B6'!AM10),0)</f>
        <v>0</v>
      </c>
      <c r="AN41" s="124">
        <f>IFERROR(_xlfn.STDEV.S('B4'!AN10,'B5'!AN10,'B6'!AN10),0)</f>
        <v>0</v>
      </c>
      <c r="AO41" s="124">
        <f>IFERROR(_xlfn.STDEV.S('B4'!AO10,'B5'!AO10,'B6'!AO10),0)</f>
        <v>0</v>
      </c>
      <c r="AP41" s="124">
        <f>IFERROR(_xlfn.STDEV.S('B4'!AP10,'B5'!AP10,'B6'!AP10),0)</f>
        <v>0</v>
      </c>
      <c r="AQ41" s="124">
        <f>IFERROR(_xlfn.STDEV.S('B4'!AQ10,'B5'!AQ10,'B6'!AQ10),0)</f>
        <v>0</v>
      </c>
      <c r="AR41" s="124">
        <f>IFERROR(_xlfn.STDEV.S('B4'!AR10,'B5'!AR10,'B6'!AR10),0)</f>
        <v>0</v>
      </c>
      <c r="AS41" s="124">
        <f>IFERROR(_xlfn.STDEV.S('B4'!AS10,'B5'!AS10,'B6'!AS10),0)</f>
        <v>0</v>
      </c>
      <c r="AT41" s="124">
        <f>IFERROR(_xlfn.STDEV.S('B4'!AT10,'B5'!AT10,'B6'!AT10),0)</f>
        <v>0</v>
      </c>
      <c r="AU41" s="124">
        <f>IFERROR(_xlfn.STDEV.S('B4'!AU10,'B5'!AU10,'B6'!AU10),0)</f>
        <v>0</v>
      </c>
      <c r="AV41" s="124">
        <f>IFERROR(_xlfn.STDEV.S('B4'!AV10,'B5'!AV10,'B6'!AV10),0)</f>
        <v>0</v>
      </c>
      <c r="AW41" s="124">
        <f>IFERROR(_xlfn.STDEV.S('B4'!AW10,'B5'!AW10,'B6'!AW10),0)</f>
        <v>0</v>
      </c>
      <c r="AX41" s="124">
        <f>IFERROR(_xlfn.STDEV.S('B4'!AX10,'B5'!AX10,'B6'!AX10),0)</f>
        <v>0</v>
      </c>
      <c r="AY41" s="124">
        <f>IFERROR(_xlfn.STDEV.S('B4'!AY10,'B5'!AY10,'B6'!AY10),0)</f>
        <v>0</v>
      </c>
      <c r="AZ41" s="64">
        <f>IFERROR(_xlfn.STDEV.S('B4'!AZ10,'B5'!AZ10,'B6'!AZ10),0)</f>
        <v>9.5246683924956776E-2</v>
      </c>
      <c r="BA41" s="161">
        <f>IFERROR(_xlfn.STDEV.S('B4'!BA10,'B5'!BA10,'B6'!BA10),0)</f>
        <v>8.5798212879601016E-3</v>
      </c>
      <c r="BB41" s="124">
        <f>IFERROR(_xlfn.STDEV.S('B4'!BC10,'B5'!BC10,'B6'!BC10),0)</f>
        <v>0</v>
      </c>
      <c r="BC41" s="124">
        <f>IFERROR(_xlfn.STDEV.S('B4'!BD10,'B5'!BD10,'B6'!BD10),0)</f>
        <v>0</v>
      </c>
      <c r="BD41" s="124">
        <f>IFERROR(_xlfn.STDEV.S('B4'!BE10,'B5'!BE10,'B6'!BE10),0)</f>
        <v>0</v>
      </c>
      <c r="BE41" s="124">
        <f>IFERROR(_xlfn.STDEV.S('B4'!BF10,'B5'!BF10,'B6'!BF10),0)</f>
        <v>0</v>
      </c>
      <c r="BF41" s="124">
        <f>IFERROR(_xlfn.STDEV.S('B4'!BG10,'B5'!BG10,'B6'!BG10),0)</f>
        <v>0</v>
      </c>
      <c r="BG41" s="124">
        <f>IFERROR(_xlfn.STDEV.S('B4'!BH10,'B5'!BH10,'B6'!BH10),0)</f>
        <v>0</v>
      </c>
      <c r="BH41" s="124">
        <f>IFERROR(_xlfn.STDEV.S('B4'!BI10,'B5'!BI10,'B6'!BI10),0)</f>
        <v>0</v>
      </c>
      <c r="BI41" s="124">
        <f>IFERROR(_xlfn.STDEV.S('B4'!BJ10,'B5'!BJ10,'B6'!BJ10),0)</f>
        <v>0</v>
      </c>
      <c r="BJ41" s="124">
        <f>IFERROR(_xlfn.STDEV.S('B4'!BK10,'B5'!BK10,'B6'!BK10),0)</f>
        <v>0</v>
      </c>
      <c r="BK41" s="124">
        <f>IFERROR(_xlfn.STDEV.S('B4'!BL10,'B5'!BL10,'B6'!BL10),0)</f>
        <v>0</v>
      </c>
      <c r="BL41" s="124">
        <f>IFERROR(_xlfn.STDEV.S('B4'!BM10,'B5'!BM10,'B6'!BM10),0)</f>
        <v>0</v>
      </c>
      <c r="BM41" s="124">
        <f>IFERROR(_xlfn.STDEV.S('B4'!BN10,'B5'!BN10,'B6'!BN10),0)</f>
        <v>0</v>
      </c>
      <c r="BN41" s="124">
        <f>IFERROR(_xlfn.STDEV.S('B4'!BO10,'B5'!BO10,'B6'!BO10),0)</f>
        <v>0</v>
      </c>
      <c r="BO41" s="124">
        <f>IFERROR(_xlfn.STDEV.S('B4'!BP10,'B5'!BP10,'B6'!BP10),0)</f>
        <v>0</v>
      </c>
      <c r="BP41" s="124">
        <f>IFERROR(_xlfn.STDEV.S('B4'!BQ10,'B5'!BQ10,'B6'!BQ10),0)</f>
        <v>0</v>
      </c>
      <c r="BQ41" s="124">
        <f>IFERROR(_xlfn.STDEV.S('B4'!BR10,'B5'!BR10,'B6'!BR10),0)</f>
        <v>0</v>
      </c>
      <c r="BR41" s="124">
        <f>IFERROR(_xlfn.STDEV.S('B4'!BS10,'B5'!BS10,'B6'!BS10),0)</f>
        <v>0</v>
      </c>
      <c r="BS41" s="64">
        <f>IFERROR(_xlfn.STDEV.S('B4'!BT10,'B5'!BT10,'B6'!BT10),0)</f>
        <v>2.8574005177487035E-4</v>
      </c>
      <c r="BT41" s="64">
        <f>IFERROR(_xlfn.STDEV.S('B4'!BU10,'B5'!BU10,'B6'!BU10),0)</f>
        <v>0</v>
      </c>
      <c r="BU41" s="64">
        <f>IFERROR(_xlfn.STDEV.S('B4'!BV10,'B5'!BV10,'B6'!BV10),0)</f>
        <v>0</v>
      </c>
      <c r="BV41" s="64">
        <f>IFERROR(_xlfn.STDEV.S('B4'!BW10,'B5'!BW10,'B6'!BW10),0)</f>
        <v>0</v>
      </c>
    </row>
    <row r="42" spans="1:74" ht="16" thickBot="1" x14ac:dyDescent="0.4">
      <c r="A42" s="63" t="str">
        <f t="shared" si="7"/>
        <v>23-03-18</v>
      </c>
      <c r="B42" s="129">
        <f t="shared" si="7"/>
        <v>3</v>
      </c>
      <c r="C42" s="41">
        <v>0</v>
      </c>
      <c r="D42" s="123">
        <f>IFERROR(_xlfn.STDEV.S('B4'!D11,'B5'!D11,'B6'!D11),0)</f>
        <v>0</v>
      </c>
      <c r="E42" s="123">
        <f>IFERROR(_xlfn.STDEV.S('B4'!E11,'B5'!E11,'B6'!E11),0)</f>
        <v>0</v>
      </c>
      <c r="F42" s="123">
        <f>IFERROR(_xlfn.STDEV.S('B4'!F11,'B5'!F11,'B6'!F11),0)</f>
        <v>0</v>
      </c>
      <c r="G42" s="123">
        <f>IFERROR(_xlfn.STDEV.S('B4'!G11,'B5'!G11,'B6'!G11),0)</f>
        <v>0</v>
      </c>
      <c r="H42" s="123">
        <f>IFERROR(_xlfn.STDEV.S('B4'!H11,'B5'!H11,'B6'!H11),0)</f>
        <v>0</v>
      </c>
      <c r="I42" s="123">
        <f>IFERROR(_xlfn.STDEV.S('B4'!I11,'B5'!I11,'B6'!I11),0)</f>
        <v>0</v>
      </c>
      <c r="J42" s="123">
        <f>IFERROR(_xlfn.STDEV.S('B4'!J11,'B5'!J11,'B6'!J11),0)</f>
        <v>0</v>
      </c>
      <c r="K42" s="123">
        <f>IFERROR(_xlfn.STDEV.S('B4'!K11,'B5'!K11,'B6'!K11),0)</f>
        <v>0</v>
      </c>
      <c r="L42" s="123">
        <f>IFERROR(_xlfn.STDEV.S('B4'!L11,'B5'!L11,'B6'!L11),0)</f>
        <v>0</v>
      </c>
      <c r="M42" s="123">
        <f>IFERROR(_xlfn.STDEV.S('B4'!M11,'B5'!M11,'B6'!M11),0)</f>
        <v>0</v>
      </c>
      <c r="N42" s="123">
        <f>IFERROR(_xlfn.STDEV.S('B4'!N11,'B5'!N11,'B6'!N11),0)</f>
        <v>0</v>
      </c>
      <c r="O42" s="123">
        <f>IFERROR(_xlfn.STDEV.S('B4'!O11,'B5'!O11,'B6'!O11),0)</f>
        <v>0</v>
      </c>
      <c r="P42" s="123">
        <f>IFERROR(_xlfn.STDEV.S('B4'!P11,'B5'!P11,'B6'!P11),0)</f>
        <v>0</v>
      </c>
      <c r="Q42" s="123">
        <f>IFERROR(_xlfn.STDEV.S('B4'!Q11,'B5'!Q11,'B6'!Q11),0)</f>
        <v>0</v>
      </c>
      <c r="R42" s="123">
        <f>IFERROR(_xlfn.STDEV.S('B4'!R11,'B5'!R11,'B6'!R11),0)</f>
        <v>0</v>
      </c>
      <c r="S42" s="123">
        <f>IFERROR(_xlfn.STDEV.S('B4'!S11,'B5'!S11,'B6'!S11),0)</f>
        <v>0</v>
      </c>
      <c r="T42" s="123">
        <f>IFERROR(_xlfn.STDEV.S('B4'!T11,'B5'!T11,'B6'!T11),0)</f>
        <v>0</v>
      </c>
      <c r="U42" s="123">
        <f>IFERROR(_xlfn.STDEV.S('B4'!U11,'B5'!U11,'B6'!U11),0)</f>
        <v>0</v>
      </c>
      <c r="V42" s="123">
        <f>IFERROR(_xlfn.STDEV.S('B4'!V11,'B5'!V11,'B6'!V11),0)</f>
        <v>0</v>
      </c>
      <c r="W42" s="123">
        <f>IFERROR(_xlfn.STDEV.S('B4'!W11,'B5'!W11,'B6'!W11),0)</f>
        <v>0</v>
      </c>
      <c r="X42" s="123">
        <f>IFERROR(_xlfn.STDEV.S('B4'!X11,'B5'!X11,'B6'!X11),0)</f>
        <v>0</v>
      </c>
      <c r="Y42" s="123">
        <f>IFERROR(_xlfn.STDEV.S('B4'!Y11,'B5'!Y11,'B6'!Y11),0)</f>
        <v>0</v>
      </c>
      <c r="Z42" s="123">
        <f>IFERROR(_xlfn.STDEV.S('B4'!Z11,'B5'!Z11,'B6'!Z11),0)</f>
        <v>0</v>
      </c>
      <c r="AA42" s="123">
        <f>IFERROR(_xlfn.STDEV.S('B4'!AA11,'B5'!AA11,'B6'!AA11),0)</f>
        <v>0</v>
      </c>
      <c r="AB42" s="123">
        <f>IFERROR(_xlfn.STDEV.S('B4'!AB11,'B5'!AB11,'B6'!AB11),0)</f>
        <v>0</v>
      </c>
      <c r="AC42" s="123">
        <f>IFERROR(_xlfn.STDEV.S('B4'!AC11,'B5'!AC11,'B6'!AC11),0)</f>
        <v>0</v>
      </c>
      <c r="AD42" s="123">
        <f>IFERROR(_xlfn.STDEV.S('B4'!AD11,'B5'!AD11,'B6'!AD11),0)</f>
        <v>0</v>
      </c>
      <c r="AE42" s="18">
        <f>IFERROR(_xlfn.STDEV.S('B4'!AE11,'B5'!AE11,'B6'!AE11),0)</f>
        <v>5.7735026918961348E-3</v>
      </c>
      <c r="AF42" s="18">
        <f>IFERROR(_xlfn.STDEV.S('B4'!AF11,'B5'!AF11,'B6'!AF11),0)</f>
        <v>0</v>
      </c>
      <c r="AG42" s="18">
        <f>IFERROR(_xlfn.STDEV.S('B4'!AG11,'B5'!AG11,'B6'!AG11),0)</f>
        <v>0</v>
      </c>
      <c r="AH42" s="18">
        <f>IFERROR(_xlfn.STDEV.S('B4'!AH11,'B5'!AH11,'B6'!AH11),0)</f>
        <v>0.96104789856350692</v>
      </c>
      <c r="AI42" s="18">
        <f>IFERROR(_xlfn.STDEV.S('B4'!AI11,'B5'!AI11,'B6'!AI11),0)</f>
        <v>0</v>
      </c>
      <c r="AJ42" s="124">
        <f>IFERROR(_xlfn.STDEV.S('B4'!AJ11,'B5'!AJ11,'B6'!AJ11),0)</f>
        <v>0</v>
      </c>
      <c r="AK42" s="124">
        <f>IFERROR(_xlfn.STDEV.S('B4'!AK11,'B5'!AK11,'B6'!AK11),0)</f>
        <v>0</v>
      </c>
      <c r="AL42" s="124">
        <f>IFERROR(_xlfn.STDEV.S('B4'!AL11,'B5'!AL11,'B6'!AL11),0)</f>
        <v>0</v>
      </c>
      <c r="AM42" s="124">
        <f>IFERROR(_xlfn.STDEV.S('B4'!AM11,'B5'!AM11,'B6'!AM11),0)</f>
        <v>0</v>
      </c>
      <c r="AN42" s="124">
        <f>IFERROR(_xlfn.STDEV.S('B4'!AN11,'B5'!AN11,'B6'!AN11),0)</f>
        <v>0</v>
      </c>
      <c r="AO42" s="124">
        <f>IFERROR(_xlfn.STDEV.S('B4'!AO11,'B5'!AO11,'B6'!AO11),0)</f>
        <v>0</v>
      </c>
      <c r="AP42" s="124">
        <f>IFERROR(_xlfn.STDEV.S('B4'!AP11,'B5'!AP11,'B6'!AP11),0)</f>
        <v>0</v>
      </c>
      <c r="AQ42" s="124">
        <f>IFERROR(_xlfn.STDEV.S('B4'!AQ11,'B5'!AQ11,'B6'!AQ11),0)</f>
        <v>0</v>
      </c>
      <c r="AR42" s="124">
        <f>IFERROR(_xlfn.STDEV.S('B4'!AR11,'B5'!AR11,'B6'!AR11),0)</f>
        <v>0</v>
      </c>
      <c r="AS42" s="124">
        <f>IFERROR(_xlfn.STDEV.S('B4'!AS11,'B5'!AS11,'B6'!AS11),0)</f>
        <v>0</v>
      </c>
      <c r="AT42" s="124">
        <f>IFERROR(_xlfn.STDEV.S('B4'!AT11,'B5'!AT11,'B6'!AT11),0)</f>
        <v>0</v>
      </c>
      <c r="AU42" s="124">
        <f>IFERROR(_xlfn.STDEV.S('B4'!AU11,'B5'!AU11,'B6'!AU11),0)</f>
        <v>0</v>
      </c>
      <c r="AV42" s="124">
        <f>IFERROR(_xlfn.STDEV.S('B4'!AV11,'B5'!AV11,'B6'!AV11),0)</f>
        <v>0</v>
      </c>
      <c r="AW42" s="124">
        <f>IFERROR(_xlfn.STDEV.S('B4'!AW11,'B5'!AW11,'B6'!AW11),0)</f>
        <v>0</v>
      </c>
      <c r="AX42" s="124">
        <f>IFERROR(_xlfn.STDEV.S('B4'!AX11,'B5'!AX11,'B6'!AX11),0)</f>
        <v>0</v>
      </c>
      <c r="AY42" s="124">
        <f>IFERROR(_xlfn.STDEV.S('B4'!AY11,'B5'!AY11,'B6'!AY11),0)</f>
        <v>0</v>
      </c>
      <c r="AZ42" s="64">
        <f>IFERROR(_xlfn.STDEV.S('B4'!AZ11,'B5'!AZ11,'B6'!AZ11),0)</f>
        <v>0.10668826582632192</v>
      </c>
      <c r="BA42" s="161">
        <f>IFERROR(_xlfn.STDEV.S('B4'!BA11,'B5'!BA11,'B6'!BA11),0)</f>
        <v>9.6104789856350757E-3</v>
      </c>
      <c r="BB42" s="124">
        <f>IFERROR(_xlfn.STDEV.S('B4'!BC11,'B5'!BC11,'B6'!BC11),0)</f>
        <v>0</v>
      </c>
      <c r="BC42" s="124">
        <f>IFERROR(_xlfn.STDEV.S('B4'!BD11,'B5'!BD11,'B6'!BD11),0)</f>
        <v>0</v>
      </c>
      <c r="BD42" s="124">
        <f>IFERROR(_xlfn.STDEV.S('B4'!BE11,'B5'!BE11,'B6'!BE11),0)</f>
        <v>0</v>
      </c>
      <c r="BE42" s="124">
        <f>IFERROR(_xlfn.STDEV.S('B4'!BF11,'B5'!BF11,'B6'!BF11),0)</f>
        <v>0</v>
      </c>
      <c r="BF42" s="124">
        <f>IFERROR(_xlfn.STDEV.S('B4'!BG11,'B5'!BG11,'B6'!BG11),0)</f>
        <v>0</v>
      </c>
      <c r="BG42" s="124">
        <f>IFERROR(_xlfn.STDEV.S('B4'!BH11,'B5'!BH11,'B6'!BH11),0)</f>
        <v>0</v>
      </c>
      <c r="BH42" s="124">
        <f>IFERROR(_xlfn.STDEV.S('B4'!BI11,'B5'!BI11,'B6'!BI11),0)</f>
        <v>0</v>
      </c>
      <c r="BI42" s="124">
        <f>IFERROR(_xlfn.STDEV.S('B4'!BJ11,'B5'!BJ11,'B6'!BJ11),0)</f>
        <v>0</v>
      </c>
      <c r="BJ42" s="124">
        <f>IFERROR(_xlfn.STDEV.S('B4'!BK11,'B5'!BK11,'B6'!BK11),0)</f>
        <v>0</v>
      </c>
      <c r="BK42" s="124">
        <f>IFERROR(_xlfn.STDEV.S('B4'!BL11,'B5'!BL11,'B6'!BL11),0)</f>
        <v>0</v>
      </c>
      <c r="BL42" s="124">
        <f>IFERROR(_xlfn.STDEV.S('B4'!BM11,'B5'!BM11,'B6'!BM11),0)</f>
        <v>0</v>
      </c>
      <c r="BM42" s="124">
        <f>IFERROR(_xlfn.STDEV.S('B4'!BN11,'B5'!BN11,'B6'!BN11),0)</f>
        <v>0</v>
      </c>
      <c r="BN42" s="124">
        <f>IFERROR(_xlfn.STDEV.S('B4'!BO11,'B5'!BO11,'B6'!BO11),0)</f>
        <v>0</v>
      </c>
      <c r="BO42" s="124">
        <f>IFERROR(_xlfn.STDEV.S('B4'!BP11,'B5'!BP11,'B6'!BP11),0)</f>
        <v>0</v>
      </c>
      <c r="BP42" s="124">
        <f>IFERROR(_xlfn.STDEV.S('B4'!BQ11,'B5'!BQ11,'B6'!BQ11),0)</f>
        <v>0</v>
      </c>
      <c r="BQ42" s="124">
        <f>IFERROR(_xlfn.STDEV.S('B4'!BR11,'B5'!BR11,'B6'!BR11),0)</f>
        <v>0</v>
      </c>
      <c r="BR42" s="124">
        <f>IFERROR(_xlfn.STDEV.S('B4'!BS11,'B5'!BS11,'B6'!BS11),0)</f>
        <v>0</v>
      </c>
      <c r="BS42" s="64">
        <f>IFERROR(_xlfn.STDEV.S('B4'!BT11,'B5'!BT11,'B6'!BT11),0)</f>
        <v>3.2006479747896568E-4</v>
      </c>
      <c r="BT42" s="64">
        <f>IFERROR(_xlfn.STDEV.S('B4'!BU11,'B5'!BU11,'B6'!BU11),0)</f>
        <v>0</v>
      </c>
      <c r="BU42" s="64">
        <f>IFERROR(_xlfn.STDEV.S('B4'!BV11,'B5'!BV11,'B6'!BV11),0)</f>
        <v>0</v>
      </c>
      <c r="BV42" s="64">
        <f>IFERROR(_xlfn.STDEV.S('B4'!BW11,'B5'!BW11,'B6'!BW11),0)</f>
        <v>0</v>
      </c>
    </row>
    <row r="43" spans="1:74" ht="16" thickBot="1" x14ac:dyDescent="0.4">
      <c r="A43" s="63" t="str">
        <f t="shared" si="7"/>
        <v>26-03-18</v>
      </c>
      <c r="B43" s="129">
        <f t="shared" si="7"/>
        <v>6</v>
      </c>
      <c r="C43" s="77">
        <v>0</v>
      </c>
      <c r="D43" s="123">
        <f>IFERROR(_xlfn.STDEV.S('B4'!D12,'B5'!D12,'B6'!D12),0)</f>
        <v>0</v>
      </c>
      <c r="E43" s="123">
        <f>IFERROR(_xlfn.STDEV.S('B4'!E12,'B5'!E12,'B6'!E12),0)</f>
        <v>0</v>
      </c>
      <c r="F43" s="123">
        <f>IFERROR(_xlfn.STDEV.S('B4'!F12,'B5'!F12,'B6'!F12),0)</f>
        <v>0</v>
      </c>
      <c r="G43" s="123">
        <f>IFERROR(_xlfn.STDEV.S('B4'!G12,'B5'!G12,'B6'!G12),0)</f>
        <v>0</v>
      </c>
      <c r="H43" s="123">
        <f>IFERROR(_xlfn.STDEV.S('B4'!H12,'B5'!H12,'B6'!H12),0)</f>
        <v>0</v>
      </c>
      <c r="I43" s="123">
        <f>IFERROR(_xlfn.STDEV.S('B4'!I12,'B5'!I12,'B6'!I12),0)</f>
        <v>0</v>
      </c>
      <c r="J43" s="123">
        <f>IFERROR(_xlfn.STDEV.S('B4'!J12,'B5'!J12,'B6'!J12),0)</f>
        <v>0</v>
      </c>
      <c r="K43" s="123">
        <f>IFERROR(_xlfn.STDEV.S('B4'!K12,'B5'!K12,'B6'!K12),0)</f>
        <v>0</v>
      </c>
      <c r="L43" s="123">
        <f>IFERROR(_xlfn.STDEV.S('B4'!L12,'B5'!L12,'B6'!L12),0)</f>
        <v>0</v>
      </c>
      <c r="M43" s="123">
        <f>IFERROR(_xlfn.STDEV.S('B4'!M12,'B5'!M12,'B6'!M12),0)</f>
        <v>0</v>
      </c>
      <c r="N43" s="123">
        <f>IFERROR(_xlfn.STDEV.S('B4'!N12,'B5'!N12,'B6'!N12),0)</f>
        <v>0</v>
      </c>
      <c r="O43" s="123">
        <f>IFERROR(_xlfn.STDEV.S('B4'!O12,'B5'!O12,'B6'!O12),0)</f>
        <v>0</v>
      </c>
      <c r="P43" s="123">
        <f>IFERROR(_xlfn.STDEV.S('B4'!P12,'B5'!P12,'B6'!P12),0)</f>
        <v>0</v>
      </c>
      <c r="Q43" s="123">
        <f>IFERROR(_xlfn.STDEV.S('B4'!Q12,'B5'!Q12,'B6'!Q12),0)</f>
        <v>0</v>
      </c>
      <c r="R43" s="123">
        <f>IFERROR(_xlfn.STDEV.S('B4'!R12,'B5'!R12,'B6'!R12),0)</f>
        <v>0</v>
      </c>
      <c r="S43" s="123">
        <f>IFERROR(_xlfn.STDEV.S('B4'!S12,'B5'!S12,'B6'!S12),0)</f>
        <v>0</v>
      </c>
      <c r="T43" s="123">
        <f>IFERROR(_xlfn.STDEV.S('B4'!T12,'B5'!T12,'B6'!T12),0)</f>
        <v>0</v>
      </c>
      <c r="U43" s="123">
        <f>IFERROR(_xlfn.STDEV.S('B4'!U12,'B5'!U12,'B6'!U12),0)</f>
        <v>0</v>
      </c>
      <c r="V43" s="123">
        <f>IFERROR(_xlfn.STDEV.S('B4'!V12,'B5'!V12,'B6'!V12),0)</f>
        <v>0</v>
      </c>
      <c r="W43" s="123">
        <f>IFERROR(_xlfn.STDEV.S('B4'!W12,'B5'!W12,'B6'!W12),0)</f>
        <v>0</v>
      </c>
      <c r="X43" s="123">
        <f>IFERROR(_xlfn.STDEV.S('B4'!X12,'B5'!X12,'B6'!X12),0)</f>
        <v>0</v>
      </c>
      <c r="Y43" s="123">
        <f>IFERROR(_xlfn.STDEV.S('B4'!Y12,'B5'!Y12,'B6'!Y12),0)</f>
        <v>0</v>
      </c>
      <c r="Z43" s="123">
        <f>IFERROR(_xlfn.STDEV.S('B4'!Z12,'B5'!Z12,'B6'!Z12),0)</f>
        <v>0</v>
      </c>
      <c r="AA43" s="123">
        <f>IFERROR(_xlfn.STDEV.S('B4'!AA12,'B5'!AA12,'B6'!AA12),0)</f>
        <v>0</v>
      </c>
      <c r="AB43" s="123">
        <f>IFERROR(_xlfn.STDEV.S('B4'!AB12,'B5'!AB12,'B6'!AB12),0)</f>
        <v>0</v>
      </c>
      <c r="AC43" s="123">
        <f>IFERROR(_xlfn.STDEV.S('B4'!AC12,'B5'!AC12,'B6'!AC12),0)</f>
        <v>0</v>
      </c>
      <c r="AD43" s="123">
        <f>IFERROR(_xlfn.STDEV.S('B4'!AD12,'B5'!AD12,'B6'!AD12),0)</f>
        <v>0</v>
      </c>
      <c r="AE43" s="18">
        <f>IFERROR(_xlfn.STDEV.S('B4'!AE12,'B5'!AE12,'B6'!AE12),0)</f>
        <v>0.10066445913694322</v>
      </c>
      <c r="AF43" s="18">
        <f>IFERROR(_xlfn.STDEV.S('B4'!AF12,'B5'!AF12,'B6'!AF12),0)</f>
        <v>0</v>
      </c>
      <c r="AG43" s="18">
        <f>IFERROR(_xlfn.STDEV.S('B4'!AG12,'B5'!AG12,'B6'!AG12),0)</f>
        <v>0</v>
      </c>
      <c r="AH43" s="18">
        <f>IFERROR(_xlfn.STDEV.S('B4'!AH12,'B5'!AH12,'B6'!AH12),0)</f>
        <v>2.7782071862983857</v>
      </c>
      <c r="AI43" s="18">
        <f>IFERROR(_xlfn.STDEV.S('B4'!AI12,'B5'!AI12,'B6'!AI12),0)</f>
        <v>0</v>
      </c>
      <c r="AJ43" s="124">
        <f>IFERROR(_xlfn.STDEV.S('B4'!AJ12,'B5'!AJ12,'B6'!AJ12),0)</f>
        <v>0</v>
      </c>
      <c r="AK43" s="124">
        <f>IFERROR(_xlfn.STDEV.S('B4'!AK12,'B5'!AK12,'B6'!AK12),0)</f>
        <v>0</v>
      </c>
      <c r="AL43" s="124">
        <f>IFERROR(_xlfn.STDEV.S('B4'!AL12,'B5'!AL12,'B6'!AL12),0)</f>
        <v>0</v>
      </c>
      <c r="AM43" s="124">
        <f>IFERROR(_xlfn.STDEV.S('B4'!AM12,'B5'!AM12,'B6'!AM12),0)</f>
        <v>0</v>
      </c>
      <c r="AN43" s="124">
        <f>IFERROR(_xlfn.STDEV.S('B4'!AN12,'B5'!AN12,'B6'!AN12),0)</f>
        <v>0</v>
      </c>
      <c r="AO43" s="124">
        <f>IFERROR(_xlfn.STDEV.S('B4'!AO12,'B5'!AO12,'B6'!AO12),0)</f>
        <v>0</v>
      </c>
      <c r="AP43" s="124">
        <f>IFERROR(_xlfn.STDEV.S('B4'!AP12,'B5'!AP12,'B6'!AP12),0)</f>
        <v>0</v>
      </c>
      <c r="AQ43" s="124">
        <f>IFERROR(_xlfn.STDEV.S('B4'!AQ12,'B5'!AQ12,'B6'!AQ12),0)</f>
        <v>0</v>
      </c>
      <c r="AR43" s="124">
        <f>IFERROR(_xlfn.STDEV.S('B4'!AR12,'B5'!AR12,'B6'!AR12),0)</f>
        <v>0</v>
      </c>
      <c r="AS43" s="124">
        <f>IFERROR(_xlfn.STDEV.S('B4'!AS12,'B5'!AS12,'B6'!AS12),0)</f>
        <v>0</v>
      </c>
      <c r="AT43" s="124">
        <f>IFERROR(_xlfn.STDEV.S('B4'!AT12,'B5'!AT12,'B6'!AT12),0)</f>
        <v>0</v>
      </c>
      <c r="AU43" s="124">
        <f>IFERROR(_xlfn.STDEV.S('B4'!AU12,'B5'!AU12,'B6'!AU12),0)</f>
        <v>0</v>
      </c>
      <c r="AV43" s="124">
        <f>IFERROR(_xlfn.STDEV.S('B4'!AV12,'B5'!AV12,'B6'!AV12),0)</f>
        <v>0</v>
      </c>
      <c r="AW43" s="124">
        <f>IFERROR(_xlfn.STDEV.S('B4'!AW12,'B5'!AW12,'B6'!AW12),0)</f>
        <v>0</v>
      </c>
      <c r="AX43" s="124">
        <f>IFERROR(_xlfn.STDEV.S('B4'!AX12,'B5'!AX12,'B6'!AX12),0)</f>
        <v>0</v>
      </c>
      <c r="AY43" s="124">
        <f>IFERROR(_xlfn.STDEV.S('B4'!AY12,'B5'!AY12,'B6'!AY12),0)</f>
        <v>0</v>
      </c>
      <c r="AZ43" s="64">
        <f>IFERROR(_xlfn.STDEV.S('B4'!AZ12,'B5'!AZ12,'B6'!AZ12),0)</f>
        <v>3.0841554021962598</v>
      </c>
      <c r="BA43" s="161">
        <f>IFERROR(_xlfn.STDEV.S('B4'!BA12,'B5'!BA12,'B6'!BA12),0)</f>
        <v>0.27782071862983815</v>
      </c>
      <c r="BB43" s="124">
        <f>IFERROR(_xlfn.STDEV.S('B4'!BC12,'B5'!BC12,'B6'!BC12),0)</f>
        <v>0</v>
      </c>
      <c r="BC43" s="124">
        <f>IFERROR(_xlfn.STDEV.S('B4'!BD12,'B5'!BD12,'B6'!BD12),0)</f>
        <v>0</v>
      </c>
      <c r="BD43" s="124">
        <f>IFERROR(_xlfn.STDEV.S('B4'!BE12,'B5'!BE12,'B6'!BE12),0)</f>
        <v>0</v>
      </c>
      <c r="BE43" s="124">
        <f>IFERROR(_xlfn.STDEV.S('B4'!BF12,'B5'!BF12,'B6'!BF12),0)</f>
        <v>0</v>
      </c>
      <c r="BF43" s="124">
        <f>IFERROR(_xlfn.STDEV.S('B4'!BG12,'B5'!BG12,'B6'!BG12),0)</f>
        <v>0</v>
      </c>
      <c r="BG43" s="124">
        <f>IFERROR(_xlfn.STDEV.S('B4'!BH12,'B5'!BH12,'B6'!BH12),0)</f>
        <v>0</v>
      </c>
      <c r="BH43" s="124">
        <f>IFERROR(_xlfn.STDEV.S('B4'!BI12,'B5'!BI12,'B6'!BI12),0)</f>
        <v>0</v>
      </c>
      <c r="BI43" s="124">
        <f>IFERROR(_xlfn.STDEV.S('B4'!BJ12,'B5'!BJ12,'B6'!BJ12),0)</f>
        <v>0</v>
      </c>
      <c r="BJ43" s="124">
        <f>IFERROR(_xlfn.STDEV.S('B4'!BK12,'B5'!BK12,'B6'!BK12),0)</f>
        <v>0</v>
      </c>
      <c r="BK43" s="124">
        <f>IFERROR(_xlfn.STDEV.S('B4'!BL12,'B5'!BL12,'B6'!BL12),0)</f>
        <v>0</v>
      </c>
      <c r="BL43" s="124">
        <f>IFERROR(_xlfn.STDEV.S('B4'!BM12,'B5'!BM12,'B6'!BM12),0)</f>
        <v>0</v>
      </c>
      <c r="BM43" s="124">
        <f>IFERROR(_xlfn.STDEV.S('B4'!BN12,'B5'!BN12,'B6'!BN12),0)</f>
        <v>0</v>
      </c>
      <c r="BN43" s="124">
        <f>IFERROR(_xlfn.STDEV.S('B4'!BO12,'B5'!BO12,'B6'!BO12),0)</f>
        <v>0</v>
      </c>
      <c r="BO43" s="124">
        <f>IFERROR(_xlfn.STDEV.S('B4'!BP12,'B5'!BP12,'B6'!BP12),0)</f>
        <v>0</v>
      </c>
      <c r="BP43" s="124">
        <f>IFERROR(_xlfn.STDEV.S('B4'!BQ12,'B5'!BQ12,'B6'!BQ12),0)</f>
        <v>0</v>
      </c>
      <c r="BQ43" s="124">
        <f>IFERROR(_xlfn.STDEV.S('B4'!BR12,'B5'!BR12,'B6'!BR12),0)</f>
        <v>0</v>
      </c>
      <c r="BR43" s="124">
        <f>IFERROR(_xlfn.STDEV.S('B4'!BS12,'B5'!BS12,'B6'!BS12),0)</f>
        <v>0</v>
      </c>
      <c r="BS43" s="64">
        <f>IFERROR(_xlfn.STDEV.S('B4'!BT12,'B5'!BT12,'B6'!BT12),0)</f>
        <v>9.2524662065887903E-3</v>
      </c>
      <c r="BT43" s="64">
        <f>IFERROR(_xlfn.STDEV.S('B4'!BU12,'B5'!BU12,'B6'!BU12),0)</f>
        <v>0</v>
      </c>
      <c r="BU43" s="64">
        <f>IFERROR(_xlfn.STDEV.S('B4'!BV12,'B5'!BV12,'B6'!BV12),0)</f>
        <v>0</v>
      </c>
      <c r="BV43" s="64">
        <f>IFERROR(_xlfn.STDEV.S('B4'!BW12,'B5'!BW12,'B6'!BW12),0)</f>
        <v>0</v>
      </c>
    </row>
    <row r="44" spans="1:74" ht="16" thickBot="1" x14ac:dyDescent="0.4">
      <c r="A44" s="63" t="str">
        <f t="shared" si="7"/>
        <v>29-03-18</v>
      </c>
      <c r="B44" s="129">
        <f t="shared" si="7"/>
        <v>9</v>
      </c>
      <c r="C44" s="41">
        <v>0</v>
      </c>
      <c r="D44" s="123">
        <f>IFERROR(_xlfn.STDEV.S('B4'!D13,'B5'!D13,'B6'!D13),0)</f>
        <v>0</v>
      </c>
      <c r="E44" s="123">
        <f>IFERROR(_xlfn.STDEV.S('B4'!E13,'B5'!E13,'B6'!E13),0)</f>
        <v>0</v>
      </c>
      <c r="F44" s="123">
        <f>IFERROR(_xlfn.STDEV.S('B4'!F13,'B5'!F13,'B6'!F13),0)</f>
        <v>0</v>
      </c>
      <c r="G44" s="123">
        <f>IFERROR(_xlfn.STDEV.S('B4'!G13,'B5'!G13,'B6'!G13),0)</f>
        <v>0</v>
      </c>
      <c r="H44" s="123">
        <f>IFERROR(_xlfn.STDEV.S('B4'!H13,'B5'!H13,'B6'!H13),0)</f>
        <v>0</v>
      </c>
      <c r="I44" s="123">
        <f>IFERROR(_xlfn.STDEV.S('B4'!I13,'B5'!I13,'B6'!I13),0)</f>
        <v>0</v>
      </c>
      <c r="J44" s="123">
        <f>IFERROR(_xlfn.STDEV.S('B4'!J13,'B5'!J13,'B6'!J13),0)</f>
        <v>0</v>
      </c>
      <c r="K44" s="123">
        <f>IFERROR(_xlfn.STDEV.S('B4'!K13,'B5'!K13,'B6'!K13),0)</f>
        <v>0</v>
      </c>
      <c r="L44" s="123">
        <f>IFERROR(_xlfn.STDEV.S('B4'!L13,'B5'!L13,'B6'!L13),0)</f>
        <v>0</v>
      </c>
      <c r="M44" s="123">
        <f>IFERROR(_xlfn.STDEV.S('B4'!M13,'B5'!M13,'B6'!M13),0)</f>
        <v>0</v>
      </c>
      <c r="N44" s="123">
        <f>IFERROR(_xlfn.STDEV.S('B4'!N13,'B5'!N13,'B6'!N13),0)</f>
        <v>0</v>
      </c>
      <c r="O44" s="123">
        <f>IFERROR(_xlfn.STDEV.S('B4'!O13,'B5'!O13,'B6'!O13),0)</f>
        <v>0</v>
      </c>
      <c r="P44" s="123">
        <f>IFERROR(_xlfn.STDEV.S('B4'!P13,'B5'!P13,'B6'!P13),0)</f>
        <v>0</v>
      </c>
      <c r="Q44" s="123">
        <f>IFERROR(_xlfn.STDEV.S('B4'!Q13,'B5'!Q13,'B6'!Q13),0)</f>
        <v>0</v>
      </c>
      <c r="R44" s="123">
        <f>IFERROR(_xlfn.STDEV.S('B4'!R13,'B5'!R13,'B6'!R13),0)</f>
        <v>0</v>
      </c>
      <c r="S44" s="123">
        <f>IFERROR(_xlfn.STDEV.S('B4'!S13,'B5'!S13,'B6'!S13),0)</f>
        <v>0</v>
      </c>
      <c r="T44" s="123">
        <f>IFERROR(_xlfn.STDEV.S('B4'!T13,'B5'!T13,'B6'!T13),0)</f>
        <v>0</v>
      </c>
      <c r="U44" s="123">
        <f>IFERROR(_xlfn.STDEV.S('B4'!U13,'B5'!U13,'B6'!U13),0)</f>
        <v>0</v>
      </c>
      <c r="V44" s="123">
        <f>IFERROR(_xlfn.STDEV.S('B4'!V13,'B5'!V13,'B6'!V13),0)</f>
        <v>0</v>
      </c>
      <c r="W44" s="123">
        <f>IFERROR(_xlfn.STDEV.S('B4'!W13,'B5'!W13,'B6'!W13),0)</f>
        <v>0</v>
      </c>
      <c r="X44" s="123">
        <f>IFERROR(_xlfn.STDEV.S('B4'!X13,'B5'!X13,'B6'!X13),0)</f>
        <v>0</v>
      </c>
      <c r="Y44" s="123">
        <f>IFERROR(_xlfn.STDEV.S('B4'!Y13,'B5'!Y13,'B6'!Y13),0)</f>
        <v>0</v>
      </c>
      <c r="Z44" s="123">
        <f>IFERROR(_xlfn.STDEV.S('B4'!Z13,'B5'!Z13,'B6'!Z13),0)</f>
        <v>0</v>
      </c>
      <c r="AA44" s="123">
        <f>IFERROR(_xlfn.STDEV.S('B4'!AA13,'B5'!AA13,'B6'!AA13),0)</f>
        <v>0</v>
      </c>
      <c r="AB44" s="123">
        <f>IFERROR(_xlfn.STDEV.S('B4'!AB13,'B5'!AB13,'B6'!AB13),0)</f>
        <v>0</v>
      </c>
      <c r="AC44" s="123">
        <f>IFERROR(_xlfn.STDEV.S('B4'!AC13,'B5'!AC13,'B6'!AC13),0)</f>
        <v>0</v>
      </c>
      <c r="AD44" s="123">
        <f>IFERROR(_xlfn.STDEV.S('B4'!AD13,'B5'!AD13,'B6'!AD13),0)</f>
        <v>0</v>
      </c>
      <c r="AE44" s="18">
        <f>IFERROR(_xlfn.STDEV.S('B4'!AE13,'B5'!AE13,'B6'!AE13),0)</f>
        <v>2.0000000000000018E-2</v>
      </c>
      <c r="AF44" s="18">
        <f>IFERROR(_xlfn.STDEV.S('B4'!AF13,'B5'!AF13,'B6'!AF13),0)</f>
        <v>0</v>
      </c>
      <c r="AG44" s="18">
        <f>IFERROR(_xlfn.STDEV.S('B4'!AG13,'B5'!AG13,'B6'!AG13),0)</f>
        <v>0</v>
      </c>
      <c r="AH44" s="18">
        <f>IFERROR(_xlfn.STDEV.S('B4'!AH13,'B5'!AH13,'B6'!AH13),0)</f>
        <v>4.9806266295851547</v>
      </c>
      <c r="AI44" s="18">
        <f>IFERROR(_xlfn.STDEV.S('B4'!AI13,'B5'!AI13,'B6'!AI13),0)</f>
        <v>0</v>
      </c>
      <c r="AJ44" s="124">
        <f>IFERROR(_xlfn.STDEV.S('B4'!AJ13,'B5'!AJ13,'B6'!AJ13),0)</f>
        <v>0</v>
      </c>
      <c r="AK44" s="124">
        <f>IFERROR(_xlfn.STDEV.S('B4'!AK13,'B5'!AK13,'B6'!AK13),0)</f>
        <v>0</v>
      </c>
      <c r="AL44" s="124">
        <f>IFERROR(_xlfn.STDEV.S('B4'!AL13,'B5'!AL13,'B6'!AL13),0)</f>
        <v>0</v>
      </c>
      <c r="AM44" s="124">
        <f>IFERROR(_xlfn.STDEV.S('B4'!AM13,'B5'!AM13,'B6'!AM13),0)</f>
        <v>0</v>
      </c>
      <c r="AN44" s="124">
        <f>IFERROR(_xlfn.STDEV.S('B4'!AN13,'B5'!AN13,'B6'!AN13),0)</f>
        <v>0</v>
      </c>
      <c r="AO44" s="124">
        <f>IFERROR(_xlfn.STDEV.S('B4'!AO13,'B5'!AO13,'B6'!AO13),0)</f>
        <v>0</v>
      </c>
      <c r="AP44" s="124">
        <f>IFERROR(_xlfn.STDEV.S('B4'!AP13,'B5'!AP13,'B6'!AP13),0)</f>
        <v>0</v>
      </c>
      <c r="AQ44" s="124">
        <f>IFERROR(_xlfn.STDEV.S('B4'!AQ13,'B5'!AQ13,'B6'!AQ13),0)</f>
        <v>0</v>
      </c>
      <c r="AR44" s="124">
        <f>IFERROR(_xlfn.STDEV.S('B4'!AR13,'B5'!AR13,'B6'!AR13),0)</f>
        <v>0</v>
      </c>
      <c r="AS44" s="124">
        <f>IFERROR(_xlfn.STDEV.S('B4'!AS13,'B5'!AS13,'B6'!AS13),0)</f>
        <v>0</v>
      </c>
      <c r="AT44" s="124">
        <f>IFERROR(_xlfn.STDEV.S('B4'!AT13,'B5'!AT13,'B6'!AT13),0)</f>
        <v>0</v>
      </c>
      <c r="AU44" s="124">
        <f>IFERROR(_xlfn.STDEV.S('B4'!AU13,'B5'!AU13,'B6'!AU13),0)</f>
        <v>0</v>
      </c>
      <c r="AV44" s="124">
        <f>IFERROR(_xlfn.STDEV.S('B4'!AV13,'B5'!AV13,'B6'!AV13),0)</f>
        <v>0</v>
      </c>
      <c r="AW44" s="124">
        <f>IFERROR(_xlfn.STDEV.S('B4'!AW13,'B5'!AW13,'B6'!AW13),0)</f>
        <v>0</v>
      </c>
      <c r="AX44" s="124">
        <f>IFERROR(_xlfn.STDEV.S('B4'!AX13,'B5'!AX13,'B6'!AX13),0)</f>
        <v>0</v>
      </c>
      <c r="AY44" s="124">
        <f>IFERROR(_xlfn.STDEV.S('B4'!AY13,'B5'!AY13,'B6'!AY13),0)</f>
        <v>0</v>
      </c>
      <c r="AZ44" s="64">
        <f>IFERROR(_xlfn.STDEV.S('B4'!AZ13,'B5'!AZ13,'B6'!AZ13),0)</f>
        <v>5.5291148196994051</v>
      </c>
      <c r="BA44" s="161">
        <f>IFERROR(_xlfn.STDEV.S('B4'!BA13,'B5'!BA13,'B6'!BA13),0)</f>
        <v>0.49806266295852142</v>
      </c>
      <c r="BB44" s="124">
        <f>IFERROR(_xlfn.STDEV.S('B4'!BC13,'B5'!BC13,'B6'!BC13),0)</f>
        <v>0</v>
      </c>
      <c r="BC44" s="124">
        <f>IFERROR(_xlfn.STDEV.S('B4'!BD13,'B5'!BD13,'B6'!BD13),0)</f>
        <v>0</v>
      </c>
      <c r="BD44" s="124">
        <f>IFERROR(_xlfn.STDEV.S('B4'!BE13,'B5'!BE13,'B6'!BE13),0)</f>
        <v>0</v>
      </c>
      <c r="BE44" s="124">
        <f>IFERROR(_xlfn.STDEV.S('B4'!BF13,'B5'!BF13,'B6'!BF13),0)</f>
        <v>0</v>
      </c>
      <c r="BF44" s="124">
        <f>IFERROR(_xlfn.STDEV.S('B4'!BG13,'B5'!BG13,'B6'!BG13),0)</f>
        <v>0</v>
      </c>
      <c r="BG44" s="124">
        <f>IFERROR(_xlfn.STDEV.S('B4'!BH13,'B5'!BH13,'B6'!BH13),0)</f>
        <v>0</v>
      </c>
      <c r="BH44" s="124">
        <f>IFERROR(_xlfn.STDEV.S('B4'!BI13,'B5'!BI13,'B6'!BI13),0)</f>
        <v>0</v>
      </c>
      <c r="BI44" s="124">
        <f>IFERROR(_xlfn.STDEV.S('B4'!BJ13,'B5'!BJ13,'B6'!BJ13),0)</f>
        <v>0</v>
      </c>
      <c r="BJ44" s="124">
        <f>IFERROR(_xlfn.STDEV.S('B4'!BK13,'B5'!BK13,'B6'!BK13),0)</f>
        <v>0</v>
      </c>
      <c r="BK44" s="124">
        <f>IFERROR(_xlfn.STDEV.S('B4'!BL13,'B5'!BL13,'B6'!BL13),0)</f>
        <v>0</v>
      </c>
      <c r="BL44" s="124">
        <f>IFERROR(_xlfn.STDEV.S('B4'!BM13,'B5'!BM13,'B6'!BM13),0)</f>
        <v>0</v>
      </c>
      <c r="BM44" s="124">
        <f>IFERROR(_xlfn.STDEV.S('B4'!BN13,'B5'!BN13,'B6'!BN13),0)</f>
        <v>0</v>
      </c>
      <c r="BN44" s="124">
        <f>IFERROR(_xlfn.STDEV.S('B4'!BO13,'B5'!BO13,'B6'!BO13),0)</f>
        <v>0</v>
      </c>
      <c r="BO44" s="124">
        <f>IFERROR(_xlfn.STDEV.S('B4'!BP13,'B5'!BP13,'B6'!BP13),0)</f>
        <v>0</v>
      </c>
      <c r="BP44" s="124">
        <f>IFERROR(_xlfn.STDEV.S('B4'!BQ13,'B5'!BQ13,'B6'!BQ13),0)</f>
        <v>0</v>
      </c>
      <c r="BQ44" s="124">
        <f>IFERROR(_xlfn.STDEV.S('B4'!BR13,'B5'!BR13,'B6'!BR13),0)</f>
        <v>0</v>
      </c>
      <c r="BR44" s="124">
        <f>IFERROR(_xlfn.STDEV.S('B4'!BS13,'B5'!BS13,'B6'!BS13),0)</f>
        <v>0</v>
      </c>
      <c r="BS44" s="64">
        <f>IFERROR(_xlfn.STDEV.S('B4'!BT13,'B5'!BT13,'B6'!BT13),0)</f>
        <v>1.6587344459098194E-2</v>
      </c>
      <c r="BT44" s="64">
        <f>IFERROR(_xlfn.STDEV.S('B4'!BU13,'B5'!BU13,'B6'!BU13),0)</f>
        <v>0</v>
      </c>
      <c r="BU44" s="64">
        <f>IFERROR(_xlfn.STDEV.S('B4'!BV13,'B5'!BV13,'B6'!BV13),0)</f>
        <v>0</v>
      </c>
      <c r="BV44" s="64">
        <f>IFERROR(_xlfn.STDEV.S('B4'!BW13,'B5'!BW13,'B6'!BW13),0)</f>
        <v>0</v>
      </c>
    </row>
    <row r="45" spans="1:74" ht="16" thickBot="1" x14ac:dyDescent="0.4">
      <c r="A45" s="63">
        <f t="shared" si="7"/>
        <v>43163</v>
      </c>
      <c r="B45" s="129">
        <f t="shared" si="7"/>
        <v>15</v>
      </c>
      <c r="C45" s="77">
        <v>0</v>
      </c>
      <c r="D45" s="123">
        <f>IFERROR(_xlfn.STDEV.S('B4'!D14,'B5'!D14,'B6'!D14),0)</f>
        <v>0</v>
      </c>
      <c r="E45" s="123">
        <f>IFERROR(_xlfn.STDEV.S('B4'!E14,'B5'!E14,'B6'!E14),0)</f>
        <v>0</v>
      </c>
      <c r="F45" s="123">
        <f>IFERROR(_xlfn.STDEV.S('B4'!F14,'B5'!F14,'B6'!F14),0)</f>
        <v>0</v>
      </c>
      <c r="G45" s="123">
        <f>IFERROR(_xlfn.STDEV.S('B4'!G14,'B5'!G14,'B6'!G14),0)</f>
        <v>0</v>
      </c>
      <c r="H45" s="123">
        <f>IFERROR(_xlfn.STDEV.S('B4'!H14,'B5'!H14,'B6'!H14),0)</f>
        <v>0</v>
      </c>
      <c r="I45" s="123">
        <f>IFERROR(_xlfn.STDEV.S('B4'!I14,'B5'!I14,'B6'!I14),0)</f>
        <v>0</v>
      </c>
      <c r="J45" s="123">
        <f>IFERROR(_xlfn.STDEV.S('B4'!J14,'B5'!J14,'B6'!J14),0)</f>
        <v>0</v>
      </c>
      <c r="K45" s="123">
        <f>IFERROR(_xlfn.STDEV.S('B4'!K14,'B5'!K14,'B6'!K14),0)</f>
        <v>0</v>
      </c>
      <c r="L45" s="123">
        <f>IFERROR(_xlfn.STDEV.S('B4'!L14,'B5'!L14,'B6'!L14),0)</f>
        <v>0</v>
      </c>
      <c r="M45" s="123">
        <f>IFERROR(_xlfn.STDEV.S('B4'!M14,'B5'!M14,'B6'!M14),0)</f>
        <v>0</v>
      </c>
      <c r="N45" s="123">
        <f>IFERROR(_xlfn.STDEV.S('B4'!N14,'B5'!N14,'B6'!N14),0)</f>
        <v>0</v>
      </c>
      <c r="O45" s="123">
        <f>IFERROR(_xlfn.STDEV.S('B4'!O14,'B5'!O14,'B6'!O14),0)</f>
        <v>0</v>
      </c>
      <c r="P45" s="123">
        <f>IFERROR(_xlfn.STDEV.S('B4'!P14,'B5'!P14,'B6'!P14),0)</f>
        <v>0</v>
      </c>
      <c r="Q45" s="123">
        <f>IFERROR(_xlfn.STDEV.S('B4'!Q14,'B5'!Q14,'B6'!Q14),0)</f>
        <v>0</v>
      </c>
      <c r="R45" s="123">
        <f>IFERROR(_xlfn.STDEV.S('B4'!R14,'B5'!R14,'B6'!R14),0)</f>
        <v>0</v>
      </c>
      <c r="S45" s="123">
        <f>IFERROR(_xlfn.STDEV.S('B4'!S14,'B5'!S14,'B6'!S14),0)</f>
        <v>0</v>
      </c>
      <c r="T45" s="123">
        <f>IFERROR(_xlfn.STDEV.S('B4'!T14,'B5'!T14,'B6'!T14),0)</f>
        <v>0</v>
      </c>
      <c r="U45" s="123">
        <f>IFERROR(_xlfn.STDEV.S('B4'!U14,'B5'!U14,'B6'!U14),0)</f>
        <v>0</v>
      </c>
      <c r="V45" s="123">
        <f>IFERROR(_xlfn.STDEV.S('B4'!V14,'B5'!V14,'B6'!V14),0)</f>
        <v>0</v>
      </c>
      <c r="W45" s="123">
        <f>IFERROR(_xlfn.STDEV.S('B4'!W14,'B5'!W14,'B6'!W14),0)</f>
        <v>0</v>
      </c>
      <c r="X45" s="123">
        <f>IFERROR(_xlfn.STDEV.S('B4'!X14,'B5'!X14,'B6'!X14),0)</f>
        <v>0</v>
      </c>
      <c r="Y45" s="123">
        <f>IFERROR(_xlfn.STDEV.S('B4'!Y14,'B5'!Y14,'B6'!Y14),0)</f>
        <v>0</v>
      </c>
      <c r="Z45" s="123">
        <f>IFERROR(_xlfn.STDEV.S('B4'!Z14,'B5'!Z14,'B6'!Z14),0)</f>
        <v>0</v>
      </c>
      <c r="AA45" s="123">
        <f>IFERROR(_xlfn.STDEV.S('B4'!AA14,'B5'!AA14,'B6'!AA14),0)</f>
        <v>0</v>
      </c>
      <c r="AB45" s="123">
        <f>IFERROR(_xlfn.STDEV.S('B4'!AB14,'B5'!AB14,'B6'!AB14),0)</f>
        <v>0</v>
      </c>
      <c r="AC45" s="123">
        <f>IFERROR(_xlfn.STDEV.S('B4'!AC14,'B5'!AC14,'B6'!AC14),0)</f>
        <v>0</v>
      </c>
      <c r="AD45" s="123">
        <f>IFERROR(_xlfn.STDEV.S('B4'!AD14,'B5'!AD14,'B6'!AD14),0)</f>
        <v>0</v>
      </c>
      <c r="AE45" s="18">
        <f>IFERROR(_xlfn.STDEV.S('B4'!AE14,'B5'!AE14,'B6'!AE14),0)</f>
        <v>2.3094010767585053E-2</v>
      </c>
      <c r="AF45" s="18">
        <f>IFERROR(_xlfn.STDEV.S('B4'!AF14,'B5'!AF14,'B6'!AF14),0)</f>
        <v>0</v>
      </c>
      <c r="AG45" s="18">
        <f>IFERROR(_xlfn.STDEV.S('B4'!AG14,'B5'!AG14,'B6'!AG14),0)</f>
        <v>0</v>
      </c>
      <c r="AH45" s="18">
        <f>IFERROR(_xlfn.STDEV.S('B4'!AH14,'B5'!AH14,'B6'!AH14),0)</f>
        <v>14.338319270751338</v>
      </c>
      <c r="AI45" s="18">
        <f>IFERROR(_xlfn.STDEV.S('B4'!AI14,'B5'!AI14,'B6'!AI14),0)</f>
        <v>0</v>
      </c>
      <c r="AJ45" s="124">
        <f>IFERROR(_xlfn.STDEV.S('B4'!AJ14,'B5'!AJ14,'B6'!AJ14),0)</f>
        <v>0</v>
      </c>
      <c r="AK45" s="124">
        <f>IFERROR(_xlfn.STDEV.S('B4'!AK14,'B5'!AK14,'B6'!AK14),0)</f>
        <v>0</v>
      </c>
      <c r="AL45" s="124">
        <f>IFERROR(_xlfn.STDEV.S('B4'!AL14,'B5'!AL14,'B6'!AL14),0)</f>
        <v>0</v>
      </c>
      <c r="AM45" s="124">
        <f>IFERROR(_xlfn.STDEV.S('B4'!AM14,'B5'!AM14,'B6'!AM14),0)</f>
        <v>0</v>
      </c>
      <c r="AN45" s="124">
        <f>IFERROR(_xlfn.STDEV.S('B4'!AN14,'B5'!AN14,'B6'!AN14),0)</f>
        <v>0</v>
      </c>
      <c r="AO45" s="124">
        <f>IFERROR(_xlfn.STDEV.S('B4'!AO14,'B5'!AO14,'B6'!AO14),0)</f>
        <v>0</v>
      </c>
      <c r="AP45" s="124">
        <f>IFERROR(_xlfn.STDEV.S('B4'!AP14,'B5'!AP14,'B6'!AP14),0)</f>
        <v>0</v>
      </c>
      <c r="AQ45" s="124">
        <f>IFERROR(_xlfn.STDEV.S('B4'!AQ14,'B5'!AQ14,'B6'!AQ14),0)</f>
        <v>0</v>
      </c>
      <c r="AR45" s="124">
        <f>IFERROR(_xlfn.STDEV.S('B4'!AR14,'B5'!AR14,'B6'!AR14),0)</f>
        <v>0</v>
      </c>
      <c r="AS45" s="124">
        <f>IFERROR(_xlfn.STDEV.S('B4'!AS14,'B5'!AS14,'B6'!AS14),0)</f>
        <v>0</v>
      </c>
      <c r="AT45" s="124">
        <f>IFERROR(_xlfn.STDEV.S('B4'!AT14,'B5'!AT14,'B6'!AT14),0)</f>
        <v>0</v>
      </c>
      <c r="AU45" s="124">
        <f>IFERROR(_xlfn.STDEV.S('B4'!AU14,'B5'!AU14,'B6'!AU14),0)</f>
        <v>0</v>
      </c>
      <c r="AV45" s="124">
        <f>IFERROR(_xlfn.STDEV.S('B4'!AV14,'B5'!AV14,'B6'!AV14),0)</f>
        <v>0</v>
      </c>
      <c r="AW45" s="124">
        <f>IFERROR(_xlfn.STDEV.S('B4'!AW14,'B5'!AW14,'B6'!AW14),0)</f>
        <v>0</v>
      </c>
      <c r="AX45" s="124">
        <f>IFERROR(_xlfn.STDEV.S('B4'!AX14,'B5'!AX14,'B6'!AX14),0)</f>
        <v>0</v>
      </c>
      <c r="AY45" s="124">
        <f>IFERROR(_xlfn.STDEV.S('B4'!AY14,'B5'!AY14,'B6'!AY14),0)</f>
        <v>0</v>
      </c>
      <c r="AZ45" s="64">
        <f>IFERROR(_xlfn.STDEV.S('B4'!AZ14,'B5'!AZ14,'B6'!AZ14),0)</f>
        <v>15.917317130052501</v>
      </c>
      <c r="BA45" s="161">
        <f>IFERROR(_xlfn.STDEV.S('B4'!BA14,'B5'!BA14,'B6'!BA14),0)</f>
        <v>1.433831927075127</v>
      </c>
      <c r="BB45" s="124">
        <f>IFERROR(_xlfn.STDEV.S('B4'!BC14,'B5'!BC14,'B6'!BC14),0)</f>
        <v>0</v>
      </c>
      <c r="BC45" s="124">
        <f>IFERROR(_xlfn.STDEV.S('B4'!BD14,'B5'!BD14,'B6'!BD14),0)</f>
        <v>0</v>
      </c>
      <c r="BD45" s="124">
        <f>IFERROR(_xlfn.STDEV.S('B4'!BE14,'B5'!BE14,'B6'!BE14),0)</f>
        <v>0</v>
      </c>
      <c r="BE45" s="124">
        <f>IFERROR(_xlfn.STDEV.S('B4'!BF14,'B5'!BF14,'B6'!BF14),0)</f>
        <v>0</v>
      </c>
      <c r="BF45" s="124">
        <f>IFERROR(_xlfn.STDEV.S('B4'!BG14,'B5'!BG14,'B6'!BG14),0)</f>
        <v>0</v>
      </c>
      <c r="BG45" s="124">
        <f>IFERROR(_xlfn.STDEV.S('B4'!BH14,'B5'!BH14,'B6'!BH14),0)</f>
        <v>0</v>
      </c>
      <c r="BH45" s="124">
        <f>IFERROR(_xlfn.STDEV.S('B4'!BI14,'B5'!BI14,'B6'!BI14),0)</f>
        <v>0</v>
      </c>
      <c r="BI45" s="124">
        <f>IFERROR(_xlfn.STDEV.S('B4'!BJ14,'B5'!BJ14,'B6'!BJ14),0)</f>
        <v>0</v>
      </c>
      <c r="BJ45" s="124">
        <f>IFERROR(_xlfn.STDEV.S('B4'!BK14,'B5'!BK14,'B6'!BK14),0)</f>
        <v>0</v>
      </c>
      <c r="BK45" s="124">
        <f>IFERROR(_xlfn.STDEV.S('B4'!BL14,'B5'!BL14,'B6'!BL14),0)</f>
        <v>0</v>
      </c>
      <c r="BL45" s="124">
        <f>IFERROR(_xlfn.STDEV.S('B4'!BM14,'B5'!BM14,'B6'!BM14),0)</f>
        <v>0</v>
      </c>
      <c r="BM45" s="124">
        <f>IFERROR(_xlfn.STDEV.S('B4'!BN14,'B5'!BN14,'B6'!BN14),0)</f>
        <v>0</v>
      </c>
      <c r="BN45" s="124">
        <f>IFERROR(_xlfn.STDEV.S('B4'!BO14,'B5'!BO14,'B6'!BO14),0)</f>
        <v>0</v>
      </c>
      <c r="BO45" s="124">
        <f>IFERROR(_xlfn.STDEV.S('B4'!BP14,'B5'!BP14,'B6'!BP14),0)</f>
        <v>0</v>
      </c>
      <c r="BP45" s="124">
        <f>IFERROR(_xlfn.STDEV.S('B4'!BQ14,'B5'!BQ14,'B6'!BQ14),0)</f>
        <v>0</v>
      </c>
      <c r="BQ45" s="124">
        <f>IFERROR(_xlfn.STDEV.S('B4'!BR14,'B5'!BR14,'B6'!BR14),0)</f>
        <v>0</v>
      </c>
      <c r="BR45" s="124">
        <f>IFERROR(_xlfn.STDEV.S('B4'!BS14,'B5'!BS14,'B6'!BS14),0)</f>
        <v>0</v>
      </c>
      <c r="BS45" s="64">
        <f>IFERROR(_xlfn.STDEV.S('B4'!BT14,'B5'!BT14,'B6'!BT14),0)</f>
        <v>4.7751951390157539E-2</v>
      </c>
      <c r="BT45" s="64">
        <f>IFERROR(_xlfn.STDEV.S('B4'!BU14,'B5'!BU14,'B6'!BU14),0)</f>
        <v>0</v>
      </c>
      <c r="BU45" s="64">
        <f>IFERROR(_xlfn.STDEV.S('B4'!BV14,'B5'!BV14,'B6'!BV14),0)</f>
        <v>0</v>
      </c>
      <c r="BV45" s="64">
        <f>IFERROR(_xlfn.STDEV.S('B4'!BW14,'B5'!BW14,'B6'!BW14),0)</f>
        <v>0</v>
      </c>
    </row>
    <row r="46" spans="1:74" ht="16" thickBot="1" x14ac:dyDescent="0.4">
      <c r="A46" s="63">
        <f t="shared" si="7"/>
        <v>43347</v>
      </c>
      <c r="B46" s="176">
        <f t="shared" si="7"/>
        <v>21</v>
      </c>
      <c r="C46" s="41">
        <v>0</v>
      </c>
      <c r="D46" s="123">
        <f>IFERROR(_xlfn.STDEV.S('B4'!D15,'B5'!D15,'B6'!D15),0)</f>
        <v>0</v>
      </c>
      <c r="E46" s="123">
        <f>IFERROR(_xlfn.STDEV.S('B4'!E15,'B5'!E15,'B6'!E15),0)</f>
        <v>0</v>
      </c>
      <c r="F46" s="123">
        <f>IFERROR(_xlfn.STDEV.S('B4'!F15,'B5'!F15,'B6'!F15),0)</f>
        <v>0</v>
      </c>
      <c r="G46" s="123">
        <f>IFERROR(_xlfn.STDEV.S('B4'!G15,'B5'!G15,'B6'!G15),0)</f>
        <v>0</v>
      </c>
      <c r="H46" s="123">
        <f>IFERROR(_xlfn.STDEV.S('B4'!H15,'B5'!H15,'B6'!H15),0)</f>
        <v>0</v>
      </c>
      <c r="I46" s="123">
        <f>IFERROR(_xlfn.STDEV.S('B4'!I15,'B5'!I15,'B6'!I15),0)</f>
        <v>0</v>
      </c>
      <c r="J46" s="123">
        <f>IFERROR(_xlfn.STDEV.S('B4'!J15,'B5'!J15,'B6'!J15),0)</f>
        <v>0</v>
      </c>
      <c r="K46" s="123">
        <f>IFERROR(_xlfn.STDEV.S('B4'!K15,'B5'!K15,'B6'!K15),0)</f>
        <v>0</v>
      </c>
      <c r="L46" s="123">
        <f>IFERROR(_xlfn.STDEV.S('B4'!L15,'B5'!L15,'B6'!L15),0)</f>
        <v>0</v>
      </c>
      <c r="M46" s="123">
        <f>IFERROR(_xlfn.STDEV.S('B4'!M15,'B5'!M15,'B6'!M15),0)</f>
        <v>0</v>
      </c>
      <c r="N46" s="123">
        <f>IFERROR(_xlfn.STDEV.S('B4'!N15,'B5'!N15,'B6'!N15),0)</f>
        <v>0</v>
      </c>
      <c r="O46" s="123">
        <f>IFERROR(_xlfn.STDEV.S('B4'!O15,'B5'!O15,'B6'!O15),0)</f>
        <v>0</v>
      </c>
      <c r="P46" s="123">
        <f>IFERROR(_xlfn.STDEV.S('B4'!P15,'B5'!P15,'B6'!P15),0)</f>
        <v>0</v>
      </c>
      <c r="Q46" s="123">
        <f>IFERROR(_xlfn.STDEV.S('B4'!Q15,'B5'!Q15,'B6'!Q15),0)</f>
        <v>0</v>
      </c>
      <c r="R46" s="123">
        <f>IFERROR(_xlfn.STDEV.S('B4'!R15,'B5'!R15,'B6'!R15),0)</f>
        <v>0</v>
      </c>
      <c r="S46" s="123">
        <f>IFERROR(_xlfn.STDEV.S('B4'!S15,'B5'!S15,'B6'!S15),0)</f>
        <v>0</v>
      </c>
      <c r="T46" s="123">
        <f>IFERROR(_xlfn.STDEV.S('B4'!T15,'B5'!T15,'B6'!T15),0)</f>
        <v>0</v>
      </c>
      <c r="U46" s="123">
        <f>IFERROR(_xlfn.STDEV.S('B4'!U15,'B5'!U15,'B6'!U15),0)</f>
        <v>0</v>
      </c>
      <c r="V46" s="123">
        <f>IFERROR(_xlfn.STDEV.S('B4'!V15,'B5'!V15,'B6'!V15),0)</f>
        <v>0</v>
      </c>
      <c r="W46" s="123">
        <f>IFERROR(_xlfn.STDEV.S('B4'!W15,'B5'!W15,'B6'!W15),0)</f>
        <v>0</v>
      </c>
      <c r="X46" s="123">
        <f>IFERROR(_xlfn.STDEV.S('B4'!X15,'B5'!X15,'B6'!X15),0)</f>
        <v>0</v>
      </c>
      <c r="Y46" s="123">
        <f>IFERROR(_xlfn.STDEV.S('B4'!Y15,'B5'!Y15,'B6'!Y15),0)</f>
        <v>0</v>
      </c>
      <c r="Z46" s="123">
        <f>IFERROR(_xlfn.STDEV.S('B4'!Z15,'B5'!Z15,'B6'!Z15),0)</f>
        <v>0</v>
      </c>
      <c r="AA46" s="123">
        <f>IFERROR(_xlfn.STDEV.S('B4'!AA15,'B5'!AA15,'B6'!AA15),0)</f>
        <v>0</v>
      </c>
      <c r="AB46" s="123">
        <f>IFERROR(_xlfn.STDEV.S('B4'!AB15,'B5'!AB15,'B6'!AB15),0)</f>
        <v>0</v>
      </c>
      <c r="AC46" s="123">
        <f>IFERROR(_xlfn.STDEV.S('B4'!AC15,'B5'!AC15,'B6'!AC15),0)</f>
        <v>0</v>
      </c>
      <c r="AD46" s="123">
        <f>IFERROR(_xlfn.STDEV.S('B4'!AD15,'B5'!AD15,'B6'!AD15),0)</f>
        <v>0</v>
      </c>
      <c r="AE46" s="18">
        <f>IFERROR(_xlfn.STDEV.S('B4'!AE15,'B5'!AE15,'B6'!AE15),0)</f>
        <v>1.1547005383792526E-2</v>
      </c>
      <c r="AF46" s="18">
        <f>IFERROR(_xlfn.STDEV.S('B4'!AF15,'B5'!AF15,'B6'!AF15),0)</f>
        <v>0</v>
      </c>
      <c r="AG46" s="18">
        <f>IFERROR(_xlfn.STDEV.S('B4'!AG15,'B5'!AG15,'B6'!AG15),0)</f>
        <v>0</v>
      </c>
      <c r="AH46" s="18">
        <f>IFERROR(_xlfn.STDEV.S('B4'!AH15,'B5'!AH15,'B6'!AH15),0)</f>
        <v>5.97285022497634</v>
      </c>
      <c r="AI46" s="18">
        <f>IFERROR(_xlfn.STDEV.S('B4'!AI15,'B5'!AI15,'B6'!AI15),0)</f>
        <v>0</v>
      </c>
      <c r="AJ46" s="124">
        <f>IFERROR(_xlfn.STDEV.S('B4'!AJ15,'B5'!AJ15,'B6'!AJ15),0)</f>
        <v>0</v>
      </c>
      <c r="AK46" s="124">
        <f>IFERROR(_xlfn.STDEV.S('B4'!AK15,'B5'!AK15,'B6'!AK15),0)</f>
        <v>0</v>
      </c>
      <c r="AL46" s="124">
        <f>IFERROR(_xlfn.STDEV.S('B4'!AL15,'B5'!AL15,'B6'!AL15),0)</f>
        <v>0</v>
      </c>
      <c r="AM46" s="124">
        <f>IFERROR(_xlfn.STDEV.S('B4'!AM15,'B5'!AM15,'B6'!AM15),0)</f>
        <v>0</v>
      </c>
      <c r="AN46" s="124">
        <f>IFERROR(_xlfn.STDEV.S('B4'!AN15,'B5'!AN15,'B6'!AN15),0)</f>
        <v>0</v>
      </c>
      <c r="AO46" s="124">
        <f>IFERROR(_xlfn.STDEV.S('B4'!AO15,'B5'!AO15,'B6'!AO15),0)</f>
        <v>0</v>
      </c>
      <c r="AP46" s="162">
        <f>IFERROR(_xlfn.STDEV.S('B4'!AP15,'B5'!AP15,'B6'!AP15),0)</f>
        <v>0</v>
      </c>
      <c r="AQ46" s="162">
        <f>IFERROR(_xlfn.STDEV.S('B4'!AQ15,'B5'!AQ15,'B6'!AQ15),0)</f>
        <v>0</v>
      </c>
      <c r="AR46" s="162">
        <f>IFERROR(_xlfn.STDEV.S('B4'!AR15,'B5'!AR15,'B6'!AR15),0)</f>
        <v>0</v>
      </c>
      <c r="AS46" s="162">
        <f>IFERROR(_xlfn.STDEV.S('B4'!AS15,'B5'!AS15,'B6'!AS15),0)</f>
        <v>0</v>
      </c>
      <c r="AT46" s="162">
        <f>IFERROR(_xlfn.STDEV.S('B4'!AT15,'B5'!AT15,'B6'!AT15),0)</f>
        <v>0</v>
      </c>
      <c r="AU46" s="162">
        <f>IFERROR(_xlfn.STDEV.S('B4'!AU15,'B5'!AU15,'B6'!AU15),0)</f>
        <v>0</v>
      </c>
      <c r="AV46" s="162">
        <f>IFERROR(_xlfn.STDEV.S('B4'!AV15,'B5'!AV15,'B6'!AV15),0)</f>
        <v>0</v>
      </c>
      <c r="AW46" s="162">
        <f>IFERROR(_xlfn.STDEV.S('B4'!AW15,'B5'!AW15,'B6'!AW15),0)</f>
        <v>0</v>
      </c>
      <c r="AX46" s="124">
        <f>IFERROR(_xlfn.STDEV.S('B4'!AX15,'B5'!AX15,'B6'!AX15),0)</f>
        <v>0</v>
      </c>
      <c r="AY46" s="124">
        <f>IFERROR(_xlfn.STDEV.S('B4'!AY15,'B5'!AY15,'B6'!AY15),0)</f>
        <v>0</v>
      </c>
      <c r="AZ46" s="64">
        <f>IFERROR(_xlfn.STDEV.S('B4'!AZ15,'B5'!AZ15,'B6'!AZ15),0)</f>
        <v>6.6306063776380295</v>
      </c>
      <c r="BA46" s="161">
        <f>IFERROR(_xlfn.STDEV.S('B4'!BA15,'B5'!BA15,'B6'!BA15),0)</f>
        <v>0.59728502249763449</v>
      </c>
      <c r="BB46" s="124">
        <f>IFERROR(_xlfn.STDEV.S('B4'!BC15,'B5'!BC15,'B6'!BC15),0)</f>
        <v>0</v>
      </c>
      <c r="BC46" s="124">
        <f>IFERROR(_xlfn.STDEV.S('B4'!BD15,'B5'!BD15,'B6'!BD15),0)</f>
        <v>0</v>
      </c>
      <c r="BD46" s="124">
        <f>IFERROR(_xlfn.STDEV.S('B4'!BE15,'B5'!BE15,'B6'!BE15),0)</f>
        <v>0</v>
      </c>
      <c r="BE46" s="124">
        <f>IFERROR(_xlfn.STDEV.S('B4'!BF15,'B5'!BF15,'B6'!BF15),0)</f>
        <v>0</v>
      </c>
      <c r="BF46" s="124">
        <f>IFERROR(_xlfn.STDEV.S('B4'!BG15,'B5'!BG15,'B6'!BG15),0)</f>
        <v>0</v>
      </c>
      <c r="BG46" s="124">
        <f>IFERROR(_xlfn.STDEV.S('B4'!BH15,'B5'!BH15,'B6'!BH15),0)</f>
        <v>0</v>
      </c>
      <c r="BH46" s="124">
        <f>IFERROR(_xlfn.STDEV.S('B4'!BI15,'B5'!BI15,'B6'!BI15),0)</f>
        <v>0</v>
      </c>
      <c r="BI46" s="124">
        <f>IFERROR(_xlfn.STDEV.S('B4'!BJ15,'B5'!BJ15,'B6'!BJ15),0)</f>
        <v>0</v>
      </c>
      <c r="BJ46" s="124">
        <f>IFERROR(_xlfn.STDEV.S('B4'!BK15,'B5'!BK15,'B6'!BK15),0)</f>
        <v>0</v>
      </c>
      <c r="BK46" s="124">
        <f>IFERROR(_xlfn.STDEV.S('B4'!BL15,'B5'!BL15,'B6'!BL15),0)</f>
        <v>0</v>
      </c>
      <c r="BL46" s="124">
        <f>IFERROR(_xlfn.STDEV.S('B4'!BM15,'B5'!BM15,'B6'!BM15),0)</f>
        <v>0</v>
      </c>
      <c r="BM46" s="124">
        <f>IFERROR(_xlfn.STDEV.S('B4'!BN15,'B5'!BN15,'B6'!BN15),0)</f>
        <v>0</v>
      </c>
      <c r="BN46" s="124">
        <f>IFERROR(_xlfn.STDEV.S('B4'!BO15,'B5'!BO15,'B6'!BO15),0)</f>
        <v>0</v>
      </c>
      <c r="BO46" s="124">
        <f>IFERROR(_xlfn.STDEV.S('B4'!BP15,'B5'!BP15,'B6'!BP15),0)</f>
        <v>0</v>
      </c>
      <c r="BP46" s="124">
        <f>IFERROR(_xlfn.STDEV.S('B4'!BQ15,'B5'!BQ15,'B6'!BQ15),0)</f>
        <v>0</v>
      </c>
      <c r="BQ46" s="124">
        <f>IFERROR(_xlfn.STDEV.S('B4'!BR15,'B5'!BR15,'B6'!BR15),0)</f>
        <v>0</v>
      </c>
      <c r="BR46" s="124">
        <f>IFERROR(_xlfn.STDEV.S('B4'!BS15,'B5'!BS15,'B6'!BS15),0)</f>
        <v>0</v>
      </c>
      <c r="BS46" s="64">
        <f>IFERROR(_xlfn.STDEV.S('B4'!BT15,'B5'!BT15,'B6'!BT15),0)</f>
        <v>1.9891819132914094E-2</v>
      </c>
      <c r="BT46" s="64">
        <f>IFERROR(_xlfn.STDEV.S('B4'!BU15,'B5'!BU15,'B6'!BU15),0)</f>
        <v>0</v>
      </c>
      <c r="BU46" s="64">
        <f>IFERROR(_xlfn.STDEV.S('B4'!BV15,'B5'!BV15,'B6'!BV15),0)</f>
        <v>0</v>
      </c>
      <c r="BV46" s="64">
        <f>IFERROR(_xlfn.STDEV.S('B4'!BW15,'B5'!BW15,'B6'!BW15),0)</f>
        <v>0</v>
      </c>
    </row>
    <row r="47" spans="1:74" ht="16" thickBot="1" x14ac:dyDescent="0.4">
      <c r="A47" s="63">
        <f t="shared" si="7"/>
        <v>43347</v>
      </c>
      <c r="B47" s="176">
        <f t="shared" si="7"/>
        <v>21</v>
      </c>
      <c r="C47" s="77">
        <v>10</v>
      </c>
      <c r="D47" s="18">
        <f>IFERROR(_xlfn.STDEV.S('B4'!D16,'B5'!D16,'B6'!D16),0)</f>
        <v>0</v>
      </c>
      <c r="E47" s="18">
        <f>IFERROR(_xlfn.STDEV.S('B4'!E16,'B5'!E16,'B6'!E16),0)</f>
        <v>0</v>
      </c>
      <c r="F47" s="18">
        <f>IFERROR(_xlfn.STDEV.S('B4'!F16,'B5'!F16,'B6'!F16),0)</f>
        <v>0</v>
      </c>
      <c r="G47" s="18">
        <f>IFERROR(_xlfn.STDEV.S('B4'!G16,'B5'!G16,'B6'!G16),0)</f>
        <v>0</v>
      </c>
      <c r="H47" s="18">
        <f>IFERROR(_xlfn.STDEV.S('B4'!H16,'B5'!H16,'B6'!H16),0)</f>
        <v>0</v>
      </c>
      <c r="I47" s="18">
        <f>IFERROR(_xlfn.STDEV.S('B4'!I16,'B5'!I16,'B6'!I16),0)</f>
        <v>0</v>
      </c>
      <c r="J47" s="18">
        <f>IFERROR(_xlfn.STDEV.S('B4'!J16,'B5'!J16,'B6'!J16),0)</f>
        <v>0.88886605052798695</v>
      </c>
      <c r="K47" s="18">
        <f>IFERROR(_xlfn.STDEV.S('B4'!K16,'B5'!K16,'B6'!K16),0)</f>
        <v>2.1831607366804384</v>
      </c>
      <c r="L47" s="18">
        <f>IFERROR(_xlfn.STDEV.S('B4'!L16,'B5'!L16,'B6'!L16),0)</f>
        <v>5.2922639120411105E-2</v>
      </c>
      <c r="M47" s="18">
        <f>IFERROR(_xlfn.STDEV.S('B4'!M16,'B5'!M16,'B6'!M16),0)</f>
        <v>8.0324191711404369E-2</v>
      </c>
      <c r="N47" s="18">
        <f>IFERROR(_xlfn.STDEV.S('B4'!N16,'B5'!N16,'B6'!N16),0)</f>
        <v>0.11103882960977998</v>
      </c>
      <c r="O47" s="18">
        <f>IFERROR(_xlfn.STDEV.S('B4'!O16,'B5'!O16,'B6'!O16),0)</f>
        <v>0</v>
      </c>
      <c r="P47" s="18">
        <f>IFERROR(_xlfn.STDEV.S('B4'!P16,'B5'!P16,'B6'!P16),0)</f>
        <v>0</v>
      </c>
      <c r="Q47" s="18">
        <f>IFERROR(_xlfn.STDEV.S('B4'!Q16,'B5'!Q16,'B6'!Q16),0)</f>
        <v>0.57172447403233806</v>
      </c>
      <c r="R47" s="18">
        <f>IFERROR(_xlfn.STDEV.S('B4'!R16,'B5'!R16,'B6'!R16),0)</f>
        <v>0</v>
      </c>
      <c r="S47" s="18">
        <f>IFERROR(_xlfn.STDEV.S('B4'!S16,'B5'!S16,'B6'!S16),0)</f>
        <v>1.0321751082424457</v>
      </c>
      <c r="T47" s="18">
        <f>IFERROR(_xlfn.STDEV.S('B4'!T16,'B5'!T16,'B6'!T16),0)</f>
        <v>0</v>
      </c>
      <c r="U47" s="18">
        <f>IFERROR(_xlfn.STDEV.S('B4'!U16,'B5'!U16,'B6'!U16),0)</f>
        <v>0</v>
      </c>
      <c r="V47" s="18">
        <f>IFERROR(_xlfn.STDEV.S('B4'!V16,'B5'!V16,'B6'!V16),0)</f>
        <v>0</v>
      </c>
      <c r="W47" s="123">
        <f>IFERROR(_xlfn.STDEV.S('B4'!W16,'B5'!W16,'B6'!W16),0)</f>
        <v>0</v>
      </c>
      <c r="X47" s="123">
        <f>IFERROR(_xlfn.STDEV.S('B4'!X16,'B5'!X16,'B6'!X16),0)</f>
        <v>0</v>
      </c>
      <c r="Y47" s="123">
        <f>IFERROR(_xlfn.STDEV.S('B4'!Y16,'B5'!Y16,'B6'!Y16),0)</f>
        <v>0</v>
      </c>
      <c r="Z47" s="123">
        <f>IFERROR(_xlfn.STDEV.S('B4'!Z16,'B5'!Z16,'B6'!Z16),0)</f>
        <v>0</v>
      </c>
      <c r="AA47" s="123">
        <f>IFERROR(_xlfn.STDEV.S('B4'!AA16,'B5'!AA16,'B6'!AA16),0)</f>
        <v>0</v>
      </c>
      <c r="AB47" s="123">
        <f>IFERROR(_xlfn.STDEV.S('B4'!AB16,'B5'!AB16,'B6'!AB16),0)</f>
        <v>0</v>
      </c>
      <c r="AC47" s="123">
        <f>IFERROR(_xlfn.STDEV.S('B4'!AC16,'B5'!AC16,'B6'!AC16),0)</f>
        <v>0</v>
      </c>
      <c r="AD47" s="123">
        <f>IFERROR(_xlfn.STDEV.S('B4'!AD16,'B5'!AD16,'B6'!AD16),0)</f>
        <v>0</v>
      </c>
      <c r="AE47" s="18">
        <f>IFERROR(_xlfn.STDEV.S('B4'!AE16,'B5'!AE16,'B6'!AE16),0)</f>
        <v>0.71346571980252971</v>
      </c>
      <c r="AF47" s="18">
        <f>IFERROR(_xlfn.STDEV.S('B4'!AF16,'B5'!AF16,'B6'!AF16),0)</f>
        <v>0</v>
      </c>
      <c r="AG47" s="18">
        <f>IFERROR(_xlfn.STDEV.S('B4'!AG16,'B5'!AG16,'B6'!AG16),0)</f>
        <v>0</v>
      </c>
      <c r="AH47" s="18">
        <f>IFERROR(_xlfn.STDEV.S('B4'!AH16,'B5'!AH16,'B6'!AH16),0)</f>
        <v>14.588582282045088</v>
      </c>
      <c r="AI47" s="18">
        <f>IFERROR(_xlfn.STDEV.S('B4'!AI16,'B5'!AI16,'B6'!AI16),0)</f>
        <v>0</v>
      </c>
      <c r="AJ47" s="124">
        <f>IFERROR(_xlfn.STDEV.S('B4'!AJ16,'B5'!AJ16,'B6'!AJ16),0)</f>
        <v>0</v>
      </c>
      <c r="AK47" s="124">
        <f>IFERROR(_xlfn.STDEV.S('B4'!AK16,'B5'!AK16,'B6'!AK16),0)</f>
        <v>0</v>
      </c>
      <c r="AL47" s="124">
        <f>IFERROR(_xlfn.STDEV.S('B4'!AL16,'B5'!AL16,'B6'!AL16),0)</f>
        <v>0</v>
      </c>
      <c r="AM47" s="124">
        <f>IFERROR(_xlfn.STDEV.S('B4'!AM16,'B5'!AM16,'B6'!AM16),0)</f>
        <v>0</v>
      </c>
      <c r="AN47" s="124">
        <f>IFERROR(_xlfn.STDEV.S('B4'!AN16,'B5'!AN16,'B6'!AN16),0)</f>
        <v>0</v>
      </c>
      <c r="AO47" s="124">
        <f>IFERROR(_xlfn.STDEV.S('B4'!AO16,'B5'!AO16,'B6'!AO16),0)</f>
        <v>0</v>
      </c>
      <c r="AP47" s="162">
        <f>IFERROR(_xlfn.STDEV.S('B4'!AP16,'B5'!AP16,'B6'!AP16),0)</f>
        <v>4.2436683505953712E-2</v>
      </c>
      <c r="AQ47" s="162">
        <f>IFERROR(_xlfn.STDEV.S('B4'!AQ16,'B5'!AQ16,'B6'!AQ16),0)</f>
        <v>0.21784725642687447</v>
      </c>
      <c r="AR47" s="162">
        <f>IFERROR(_xlfn.STDEV.S('B4'!AR16,'B5'!AR16,'B6'!AR16),0)</f>
        <v>0</v>
      </c>
      <c r="AS47" s="162">
        <f>IFERROR(_xlfn.STDEV.S('B4'!AS16,'B5'!AS16,'B6'!AS16),0)</f>
        <v>0</v>
      </c>
      <c r="AT47" s="162">
        <f>IFERROR(_xlfn.STDEV.S('B4'!AT16,'B5'!AT16,'B6'!AT16),0)</f>
        <v>0</v>
      </c>
      <c r="AU47" s="162">
        <f>IFERROR(_xlfn.STDEV.S('B4'!AU16,'B5'!AU16,'B6'!AU16),0)</f>
        <v>0</v>
      </c>
      <c r="AV47" s="162">
        <f>IFERROR(_xlfn.STDEV.S('B4'!AV16,'B5'!AV16,'B6'!AV16),0)</f>
        <v>0</v>
      </c>
      <c r="AW47" s="162">
        <f>IFERROR(_xlfn.STDEV.S('B4'!AW16,'B5'!AW16,'B6'!AW16),0)</f>
        <v>1.5854511079468597E-2</v>
      </c>
      <c r="AX47" s="124">
        <f>IFERROR(_xlfn.STDEV.S('B4'!AX16,'B5'!AX16,'B6'!AX16),0)</f>
        <v>0</v>
      </c>
      <c r="AY47" s="124">
        <f>IFERROR(_xlfn.STDEV.S('B4'!AY16,'B5'!AY16,'B6'!AY16),0)</f>
        <v>0.25326443907145119</v>
      </c>
      <c r="AZ47" s="64">
        <f>IFERROR(_xlfn.STDEV.S('B4'!AZ16,'B5'!AZ16,'B6'!AZ16),0)</f>
        <v>16.195140188771163</v>
      </c>
      <c r="BA47" s="124">
        <f>IFERROR(_xlfn.STDEV.S('B4'!BA16,'B5'!BA16,'B6'!BA16),0)</f>
        <v>1.4588582282045044</v>
      </c>
      <c r="BB47" s="124">
        <f>IFERROR(_xlfn.STDEV.S('B4'!BC16,'B5'!BC16,'B6'!BC16),0)</f>
        <v>0</v>
      </c>
      <c r="BC47" s="124">
        <f>IFERROR(_xlfn.STDEV.S('B4'!BD16,'B5'!BD16,'B6'!BD16),0)</f>
        <v>0</v>
      </c>
      <c r="BD47" s="124">
        <f>IFERROR(_xlfn.STDEV.S('B4'!BE16,'B5'!BE16,'B6'!BE16),0)</f>
        <v>0</v>
      </c>
      <c r="BE47" s="124">
        <f>IFERROR(_xlfn.STDEV.S('B4'!BF16,'B5'!BF16,'B6'!BF16),0)</f>
        <v>0</v>
      </c>
      <c r="BF47" s="124">
        <f>IFERROR(_xlfn.STDEV.S('B4'!BG16,'B5'!BG16,'B6'!BG16),0)</f>
        <v>0</v>
      </c>
      <c r="BG47" s="124">
        <f>IFERROR(_xlfn.STDEV.S('B4'!BH16,'B5'!BH16,'B6'!BH16),0)</f>
        <v>0</v>
      </c>
      <c r="BH47" s="124">
        <f>IFERROR(_xlfn.STDEV.S('B4'!BI16,'B5'!BI16,'B6'!BI16),0)</f>
        <v>0</v>
      </c>
      <c r="BI47" s="124">
        <f>IFERROR(_xlfn.STDEV.S('B4'!BJ16,'B5'!BJ16,'B6'!BJ16),0)</f>
        <v>8.4873367011907425E-2</v>
      </c>
      <c r="BJ47" s="124">
        <f>IFERROR(_xlfn.STDEV.S('B4'!BK16,'B5'!BK16,'B6'!BK16),0)</f>
        <v>0.65354176928062369</v>
      </c>
      <c r="BK47" s="124">
        <f>IFERROR(_xlfn.STDEV.S('B4'!BL16,'B5'!BL16,'B6'!BL16),0)</f>
        <v>0</v>
      </c>
      <c r="BL47" s="124">
        <f>IFERROR(_xlfn.STDEV.S('B4'!BM16,'B5'!BM16,'B6'!BM16),0)</f>
        <v>0</v>
      </c>
      <c r="BM47" s="124">
        <f>IFERROR(_xlfn.STDEV.S('B4'!BN16,'B5'!BN16,'B6'!BN16),0)</f>
        <v>0</v>
      </c>
      <c r="BN47" s="124">
        <f>IFERROR(_xlfn.STDEV.S('B4'!BO16,'B5'!BO16,'B6'!BO16),0)</f>
        <v>0</v>
      </c>
      <c r="BO47" s="124">
        <f>IFERROR(_xlfn.STDEV.S('B4'!BP16,'B5'!BP16,'B6'!BP16),0)</f>
        <v>0</v>
      </c>
      <c r="BP47" s="124">
        <f>IFERROR(_xlfn.STDEV.S('B4'!BQ16,'B5'!BQ16,'B6'!BQ16),0)</f>
        <v>9.51270664768116E-2</v>
      </c>
      <c r="BQ47" s="124">
        <f>IFERROR(_xlfn.STDEV.S('B4'!BR16,'B5'!BR16,'B6'!BR16),0)</f>
        <v>0</v>
      </c>
      <c r="BR47" s="124">
        <f>IFERROR(_xlfn.STDEV.S('B4'!BS16,'B5'!BS16,'B6'!BS16),0)</f>
        <v>2.0261155125716095</v>
      </c>
      <c r="BS47" s="64">
        <f>IFERROR(_xlfn.STDEV.S('B4'!BT16,'B5'!BT16,'B6'!BT16),0)</f>
        <v>4.8585420566313403E-2</v>
      </c>
      <c r="BT47" s="64">
        <f>IFERROR(_xlfn.STDEV.S('B4'!BU16,'B5'!BU16,'B6'!BU16),0)</f>
        <v>0</v>
      </c>
      <c r="BU47" s="64">
        <f>IFERROR(_xlfn.STDEV.S('B4'!BV16,'B5'!BV16,'B6'!BV16),0)</f>
        <v>0</v>
      </c>
      <c r="BV47" s="64">
        <f>IFERROR(_xlfn.STDEV.S('B4'!BW16,'B5'!BW16,'B6'!BW16),0)</f>
        <v>0</v>
      </c>
    </row>
    <row r="48" spans="1:74" ht="16" thickBot="1" x14ac:dyDescent="0.4">
      <c r="A48" s="63" t="str">
        <f t="shared" si="7"/>
        <v>13-04</v>
      </c>
      <c r="B48" s="176">
        <f t="shared" si="7"/>
        <v>26</v>
      </c>
      <c r="C48" s="77">
        <v>10</v>
      </c>
      <c r="D48" s="18">
        <f>IFERROR(_xlfn.STDEV.S('B4'!D17,'B5'!D17,'B6'!D17),0)</f>
        <v>0</v>
      </c>
      <c r="E48" s="18">
        <f>IFERROR(_xlfn.STDEV.S('B4'!E17,'B5'!E17,'B6'!E17),0)</f>
        <v>0</v>
      </c>
      <c r="F48" s="18">
        <f>IFERROR(_xlfn.STDEV.S('B4'!F17,'B5'!F17,'B6'!F17),0)</f>
        <v>0</v>
      </c>
      <c r="G48" s="18">
        <f>IFERROR(_xlfn.STDEV.S('B4'!G17,'B5'!G17,'B6'!G17),0)</f>
        <v>0</v>
      </c>
      <c r="H48" s="18">
        <f>IFERROR(_xlfn.STDEV.S('B4'!H17,'B5'!H17,'B6'!H17),0)</f>
        <v>0</v>
      </c>
      <c r="I48" s="18">
        <f>IFERROR(_xlfn.STDEV.S('B4'!I17,'B5'!I17,'B6'!I17),0)</f>
        <v>0</v>
      </c>
      <c r="J48" s="18">
        <f>IFERROR(_xlfn.STDEV.S('B4'!J17,'B5'!J17,'B6'!J17),0)</f>
        <v>1.8228660215976873</v>
      </c>
      <c r="K48" s="18">
        <f>IFERROR(_xlfn.STDEV.S('B4'!K17,'B5'!K17,'B6'!K17),0)</f>
        <v>2.3536721284653419</v>
      </c>
      <c r="L48" s="18">
        <f>IFERROR(_xlfn.STDEV.S('B4'!L17,'B5'!L17,'B6'!L17),0)</f>
        <v>0.59280905426522479</v>
      </c>
      <c r="M48" s="18">
        <f>IFERROR(_xlfn.STDEV.S('B4'!M17,'B5'!M17,'B6'!M17),0)</f>
        <v>7.554631130799514</v>
      </c>
      <c r="N48" s="18">
        <f>IFERROR(_xlfn.STDEV.S('B4'!N17,'B5'!N17,'B6'!N17),0)</f>
        <v>0</v>
      </c>
      <c r="O48" s="18">
        <f>IFERROR(_xlfn.STDEV.S('B4'!O17,'B5'!O17,'B6'!O17),0)</f>
        <v>0.49721768729815813</v>
      </c>
      <c r="P48" s="18">
        <f>IFERROR(_xlfn.STDEV.S('B4'!P17,'B5'!P17,'B6'!P17),0)</f>
        <v>0</v>
      </c>
      <c r="Q48" s="18">
        <f>IFERROR(_xlfn.STDEV.S('B4'!Q17,'B5'!Q17,'B6'!Q17),0)</f>
        <v>0.49738345270640938</v>
      </c>
      <c r="R48" s="18">
        <f>IFERROR(_xlfn.STDEV.S('B4'!R17,'B5'!R17,'B6'!R17),0)</f>
        <v>0</v>
      </c>
      <c r="S48" s="18">
        <f>IFERROR(_xlfn.STDEV.S('B4'!S17,'B5'!S17,'B6'!S17),0)</f>
        <v>0.60320260590172337</v>
      </c>
      <c r="T48" s="18">
        <f>IFERROR(_xlfn.STDEV.S('B4'!T17,'B5'!T17,'B6'!T17),0)</f>
        <v>0</v>
      </c>
      <c r="U48" s="18">
        <f>IFERROR(_xlfn.STDEV.S('B4'!U17,'B5'!U17,'B6'!U17),0)</f>
        <v>0</v>
      </c>
      <c r="V48" s="18">
        <f>IFERROR(_xlfn.STDEV.S('B4'!V17,'B5'!V17,'B6'!V17),0)</f>
        <v>0</v>
      </c>
      <c r="W48" s="123">
        <f>IFERROR(_xlfn.STDEV.S('B4'!W17,'B5'!W17,'B6'!W17),0)</f>
        <v>0</v>
      </c>
      <c r="X48" s="123">
        <f>IFERROR(_xlfn.STDEV.S('B4'!X17,'B5'!X17,'B6'!X17),0)</f>
        <v>0</v>
      </c>
      <c r="Y48" s="123">
        <f>IFERROR(_xlfn.STDEV.S('B4'!Y17,'B5'!Y17,'B6'!Y17),0)</f>
        <v>0</v>
      </c>
      <c r="Z48" s="123">
        <f>IFERROR(_xlfn.STDEV.S('B4'!Z17,'B5'!Z17,'B6'!Z17),0)</f>
        <v>0</v>
      </c>
      <c r="AA48" s="123">
        <f>IFERROR(_xlfn.STDEV.S('B4'!AA17,'B5'!AA17,'B6'!AA17),0)</f>
        <v>0</v>
      </c>
      <c r="AB48" s="123">
        <f>IFERROR(_xlfn.STDEV.S('B4'!AB17,'B5'!AB17,'B6'!AB17),0)</f>
        <v>0</v>
      </c>
      <c r="AC48" s="123">
        <f>IFERROR(_xlfn.STDEV.S('B4'!AC17,'B5'!AC17,'B6'!AC17),0)</f>
        <v>0</v>
      </c>
      <c r="AD48" s="123">
        <f>IFERROR(_xlfn.STDEV.S('B4'!AD17,'B5'!AD17,'B6'!AD17),0)</f>
        <v>0</v>
      </c>
      <c r="AE48" s="18">
        <f>IFERROR(_xlfn.STDEV.S('B4'!AE17,'B5'!AE17,'B6'!AE17),0)</f>
        <v>0.60715182066212492</v>
      </c>
      <c r="AF48" s="18">
        <f>IFERROR(_xlfn.STDEV.S('B4'!AF17,'B5'!AF17,'B6'!AF17),0)</f>
        <v>0</v>
      </c>
      <c r="AG48" s="18">
        <f>IFERROR(_xlfn.STDEV.S('B4'!AG17,'B5'!AG17,'B6'!AG17),0)</f>
        <v>0</v>
      </c>
      <c r="AH48" s="18">
        <f>IFERROR(_xlfn.STDEV.S('B4'!AH17,'B5'!AH17,'B6'!AH17),0)</f>
        <v>13.876404077425834</v>
      </c>
      <c r="AI48" s="18">
        <f>IFERROR(_xlfn.STDEV.S('B4'!AI17,'B5'!AI17,'B6'!AI17),0)</f>
        <v>0</v>
      </c>
      <c r="AJ48" s="64">
        <f>IFERROR(_xlfn.STDEV.S('B4'!AJ17,'B5'!AJ17,'B6'!AJ17),0)</f>
        <v>0</v>
      </c>
      <c r="AK48" s="64">
        <f>IFERROR(_xlfn.STDEV.S('B4'!AK17,'B5'!AK17,'B6'!AK17),0)</f>
        <v>0</v>
      </c>
      <c r="AL48" s="64">
        <f>IFERROR(_xlfn.STDEV.S('B4'!AL17,'B5'!AL17,'B6'!AL17),0)</f>
        <v>0</v>
      </c>
      <c r="AM48" s="64">
        <f>IFERROR(_xlfn.STDEV.S('B4'!AM17,'B5'!AM17,'B6'!AM17),0)</f>
        <v>0</v>
      </c>
      <c r="AN48" s="64">
        <f>IFERROR(_xlfn.STDEV.S('B4'!AN17,'B5'!AN17,'B6'!AN17),0)</f>
        <v>0</v>
      </c>
      <c r="AO48" s="64">
        <f>IFERROR(_xlfn.STDEV.S('B4'!AO17,'B5'!AO17,'B6'!AO17),0)</f>
        <v>0</v>
      </c>
      <c r="AP48" s="162">
        <f>IFERROR(_xlfn.STDEV.S('B4'!AP17,'B5'!AP17,'B6'!AP17),0)</f>
        <v>1.8228660215977029E-2</v>
      </c>
      <c r="AQ48" s="162">
        <f>IFERROR(_xlfn.STDEV.S('B4'!AQ17,'B5'!AQ17,'B6'!AQ17),0)</f>
        <v>2.3536721284653422E-2</v>
      </c>
      <c r="AR48" s="162">
        <f>IFERROR(_xlfn.STDEV.S('B4'!AR17,'B5'!AR17,'B6'!AR17),0)</f>
        <v>0</v>
      </c>
      <c r="AS48" s="162">
        <f>IFERROR(_xlfn.STDEV.S('B4'!AS17,'B5'!AS17,'B6'!AS17),0)</f>
        <v>7.9317623886980271E-2</v>
      </c>
      <c r="AT48" s="162">
        <f>IFERROR(_xlfn.STDEV.S('B4'!AT17,'B5'!AT17,'B6'!AT17),0)</f>
        <v>0</v>
      </c>
      <c r="AU48" s="162">
        <f>IFERROR(_xlfn.STDEV.S('B4'!AU17,'B5'!AU17,'B6'!AU17),0)</f>
        <v>0</v>
      </c>
      <c r="AV48" s="162">
        <f>IFERROR(_xlfn.STDEV.S('B4'!AV17,'B5'!AV17,'B6'!AV17),0)</f>
        <v>0</v>
      </c>
      <c r="AW48" s="162">
        <f>IFERROR(_xlfn.STDEV.S('B4'!AW17,'B5'!AW17,'B6'!AW17),0)</f>
        <v>1.3025864444777779E-2</v>
      </c>
      <c r="AX48" s="64">
        <f>IFERROR(_xlfn.STDEV.S('B4'!AX17,'B5'!AX17,'B6'!AX17),0)</f>
        <v>0</v>
      </c>
      <c r="AY48" s="64">
        <f>IFERROR(_xlfn.STDEV.S('B4'!AY17,'B5'!AY17,'B6'!AY17),0)</f>
        <v>0.1155467242537021</v>
      </c>
      <c r="AZ48" s="64">
        <f>IFERROR(_xlfn.STDEV.S('B4'!AZ17,'B5'!AZ17,'B6'!AZ17),0)</f>
        <v>15.40453383373206</v>
      </c>
      <c r="BA48" s="124">
        <f>IFERROR(_xlfn.STDEV.S('B4'!BA17,'B5'!BA17,'B6'!BA17),0)</f>
        <v>1.3876404077425808</v>
      </c>
      <c r="BB48" s="124">
        <f>IFERROR(_xlfn.STDEV.S('B4'!BC17,'B5'!BC17,'B6'!BC17),0)</f>
        <v>0</v>
      </c>
      <c r="BC48" s="124">
        <f>IFERROR(_xlfn.STDEV.S('B4'!BD17,'B5'!BD17,'B6'!BD17),0)</f>
        <v>0</v>
      </c>
      <c r="BD48" s="124">
        <f>IFERROR(_xlfn.STDEV.S('B4'!BE17,'B5'!BE17,'B6'!BE17),0)</f>
        <v>0</v>
      </c>
      <c r="BE48" s="124">
        <f>IFERROR(_xlfn.STDEV.S('B4'!BF17,'B5'!BF17,'B6'!BF17),0)</f>
        <v>0</v>
      </c>
      <c r="BF48" s="124">
        <f>IFERROR(_xlfn.STDEV.S('B4'!BG17,'B5'!BG17,'B6'!BG17),0)</f>
        <v>0</v>
      </c>
      <c r="BG48" s="124">
        <f>IFERROR(_xlfn.STDEV.S('B4'!BH17,'B5'!BH17,'B6'!BH17),0)</f>
        <v>0</v>
      </c>
      <c r="BH48" s="124">
        <f>IFERROR(_xlfn.STDEV.S('B4'!BI17,'B5'!BI17,'B6'!BI17),0)</f>
        <v>0</v>
      </c>
      <c r="BI48" s="124">
        <f>IFERROR(_xlfn.STDEV.S('B4'!BJ17,'B5'!BJ17,'B6'!BJ17),0)</f>
        <v>3.6457320431954057E-2</v>
      </c>
      <c r="BJ48" s="124">
        <f>IFERROR(_xlfn.STDEV.S('B4'!BK17,'B5'!BK17,'B6'!BK17),0)</f>
        <v>7.0610163853960226E-2</v>
      </c>
      <c r="BK48" s="124">
        <f>IFERROR(_xlfn.STDEV.S('B4'!BL17,'B5'!BL17,'B6'!BL17),0)</f>
        <v>0</v>
      </c>
      <c r="BL48" s="124">
        <f>IFERROR(_xlfn.STDEV.S('B4'!BM17,'B5'!BM17,'B6'!BM17),0)</f>
        <v>0.31727049554792108</v>
      </c>
      <c r="BM48" s="124">
        <f>IFERROR(_xlfn.STDEV.S('B4'!BN17,'B5'!BN17,'B6'!BN17),0)</f>
        <v>0</v>
      </c>
      <c r="BN48" s="124">
        <f>IFERROR(_xlfn.STDEV.S('B4'!BO17,'B5'!BO17,'B6'!BO17),0)</f>
        <v>0</v>
      </c>
      <c r="BO48" s="124">
        <f>IFERROR(_xlfn.STDEV.S('B4'!BP17,'B5'!BP17,'B6'!BP17),0)</f>
        <v>0</v>
      </c>
      <c r="BP48" s="124">
        <f>IFERROR(_xlfn.STDEV.S('B4'!BQ17,'B5'!BQ17,'B6'!BQ17),0)</f>
        <v>7.8155186668666679E-2</v>
      </c>
      <c r="BQ48" s="124">
        <f>IFERROR(_xlfn.STDEV.S('B4'!BR17,'B5'!BR17,'B6'!BR17),0)</f>
        <v>0</v>
      </c>
      <c r="BR48" s="124">
        <f>IFERROR(_xlfn.STDEV.S('B4'!BS17,'B5'!BS17,'B6'!BS17),0)</f>
        <v>0.92437379402961684</v>
      </c>
      <c r="BS48" s="64">
        <f>IFERROR(_xlfn.STDEV.S('B4'!BT17,'B5'!BT17,'B6'!BT17),0)</f>
        <v>4.6213601501196085E-2</v>
      </c>
      <c r="BT48" s="64">
        <f>IFERROR(_xlfn.STDEV.S('B4'!BU17,'B5'!BU17,'B6'!BU17),0)</f>
        <v>0</v>
      </c>
      <c r="BU48" s="64">
        <f>IFERROR(_xlfn.STDEV.S('B4'!BV17,'B5'!BV17,'B6'!BV17),0)</f>
        <v>0</v>
      </c>
      <c r="BV48" s="64">
        <f>IFERROR(_xlfn.STDEV.S('B4'!BW17,'B5'!BW17,'B6'!BW17),0)</f>
        <v>0</v>
      </c>
    </row>
    <row r="49" spans="1:74" ht="16" thickBot="1" x14ac:dyDescent="0.4">
      <c r="A49" s="63" t="str">
        <f t="shared" si="7"/>
        <v>16-04</v>
      </c>
      <c r="B49" s="176">
        <f t="shared" si="7"/>
        <v>29</v>
      </c>
      <c r="C49" s="77">
        <v>10</v>
      </c>
      <c r="D49" s="18">
        <f>IFERROR(_xlfn.STDEV.S('B4'!D18,'B5'!D18,'B6'!D18),0)</f>
        <v>0</v>
      </c>
      <c r="E49" s="18">
        <f>IFERROR(_xlfn.STDEV.S('B4'!E18,'B5'!E18,'B6'!E18),0)</f>
        <v>0</v>
      </c>
      <c r="F49" s="18">
        <f>IFERROR(_xlfn.STDEV.S('B4'!F18,'B5'!F18,'B6'!F18),0)</f>
        <v>0</v>
      </c>
      <c r="G49" s="18">
        <f>IFERROR(_xlfn.STDEV.S('B4'!G18,'B5'!G18,'B6'!G18),0)</f>
        <v>0</v>
      </c>
      <c r="H49" s="18">
        <f>IFERROR(_xlfn.STDEV.S('B4'!H18,'B5'!H18,'B6'!H18),0)</f>
        <v>0</v>
      </c>
      <c r="I49" s="18">
        <f>IFERROR(_xlfn.STDEV.S('B4'!I18,'B5'!I18,'B6'!I18),0)</f>
        <v>9.0942365684961758E-4</v>
      </c>
      <c r="J49" s="18">
        <f>IFERROR(_xlfn.STDEV.S('B4'!J18,'B5'!J18,'B6'!J18),0)</f>
        <v>9.0600620352595061E-3</v>
      </c>
      <c r="K49" s="18">
        <f>IFERROR(_xlfn.STDEV.S('B4'!K18,'B5'!K18,'B6'!K18),0)</f>
        <v>1.8668817114210642E-2</v>
      </c>
      <c r="L49" s="18">
        <f>IFERROR(_xlfn.STDEV.S('B4'!L18,'B5'!L18,'B6'!L18),0)</f>
        <v>0</v>
      </c>
      <c r="M49" s="18">
        <f>IFERROR(_xlfn.STDEV.S('B4'!M18,'B5'!M18,'B6'!M18),0)</f>
        <v>6.4333737024978341E-2</v>
      </c>
      <c r="N49" s="18">
        <f>IFERROR(_xlfn.STDEV.S('B4'!N18,'B5'!N18,'B6'!N18),0)</f>
        <v>0</v>
      </c>
      <c r="O49" s="18">
        <f>IFERROR(_xlfn.STDEV.S('B4'!O18,'B5'!O18,'B6'!O18),0)</f>
        <v>0</v>
      </c>
      <c r="P49" s="18">
        <f>IFERROR(_xlfn.STDEV.S('B4'!P18,'B5'!P18,'B6'!P18),0)</f>
        <v>0</v>
      </c>
      <c r="Q49" s="18">
        <f>IFERROR(_xlfn.STDEV.S('B4'!Q18,'B5'!Q18,'B6'!Q18),0)</f>
        <v>8.4095249527906327E-3</v>
      </c>
      <c r="R49" s="18">
        <f>IFERROR(_xlfn.STDEV.S('B4'!R18,'B5'!R18,'B6'!R18),0)</f>
        <v>9.4629603687500393E-4</v>
      </c>
      <c r="S49" s="18">
        <f>IFERROR(_xlfn.STDEV.S('B4'!S18,'B5'!S18,'B6'!S18),0)</f>
        <v>4.8539364785677979E-3</v>
      </c>
      <c r="T49" s="18">
        <f>IFERROR(_xlfn.STDEV.S('B4'!T18,'B5'!T18,'B6'!T18),0)</f>
        <v>0</v>
      </c>
      <c r="U49" s="18">
        <f>IFERROR(_xlfn.STDEV.S('B4'!U18,'B5'!U18,'B6'!U18),0)</f>
        <v>0</v>
      </c>
      <c r="V49" s="18">
        <f>IFERROR(_xlfn.STDEV.S('B4'!V18,'B5'!V18,'B6'!V18),0)</f>
        <v>0</v>
      </c>
      <c r="W49" s="123">
        <f>IFERROR(_xlfn.STDEV.S('B4'!W18,'B5'!W18,'B6'!W18),0)</f>
        <v>0</v>
      </c>
      <c r="X49" s="123">
        <f>IFERROR(_xlfn.STDEV.S('B4'!X18,'B5'!X18,'B6'!X18),0)</f>
        <v>0</v>
      </c>
      <c r="Y49" s="123">
        <f>IFERROR(_xlfn.STDEV.S('B4'!Y18,'B5'!Y18,'B6'!Y18),0)</f>
        <v>0</v>
      </c>
      <c r="Z49" s="123">
        <f>IFERROR(_xlfn.STDEV.S('B4'!Z18,'B5'!Z18,'B6'!Z18),0)</f>
        <v>0</v>
      </c>
      <c r="AA49" s="123">
        <f>IFERROR(_xlfn.STDEV.S('B4'!AA18,'B5'!AA18,'B6'!AA18),0)</f>
        <v>0</v>
      </c>
      <c r="AB49" s="123">
        <f>IFERROR(_xlfn.STDEV.S('B4'!AB18,'B5'!AB18,'B6'!AB18),0)</f>
        <v>0</v>
      </c>
      <c r="AC49" s="123">
        <f>IFERROR(_xlfn.STDEV.S('B4'!AC18,'B5'!AC18,'B6'!AC18),0)</f>
        <v>0</v>
      </c>
      <c r="AD49" s="123">
        <f>IFERROR(_xlfn.STDEV.S('B4'!AD18,'B5'!AD18,'B6'!AD18),0)</f>
        <v>0</v>
      </c>
      <c r="AE49" s="18">
        <f>IFERROR(_xlfn.STDEV.S('B4'!AE18,'B5'!AE18,'B6'!AE18),0)</f>
        <v>0.37581023580170503</v>
      </c>
      <c r="AF49" s="18">
        <f>IFERROR(_xlfn.STDEV.S('B4'!AF18,'B5'!AF18,'B6'!AF18),0)</f>
        <v>0</v>
      </c>
      <c r="AG49" s="18">
        <f>IFERROR(_xlfn.STDEV.S('B4'!AG18,'B5'!AG18,'B6'!AG18),0)</f>
        <v>0</v>
      </c>
      <c r="AH49" s="18">
        <f>IFERROR(_xlfn.STDEV.S('B4'!AH18,'B5'!AH18,'B6'!AH18),0)</f>
        <v>32.519270164012006</v>
      </c>
      <c r="AI49" s="18">
        <f>IFERROR(_xlfn.STDEV.S('B4'!AI18,'B5'!AI18,'B6'!AI18),0)</f>
        <v>0</v>
      </c>
      <c r="AJ49" s="64">
        <f>IFERROR(_xlfn.STDEV.S('B4'!AJ18,'B5'!AJ18,'B6'!AJ18),0)</f>
        <v>0</v>
      </c>
      <c r="AK49" s="64">
        <f>IFERROR(_xlfn.STDEV.S('B4'!AK18,'B5'!AK18,'B6'!AK18),0)</f>
        <v>0</v>
      </c>
      <c r="AL49" s="64">
        <f>IFERROR(_xlfn.STDEV.S('B4'!AL18,'B5'!AL18,'B6'!AL18),0)</f>
        <v>0</v>
      </c>
      <c r="AM49" s="64">
        <f>IFERROR(_xlfn.STDEV.S('B4'!AM18,'B5'!AM18,'B6'!AM18),0)</f>
        <v>0</v>
      </c>
      <c r="AN49" s="64">
        <f>IFERROR(_xlfn.STDEV.S('B4'!AN18,'B5'!AN18,'B6'!AN18),0)</f>
        <v>0</v>
      </c>
      <c r="AO49" s="64">
        <f>IFERROR(_xlfn.STDEV.S('B4'!AO18,'B5'!AO18,'B6'!AO18),0)</f>
        <v>8.9004732655061067E-5</v>
      </c>
      <c r="AP49" s="162">
        <f>IFERROR(_xlfn.STDEV.S('B4'!AP18,'B5'!AP18,'B6'!AP18),0)</f>
        <v>0</v>
      </c>
      <c r="AQ49" s="162">
        <f>IFERROR(_xlfn.STDEV.S('B4'!AQ18,'B5'!AQ18,'B6'!AQ18),0)</f>
        <v>0</v>
      </c>
      <c r="AR49" s="162">
        <f>IFERROR(_xlfn.STDEV.S('B4'!AR18,'B5'!AR18,'B6'!AR18),0)</f>
        <v>0</v>
      </c>
      <c r="AS49" s="162">
        <f>IFERROR(_xlfn.STDEV.S('B4'!AS18,'B5'!AS18,'B6'!AS18),0)</f>
        <v>0</v>
      </c>
      <c r="AT49" s="162">
        <f>IFERROR(_xlfn.STDEV.S('B4'!AT18,'B5'!AT18,'B6'!AT18),0)</f>
        <v>0</v>
      </c>
      <c r="AU49" s="162">
        <f>IFERROR(_xlfn.STDEV.S('B4'!AU18,'B5'!AU18,'B6'!AU18),0)</f>
        <v>0</v>
      </c>
      <c r="AV49" s="162">
        <f>IFERROR(_xlfn.STDEV.S('B4'!AV18,'B5'!AV18,'B6'!AV18),0)</f>
        <v>0</v>
      </c>
      <c r="AW49" s="162">
        <f>IFERROR(_xlfn.STDEV.S('B4'!AW18,'B5'!AW18,'B6'!AW18),0)</f>
        <v>0</v>
      </c>
      <c r="AX49" s="64">
        <f>IFERROR(_xlfn.STDEV.S('B4'!AX18,'B5'!AX18,'B6'!AX18),0)</f>
        <v>0</v>
      </c>
      <c r="AY49" s="64">
        <f>IFERROR(_xlfn.STDEV.S('B4'!AY18,'B5'!AY18,'B6'!AY18),0)</f>
        <v>0</v>
      </c>
      <c r="AZ49" s="64">
        <f>IFERROR(_xlfn.STDEV.S('B4'!AZ18,'B5'!AZ18,'B6'!AZ18),0)</f>
        <v>39.710476443620323</v>
      </c>
      <c r="BA49" s="124">
        <f>IFERROR(_xlfn.STDEV.S('B4'!BA18,'B5'!BA18,'B6'!BA18),0)</f>
        <v>3.5771197180413199</v>
      </c>
      <c r="BB49" s="124">
        <f>IFERROR(_xlfn.STDEV.S('B4'!BC18,'B5'!BC18,'B6'!BC18),0)</f>
        <v>0</v>
      </c>
      <c r="BC49" s="124">
        <f>IFERROR(_xlfn.STDEV.S('B4'!BD18,'B5'!BD18,'B6'!BD18),0)</f>
        <v>0</v>
      </c>
      <c r="BD49" s="124">
        <f>IFERROR(_xlfn.STDEV.S('B4'!BE18,'B5'!BE18,'B6'!BE18),0)</f>
        <v>0</v>
      </c>
      <c r="BE49" s="124">
        <f>IFERROR(_xlfn.STDEV.S('B4'!BF18,'B5'!BF18,'B6'!BF18),0)</f>
        <v>0</v>
      </c>
      <c r="BF49" s="124">
        <f>IFERROR(_xlfn.STDEV.S('B4'!BG18,'B5'!BG18,'B6'!BG18),0)</f>
        <v>0</v>
      </c>
      <c r="BG49" s="124">
        <f>IFERROR(_xlfn.STDEV.S('B4'!BH18,'B5'!BH18,'B6'!BH18),0)</f>
        <v>0</v>
      </c>
      <c r="BH49" s="124">
        <f>IFERROR(_xlfn.STDEV.S('B4'!BI18,'B5'!BI18,'B6'!BI18),0)</f>
        <v>5.3402839593036656E-7</v>
      </c>
      <c r="BI49" s="124">
        <f>IFERROR(_xlfn.STDEV.S('B4'!BJ18,'B5'!BJ18,'B6'!BJ18),0)</f>
        <v>0</v>
      </c>
      <c r="BJ49" s="124">
        <f>IFERROR(_xlfn.STDEV.S('B4'!BK18,'B5'!BK18,'B6'!BK18),0)</f>
        <v>0</v>
      </c>
      <c r="BK49" s="124">
        <f>IFERROR(_xlfn.STDEV.S('B4'!BL18,'B5'!BL18,'B6'!BL18),0)</f>
        <v>0</v>
      </c>
      <c r="BL49" s="124">
        <f>IFERROR(_xlfn.STDEV.S('B4'!BM18,'B5'!BM18,'B6'!BM18),0)</f>
        <v>0</v>
      </c>
      <c r="BM49" s="124">
        <f>IFERROR(_xlfn.STDEV.S('B4'!BN18,'B5'!BN18,'B6'!BN18),0)</f>
        <v>0</v>
      </c>
      <c r="BN49" s="124">
        <f>IFERROR(_xlfn.STDEV.S('B4'!BO18,'B5'!BO18,'B6'!BO18),0)</f>
        <v>0</v>
      </c>
      <c r="BO49" s="124">
        <f>IFERROR(_xlfn.STDEV.S('B4'!BP18,'B5'!BP18,'B6'!BP18),0)</f>
        <v>0</v>
      </c>
      <c r="BP49" s="124">
        <f>IFERROR(_xlfn.STDEV.S('B4'!BQ18,'B5'!BQ18,'B6'!BQ18),0)</f>
        <v>0</v>
      </c>
      <c r="BQ49" s="124">
        <f>IFERROR(_xlfn.STDEV.S('B4'!BR18,'B5'!BR18,'B6'!BR18),0)</f>
        <v>0</v>
      </c>
      <c r="BR49" s="124">
        <f>IFERROR(_xlfn.STDEV.S('B4'!BS18,'B5'!BS18,'B6'!BS18),0)</f>
        <v>0</v>
      </c>
      <c r="BS49" s="64">
        <f>IFERROR(_xlfn.STDEV.S('B4'!BT18,'B5'!BT18,'B6'!BT18),0)</f>
        <v>0.11913142933086106</v>
      </c>
      <c r="BT49" s="64">
        <f>IFERROR(_xlfn.STDEV.S('B4'!BU18,'B5'!BU18,'B6'!BU18),0)</f>
        <v>0</v>
      </c>
      <c r="BU49" s="64">
        <f>IFERROR(_xlfn.STDEV.S('B4'!BV18,'B5'!BV18,'B6'!BV18),0)</f>
        <v>0</v>
      </c>
      <c r="BV49" s="64">
        <f>IFERROR(_xlfn.STDEV.S('B4'!BW18,'B5'!BW18,'B6'!BW18),0)</f>
        <v>0</v>
      </c>
    </row>
    <row r="50" spans="1:74" ht="16" thickBot="1" x14ac:dyDescent="0.4">
      <c r="A50" s="63" t="str">
        <f t="shared" si="7"/>
        <v>19-04</v>
      </c>
      <c r="B50" s="176">
        <f t="shared" si="7"/>
        <v>32</v>
      </c>
      <c r="C50" s="77">
        <v>10</v>
      </c>
      <c r="D50" s="18">
        <f>IFERROR(_xlfn.STDEV.S('B4'!D19,'B5'!D19,'B6'!D19),0)</f>
        <v>0</v>
      </c>
      <c r="E50" s="18">
        <f>IFERROR(_xlfn.STDEV.S('B4'!E19,'B5'!E19,'B6'!E19),0)</f>
        <v>0</v>
      </c>
      <c r="F50" s="18">
        <f>IFERROR(_xlfn.STDEV.S('B4'!F19,'B5'!F19,'B6'!F19),0)</f>
        <v>0</v>
      </c>
      <c r="G50" s="18">
        <f>IFERROR(_xlfn.STDEV.S('B4'!G19,'B5'!G19,'B6'!G19),0)</f>
        <v>0</v>
      </c>
      <c r="H50" s="18">
        <f>IFERROR(_xlfn.STDEV.S('B4'!H19,'B5'!H19,'B6'!H19),0)</f>
        <v>0</v>
      </c>
      <c r="I50" s="18">
        <f>IFERROR(_xlfn.STDEV.S('B4'!I19,'B5'!I19,'B6'!I19),0)</f>
        <v>0</v>
      </c>
      <c r="J50" s="18">
        <f>IFERROR(_xlfn.STDEV.S('B4'!J19,'B5'!J19,'B6'!J19),0)</f>
        <v>2.4395867520731938</v>
      </c>
      <c r="K50" s="18">
        <f>IFERROR(_xlfn.STDEV.S('B4'!K19,'B5'!K19,'B6'!K19),0)</f>
        <v>7.8590406128122527</v>
      </c>
      <c r="L50" s="18">
        <f>IFERROR(_xlfn.STDEV.S('B4'!L19,'B5'!L19,'B6'!L19),0)</f>
        <v>0.44883287458397453</v>
      </c>
      <c r="M50" s="18">
        <f>IFERROR(_xlfn.STDEV.S('B4'!M19,'B5'!M19,'B6'!M19),0)</f>
        <v>14.429114576444137</v>
      </c>
      <c r="N50" s="18">
        <f>IFERROR(_xlfn.STDEV.S('B4'!N19,'B5'!N19,'B6'!N19),0)</f>
        <v>0</v>
      </c>
      <c r="O50" s="18">
        <f>IFERROR(_xlfn.STDEV.S('B4'!O19,'B5'!O19,'B6'!O19),0)</f>
        <v>1.2136271265161334</v>
      </c>
      <c r="P50" s="18">
        <f>IFERROR(_xlfn.STDEV.S('B4'!P19,'B5'!P19,'B6'!P19),0)</f>
        <v>0</v>
      </c>
      <c r="Q50" s="18">
        <f>IFERROR(_xlfn.STDEV.S('B4'!Q19,'B5'!Q19,'B6'!Q19),0)</f>
        <v>4.7349291024010363</v>
      </c>
      <c r="R50" s="18">
        <f>IFERROR(_xlfn.STDEV.S('B4'!R19,'B5'!R19,'B6'!R19),0)</f>
        <v>0.56413135921622581</v>
      </c>
      <c r="S50" s="18">
        <f>IFERROR(_xlfn.STDEV.S('B4'!S19,'B5'!S19,'B6'!S19),0)</f>
        <v>0.51586847349562459</v>
      </c>
      <c r="T50" s="18">
        <f>IFERROR(_xlfn.STDEV.S('B4'!T19,'B5'!T19,'B6'!T19),0)</f>
        <v>0</v>
      </c>
      <c r="U50" s="18">
        <f>IFERROR(_xlfn.STDEV.S('B4'!U19,'B5'!U19,'B6'!U19),0)</f>
        <v>0</v>
      </c>
      <c r="V50" s="18">
        <f>IFERROR(_xlfn.STDEV.S('B4'!V19,'B5'!V19,'B6'!V19),0)</f>
        <v>0</v>
      </c>
      <c r="W50" s="123">
        <f>IFERROR(_xlfn.STDEV.S('B4'!#REF!,'B5'!W19,'B6'!W19),0)</f>
        <v>0</v>
      </c>
      <c r="X50" s="123">
        <f>IFERROR(_xlfn.STDEV.S('B4'!#REF!,'B5'!X19,'B6'!X19),0)</f>
        <v>0</v>
      </c>
      <c r="Y50" s="123">
        <f>IFERROR(_xlfn.STDEV.S('B4'!#REF!,'B5'!Y19,'B6'!Y19),0)</f>
        <v>0</v>
      </c>
      <c r="Z50" s="123">
        <f>IFERROR(_xlfn.STDEV.S('B4'!#REF!,'B5'!Z19,'B6'!Z19),0)</f>
        <v>0</v>
      </c>
      <c r="AA50" s="123">
        <f>IFERROR(_xlfn.STDEV.S('B4'!#REF!,'B5'!AA19,'B6'!AA19),0)</f>
        <v>0</v>
      </c>
      <c r="AB50" s="123">
        <f>IFERROR(_xlfn.STDEV.S('B4'!#REF!,'B5'!AB19,'B6'!AB19),0)</f>
        <v>0</v>
      </c>
      <c r="AC50" s="123">
        <f>IFERROR(_xlfn.STDEV.S('B4'!#REF!,'B5'!AC19,'B6'!AC19),0)</f>
        <v>0</v>
      </c>
      <c r="AD50" s="123">
        <f>IFERROR(_xlfn.STDEV.S('B4'!#REF!,'B5'!AD19,'B6'!AD19),0)</f>
        <v>0</v>
      </c>
      <c r="AE50" s="18">
        <f>IFERROR(_xlfn.STDEV.S('B4'!AE19,'B5'!AE19,'B6'!AE19),0)</f>
        <v>0.32129944496269125</v>
      </c>
      <c r="AF50" s="18">
        <f>IFERROR(_xlfn.STDEV.S('B4'!AF19,'B5'!AF19,'B6'!AF19),0)</f>
        <v>0</v>
      </c>
      <c r="AG50" s="18">
        <f>IFERROR(_xlfn.STDEV.S('B4'!AG19,'B5'!AG19,'B6'!AG19),0)</f>
        <v>0</v>
      </c>
      <c r="AH50" s="18">
        <f>IFERROR(_xlfn.STDEV.S('B4'!AH19,'B5'!AH19,'B6'!AH19),0)</f>
        <v>49.144820005096506</v>
      </c>
      <c r="AI50" s="18">
        <f>IFERROR(_xlfn.STDEV.S('B4'!AI19,'B5'!AI19,'B6'!AI19),0)</f>
        <v>0</v>
      </c>
      <c r="AJ50" s="64">
        <f>IFERROR(_xlfn.STDEV.S('B4'!AJ19,'B5'!AJ19,'B6'!AJ19),0)</f>
        <v>0</v>
      </c>
      <c r="AK50" s="64">
        <f>IFERROR(_xlfn.STDEV.S('B4'!AK19,'B5'!AK19,'B6'!AK19),0)</f>
        <v>0</v>
      </c>
      <c r="AL50" s="64">
        <f>IFERROR(_xlfn.STDEV.S('B4'!AL19,'B5'!AL19,'B6'!AL19),0)</f>
        <v>0</v>
      </c>
      <c r="AM50" s="64">
        <f>IFERROR(_xlfn.STDEV.S('B4'!AM19,'B5'!AM19,'B6'!AM19),0)</f>
        <v>0</v>
      </c>
      <c r="AN50" s="64">
        <f>IFERROR(_xlfn.STDEV.S('B4'!AN19,'B5'!AN19,'B6'!AN19),0)</f>
        <v>0</v>
      </c>
      <c r="AO50" s="64">
        <f>IFERROR(_xlfn.STDEV.S('B4'!AO19,'B5'!AO19,'B6'!AO19),0)</f>
        <v>0</v>
      </c>
      <c r="AP50" s="162">
        <f>IFERROR(_xlfn.STDEV.S('B4'!AP19,'B5'!AP19,'B6'!AP19),0)</f>
        <v>2.4395867520731959E-2</v>
      </c>
      <c r="AQ50" s="162">
        <f>IFERROR(_xlfn.STDEV.S('B4'!AQ19,'B5'!AQ19,'B6'!AQ19),0)</f>
        <v>7.8590406128122556E-2</v>
      </c>
      <c r="AR50" s="162">
        <f>IFERROR(_xlfn.STDEV.S('B4'!AR19,'B5'!AR19,'B6'!AR19),0)</f>
        <v>0</v>
      </c>
      <c r="AS50" s="162">
        <f>IFERROR(_xlfn.STDEV.S('B4'!AS19,'B5'!AS19,'B6'!AS19),0)</f>
        <v>0.1559708255713517</v>
      </c>
      <c r="AT50" s="162">
        <f>IFERROR(_xlfn.STDEV.S('B4'!AT19,'B5'!AT19,'B6'!AT19),0)</f>
        <v>0</v>
      </c>
      <c r="AU50" s="162">
        <f>IFERROR(_xlfn.STDEV.S('B4'!AU19,'B5'!AU19,'B6'!AU19),0)</f>
        <v>0</v>
      </c>
      <c r="AV50" s="162">
        <f>IFERROR(_xlfn.STDEV.S('B4'!AV19,'B5'!AV19,'B6'!AV19),0)</f>
        <v>0</v>
      </c>
      <c r="AW50" s="162">
        <f>IFERROR(_xlfn.STDEV.S('B4'!AW19,'B5'!AW19,'B6'!AW19),0)</f>
        <v>5.0402289330574085E-2</v>
      </c>
      <c r="AX50" s="64">
        <f>IFERROR(_xlfn.STDEV.S('B4'!AX19,'B5'!AX19,'B6'!AX19),0)</f>
        <v>0</v>
      </c>
      <c r="AY50" s="64">
        <f>IFERROR(_xlfn.STDEV.S('B4'!AY19,'B5'!AY19,'B6'!AY19),0)</f>
        <v>7.4148492346826619E-2</v>
      </c>
      <c r="AZ50" s="64">
        <f>IFERROR(_xlfn.STDEV.S('B4'!AZ19,'B5'!AZ19,'B6'!AZ19),0)</f>
        <v>54.556860574041416</v>
      </c>
      <c r="BA50" s="124">
        <f>IFERROR(_xlfn.STDEV.S('B4'!BA19,'B5'!BA19,'B6'!BA19),0)</f>
        <v>4.9144820005096497</v>
      </c>
      <c r="BB50" s="64">
        <f>IFERROR(_xlfn.STDEV.S('B4'!BC19,'B5'!BC19,'B6'!BC19),0)</f>
        <v>0</v>
      </c>
      <c r="BC50" s="64">
        <f>IFERROR(_xlfn.STDEV.S('B4'!BD19,'B5'!BD19,'B6'!BD19),0)</f>
        <v>0</v>
      </c>
      <c r="BD50" s="64">
        <f>IFERROR(_xlfn.STDEV.S('B4'!BE19,'B5'!BE19,'B6'!BE19),0)</f>
        <v>0</v>
      </c>
      <c r="BE50" s="64">
        <f>IFERROR(_xlfn.STDEV.S('B4'!BF19,'B5'!BF19,'B6'!BF19),0)</f>
        <v>0</v>
      </c>
      <c r="BF50" s="64">
        <f>IFERROR(_xlfn.STDEV.S('B4'!BG19,'B5'!BG19,'B6'!BG19),0)</f>
        <v>0</v>
      </c>
      <c r="BG50" s="64">
        <f>IFERROR(_xlfn.STDEV.S('B4'!BH19,'B5'!BH19,'B6'!BH19),0)</f>
        <v>0</v>
      </c>
      <c r="BH50" s="64">
        <f>IFERROR(_xlfn.STDEV.S('B4'!BI19,'B5'!BI19,'B6'!BI19),0)</f>
        <v>0</v>
      </c>
      <c r="BI50" s="64">
        <f>IFERROR(_xlfn.STDEV.S('B4'!BJ19,'B5'!BJ19,'B6'!BJ19),0)</f>
        <v>4.8791735041463918E-2</v>
      </c>
      <c r="BJ50" s="64">
        <f>IFERROR(_xlfn.STDEV.S('B4'!BK19,'B5'!BK19,'B6'!BK19),0)</f>
        <v>0.23577121838436682</v>
      </c>
      <c r="BK50" s="64">
        <f>IFERROR(_xlfn.STDEV.S('B4'!BL19,'B5'!BL19,'B6'!BL19),0)</f>
        <v>0</v>
      </c>
      <c r="BL50" s="64">
        <f>IFERROR(_xlfn.STDEV.S('B4'!BM19,'B5'!BM19,'B6'!BM19),0)</f>
        <v>0.62388330228540678</v>
      </c>
      <c r="BM50" s="64">
        <f>IFERROR(_xlfn.STDEV.S('B4'!BN19,'B5'!BN19,'B6'!BN19),0)</f>
        <v>0</v>
      </c>
      <c r="BN50" s="64">
        <f>IFERROR(_xlfn.STDEV.S('B4'!BO19,'B5'!BO19,'B6'!BO19),0)</f>
        <v>0</v>
      </c>
      <c r="BO50" s="64">
        <f>IFERROR(_xlfn.STDEV.S('B4'!BP19,'B5'!BP19,'B6'!BP19),0)</f>
        <v>0</v>
      </c>
      <c r="BP50" s="64">
        <f>IFERROR(_xlfn.STDEV.S('B4'!BQ19,'B5'!BQ19,'B6'!BQ19),0)</f>
        <v>0.30241373598344451</v>
      </c>
      <c r="BQ50" s="64">
        <f>IFERROR(_xlfn.STDEV.S('B4'!BR19,'B5'!BR19,'B6'!BR19),0)</f>
        <v>0</v>
      </c>
      <c r="BR50" s="64">
        <f>IFERROR(_xlfn.STDEV.S('B4'!BS19,'B5'!BS19,'B6'!BS19),0)</f>
        <v>0.59318793877461296</v>
      </c>
      <c r="BS50" s="64">
        <f>IFERROR(_xlfn.STDEV.S('B4'!BT19,'B5'!BT19,'B6'!BT19),0)</f>
        <v>0.16367058172212429</v>
      </c>
      <c r="BT50" s="64">
        <f>IFERROR(_xlfn.STDEV.S('B4'!BU19,'B5'!BU19,'B6'!BU19),0)</f>
        <v>0</v>
      </c>
      <c r="BU50" s="64">
        <f>IFERROR(_xlfn.STDEV.S('B4'!BV19,'B5'!BV19,'B6'!BV19),0)</f>
        <v>0</v>
      </c>
      <c r="BV50" s="64">
        <f>IFERROR(_xlfn.STDEV.S('B4'!BW19,'B5'!BW19,'B6'!BW19),0)</f>
        <v>0</v>
      </c>
    </row>
    <row r="51" spans="1:74" ht="16" thickBot="1" x14ac:dyDescent="0.4">
      <c r="A51" s="63" t="str">
        <f t="shared" si="7"/>
        <v>26-04</v>
      </c>
      <c r="B51" s="176">
        <f t="shared" si="7"/>
        <v>38</v>
      </c>
      <c r="C51" s="77">
        <v>10</v>
      </c>
      <c r="D51" s="18">
        <f>IFERROR(_xlfn.STDEV.S('B4'!D20,'B5'!D20,'B6'!D20),0)</f>
        <v>0</v>
      </c>
      <c r="E51" s="18">
        <f>IFERROR(_xlfn.STDEV.S('B4'!E20,'B5'!E20,'B6'!E20),0)</f>
        <v>0</v>
      </c>
      <c r="F51" s="18">
        <f>IFERROR(_xlfn.STDEV.S('B4'!F20,'B5'!F20,'B6'!F20),0)</f>
        <v>0</v>
      </c>
      <c r="G51" s="18">
        <f>IFERROR(_xlfn.STDEV.S('B4'!G20,'B5'!G20,'B6'!G20),0)</f>
        <v>0</v>
      </c>
      <c r="H51" s="18">
        <f>IFERROR(_xlfn.STDEV.S('B4'!H20,'B5'!H20,'B6'!H20),0)</f>
        <v>0</v>
      </c>
      <c r="I51" s="18">
        <f>IFERROR(_xlfn.STDEV.S('B4'!I20,'B5'!I20,'B6'!I20),0)</f>
        <v>0</v>
      </c>
      <c r="J51" s="18">
        <f>IFERROR(_xlfn.STDEV.S('B4'!J20,'B5'!J20,'B6'!J20),0)</f>
        <v>10.36280782252239</v>
      </c>
      <c r="K51" s="18">
        <f>IFERROR(_xlfn.STDEV.S('B4'!K20,'B5'!K20,'B6'!K20),0)</f>
        <v>5.5450552112084601</v>
      </c>
      <c r="L51" s="18">
        <f>IFERROR(_xlfn.STDEV.S('B4'!L20,'B5'!L20,'B6'!L20),0)</f>
        <v>9.2296642601789021</v>
      </c>
      <c r="M51" s="18">
        <f>IFERROR(_xlfn.STDEV.S('B4'!M20,'B5'!M20,'B6'!M20),0)</f>
        <v>91.547836376712084</v>
      </c>
      <c r="N51" s="18">
        <f>IFERROR(_xlfn.STDEV.S('B4'!N20,'B5'!N20,'B6'!N20),0)</f>
        <v>0.38878934956930783</v>
      </c>
      <c r="O51" s="18">
        <f>IFERROR(_xlfn.STDEV.S('B4'!O20,'B5'!O20,'B6'!O20),0)</f>
        <v>2.1355064198323812</v>
      </c>
      <c r="P51" s="18">
        <f>IFERROR(_xlfn.STDEV.S('B4'!P20,'B5'!P20,'B6'!P20),0)</f>
        <v>0</v>
      </c>
      <c r="Q51" s="18">
        <f>IFERROR(_xlfn.STDEV.S('B4'!Q20,'B5'!Q20,'B6'!Q20),0)</f>
        <v>8.9336367377762027</v>
      </c>
      <c r="R51" s="18">
        <f>IFERROR(_xlfn.STDEV.S('B4'!R20,'B5'!R20,'B6'!R20),0)</f>
        <v>0</v>
      </c>
      <c r="S51" s="18">
        <f>IFERROR(_xlfn.STDEV.S('B4'!S20,'B5'!S20,'B6'!S20),0)</f>
        <v>1.1435911260690867</v>
      </c>
      <c r="T51" s="18">
        <f>IFERROR(_xlfn.STDEV.S('B4'!T20,'B5'!T20,'B6'!T20),0)</f>
        <v>0</v>
      </c>
      <c r="U51" s="18">
        <f>IFERROR(_xlfn.STDEV.S('B4'!U20,'B5'!U20,'B6'!U20),0)</f>
        <v>0</v>
      </c>
      <c r="V51" s="18">
        <f>IFERROR(_xlfn.STDEV.S('B4'!V20,'B5'!V20,'B6'!V20),0)</f>
        <v>0</v>
      </c>
      <c r="W51" s="123">
        <f>IFERROR(_xlfn.STDEV.S('B4'!W20,'B5'!W20,'B6'!W20),0)</f>
        <v>1.7677669529664096E-3</v>
      </c>
      <c r="X51" s="123">
        <f>IFERROR(_xlfn.STDEV.S('B4'!X20,'B5'!X20,'B6'!X20),0)</f>
        <v>2.4290024016968968E-2</v>
      </c>
      <c r="Y51" s="123">
        <f>IFERROR(_xlfn.STDEV.S('B4'!Y20,'B5'!Y20,'B6'!Y20),0)</f>
        <v>1.5320646925708413E-3</v>
      </c>
      <c r="Z51" s="123">
        <f>IFERROR(_xlfn.STDEV.S('B4'!Z20,'B5'!Z20,'B6'!Z20),0)</f>
        <v>4.7708612108271069</v>
      </c>
      <c r="AA51" s="123">
        <f>IFERROR(_xlfn.STDEV.S('B4'!AA20,'B5'!AA20,'B6'!AA20),0)</f>
        <v>0</v>
      </c>
      <c r="AB51" s="123">
        <f>IFERROR(_xlfn.STDEV.S('B4'!AB20,'B5'!AB20,'B6'!AB20),0)</f>
        <v>0</v>
      </c>
      <c r="AC51" s="123">
        <f>IFERROR(_xlfn.STDEV.S('B4'!AC20,'B5'!AC20,'B6'!AC20),0)</f>
        <v>2.8284271247461927E-3</v>
      </c>
      <c r="AD51" s="123">
        <f>IFERROR(_xlfn.STDEV.S('B4'!AD20,'B5'!AD20,'B6'!AD20),0)</f>
        <v>5.785766919945428</v>
      </c>
      <c r="AE51" s="18">
        <f>IFERROR(_xlfn.STDEV.S('B4'!AE20,'B5'!AE20,'B6'!AE20),0)</f>
        <v>0</v>
      </c>
      <c r="AF51" s="18">
        <f>IFERROR(_xlfn.STDEV.S('B4'!AF20,'B5'!AF20,'B6'!AF20),0)</f>
        <v>5.7735026918962511</v>
      </c>
      <c r="AG51" s="18">
        <f>IFERROR(_xlfn.STDEV.S('B4'!AG20,'B5'!AG20,'B6'!AG20),0)</f>
        <v>0</v>
      </c>
      <c r="AH51" s="18">
        <f>IFERROR(_xlfn.STDEV.S('B4'!AH20,'B5'!AH20,'B6'!AH20),0)</f>
        <v>87.057930904273988</v>
      </c>
      <c r="AI51" s="18">
        <f>IFERROR(_xlfn.STDEV.S('B4'!AI20,'B5'!AI20,'B6'!AI20),0)</f>
        <v>0</v>
      </c>
      <c r="AJ51" s="64">
        <f>IFERROR(_xlfn.STDEV.S('B4'!AJ20,'B5'!AJ20,'B6'!AJ20),0)</f>
        <v>0</v>
      </c>
      <c r="AK51" s="64">
        <f>IFERROR(_xlfn.STDEV.S('B4'!AK20,'B5'!AK20,'B6'!AK20),0)</f>
        <v>0</v>
      </c>
      <c r="AL51" s="64">
        <f>IFERROR(_xlfn.STDEV.S('B4'!AL20,'B5'!AL20,'B6'!AL20),0)</f>
        <v>0</v>
      </c>
      <c r="AM51" s="64">
        <f>IFERROR(_xlfn.STDEV.S('B4'!AM20,'B5'!AM20,'B6'!AM20),0)</f>
        <v>0</v>
      </c>
      <c r="AN51" s="64">
        <f>IFERROR(_xlfn.STDEV.S('B4'!AN20,'B5'!AN20,'B6'!AN20),0)</f>
        <v>0</v>
      </c>
      <c r="AO51" s="64">
        <f>IFERROR(_xlfn.STDEV.S('B4'!AO20,'B5'!AO20,'B6'!AO20),0)</f>
        <v>0</v>
      </c>
      <c r="AP51" s="162">
        <f>IFERROR(_xlfn.STDEV.S('B4'!AP20,'B5'!AP20,'B6'!AP20),0)</f>
        <v>0.10362807822522385</v>
      </c>
      <c r="AQ51" s="162">
        <f>IFERROR(_xlfn.STDEV.S('B4'!AQ20,'B5'!AQ20,'B6'!AQ20),0)</f>
        <v>5.5450552112084724E-2</v>
      </c>
      <c r="AR51" s="162">
        <f>IFERROR(_xlfn.STDEV.S('B4'!AR20,'B5'!AR20,'B6'!AR20),0)</f>
        <v>9.9042579145829451E-2</v>
      </c>
      <c r="AS51" s="162">
        <f>IFERROR(_xlfn.STDEV.S('B4'!AS20,'B5'!AS20,'B6'!AS20),0)</f>
        <v>0.91547836376712088</v>
      </c>
      <c r="AT51" s="162">
        <f>IFERROR(_xlfn.STDEV.S('B4'!AT20,'B5'!AT20,'B6'!AT20),0)</f>
        <v>0</v>
      </c>
      <c r="AU51" s="162">
        <f>IFERROR(_xlfn.STDEV.S('B4'!AU20,'B5'!AU20,'B6'!AU20),0)</f>
        <v>2.7476795383393777E-2</v>
      </c>
      <c r="AV51" s="162">
        <f>IFERROR(_xlfn.STDEV.S('B4'!AV20,'B5'!AV20,'B6'!AV20),0)</f>
        <v>0</v>
      </c>
      <c r="AW51" s="162">
        <f>IFERROR(_xlfn.STDEV.S('B4'!AW20,'B5'!AW20,'B6'!AW20),0)</f>
        <v>9.6320016615018419E-2</v>
      </c>
      <c r="AX51" s="64">
        <f>IFERROR(_xlfn.STDEV.S('B4'!AX20,'B5'!AX20,'B6'!AX20),0)</f>
        <v>0</v>
      </c>
      <c r="AY51" s="64">
        <f>IFERROR(_xlfn.STDEV.S('B4'!AY20,'B5'!AY20,'B6'!AY20),0)</f>
        <v>7.0960433662387273E-2</v>
      </c>
      <c r="AZ51" s="64">
        <f>IFERROR(_xlfn.STDEV.S('B4'!AZ20,'B5'!AZ20,'B6'!AZ20),0)</f>
        <v>36.266630440000476</v>
      </c>
      <c r="BA51" s="124">
        <f>IFERROR(_xlfn.STDEV.S('B4'!BA20,'B5'!BA20,'B6'!BA20),0)</f>
        <v>3.2668980700352441</v>
      </c>
      <c r="BB51" s="64">
        <f>IFERROR(_xlfn.STDEV.S('B4'!BC20,'B5'!BC20,'B6'!BC20),0)</f>
        <v>0</v>
      </c>
      <c r="BC51" s="64">
        <f>IFERROR(_xlfn.STDEV.S('B4'!BD20,'B5'!BD20,'B6'!BD20),0)</f>
        <v>0</v>
      </c>
      <c r="BD51" s="64">
        <f>IFERROR(_xlfn.STDEV.S('B4'!BE20,'B5'!BE20,'B6'!BE20),0)</f>
        <v>0</v>
      </c>
      <c r="BE51" s="64">
        <f>IFERROR(_xlfn.STDEV.S('B4'!BF20,'B5'!BF20,'B6'!BF20),0)</f>
        <v>0</v>
      </c>
      <c r="BF51" s="64">
        <f>IFERROR(_xlfn.STDEV.S('B4'!BG20,'B5'!BG20,'B6'!BG20),0)</f>
        <v>0</v>
      </c>
      <c r="BG51" s="64">
        <f>IFERROR(_xlfn.STDEV.S('B4'!BH20,'B5'!BH20,'B6'!BH20),0)</f>
        <v>0</v>
      </c>
      <c r="BH51" s="64">
        <f>IFERROR(_xlfn.STDEV.S('B4'!BI20,'B5'!BI20,'B6'!BI20),0)</f>
        <v>0</v>
      </c>
      <c r="BI51" s="64">
        <f>IFERROR(_xlfn.STDEV.S('B4'!BJ20,'B5'!BJ20,'B6'!BJ20),0)</f>
        <v>0.2072561564504477</v>
      </c>
      <c r="BJ51" s="64">
        <f>IFERROR(_xlfn.STDEV.S('B4'!BK20,'B5'!BK20,'B6'!BK20),0)</f>
        <v>0.16635165633625351</v>
      </c>
      <c r="BK51" s="64">
        <f>IFERROR(_xlfn.STDEV.S('B4'!BL20,'B5'!BL20,'B6'!BL20),0)</f>
        <v>0.39617031658331781</v>
      </c>
      <c r="BL51" s="64">
        <f>IFERROR(_xlfn.STDEV.S('B4'!BM20,'B5'!BM20,'B6'!BM20),0)</f>
        <v>3.6619134550684835</v>
      </c>
      <c r="BM51" s="64">
        <f>IFERROR(_xlfn.STDEV.S('B4'!BN20,'B5'!BN20,'B6'!BN20),0)</f>
        <v>0</v>
      </c>
      <c r="BN51" s="64">
        <f>IFERROR(_xlfn.STDEV.S('B4'!BO20,'B5'!BO20,'B6'!BO20),0)</f>
        <v>0.13738397691696888</v>
      </c>
      <c r="BO51" s="64">
        <f>IFERROR(_xlfn.STDEV.S('B4'!BP20,'B5'!BP20,'B6'!BP20),0)</f>
        <v>0</v>
      </c>
      <c r="BP51" s="64">
        <f>IFERROR(_xlfn.STDEV.S('B4'!BQ20,'B5'!BQ20,'B6'!BQ20),0)</f>
        <v>0.57792009969011049</v>
      </c>
      <c r="BQ51" s="64">
        <f>IFERROR(_xlfn.STDEV.S('B4'!BR20,'B5'!BR20,'B6'!BR20),0)</f>
        <v>0</v>
      </c>
      <c r="BR51" s="64">
        <f>IFERROR(_xlfn.STDEV.S('B4'!BS20,'B5'!BS20,'B6'!BS20),0)</f>
        <v>0.56768346929909819</v>
      </c>
      <c r="BS51" s="64">
        <f>IFERROR(_xlfn.STDEV.S('B4'!BT20,'B5'!BT20,'B6'!BT20),0)</f>
        <v>0.10879989132000155</v>
      </c>
      <c r="BT51" s="64">
        <f>IFERROR(_xlfn.STDEV.S('B4'!BU20,'B5'!BU20,'B6'!BU20),0)</f>
        <v>0</v>
      </c>
      <c r="BU51" s="64">
        <f>IFERROR(_xlfn.STDEV.S('B4'!BV20,'B5'!BV20,'B6'!BV20),0)</f>
        <v>0</v>
      </c>
      <c r="BV51" s="64">
        <f>IFERROR(_xlfn.STDEV.S('B4'!BW20,'B5'!BW20,'B6'!BW20),0)</f>
        <v>0</v>
      </c>
    </row>
    <row r="52" spans="1:74" ht="16" thickBot="1" x14ac:dyDescent="0.4">
      <c r="A52" s="63">
        <f t="shared" si="7"/>
        <v>43105</v>
      </c>
      <c r="B52" s="176">
        <f t="shared" si="7"/>
        <v>43</v>
      </c>
      <c r="C52" s="54"/>
      <c r="D52" s="18">
        <f>IFERROR(_xlfn.STDEV.S('B4'!D21,'B5'!D21,'B6'!D21),0)</f>
        <v>0</v>
      </c>
      <c r="E52" s="18">
        <f>IFERROR(_xlfn.STDEV.S('B4'!E21,'B5'!E21,'B6'!E21),0)</f>
        <v>0</v>
      </c>
      <c r="F52" s="18">
        <f>IFERROR(_xlfn.STDEV.S('B4'!F21,'B5'!F21,'B6'!F21),0)</f>
        <v>0</v>
      </c>
      <c r="G52" s="18">
        <f>IFERROR(_xlfn.STDEV.S('B4'!G21,'B5'!G21,'B6'!G21),0)</f>
        <v>0</v>
      </c>
      <c r="H52" s="18">
        <f>IFERROR(_xlfn.STDEV.S('B4'!H21,'B5'!H21,'B6'!H21),0)</f>
        <v>0</v>
      </c>
      <c r="I52" s="18">
        <f>IFERROR(_xlfn.STDEV.S('B4'!I21,'B5'!I21,'B6'!I21),0)</f>
        <v>0</v>
      </c>
      <c r="J52" s="18">
        <f>IFERROR(_xlfn.STDEV.S('B4'!J21,'B5'!J21,'B6'!J21),0)</f>
        <v>8.2016080892719927</v>
      </c>
      <c r="K52" s="18">
        <f>IFERROR(_xlfn.STDEV.S('B4'!K21,'B5'!K21,'B6'!K21),0)</f>
        <v>4.8239004149777891</v>
      </c>
      <c r="L52" s="18">
        <f>IFERROR(_xlfn.STDEV.S('B4'!L21,'B5'!L21,'B6'!L21),0)</f>
        <v>7.5285863900184431</v>
      </c>
      <c r="M52" s="18">
        <f>IFERROR(_xlfn.STDEV.S('B4'!M21,'B5'!M21,'B6'!M21),0)</f>
        <v>45.363109710391086</v>
      </c>
      <c r="N52" s="18">
        <f>IFERROR(_xlfn.STDEV.S('B4'!N21,'B5'!N21,'B6'!N21),0)</f>
        <v>0</v>
      </c>
      <c r="O52" s="18">
        <f>IFERROR(_xlfn.STDEV.S('B4'!O21,'B5'!O21,'B6'!O21),0)</f>
        <v>1.6472928116008183</v>
      </c>
      <c r="P52" s="18">
        <f>IFERROR(_xlfn.STDEV.S('B4'!P21,'B5'!P21,'B6'!P21),0)</f>
        <v>0</v>
      </c>
      <c r="Q52" s="18">
        <f>IFERROR(_xlfn.STDEV.S('B4'!Q21,'B5'!Q21,'B6'!Q21),0)</f>
        <v>3.89265903601494</v>
      </c>
      <c r="R52" s="18">
        <f>IFERROR(_xlfn.STDEV.S('B4'!R21,'B5'!R21,'B6'!R21),0)</f>
        <v>0</v>
      </c>
      <c r="S52" s="18">
        <f>IFERROR(_xlfn.STDEV.S('B4'!S21,'B5'!S21,'B6'!S21),0)</f>
        <v>0</v>
      </c>
      <c r="T52" s="18">
        <f>IFERROR(_xlfn.STDEV.S('B4'!T21,'B5'!T21,'B6'!T21),0)</f>
        <v>0</v>
      </c>
      <c r="U52" s="18">
        <f>IFERROR(_xlfn.STDEV.S('B4'!U21,'B5'!U21,'B6'!U21),0)</f>
        <v>0</v>
      </c>
      <c r="V52" s="18">
        <f>IFERROR(_xlfn.STDEV.S('B4'!V21,'B5'!V21,'B6'!V21),0)</f>
        <v>0</v>
      </c>
      <c r="W52" s="18">
        <f>IFERROR(_xlfn.STDEV.S('B4'!W19,'B5'!W21,'B6'!W21),0)</f>
        <v>0</v>
      </c>
      <c r="X52" s="18">
        <f>IFERROR(_xlfn.STDEV.S('B4'!X19,'B5'!X21,'B6'!X21),0)</f>
        <v>0</v>
      </c>
      <c r="Y52" s="18">
        <f>IFERROR(_xlfn.STDEV.S('B4'!Y19,'B5'!Y21,'B6'!Y21),0)</f>
        <v>0</v>
      </c>
      <c r="Z52" s="18">
        <f>IFERROR(_xlfn.STDEV.S('B4'!Z19,'B5'!Z21,'B6'!Z21),0)</f>
        <v>0</v>
      </c>
      <c r="AA52" s="18">
        <f>IFERROR(_xlfn.STDEV.S('B4'!AA19,'B5'!AA21,'B6'!AA21),0)</f>
        <v>0</v>
      </c>
      <c r="AB52" s="18">
        <f>IFERROR(_xlfn.STDEV.S('B4'!AB19,'B5'!AB21,'B6'!AB21),0)</f>
        <v>0</v>
      </c>
      <c r="AC52" s="18">
        <f>IFERROR(_xlfn.STDEV.S('B4'!AC19,'B5'!AC21,'B6'!AC21),0)</f>
        <v>0</v>
      </c>
      <c r="AD52" s="18">
        <f>IFERROR(_xlfn.STDEV.S('B4'!AD19,'B5'!AD21,'B6'!AD21),0)</f>
        <v>0</v>
      </c>
      <c r="AE52" s="18">
        <f>IFERROR(_xlfn.STDEV.S('B4'!AE21,'B5'!AE21,'B6'!AE21),0)</f>
        <v>0.46822359331128671</v>
      </c>
      <c r="AF52" s="18">
        <f>IFERROR(_xlfn.STDEV.S('B4'!AF21,'B5'!AF21,'B6'!AF21),0)</f>
        <v>0</v>
      </c>
      <c r="AG52" s="18">
        <f>IFERROR(_xlfn.STDEV.S('B4'!AG21,'B5'!AG21,'B6'!AG21),0)</f>
        <v>0</v>
      </c>
      <c r="AH52" s="18">
        <f>IFERROR(_xlfn.STDEV.S('B4'!AH21,'B5'!AH21,'B6'!AH21),0)</f>
        <v>248.14401732327403</v>
      </c>
      <c r="AI52" s="18">
        <f>IFERROR(_xlfn.STDEV.S('B4'!AI21,'B5'!AI21,'B6'!AI21),0)</f>
        <v>0</v>
      </c>
      <c r="AJ52" s="64">
        <f>IFERROR(_xlfn.STDEV.S('B4'!AJ21,'B5'!AJ21,'B6'!AJ21),0)</f>
        <v>0</v>
      </c>
      <c r="AK52" s="64">
        <f>IFERROR(_xlfn.STDEV.S('B4'!AK21,'B5'!AK21,'B6'!AK21),0)</f>
        <v>0</v>
      </c>
      <c r="AL52" s="64">
        <f>IFERROR(_xlfn.STDEV.S('B4'!AL21,'B5'!AL21,'B6'!AL21),0)</f>
        <v>0</v>
      </c>
      <c r="AM52" s="64">
        <f>IFERROR(_xlfn.STDEV.S('B4'!AM21,'B5'!AM21,'B6'!AM21),0)</f>
        <v>0</v>
      </c>
      <c r="AN52" s="64">
        <f>IFERROR(_xlfn.STDEV.S('B4'!AN21,'B5'!AN21,'B6'!AN21),0)</f>
        <v>0</v>
      </c>
      <c r="AO52" s="64">
        <f>IFERROR(_xlfn.STDEV.S('B4'!AO21,'B5'!AO21,'B6'!AO21),0)</f>
        <v>0</v>
      </c>
      <c r="AP52" s="162">
        <f>IFERROR(_xlfn.STDEV.S('B4'!AP21,'B5'!AP21,'B6'!AP21),0)</f>
        <v>0.16403216178543981</v>
      </c>
      <c r="AQ52" s="162">
        <f>IFERROR(_xlfn.STDEV.S('B4'!AQ21,'B5'!AQ21,'B6'!AQ21),0)</f>
        <v>9.6478008299555787E-2</v>
      </c>
      <c r="AR52" s="162">
        <f>IFERROR(_xlfn.STDEV.S('B4'!AR21,'B5'!AR21,'B6'!AR21),0)</f>
        <v>0.15562952819841147</v>
      </c>
      <c r="AS52" s="162">
        <f>IFERROR(_xlfn.STDEV.S('B4'!AS21,'B5'!AS21,'B6'!AS21),0)</f>
        <v>0.90726219420782173</v>
      </c>
      <c r="AT52" s="162">
        <f>IFERROR(_xlfn.STDEV.S('B4'!AT21,'B5'!AT21,'B6'!AT21),0)</f>
        <v>0</v>
      </c>
      <c r="AU52" s="162">
        <f>IFERROR(_xlfn.STDEV.S('B4'!AU21,'B5'!AU21,'B6'!AU21),0)</f>
        <v>3.6377932862267585E-2</v>
      </c>
      <c r="AV52" s="162">
        <f>IFERROR(_xlfn.STDEV.S('B4'!AV21,'B5'!AV21,'B6'!AV21),0)</f>
        <v>0</v>
      </c>
      <c r="AW52" s="162">
        <f>IFERROR(_xlfn.STDEV.S('B4'!AW21,'B5'!AW21,'B6'!AW21),0)</f>
        <v>7.7853180720298801E-2</v>
      </c>
      <c r="AX52" s="64">
        <f>IFERROR(_xlfn.STDEV.S('B4'!AX21,'B5'!AX21,'B6'!AX21),0)</f>
        <v>0</v>
      </c>
      <c r="AY52" s="64">
        <f>IFERROR(_xlfn.STDEV.S('B4'!AY21,'B5'!AY21,'B6'!AY21),0)</f>
        <v>0</v>
      </c>
      <c r="AZ52" s="64">
        <f>IFERROR(_xlfn.STDEV.S('B4'!AZ21,'B5'!AZ21,'B6'!AZ21),0)</f>
        <v>55.094142389714477</v>
      </c>
      <c r="BA52" s="124">
        <f>IFERROR(_xlfn.STDEV.S('B4'!BA21,'B5'!BA21,'B6'!BA21),0)</f>
        <v>4.9628803464654823</v>
      </c>
      <c r="BB52" s="64">
        <f>IFERROR(_xlfn.STDEV.S('B4'!BC21,'B5'!BC21,'B6'!BC21),0)</f>
        <v>0</v>
      </c>
      <c r="BC52" s="64">
        <f>IFERROR(_xlfn.STDEV.S('B4'!BD21,'B5'!BD21,'B6'!BD21),0)</f>
        <v>0</v>
      </c>
      <c r="BD52" s="64">
        <f>IFERROR(_xlfn.STDEV.S('B4'!BE21,'B5'!BE21,'B6'!BE21),0)</f>
        <v>0</v>
      </c>
      <c r="BE52" s="64">
        <f>IFERROR(_xlfn.STDEV.S('B4'!BF21,'B5'!BF21,'B6'!BF21),0)</f>
        <v>0</v>
      </c>
      <c r="BF52" s="64">
        <f>IFERROR(_xlfn.STDEV.S('B4'!BG21,'B5'!BG21,'B6'!BG21),0)</f>
        <v>0</v>
      </c>
      <c r="BG52" s="64">
        <f>IFERROR(_xlfn.STDEV.S('B4'!BH21,'B5'!BH21,'B6'!BH21),0)</f>
        <v>0</v>
      </c>
      <c r="BH52" s="64">
        <f>IFERROR(_xlfn.STDEV.S('B4'!BI21,'B5'!BI21,'B6'!BI21),0)</f>
        <v>0</v>
      </c>
      <c r="BI52" s="64">
        <f>IFERROR(_xlfn.STDEV.S('B4'!BJ21,'B5'!BJ21,'B6'!BJ21),0)</f>
        <v>0.32806432357087961</v>
      </c>
      <c r="BJ52" s="64">
        <f>IFERROR(_xlfn.STDEV.S('B4'!BK21,'B5'!BK21,'B6'!BK21),0)</f>
        <v>0.2894340248986671</v>
      </c>
      <c r="BK52" s="64">
        <f>IFERROR(_xlfn.STDEV.S('B4'!BL21,'B5'!BL21,'B6'!BL21),0)</f>
        <v>0.62251811279364588</v>
      </c>
      <c r="BL52" s="64">
        <f>IFERROR(_xlfn.STDEV.S('B4'!BM21,'B5'!BM21,'B6'!BM21),0)</f>
        <v>3.6290487768312869</v>
      </c>
      <c r="BM52" s="64">
        <f>IFERROR(_xlfn.STDEV.S('B4'!BN21,'B5'!BN21,'B6'!BN21),0)</f>
        <v>0</v>
      </c>
      <c r="BN52" s="64">
        <f>IFERROR(_xlfn.STDEV.S('B4'!BO21,'B5'!BO21,'B6'!BO21),0)</f>
        <v>0.18188966431133793</v>
      </c>
      <c r="BO52" s="64">
        <f>IFERROR(_xlfn.STDEV.S('B4'!BP21,'B5'!BP21,'B6'!BP21),0)</f>
        <v>0</v>
      </c>
      <c r="BP52" s="64">
        <f>IFERROR(_xlfn.STDEV.S('B4'!BQ21,'B5'!BQ21,'B6'!BQ21),0)</f>
        <v>0.46711908432179272</v>
      </c>
      <c r="BQ52" s="64">
        <f>IFERROR(_xlfn.STDEV.S('B4'!BR21,'B5'!BR21,'B6'!BR21),0)</f>
        <v>0</v>
      </c>
      <c r="BR52" s="64">
        <f>IFERROR(_xlfn.STDEV.S('B4'!BS21,'B5'!BS21,'B6'!BS21),0)</f>
        <v>0</v>
      </c>
      <c r="BS52" s="64">
        <f>IFERROR(_xlfn.STDEV.S('B4'!BT21,'B5'!BT21,'B6'!BT21),0)</f>
        <v>0.16528242716914346</v>
      </c>
      <c r="BT52" s="64">
        <f>IFERROR(_xlfn.STDEV.S('B4'!BU21,'B5'!BU21,'B6'!BU21),0)</f>
        <v>0</v>
      </c>
      <c r="BU52" s="64">
        <f>IFERROR(_xlfn.STDEV.S('B4'!BV21,'B5'!BV21,'B6'!BV21),0)</f>
        <v>0</v>
      </c>
      <c r="BV52" s="64">
        <f>IFERROR(_xlfn.STDEV.S('B4'!BW21,'B5'!BW21,'B6'!BW21),0)</f>
        <v>0</v>
      </c>
    </row>
    <row r="53" spans="1:74" ht="16" thickBot="1" x14ac:dyDescent="0.4">
      <c r="A53" s="63">
        <f t="shared" si="7"/>
        <v>43195</v>
      </c>
      <c r="B53" s="176">
        <f t="shared" si="7"/>
        <v>46</v>
      </c>
      <c r="C53" s="79"/>
      <c r="D53" s="18">
        <f>IFERROR(_xlfn.STDEV.S('B4'!D22,'B5'!D22,'B6'!D22),0)</f>
        <v>0</v>
      </c>
      <c r="E53" s="18">
        <f>IFERROR(_xlfn.STDEV.S('B4'!E22,'B5'!E22,'B6'!E22),0)</f>
        <v>0</v>
      </c>
      <c r="F53" s="18">
        <f>IFERROR(_xlfn.STDEV.S('B4'!F22,'B5'!F22,'B6'!F22),0)</f>
        <v>0</v>
      </c>
      <c r="G53" s="18">
        <f>IFERROR(_xlfn.STDEV.S('B4'!G22,'B5'!G22,'B6'!G22),0)</f>
        <v>0</v>
      </c>
      <c r="H53" s="18">
        <f>IFERROR(_xlfn.STDEV.S('B4'!H22,'B5'!H22,'B6'!H22),0)</f>
        <v>0</v>
      </c>
      <c r="I53" s="18">
        <f>IFERROR(_xlfn.STDEV.S('B4'!I22,'B5'!I22,'B6'!I22),0)</f>
        <v>0</v>
      </c>
      <c r="J53" s="18">
        <f>IFERROR(_xlfn.STDEV.S('B4'!J22,'B5'!J22,'B6'!J22),0)</f>
        <v>15.07732247129645</v>
      </c>
      <c r="K53" s="18">
        <f>IFERROR(_xlfn.STDEV.S('B4'!K22,'B5'!K22,'B6'!K22),0)</f>
        <v>9.8728593210447535</v>
      </c>
      <c r="L53" s="18">
        <f>IFERROR(_xlfn.STDEV.S('B4'!L22,'B5'!L22,'B6'!L22),0)</f>
        <v>14.080968475987854</v>
      </c>
      <c r="M53" s="18">
        <f>IFERROR(_xlfn.STDEV.S('B4'!M22,'B5'!M22,'B6'!M22),0)</f>
        <v>86.231616484695095</v>
      </c>
      <c r="N53" s="18">
        <f>IFERROR(_xlfn.STDEV.S('B4'!N22,'B5'!N22,'B6'!N22),0)</f>
        <v>0.56636216569803877</v>
      </c>
      <c r="O53" s="18">
        <f>IFERROR(_xlfn.STDEV.S('B4'!O22,'B5'!O22,'B6'!O22),0)</f>
        <v>2.8082360112232934</v>
      </c>
      <c r="P53" s="18">
        <f>IFERROR(_xlfn.STDEV.S('B4'!P22,'B5'!P22,'B6'!P22),0)</f>
        <v>0</v>
      </c>
      <c r="Q53" s="18">
        <f>IFERROR(_xlfn.STDEV.S('B4'!Q22,'B5'!Q22,'B6'!Q22),0)</f>
        <v>7.8250826660009887</v>
      </c>
      <c r="R53" s="18">
        <f>IFERROR(_xlfn.STDEV.S('B4'!R22,'B5'!R22,'B6'!R22),0)</f>
        <v>0</v>
      </c>
      <c r="S53" s="18">
        <f>IFERROR(_xlfn.STDEV.S('B4'!S22,'B5'!S22,'B6'!S22),0)</f>
        <v>0.12673071560882274</v>
      </c>
      <c r="T53" s="18">
        <f>IFERROR(_xlfn.STDEV.S('B4'!T22,'B5'!T22,'B6'!T22),0)</f>
        <v>0</v>
      </c>
      <c r="U53" s="18">
        <f>IFERROR(_xlfn.STDEV.S('B4'!U22,'B5'!U22,'B6'!U22),0)</f>
        <v>0</v>
      </c>
      <c r="V53" s="18">
        <f>IFERROR(_xlfn.STDEV.S('B4'!V22,'B5'!V22,'B6'!V22),0)</f>
        <v>0</v>
      </c>
      <c r="W53" s="123">
        <f>IFERROR(_xlfn.STDEV.S('B4'!W22,'B5'!W22,'B6'!W22),0)</f>
        <v>0</v>
      </c>
      <c r="X53" s="123">
        <f>IFERROR(_xlfn.STDEV.S('B4'!X22,'B5'!X22,'B6'!X22),0)</f>
        <v>0</v>
      </c>
      <c r="Y53" s="123">
        <f>IFERROR(_xlfn.STDEV.S('B4'!Y22,'B5'!Y22,'B6'!Y22),0)</f>
        <v>0</v>
      </c>
      <c r="Z53" s="123">
        <f>IFERROR(_xlfn.STDEV.S('B4'!Z22,'B5'!Z22,'B6'!Z22),0)</f>
        <v>0</v>
      </c>
      <c r="AA53" s="123">
        <f>IFERROR(_xlfn.STDEV.S('B4'!AA22,'B5'!AA22,'B6'!AA22),0)</f>
        <v>0</v>
      </c>
      <c r="AB53" s="123">
        <f>IFERROR(_xlfn.STDEV.S('B4'!AB22,'B5'!AB22,'B6'!AB22),0)</f>
        <v>0</v>
      </c>
      <c r="AC53" s="123">
        <f>IFERROR(_xlfn.STDEV.S('B4'!AC22,'B5'!AC22,'B6'!AC22),0)</f>
        <v>0</v>
      </c>
      <c r="AD53" s="123">
        <f>IFERROR(_xlfn.STDEV.S('B4'!AD22,'B5'!AD22,'B6'!AD22),0)</f>
        <v>0</v>
      </c>
      <c r="AE53" s="123">
        <f>IFERROR(_xlfn.STDEV.S('B4'!AE22,'B5'!AE22,'B6'!AE22),0)</f>
        <v>0.36510272527057347</v>
      </c>
      <c r="AF53" s="123">
        <f>IFERROR(_xlfn.STDEV.S('B4'!AF22,'B5'!AF22,'B6'!AF22),0)</f>
        <v>0</v>
      </c>
      <c r="AG53" s="123">
        <f>IFERROR(_xlfn.STDEV.S('B4'!AG22,'B5'!AG22,'B6'!AG22),0)</f>
        <v>0</v>
      </c>
      <c r="AH53" s="123">
        <f>IFERROR(_xlfn.STDEV.S('B4'!AH22,'B5'!AH22,'B6'!AH22),0)</f>
        <v>223.90847088337978</v>
      </c>
      <c r="AI53" s="123">
        <f>IFERROR(_xlfn.STDEV.S('B4'!AI22,'B5'!AI22,'B6'!AI22),0)</f>
        <v>0</v>
      </c>
      <c r="AJ53" s="64">
        <f>IFERROR(_xlfn.STDEV.S('B4'!AJ22,'B5'!AJ22,'B6'!AJ22),0)</f>
        <v>0</v>
      </c>
      <c r="AK53" s="64">
        <f>IFERROR(_xlfn.STDEV.S('B4'!AK22,'B5'!AK22,'B6'!AK22),0)</f>
        <v>0</v>
      </c>
      <c r="AL53" s="64">
        <f>IFERROR(_xlfn.STDEV.S('B4'!AL22,'B5'!AL22,'B6'!AL22),0)</f>
        <v>0</v>
      </c>
      <c r="AM53" s="64">
        <f>IFERROR(_xlfn.STDEV.S('B4'!AM22,'B5'!AM22,'B6'!AM22),0)</f>
        <v>0</v>
      </c>
      <c r="AN53" s="64">
        <f>IFERROR(_xlfn.STDEV.S('B4'!AN22,'B5'!AN22,'B6'!AN22),0)</f>
        <v>0</v>
      </c>
      <c r="AO53" s="64">
        <f>IFERROR(_xlfn.STDEV.S('B4'!AO22,'B5'!AO22,'B6'!AO22),0)</f>
        <v>0</v>
      </c>
      <c r="AP53" s="162">
        <f>IFERROR(_xlfn.STDEV.S('B4'!AP22,'B5'!AP22,'B6'!AP22),0)</f>
        <v>0.30154644942592912</v>
      </c>
      <c r="AQ53" s="162">
        <f>IFERROR(_xlfn.STDEV.S('B4'!AQ22,'B5'!AQ22,'B6'!AQ22),0)</f>
        <v>0.19745718642089516</v>
      </c>
      <c r="AR53" s="162">
        <f>IFERROR(_xlfn.STDEV.S('B4'!AR22,'B5'!AR22,'B6'!AR22),0)</f>
        <v>0.30720351226372727</v>
      </c>
      <c r="AS53" s="162">
        <f>IFERROR(_xlfn.STDEV.S('B4'!AS22,'B5'!AS22,'B6'!AS22),0)</f>
        <v>1.7246323296939017</v>
      </c>
      <c r="AT53" s="162">
        <f>IFERROR(_xlfn.STDEV.S('B4'!AT22,'B5'!AT22,'B6'!AT22),0)</f>
        <v>0</v>
      </c>
      <c r="AU53" s="162">
        <f>IFERROR(_xlfn.STDEV.S('B4'!AU22,'B5'!AU22,'B6'!AU22),0)</f>
        <v>7.4850193074986138E-2</v>
      </c>
      <c r="AV53" s="162">
        <f>IFERROR(_xlfn.STDEV.S('B4'!AV22,'B5'!AV22,'B6'!AV22),0)</f>
        <v>0</v>
      </c>
      <c r="AW53" s="162">
        <f>IFERROR(_xlfn.STDEV.S('B4'!AW22,'B5'!AW22,'B6'!AW22),0)</f>
        <v>0.15650165332001978</v>
      </c>
      <c r="AX53" s="64">
        <f>IFERROR(_xlfn.STDEV.S('B4'!AX22,'B5'!AX22,'B6'!AX22),0)</f>
        <v>0</v>
      </c>
      <c r="AY53" s="64">
        <f>IFERROR(_xlfn.STDEV.S('B4'!AY22,'B5'!AY22,'B6'!AY22),0)</f>
        <v>0</v>
      </c>
      <c r="AZ53" s="64">
        <f>IFERROR(_xlfn.STDEV.S('B4'!AZ22,'B5'!AZ22,'B6'!AZ22),0)</f>
        <v>49.713248419933358</v>
      </c>
      <c r="BA53" s="124">
        <f>IFERROR(_xlfn.STDEV.S('B4'!BA22,'B5'!BA22,'B6'!BA22),0)</f>
        <v>4.478169417667595</v>
      </c>
      <c r="BB53" s="64">
        <f>IFERROR(_xlfn.STDEV.S('B4'!BC22,'B5'!BC22,'B6'!BC22),0)</f>
        <v>0</v>
      </c>
      <c r="BC53" s="64">
        <f>IFERROR(_xlfn.STDEV.S('B4'!BD22,'B5'!BD22,'B6'!BD22),0)</f>
        <v>0</v>
      </c>
      <c r="BD53" s="64">
        <f>IFERROR(_xlfn.STDEV.S('B4'!BE22,'B5'!BE22,'B6'!BE22),0)</f>
        <v>0</v>
      </c>
      <c r="BE53" s="64">
        <f>IFERROR(_xlfn.STDEV.S('B4'!BF22,'B5'!BF22,'B6'!BF22),0)</f>
        <v>0</v>
      </c>
      <c r="BF53" s="64">
        <f>IFERROR(_xlfn.STDEV.S('B4'!BG22,'B5'!BG22,'B6'!BG22),0)</f>
        <v>0</v>
      </c>
      <c r="BG53" s="64">
        <f>IFERROR(_xlfn.STDEV.S('B4'!BH22,'B5'!BH22,'B6'!BH22),0)</f>
        <v>0</v>
      </c>
      <c r="BH53" s="64">
        <f>IFERROR(_xlfn.STDEV.S('B4'!BI22,'B5'!BI22,'B6'!BI22),0)</f>
        <v>0</v>
      </c>
      <c r="BI53" s="64">
        <f>IFERROR(_xlfn.STDEV.S('B4'!BJ22,'B5'!BJ22,'B6'!BJ22),0)</f>
        <v>0.60309289885185824</v>
      </c>
      <c r="BJ53" s="64">
        <f>IFERROR(_xlfn.STDEV.S('B4'!BK22,'B5'!BK22,'B6'!BK22),0)</f>
        <v>0.59237155926268559</v>
      </c>
      <c r="BK53" s="64">
        <f>IFERROR(_xlfn.STDEV.S('B4'!BL22,'B5'!BL22,'B6'!BL22),0)</f>
        <v>1.2288140490549091</v>
      </c>
      <c r="BL53" s="64">
        <f>IFERROR(_xlfn.STDEV.S('B4'!BM22,'B5'!BM22,'B6'!BM22),0)</f>
        <v>6.8985293187756067</v>
      </c>
      <c r="BM53" s="64">
        <f>IFERROR(_xlfn.STDEV.S('B4'!BN22,'B5'!BN22,'B6'!BN22),0)</f>
        <v>0</v>
      </c>
      <c r="BN53" s="64">
        <f>IFERROR(_xlfn.STDEV.S('B4'!BO22,'B5'!BO22,'B6'!BO22),0)</f>
        <v>0.37425096537493069</v>
      </c>
      <c r="BO53" s="64">
        <f>IFERROR(_xlfn.STDEV.S('B4'!BP22,'B5'!BP22,'B6'!BP22),0)</f>
        <v>0</v>
      </c>
      <c r="BP53" s="64">
        <f>IFERROR(_xlfn.STDEV.S('B4'!BQ22,'B5'!BQ22,'B6'!BQ22),0)</f>
        <v>0.93900991992011862</v>
      </c>
      <c r="BQ53" s="64">
        <f>IFERROR(_xlfn.STDEV.S('B4'!BR22,'B5'!BR22,'B6'!BR22),0)</f>
        <v>0</v>
      </c>
      <c r="BR53" s="64">
        <f>IFERROR(_xlfn.STDEV.S('B4'!BS22,'B5'!BS22,'B6'!BS22),0)</f>
        <v>0</v>
      </c>
      <c r="BS53" s="64">
        <f>IFERROR(_xlfn.STDEV.S('B4'!BT22,'B5'!BT22,'B6'!BT22),0)</f>
        <v>0.14913974525980003</v>
      </c>
      <c r="BT53" s="64">
        <f>IFERROR(_xlfn.STDEV.S('B4'!BU22,'B5'!BU22,'B6'!BU22),0)</f>
        <v>0</v>
      </c>
      <c r="BU53" s="64">
        <f>IFERROR(_xlfn.STDEV.S('B4'!BV22,'B5'!BV22,'B6'!BV22),0)</f>
        <v>0</v>
      </c>
      <c r="BV53" s="64">
        <f>IFERROR(_xlfn.STDEV.S('B4'!BW22,'B5'!BW22,'B6'!BW22),0)</f>
        <v>0</v>
      </c>
    </row>
    <row r="54" spans="1:74" ht="16" thickBot="1" x14ac:dyDescent="0.4">
      <c r="A54" s="63">
        <f t="shared" si="7"/>
        <v>43317</v>
      </c>
      <c r="B54" s="176">
        <f t="shared" si="7"/>
        <v>50</v>
      </c>
      <c r="C54" s="54"/>
      <c r="D54" s="18">
        <f>IFERROR(_xlfn.STDEV.S('B4'!D23,'B5'!D23,'B6'!D23),0)</f>
        <v>0</v>
      </c>
      <c r="E54" s="18">
        <f>IFERROR(_xlfn.STDEV.S('B4'!E23,'B5'!E23,'B6'!E23),0)</f>
        <v>0</v>
      </c>
      <c r="F54" s="18">
        <f>IFERROR(_xlfn.STDEV.S('B4'!F23,'B5'!F23,'B6'!F23),0)</f>
        <v>0</v>
      </c>
      <c r="G54" s="18">
        <f>IFERROR(_xlfn.STDEV.S('B4'!G23,'B5'!G23,'B6'!G23),0)</f>
        <v>0</v>
      </c>
      <c r="H54" s="18">
        <f>IFERROR(_xlfn.STDEV.S('B4'!H23,'B5'!H23,'B6'!H23),0)</f>
        <v>0</v>
      </c>
      <c r="I54" s="18">
        <f>IFERROR(_xlfn.STDEV.S('B4'!I23,'B5'!I23,'B6'!I23),0)</f>
        <v>0</v>
      </c>
      <c r="J54" s="18">
        <f>IFERROR(_xlfn.STDEV.S('B4'!J23,'B5'!J23,'B6'!J23),0)</f>
        <v>6.5376404860048511</v>
      </c>
      <c r="K54" s="18">
        <f>IFERROR(_xlfn.STDEV.S('B4'!K23,'B5'!K23,'B6'!K23),0)</f>
        <v>2.3124396941288827</v>
      </c>
      <c r="L54" s="18">
        <f>IFERROR(_xlfn.STDEV.S('B4'!L23,'B5'!L23,'B6'!L23),0)</f>
        <v>4.043918388948982</v>
      </c>
      <c r="M54" s="18">
        <f>IFERROR(_xlfn.STDEV.S('B4'!M23,'B5'!M23,'B6'!M23),0)</f>
        <v>29.490745897002178</v>
      </c>
      <c r="N54" s="18">
        <f>IFERROR(_xlfn.STDEV.S('B4'!N23,'B5'!N23,'B6'!N23),0)</f>
        <v>0.41538475819491272</v>
      </c>
      <c r="O54" s="18">
        <f>IFERROR(_xlfn.STDEV.S('B4'!O23,'B5'!O23,'B6'!O23),0)</f>
        <v>0.45590193970838072</v>
      </c>
      <c r="P54" s="18">
        <f>IFERROR(_xlfn.STDEV.S('B4'!P23,'B5'!P23,'B6'!P23),0)</f>
        <v>0</v>
      </c>
      <c r="Q54" s="18">
        <f>IFERROR(_xlfn.STDEV.S('B4'!Q23,'B5'!Q23,'B6'!Q23),0)</f>
        <v>2.8449187069448603</v>
      </c>
      <c r="R54" s="18">
        <f>IFERROR(_xlfn.STDEV.S('B4'!R23,'B5'!R23,'B6'!R23),0)</f>
        <v>0</v>
      </c>
      <c r="S54" s="18">
        <f>IFERROR(_xlfn.STDEV.S('B4'!S23,'B5'!S23,'B6'!S23),0)</f>
        <v>1.8392840099360739E-2</v>
      </c>
      <c r="T54" s="18">
        <f>IFERROR(_xlfn.STDEV.S('B4'!T23,'B5'!T23,'B6'!T23),0)</f>
        <v>0</v>
      </c>
      <c r="U54" s="18">
        <f>IFERROR(_xlfn.STDEV.S('B4'!U23,'B5'!U23,'B6'!U23),0)</f>
        <v>0</v>
      </c>
      <c r="V54" s="18">
        <f>IFERROR(_xlfn.STDEV.S('B4'!V23,'B5'!V23,'B6'!V23),0)</f>
        <v>0</v>
      </c>
      <c r="W54" s="123">
        <f>IFERROR(_xlfn.STDEV.S('B4'!W23,'B5'!W23,'B6'!W23),0)</f>
        <v>0</v>
      </c>
      <c r="X54" s="123">
        <f>IFERROR(_xlfn.STDEV.S('B4'!X23,'B5'!X23,'B6'!X23),0)</f>
        <v>0</v>
      </c>
      <c r="Y54" s="123">
        <f>IFERROR(_xlfn.STDEV.S('B4'!Y23,'B5'!Y23,'B6'!Y23),0)</f>
        <v>0</v>
      </c>
      <c r="Z54" s="123">
        <f>IFERROR(_xlfn.STDEV.S('B4'!Z23,'B5'!Z23,'B6'!Z23),0)</f>
        <v>0</v>
      </c>
      <c r="AA54" s="123">
        <f>IFERROR(_xlfn.STDEV.S('B4'!AA23,'B5'!AA23,'B6'!AA23),0)</f>
        <v>0</v>
      </c>
      <c r="AB54" s="123">
        <f>IFERROR(_xlfn.STDEV.S('B4'!AB23,'B5'!AB23,'B6'!AB23),0)</f>
        <v>0</v>
      </c>
      <c r="AC54" s="123">
        <f>IFERROR(_xlfn.STDEV.S('B4'!AC23,'B5'!AC23,'B6'!AC23),0)</f>
        <v>0</v>
      </c>
      <c r="AD54" s="123">
        <f>IFERROR(_xlfn.STDEV.S('B4'!AD23,'B5'!AD23,'B6'!AD23),0)</f>
        <v>0</v>
      </c>
      <c r="AE54" s="123">
        <f>IFERROR(_xlfn.STDEV.S('B4'!AE23,'B5'!AE23,'B6'!AE23),0)</f>
        <v>0</v>
      </c>
      <c r="AF54" s="123">
        <f>IFERROR(_xlfn.STDEV.S('B4'!AF23,'B5'!AF23,'B6'!AF23),0)</f>
        <v>23.094010767585029</v>
      </c>
      <c r="AG54" s="123">
        <f>IFERROR(_xlfn.STDEV.S('B4'!AG23,'B5'!AG23,'B6'!AG23),0)</f>
        <v>0</v>
      </c>
      <c r="AH54" s="123">
        <f>IFERROR(_xlfn.STDEV.S('B4'!AH23,'B5'!AH23,'B6'!AH23),0)</f>
        <v>59.947560417418138</v>
      </c>
      <c r="AI54" s="123">
        <f>IFERROR(_xlfn.STDEV.S('B4'!AI23,'B5'!AI23,'B6'!AI23),0)</f>
        <v>0</v>
      </c>
      <c r="AJ54" s="64">
        <f>IFERROR(_xlfn.STDEV.S('B4'!AJ23,'B5'!AJ23,'B6'!AJ23),0)</f>
        <v>0</v>
      </c>
      <c r="AK54" s="64">
        <f>IFERROR(_xlfn.STDEV.S('B4'!AK23,'B5'!AK23,'B6'!AK23),0)</f>
        <v>0</v>
      </c>
      <c r="AL54" s="64">
        <f>IFERROR(_xlfn.STDEV.S('B4'!AL23,'B5'!AL23,'B6'!AL23),0)</f>
        <v>0</v>
      </c>
      <c r="AM54" s="64">
        <f>IFERROR(_xlfn.STDEV.S('B4'!AM23,'B5'!AM23,'B6'!AM23),0)</f>
        <v>0</v>
      </c>
      <c r="AN54" s="64">
        <f>IFERROR(_xlfn.STDEV.S('B4'!AN23,'B5'!AN23,'B6'!AN23),0)</f>
        <v>0</v>
      </c>
      <c r="AO54" s="64">
        <f>IFERROR(_xlfn.STDEV.S('B4'!AO23,'B5'!AO23,'B6'!AO23),0)</f>
        <v>0</v>
      </c>
      <c r="AP54" s="162">
        <f>IFERROR(_xlfn.STDEV.S('B4'!AP23,'B5'!AP23,'B6'!AP23),0)</f>
        <v>0.32688202430024244</v>
      </c>
      <c r="AQ54" s="162">
        <f>IFERROR(_xlfn.STDEV.S('B4'!AQ23,'B5'!AQ23,'B6'!AQ23),0)</f>
        <v>0.11562198470644405</v>
      </c>
      <c r="AR54" s="162">
        <f>IFERROR(_xlfn.STDEV.S('B4'!AR23,'B5'!AR23,'B6'!AR23),0)</f>
        <v>0.30442863316983115</v>
      </c>
      <c r="AS54" s="162">
        <f>IFERROR(_xlfn.STDEV.S('B4'!AS23,'B5'!AS23,'B6'!AS23),0)</f>
        <v>1.474537294850109</v>
      </c>
      <c r="AT54" s="162">
        <f>IFERROR(_xlfn.STDEV.S('B4'!AT23,'B5'!AT23,'B6'!AT23),0)</f>
        <v>0</v>
      </c>
      <c r="AU54" s="162">
        <f>IFERROR(_xlfn.STDEV.S('B4'!AU23,'B5'!AU23,'B6'!AU23),0)</f>
        <v>0</v>
      </c>
      <c r="AV54" s="162">
        <f>IFERROR(_xlfn.STDEV.S('B4'!AV23,'B5'!AV23,'B6'!AV23),0)</f>
        <v>0</v>
      </c>
      <c r="AW54" s="162">
        <f>IFERROR(_xlfn.STDEV.S('B4'!AW23,'B5'!AW23,'B6'!AW23),0)</f>
        <v>0.14224593534724303</v>
      </c>
      <c r="AX54" s="64">
        <f>IFERROR(_xlfn.STDEV.S('B4'!AX23,'B5'!AX23,'B6'!AX23),0)</f>
        <v>0</v>
      </c>
      <c r="AY54" s="64">
        <f>IFERROR(_xlfn.STDEV.S('B4'!AY23,'B5'!AY23,'B6'!AY23),0)</f>
        <v>0</v>
      </c>
      <c r="AZ54" s="64">
        <f>IFERROR(_xlfn.STDEV.S('B4'!AZ23,'B5'!AZ23,'B6'!AZ23),0)</f>
        <v>33.274622789419496</v>
      </c>
      <c r="BA54" s="124">
        <f>IFERROR(_xlfn.STDEV.S('B4'!BA23,'B5'!BA23,'B6'!BA23),0)</f>
        <v>2.997378020870908</v>
      </c>
      <c r="BB54" s="64">
        <f>IFERROR(_xlfn.STDEV.S('B4'!BC23,'B5'!BC23,'B6'!BC23),0)</f>
        <v>0</v>
      </c>
      <c r="BC54" s="64">
        <f>IFERROR(_xlfn.STDEV.S('B4'!BD23,'B5'!BD23,'B6'!BD23),0)</f>
        <v>0</v>
      </c>
      <c r="BD54" s="64">
        <f>IFERROR(_xlfn.STDEV.S('B4'!BE23,'B5'!BE23,'B6'!BE23),0)</f>
        <v>0</v>
      </c>
      <c r="BE54" s="64">
        <f>IFERROR(_xlfn.STDEV.S('B4'!BF23,'B5'!BF23,'B6'!BF23),0)</f>
        <v>0</v>
      </c>
      <c r="BF54" s="64">
        <f>IFERROR(_xlfn.STDEV.S('B4'!BG23,'B5'!BG23,'B6'!BG23),0)</f>
        <v>0</v>
      </c>
      <c r="BG54" s="64">
        <f>IFERROR(_xlfn.STDEV.S('B4'!BH23,'B5'!BH23,'B6'!BH23),0)</f>
        <v>0</v>
      </c>
      <c r="BH54" s="64">
        <f>IFERROR(_xlfn.STDEV.S('B4'!BI23,'B5'!BI23,'B6'!BI23),0)</f>
        <v>0</v>
      </c>
      <c r="BI54" s="64">
        <f>IFERROR(_xlfn.STDEV.S('B4'!BJ23,'B5'!BJ23,'B6'!BJ23),0)</f>
        <v>0.65376404860048487</v>
      </c>
      <c r="BJ54" s="64">
        <f>IFERROR(_xlfn.STDEV.S('B4'!BK23,'B5'!BK23,'B6'!BK23),0)</f>
        <v>0.34686595411933158</v>
      </c>
      <c r="BK54" s="64">
        <f>IFERROR(_xlfn.STDEV.S('B4'!BL23,'B5'!BL23,'B6'!BL23),0)</f>
        <v>1.2177145326793246</v>
      </c>
      <c r="BL54" s="64">
        <f>IFERROR(_xlfn.STDEV.S('B4'!BM23,'B5'!BM23,'B6'!BM23),0)</f>
        <v>5.8981491794004359</v>
      </c>
      <c r="BM54" s="64">
        <f>IFERROR(_xlfn.STDEV.S('B4'!BN23,'B5'!BN23,'B6'!BN23),0)</f>
        <v>0</v>
      </c>
      <c r="BN54" s="64">
        <f>IFERROR(_xlfn.STDEV.S('B4'!BO23,'B5'!BO23,'B6'!BO23),0)</f>
        <v>0</v>
      </c>
      <c r="BO54" s="64">
        <f>IFERROR(_xlfn.STDEV.S('B4'!BP23,'B5'!BP23,'B6'!BP23),0)</f>
        <v>0</v>
      </c>
      <c r="BP54" s="64">
        <f>IFERROR(_xlfn.STDEV.S('B4'!BQ23,'B5'!BQ23,'B6'!BQ23),0)</f>
        <v>0.85347561208345801</v>
      </c>
      <c r="BQ54" s="64">
        <f>IFERROR(_xlfn.STDEV.S('B4'!BR23,'B5'!BR23,'B6'!BR23),0)</f>
        <v>0</v>
      </c>
      <c r="BR54" s="64">
        <f>IFERROR(_xlfn.STDEV.S('B4'!BS23,'B5'!BS23,'B6'!BS23),0)</f>
        <v>0</v>
      </c>
      <c r="BS54" s="64">
        <f>IFERROR(_xlfn.STDEV.S('B4'!BT23,'B5'!BT23,'B6'!BT23),0)</f>
        <v>9.9823868368258475E-2</v>
      </c>
      <c r="BT54" s="64">
        <f>IFERROR(_xlfn.STDEV.S('B4'!BU23,'B5'!BU23,'B6'!BU23),0)</f>
        <v>0</v>
      </c>
      <c r="BU54" s="64">
        <f>IFERROR(_xlfn.STDEV.S('B4'!BV23,'B5'!BV23,'B6'!BV23),0)</f>
        <v>0</v>
      </c>
      <c r="BV54" s="64">
        <f>IFERROR(_xlfn.STDEV.S('B4'!BW23,'B5'!BW23,'B6'!BW23),0)</f>
        <v>0</v>
      </c>
    </row>
    <row r="55" spans="1:74" ht="16" thickBot="1" x14ac:dyDescent="0.4">
      <c r="A55" s="63" t="str">
        <f t="shared" si="7"/>
        <v>16-05-2018</v>
      </c>
      <c r="B55" s="176">
        <f t="shared" si="7"/>
        <v>58</v>
      </c>
      <c r="C55" s="79"/>
      <c r="D55" s="18">
        <f>IFERROR(_xlfn.STDEV.S('B4'!D24,'B5'!D24,'B6'!D24),0)</f>
        <v>0</v>
      </c>
      <c r="E55" s="18">
        <f>IFERROR(_xlfn.STDEV.S('B4'!E24,'B5'!E24,'B6'!E24),0)</f>
        <v>0</v>
      </c>
      <c r="F55" s="18">
        <f>IFERROR(_xlfn.STDEV.S('B4'!F24,'B5'!F24,'B6'!F24),0)</f>
        <v>0</v>
      </c>
      <c r="G55" s="18">
        <f>IFERROR(_xlfn.STDEV.S('B4'!G24,'B5'!G24,'B6'!G24),0)</f>
        <v>0</v>
      </c>
      <c r="H55" s="18">
        <f>IFERROR(_xlfn.STDEV.S('B4'!H24,'B5'!H24,'B6'!H24),0)</f>
        <v>0</v>
      </c>
      <c r="I55" s="18">
        <f>IFERROR(_xlfn.STDEV.S('B4'!I24,'B5'!I24,'B6'!I24),0)</f>
        <v>0</v>
      </c>
      <c r="J55" s="18">
        <f>IFERROR(_xlfn.STDEV.S('B4'!J24,'B5'!J24,'B6'!J24),0)</f>
        <v>4.3863714801191502</v>
      </c>
      <c r="K55" s="18">
        <f>IFERROR(_xlfn.STDEV.S('B4'!K24,'B5'!K24,'B6'!K24),0)</f>
        <v>12.828858920221167</v>
      </c>
      <c r="L55" s="18">
        <f>IFERROR(_xlfn.STDEV.S('B4'!L24,'B5'!L24,'B6'!L24),0)</f>
        <v>4.8076569334014385</v>
      </c>
      <c r="M55" s="18">
        <f>IFERROR(_xlfn.STDEV.S('B4'!M24,'B5'!M24,'B6'!M24),0)</f>
        <v>3.2050652122140315</v>
      </c>
      <c r="N55" s="18">
        <f>IFERROR(_xlfn.STDEV.S('B4'!N24,'B5'!N24,'B6'!N24),0)</f>
        <v>0.25544302851141798</v>
      </c>
      <c r="O55" s="18">
        <f>IFERROR(_xlfn.STDEV.S('B4'!O24,'B5'!O24,'B6'!O24),0)</f>
        <v>4.4015375801225067</v>
      </c>
      <c r="P55" s="18">
        <f>IFERROR(_xlfn.STDEV.S('B4'!P24,'B5'!P24,'B6'!P24),0)</f>
        <v>0</v>
      </c>
      <c r="Q55" s="18">
        <f>IFERROR(_xlfn.STDEV.S('B4'!Q24,'B5'!Q24,'B6'!Q24),0)</f>
        <v>8.0534731578402443</v>
      </c>
      <c r="R55" s="18">
        <f>IFERROR(_xlfn.STDEV.S('B4'!R24,'B5'!R24,'B6'!R24),0)</f>
        <v>0</v>
      </c>
      <c r="S55" s="18">
        <f>IFERROR(_xlfn.STDEV.S('B4'!S24,'B5'!S24,'B6'!S24),0)</f>
        <v>0.41002526514042231</v>
      </c>
      <c r="T55" s="18">
        <f>IFERROR(_xlfn.STDEV.S('B4'!T24,'B5'!T24,'B6'!T24),0)</f>
        <v>0</v>
      </c>
      <c r="U55" s="18">
        <f>IFERROR(_xlfn.STDEV.S('B4'!U24,'B5'!U24,'B6'!U24),0)</f>
        <v>0</v>
      </c>
      <c r="V55" s="18">
        <f>IFERROR(_xlfn.STDEV.S('B4'!V24,'B5'!V24,'B6'!V24),0)</f>
        <v>0</v>
      </c>
      <c r="W55" s="123">
        <f>IFERROR(_xlfn.STDEV.S('B4'!W24,'B5'!W24,'B6'!W24),0)</f>
        <v>0</v>
      </c>
      <c r="X55" s="123">
        <f>IFERROR(_xlfn.STDEV.S('B4'!X24,'B5'!X24,'B6'!X24),0)</f>
        <v>0</v>
      </c>
      <c r="Y55" s="123">
        <f>IFERROR(_xlfn.STDEV.S('B4'!Y24,'B5'!Y24,'B6'!Y24),0)</f>
        <v>0</v>
      </c>
      <c r="Z55" s="123">
        <f>IFERROR(_xlfn.STDEV.S('B4'!Z24,'B5'!Z24,'B6'!Z24),0)</f>
        <v>0</v>
      </c>
      <c r="AA55" s="123">
        <f>IFERROR(_xlfn.STDEV.S('B4'!AA24,'B5'!AA24,'B6'!AA24),0)</f>
        <v>0</v>
      </c>
      <c r="AB55" s="123">
        <f>IFERROR(_xlfn.STDEV.S('B4'!AB24,'B5'!AB24,'B6'!AB24),0)</f>
        <v>0</v>
      </c>
      <c r="AC55" s="123">
        <f>IFERROR(_xlfn.STDEV.S('B4'!AC24,'B5'!AC24,'B6'!AC24),0)</f>
        <v>0</v>
      </c>
      <c r="AD55" s="123">
        <f>IFERROR(_xlfn.STDEV.S('B4'!AD24,'B5'!AD24,'B6'!AD24),0)</f>
        <v>0</v>
      </c>
      <c r="AE55" s="123">
        <f>IFERROR(_xlfn.STDEV.S('B4'!AE24,'B5'!AE24,'B6'!AE24),0)</f>
        <v>0.14177446878757807</v>
      </c>
      <c r="AF55" s="123">
        <f>IFERROR(_xlfn.STDEV.S('B4'!AF24,'B5'!AF24,'B6'!AF24),0)</f>
        <v>0</v>
      </c>
      <c r="AG55" s="123">
        <f>IFERROR(_xlfn.STDEV.S('B4'!AG24,'B5'!AG24,'B6'!AG24),0)</f>
        <v>0</v>
      </c>
      <c r="AH55" s="123">
        <f>IFERROR(_xlfn.STDEV.S('B4'!AH24,'B5'!AH24,'B6'!AH24),0)</f>
        <v>0</v>
      </c>
      <c r="AI55" s="123">
        <f>IFERROR(_xlfn.STDEV.S('B4'!AI24,'B5'!AI24,'B6'!AI24),0)</f>
        <v>0</v>
      </c>
      <c r="AJ55" s="64">
        <f>IFERROR(_xlfn.STDEV.S('B4'!AJ24,'B5'!AJ24,'B6'!AJ24),0)</f>
        <v>0</v>
      </c>
      <c r="AK55" s="64">
        <f>IFERROR(_xlfn.STDEV.S('B4'!AK24,'B5'!AK24,'B6'!AK24),0)</f>
        <v>0</v>
      </c>
      <c r="AL55" s="64">
        <f>IFERROR(_xlfn.STDEV.S('B4'!AL24,'B5'!AL24,'B6'!AL24),0)</f>
        <v>0</v>
      </c>
      <c r="AM55" s="64">
        <f>IFERROR(_xlfn.STDEV.S('B4'!AM24,'B5'!AM24,'B6'!AM24),0)</f>
        <v>0</v>
      </c>
      <c r="AN55" s="64">
        <f>IFERROR(_xlfn.STDEV.S('B4'!AN24,'B5'!AN24,'B6'!AN24),0)</f>
        <v>0</v>
      </c>
      <c r="AO55" s="64">
        <f>IFERROR(_xlfn.STDEV.S('B4'!AO24,'B5'!AO24,'B6'!AO24),0)</f>
        <v>0</v>
      </c>
      <c r="AP55" s="162">
        <f>IFERROR(_xlfn.STDEV.S('B4'!AP24,'B5'!AP24,'B6'!AP24),0)</f>
        <v>8.772742960238307E-2</v>
      </c>
      <c r="AQ55" s="162">
        <f>IFERROR(_xlfn.STDEV.S('B4'!AQ24,'B5'!AQ24,'B6'!AQ24),0)</f>
        <v>0.25657717840442312</v>
      </c>
      <c r="AR55" s="162">
        <f>IFERROR(_xlfn.STDEV.S('B4'!AR24,'B5'!AR24,'B6'!AR24),0)</f>
        <v>9.6153138668028756E-2</v>
      </c>
      <c r="AS55" s="162">
        <f>IFERROR(_xlfn.STDEV.S('B4'!AS24,'B5'!AS24,'B6'!AS24),0)</f>
        <v>6.4101304244281121E-2</v>
      </c>
      <c r="AT55" s="162">
        <f>IFERROR(_xlfn.STDEV.S('B4'!AT24,'B5'!AT24,'B6'!AT24),0)</f>
        <v>0</v>
      </c>
      <c r="AU55" s="162">
        <f>IFERROR(_xlfn.STDEV.S('B4'!AU24,'B5'!AU24,'B6'!AU24),0)</f>
        <v>8.8030751602450136E-2</v>
      </c>
      <c r="AV55" s="162">
        <f>IFERROR(_xlfn.STDEV.S('B4'!AV24,'B5'!AV24,'B6'!AV24),0)</f>
        <v>0</v>
      </c>
      <c r="AW55" s="162">
        <f>IFERROR(_xlfn.STDEV.S('B4'!AW24,'B5'!AW24,'B6'!AW24),0)</f>
        <v>0.1610694631568049</v>
      </c>
      <c r="AX55" s="64">
        <f>IFERROR(_xlfn.STDEV.S('B4'!AX24,'B5'!AX24,'B6'!AX24),0)</f>
        <v>0</v>
      </c>
      <c r="AY55" s="64">
        <f>IFERROR(_xlfn.STDEV.S('B4'!AY24,'B5'!AY24,'B6'!AY24),0)</f>
        <v>8.2005053028084453E-3</v>
      </c>
      <c r="AZ55" s="64">
        <f>IFERROR(_xlfn.STDEV.S('B4'!AZ24,'B5'!AZ24,'B6'!AZ24),0)</f>
        <v>0</v>
      </c>
      <c r="BA55" s="124">
        <f>IFERROR(_xlfn.STDEV.S('B4'!BA24,'B5'!BA24,'B6'!BA24),0)</f>
        <v>0</v>
      </c>
      <c r="BB55" s="64">
        <f>IFERROR(_xlfn.STDEV.S('B4'!BC24,'B5'!BC24,'B6'!BC24),0)</f>
        <v>0</v>
      </c>
      <c r="BC55" s="64">
        <f>IFERROR(_xlfn.STDEV.S('B4'!BD24,'B5'!BD24,'B6'!BD24),0)</f>
        <v>0</v>
      </c>
      <c r="BD55" s="64">
        <f>IFERROR(_xlfn.STDEV.S('B4'!BE24,'B5'!BE24,'B6'!BE24),0)</f>
        <v>0</v>
      </c>
      <c r="BE55" s="64">
        <f>IFERROR(_xlfn.STDEV.S('B4'!BF24,'B5'!BF24,'B6'!BF24),0)</f>
        <v>0</v>
      </c>
      <c r="BF55" s="64">
        <f>IFERROR(_xlfn.STDEV.S('B4'!BG24,'B5'!BG24,'B6'!BG24),0)</f>
        <v>0</v>
      </c>
      <c r="BG55" s="64">
        <f>IFERROR(_xlfn.STDEV.S('B4'!BH24,'B5'!BH24,'B6'!BH24),0)</f>
        <v>0</v>
      </c>
      <c r="BH55" s="64">
        <f>IFERROR(_xlfn.STDEV.S('B4'!BI24,'B5'!BI24,'B6'!BI24),0)</f>
        <v>0</v>
      </c>
      <c r="BI55" s="64">
        <f>IFERROR(_xlfn.STDEV.S('B4'!BJ24,'B5'!BJ24,'B6'!BJ24),0)</f>
        <v>0.17545485920476614</v>
      </c>
      <c r="BJ55" s="64">
        <f>IFERROR(_xlfn.STDEV.S('B4'!BK24,'B5'!BK24,'B6'!BK24),0)</f>
        <v>0.76973153521326942</v>
      </c>
      <c r="BK55" s="64">
        <f>IFERROR(_xlfn.STDEV.S('B4'!BL24,'B5'!BL24,'B6'!BL24),0)</f>
        <v>0.38461255467211503</v>
      </c>
      <c r="BL55" s="64">
        <f>IFERROR(_xlfn.STDEV.S('B4'!BM24,'B5'!BM24,'B6'!BM24),0)</f>
        <v>0.25640521697712448</v>
      </c>
      <c r="BM55" s="64">
        <f>IFERROR(_xlfn.STDEV.S('B4'!BN24,'B5'!BN24,'B6'!BN24),0)</f>
        <v>0</v>
      </c>
      <c r="BN55" s="64">
        <f>IFERROR(_xlfn.STDEV.S('B4'!BO24,'B5'!BO24,'B6'!BO24),0)</f>
        <v>0.44015375801225137</v>
      </c>
      <c r="BO55" s="64">
        <f>IFERROR(_xlfn.STDEV.S('B4'!BP24,'B5'!BP24,'B6'!BP24),0)</f>
        <v>0</v>
      </c>
      <c r="BP55" s="64">
        <f>IFERROR(_xlfn.STDEV.S('B4'!BQ24,'B5'!BQ24,'B6'!BQ24),0)</f>
        <v>0.96641677894082945</v>
      </c>
      <c r="BQ55" s="64">
        <f>IFERROR(_xlfn.STDEV.S('B4'!BR24,'B5'!BR24,'B6'!BR24),0)</f>
        <v>0</v>
      </c>
      <c r="BR55" s="64">
        <f>IFERROR(_xlfn.STDEV.S('B4'!BS24,'B5'!BS24,'B6'!BS24),0)</f>
        <v>6.5604042422467562E-2</v>
      </c>
      <c r="BS55" s="64">
        <f>IFERROR(_xlfn.STDEV.S('B4'!BT24,'B5'!BT24,'B6'!BT24),0)</f>
        <v>0</v>
      </c>
      <c r="BT55" s="64">
        <f>IFERROR(_xlfn.STDEV.S('B4'!BU24,'B5'!BU24,'B6'!BU24),0)</f>
        <v>0</v>
      </c>
      <c r="BU55" s="64">
        <f>IFERROR(_xlfn.STDEV.S('B4'!BV24,'B5'!BV24,'B6'!BV24),0)</f>
        <v>0</v>
      </c>
      <c r="BV55" s="64">
        <f>IFERROR(_xlfn.STDEV.S('B4'!BW24,'B5'!BW24,'B6'!BW24),0)</f>
        <v>0</v>
      </c>
    </row>
    <row r="56" spans="1:74" ht="16" thickBot="1" x14ac:dyDescent="0.4">
      <c r="A56" s="63">
        <f t="shared" si="7"/>
        <v>0</v>
      </c>
      <c r="B56" s="129">
        <f t="shared" si="7"/>
        <v>0</v>
      </c>
      <c r="C56" s="54"/>
      <c r="D56" s="18">
        <f>IFERROR(_xlfn.STDEV.S('B4'!D25,'B5'!D25,'B6'!D25),0)</f>
        <v>0</v>
      </c>
      <c r="E56" s="18">
        <f>IFERROR(_xlfn.STDEV.S('B4'!E25,'B5'!E25,'B6'!E25),0)</f>
        <v>0</v>
      </c>
      <c r="F56" s="18">
        <f>IFERROR(_xlfn.STDEV.S('B4'!F25,'B5'!F25,'B6'!F25),0)</f>
        <v>0</v>
      </c>
      <c r="G56" s="18">
        <f>IFERROR(_xlfn.STDEV.S('B4'!G25,'B5'!G25,'B6'!G25),0)</f>
        <v>0</v>
      </c>
      <c r="H56" s="18">
        <f>IFERROR(_xlfn.STDEV.S('B4'!H25,'B5'!H25,'B6'!H25),0)</f>
        <v>0</v>
      </c>
      <c r="I56" s="18">
        <f>IFERROR(_xlfn.STDEV.S('B4'!I25,'B5'!I25,'B6'!I25),0)</f>
        <v>0</v>
      </c>
      <c r="J56" s="18">
        <f>IFERROR(_xlfn.STDEV.S('B4'!J25,'B5'!J25,'B6'!J25),0)</f>
        <v>1.8728529857631477</v>
      </c>
      <c r="K56" s="18">
        <f>IFERROR(_xlfn.STDEV.S('B4'!K25,'B5'!K25,'B6'!K25),0)</f>
        <v>12.039110325640172</v>
      </c>
      <c r="L56" s="18">
        <f>IFERROR(_xlfn.STDEV.S('B4'!L25,'B5'!L25,'B6'!L25),0)</f>
        <v>1.5253848290370213</v>
      </c>
      <c r="M56" s="18">
        <f>IFERROR(_xlfn.STDEV.S('B4'!M25,'B5'!M25,'B6'!M25),0)</f>
        <v>27.406572547081861</v>
      </c>
      <c r="N56" s="18">
        <f>IFERROR(_xlfn.STDEV.S('B4'!N25,'B5'!N25,'B6'!N25),0)</f>
        <v>0.70843249498973893</v>
      </c>
      <c r="O56" s="18">
        <f>IFERROR(_xlfn.STDEV.S('B4'!O25,'B5'!O25,'B6'!O25),0)</f>
        <v>1.5278770408233038</v>
      </c>
      <c r="P56" s="18">
        <f>IFERROR(_xlfn.STDEV.S('B4'!P25,'B5'!P25,'B6'!P25),0)</f>
        <v>0</v>
      </c>
      <c r="Q56" s="18">
        <f>IFERROR(_xlfn.STDEV.S('B4'!Q25,'B5'!Q25,'B6'!Q25),0)</f>
        <v>0</v>
      </c>
      <c r="R56" s="18">
        <f>IFERROR(_xlfn.STDEV.S('B4'!R25,'B5'!R25,'B6'!R25),0)</f>
        <v>0.49327540671002384</v>
      </c>
      <c r="S56" s="18">
        <f>IFERROR(_xlfn.STDEV.S('B4'!S25,'B5'!S25,'B6'!S25),0)</f>
        <v>0</v>
      </c>
      <c r="T56" s="18">
        <f>IFERROR(_xlfn.STDEV.S('B4'!T25,'B5'!T25,'B6'!T25),0)</f>
        <v>0</v>
      </c>
      <c r="U56" s="18">
        <f>IFERROR(_xlfn.STDEV.S('B4'!U25,'B5'!U25,'B6'!U25),0)</f>
        <v>0</v>
      </c>
      <c r="V56" s="18">
        <f>IFERROR(_xlfn.STDEV.S('B4'!V25,'B5'!V25,'B6'!V25),0)</f>
        <v>0</v>
      </c>
      <c r="W56" s="123">
        <f>IFERROR(_xlfn.STDEV.S('B4'!W25,'B5'!W25,'B6'!W25),0)</f>
        <v>0</v>
      </c>
      <c r="X56" s="123">
        <f>IFERROR(_xlfn.STDEV.S('B4'!X25,'B5'!X25,'B6'!X25),0)</f>
        <v>0</v>
      </c>
      <c r="Y56" s="123">
        <f>IFERROR(_xlfn.STDEV.S('B4'!Y25,'B5'!Y25,'B6'!Y25),0)</f>
        <v>0</v>
      </c>
      <c r="Z56" s="123">
        <f>IFERROR(_xlfn.STDEV.S('B4'!Z25,'B5'!Z25,'B6'!Z25),0)</f>
        <v>0</v>
      </c>
      <c r="AA56" s="123">
        <f>IFERROR(_xlfn.STDEV.S('B4'!AA25,'B5'!AA25,'B6'!AA25),0)</f>
        <v>0</v>
      </c>
      <c r="AB56" s="123">
        <f>IFERROR(_xlfn.STDEV.S('B4'!AB25,'B5'!AB25,'B6'!AB25),0)</f>
        <v>0</v>
      </c>
      <c r="AC56" s="123">
        <f>IFERROR(_xlfn.STDEV.S('B4'!AC25,'B5'!AC25,'B6'!AC25),0)</f>
        <v>0</v>
      </c>
      <c r="AD56" s="123">
        <f>IFERROR(_xlfn.STDEV.S('B4'!AD25,'B5'!AD25,'B6'!AD25),0)</f>
        <v>0</v>
      </c>
      <c r="AE56" s="123">
        <f>IFERROR(_xlfn.STDEV.S('B4'!AE25,'B5'!AE25,'B6'!AE25),0)</f>
        <v>0</v>
      </c>
      <c r="AF56" s="123">
        <f>IFERROR(_xlfn.STDEV.S('B4'!AF25,'B5'!AF25,'B6'!AF25),0)</f>
        <v>0</v>
      </c>
      <c r="AG56" s="123">
        <f>IFERROR(_xlfn.STDEV.S('B4'!AG25,'B5'!AG25,'B6'!AG25),0)</f>
        <v>0</v>
      </c>
      <c r="AH56" s="123">
        <f>IFERROR(_xlfn.STDEV.S('B4'!AH25,'B5'!AH25,'B6'!AH25),0)</f>
        <v>0</v>
      </c>
      <c r="AI56" s="123">
        <f>IFERROR(_xlfn.STDEV.S('B4'!AI25,'B5'!AI25,'B6'!AI25),0)</f>
        <v>0</v>
      </c>
      <c r="AJ56" s="64">
        <f>IFERROR(_xlfn.STDEV.S('B4'!AJ25,'B5'!AJ25,'B6'!AJ25),0)</f>
        <v>0</v>
      </c>
      <c r="AK56" s="64">
        <f>IFERROR(_xlfn.STDEV.S('B4'!AK25,'B5'!AK25,'B6'!AK25),0)</f>
        <v>0</v>
      </c>
      <c r="AL56" s="64">
        <f>IFERROR(_xlfn.STDEV.S('B4'!AL25,'B5'!AL25,'B6'!AL25),0)</f>
        <v>0</v>
      </c>
      <c r="AM56" s="64">
        <f>IFERROR(_xlfn.STDEV.S('B4'!AM25,'B5'!AM25,'B6'!AM25),0)</f>
        <v>0</v>
      </c>
      <c r="AN56" s="64">
        <f>IFERROR(_xlfn.STDEV.S('B4'!AN25,'B5'!AN25,'B6'!AN25),0)</f>
        <v>0</v>
      </c>
      <c r="AO56" s="64">
        <f>IFERROR(_xlfn.STDEV.S('B4'!AO25,'B5'!AO25,'B6'!AO25),0)</f>
        <v>0</v>
      </c>
      <c r="AP56" s="64">
        <f>IFERROR(_xlfn.STDEV.S('B4'!AP25,'B5'!AP25,'B6'!AP25),0)</f>
        <v>3.7457059715262912E-2</v>
      </c>
      <c r="AQ56" s="64">
        <f>IFERROR(_xlfn.STDEV.S('B4'!AQ25,'B5'!AQ25,'B6'!AQ25),0)</f>
        <v>0.2407822065128033</v>
      </c>
      <c r="AR56" s="64">
        <f>IFERROR(_xlfn.STDEV.S('B4'!AR25,'B5'!AR25,'B6'!AR25),0)</f>
        <v>3.0507696580740411E-2</v>
      </c>
      <c r="AS56" s="64">
        <f>IFERROR(_xlfn.STDEV.S('B4'!AS25,'B5'!AS25,'B6'!AS25),0)</f>
        <v>0.5481314509416374</v>
      </c>
      <c r="AT56" s="64">
        <f>IFERROR(_xlfn.STDEV.S('B4'!AT25,'B5'!AT25,'B6'!AT25),0)</f>
        <v>0</v>
      </c>
      <c r="AU56" s="64">
        <f>IFERROR(_xlfn.STDEV.S('B4'!AU25,'B5'!AU25,'B6'!AU25),0)</f>
        <v>3.0557540816466042E-2</v>
      </c>
      <c r="AV56" s="64">
        <f>IFERROR(_xlfn.STDEV.S('B4'!AV25,'B5'!AV25,'B6'!AV25),0)</f>
        <v>0</v>
      </c>
      <c r="AW56" s="64">
        <f>IFERROR(_xlfn.STDEV.S('B4'!AW25,'B5'!AW25,'B6'!AW25),0)</f>
        <v>0</v>
      </c>
      <c r="AX56" s="64">
        <f>IFERROR(_xlfn.STDEV.S('B4'!AX25,'B5'!AX25,'B6'!AX25),0)</f>
        <v>0</v>
      </c>
      <c r="AY56" s="64">
        <f>IFERROR(_xlfn.STDEV.S('B4'!AY25,'B5'!AY25,'B6'!AY25),0)</f>
        <v>0</v>
      </c>
      <c r="AZ56" s="64">
        <f>IFERROR(_xlfn.STDEV.S('B4'!AZ25,'B5'!AZ25,'B6'!AZ25),0)</f>
        <v>0</v>
      </c>
      <c r="BA56" s="124">
        <f>IFERROR(_xlfn.STDEV.S('B4'!BA25,'B5'!BA25,'B6'!BA25),0)</f>
        <v>0</v>
      </c>
      <c r="BB56" s="64">
        <f>IFERROR(_xlfn.STDEV.S('B4'!BC25,'B5'!BC25,'B6'!BC25),0)</f>
        <v>0</v>
      </c>
      <c r="BC56" s="64">
        <f>IFERROR(_xlfn.STDEV.S('B4'!BD25,'B5'!BD25,'B6'!BD25),0)</f>
        <v>0</v>
      </c>
      <c r="BD56" s="64">
        <f>IFERROR(_xlfn.STDEV.S('B4'!BE25,'B5'!BE25,'B6'!BE25),0)</f>
        <v>0</v>
      </c>
      <c r="BE56" s="64">
        <f>IFERROR(_xlfn.STDEV.S('B4'!BF25,'B5'!BF25,'B6'!BF25),0)</f>
        <v>0</v>
      </c>
      <c r="BF56" s="64">
        <f>IFERROR(_xlfn.STDEV.S('B4'!BG25,'B5'!BG25,'B6'!BG25),0)</f>
        <v>0</v>
      </c>
      <c r="BG56" s="64">
        <f>IFERROR(_xlfn.STDEV.S('B4'!BH25,'B5'!BH25,'B6'!BH25),0)</f>
        <v>0</v>
      </c>
      <c r="BH56" s="64">
        <f>IFERROR(_xlfn.STDEV.S('B4'!BI25,'B5'!BI25,'B6'!BI25),0)</f>
        <v>0</v>
      </c>
      <c r="BI56" s="64">
        <f>IFERROR(_xlfn.STDEV.S('B4'!BJ25,'B5'!BJ25,'B6'!BJ25),0)</f>
        <v>7.4914119430525825E-2</v>
      </c>
      <c r="BJ56" s="64">
        <f>IFERROR(_xlfn.STDEV.S('B4'!BK25,'B5'!BK25,'B6'!BK25),0)</f>
        <v>0.72234661953841039</v>
      </c>
      <c r="BK56" s="64">
        <f>IFERROR(_xlfn.STDEV.S('B4'!BL25,'B5'!BL25,'B6'!BL25),0)</f>
        <v>0.12203078632296165</v>
      </c>
      <c r="BL56" s="64">
        <f>IFERROR(_xlfn.STDEV.S('B4'!BM25,'B5'!BM25,'B6'!BM25),0)</f>
        <v>2.1925258037665496</v>
      </c>
      <c r="BM56" s="64">
        <f>IFERROR(_xlfn.STDEV.S('B4'!BN25,'B5'!BN25,'B6'!BN25),0)</f>
        <v>0</v>
      </c>
      <c r="BN56" s="64">
        <f>IFERROR(_xlfn.STDEV.S('B4'!BO25,'B5'!BO25,'B6'!BO25),0)</f>
        <v>0.15278770408233036</v>
      </c>
      <c r="BO56" s="64">
        <f>IFERROR(_xlfn.STDEV.S('B4'!BP25,'B5'!BP25,'B6'!BP25),0)</f>
        <v>0</v>
      </c>
      <c r="BP56" s="64">
        <f>IFERROR(_xlfn.STDEV.S('B4'!BQ25,'B5'!BQ25,'B6'!BQ25),0)</f>
        <v>0</v>
      </c>
      <c r="BQ56" s="64">
        <f>IFERROR(_xlfn.STDEV.S('B4'!BR25,'B5'!BR25,'B6'!BR25),0)</f>
        <v>0</v>
      </c>
      <c r="BR56" s="64">
        <f>IFERROR(_xlfn.STDEV.S('B4'!BS25,'B5'!BS25,'B6'!BS25),0)</f>
        <v>0</v>
      </c>
      <c r="BS56" s="64">
        <f>IFERROR(_xlfn.STDEV.S('B4'!BT25,'B5'!BT25,'B6'!BT25),0)</f>
        <v>0</v>
      </c>
      <c r="BT56" s="64">
        <f>IFERROR(_xlfn.STDEV.S('B4'!BU25,'B5'!BU25,'B6'!BU25),0)</f>
        <v>0</v>
      </c>
      <c r="BU56" s="64">
        <f>IFERROR(_xlfn.STDEV.S('B4'!BV25,'B5'!BV25,'B6'!BV25),0)</f>
        <v>0</v>
      </c>
      <c r="BV56" s="64">
        <f>IFERROR(_xlfn.STDEV.S('B4'!BW25,'B5'!BW25,'B6'!BW25),0)</f>
        <v>0</v>
      </c>
    </row>
    <row r="57" spans="1:74" ht="16" thickBot="1" x14ac:dyDescent="0.4">
      <c r="A57" s="63">
        <f t="shared" si="7"/>
        <v>0</v>
      </c>
      <c r="B57" s="129">
        <f t="shared" si="7"/>
        <v>0</v>
      </c>
      <c r="C57" s="79"/>
      <c r="D57" s="18">
        <f>IFERROR(_xlfn.STDEV.S('B4'!D26,'B5'!D26,'B6'!D26),0)</f>
        <v>0</v>
      </c>
      <c r="E57" s="18">
        <f>IFERROR(_xlfn.STDEV.S('B4'!E26,'B5'!E26,'B6'!E26),0)</f>
        <v>0</v>
      </c>
      <c r="F57" s="18">
        <f>IFERROR(_xlfn.STDEV.S('B4'!F26,'B5'!F26,'B6'!F26),0)</f>
        <v>0</v>
      </c>
      <c r="G57" s="18">
        <f>IFERROR(_xlfn.STDEV.S('B4'!G26,'B5'!G26,'B6'!G26),0)</f>
        <v>0</v>
      </c>
      <c r="H57" s="18">
        <f>IFERROR(_xlfn.STDEV.S('B4'!H26,'B5'!H26,'B6'!H26),0)</f>
        <v>0</v>
      </c>
      <c r="I57" s="18">
        <f>IFERROR(_xlfn.STDEV.S('B4'!I26,'B5'!I26,'B6'!I26),0)</f>
        <v>0</v>
      </c>
      <c r="J57" s="18">
        <f>IFERROR(_xlfn.STDEV.S('B4'!J26,'B5'!J26,'B6'!J26),0)</f>
        <v>0</v>
      </c>
      <c r="K57" s="18">
        <f>IFERROR(_xlfn.STDEV.S('B4'!K26,'B5'!K26,'B6'!K26),0)</f>
        <v>0</v>
      </c>
      <c r="L57" s="18">
        <f>IFERROR(_xlfn.STDEV.S('B4'!L26,'B5'!L26,'B6'!L26),0)</f>
        <v>0</v>
      </c>
      <c r="M57" s="18">
        <f>IFERROR(_xlfn.STDEV.S('B4'!M26,'B5'!M26,'B6'!M26),0)</f>
        <v>0</v>
      </c>
      <c r="N57" s="18">
        <f>IFERROR(_xlfn.STDEV.S('B4'!N26,'B5'!N26,'B6'!N26),0)</f>
        <v>0</v>
      </c>
      <c r="O57" s="18">
        <f>IFERROR(_xlfn.STDEV.S('B4'!O26,'B5'!O26,'B6'!O26),0)</f>
        <v>0</v>
      </c>
      <c r="P57" s="18">
        <f>IFERROR(_xlfn.STDEV.S('B4'!P26,'B5'!P26,'B6'!P26),0)</f>
        <v>0</v>
      </c>
      <c r="Q57" s="18">
        <f>IFERROR(_xlfn.STDEV.S('B4'!Q26,'B5'!Q26,'B6'!Q26),0)</f>
        <v>0</v>
      </c>
      <c r="R57" s="18">
        <f>IFERROR(_xlfn.STDEV.S('B4'!R26,'B5'!R26,'B6'!R26),0)</f>
        <v>0</v>
      </c>
      <c r="S57" s="18">
        <f>IFERROR(_xlfn.STDEV.S('B4'!S26,'B5'!S26,'B6'!S26),0)</f>
        <v>0</v>
      </c>
      <c r="T57" s="18">
        <f>IFERROR(_xlfn.STDEV.S('B4'!T26,'B5'!T26,'B6'!T26),0)</f>
        <v>0</v>
      </c>
      <c r="U57" s="18">
        <f>IFERROR(_xlfn.STDEV.S('B4'!U26,'B5'!U26,'B6'!U26),0)</f>
        <v>0</v>
      </c>
      <c r="V57" s="18">
        <f>IFERROR(_xlfn.STDEV.S('B4'!V26,'B5'!V26,'B6'!V26),0)</f>
        <v>0</v>
      </c>
      <c r="W57" s="123">
        <f>IFERROR(_xlfn.STDEV.S('B4'!W26,'B5'!W26,'B6'!W26),0)</f>
        <v>0</v>
      </c>
      <c r="X57" s="123">
        <f>IFERROR(_xlfn.STDEV.S('B4'!X26,'B5'!X26,'B6'!X26),0)</f>
        <v>0</v>
      </c>
      <c r="Y57" s="123">
        <f>IFERROR(_xlfn.STDEV.S('B4'!Y26,'B5'!Y26,'B6'!Y26),0)</f>
        <v>0</v>
      </c>
      <c r="Z57" s="123">
        <f>IFERROR(_xlfn.STDEV.S('B4'!Z26,'B5'!Z26,'B6'!Z26),0)</f>
        <v>0</v>
      </c>
      <c r="AA57" s="123">
        <f>IFERROR(_xlfn.STDEV.S('B4'!AA26,'B5'!AA26,'B6'!AA26),0)</f>
        <v>0</v>
      </c>
      <c r="AB57" s="123">
        <f>IFERROR(_xlfn.STDEV.S('B4'!AB26,'B5'!AB26,'B6'!AB26),0)</f>
        <v>0</v>
      </c>
      <c r="AC57" s="123">
        <f>IFERROR(_xlfn.STDEV.S('B4'!AC26,'B5'!AC26,'B6'!AC26),0)</f>
        <v>0</v>
      </c>
      <c r="AD57" s="123">
        <f>IFERROR(_xlfn.STDEV.S('B4'!AD26,'B5'!AD26,'B6'!AD26),0)</f>
        <v>0</v>
      </c>
      <c r="AE57" s="123">
        <f>IFERROR(_xlfn.STDEV.S('B4'!AE26,'B5'!AE26,'B6'!AE26),0)</f>
        <v>0</v>
      </c>
      <c r="AF57" s="123">
        <f>IFERROR(_xlfn.STDEV.S('B4'!AF26,'B5'!AF26,'B6'!AF26),0)</f>
        <v>0</v>
      </c>
      <c r="AG57" s="123">
        <f>IFERROR(_xlfn.STDEV.S('B4'!AG26,'B5'!AG26,'B6'!AG26),0)</f>
        <v>0</v>
      </c>
      <c r="AH57" s="123">
        <f>IFERROR(_xlfn.STDEV.S('B4'!AH26,'B5'!AH26,'B6'!AH26),0)</f>
        <v>0</v>
      </c>
      <c r="AI57" s="123">
        <f>IFERROR(_xlfn.STDEV.S('B4'!AI26,'B5'!AI26,'B6'!AI26),0)</f>
        <v>0</v>
      </c>
      <c r="AJ57" s="64">
        <f>IFERROR(_xlfn.STDEV.S('B4'!AJ26,'B5'!AJ26,'B6'!AJ26),0)</f>
        <v>0</v>
      </c>
      <c r="AK57" s="64">
        <f>IFERROR(_xlfn.STDEV.S('B4'!AK26,'B5'!AK26,'B6'!AK26),0)</f>
        <v>0</v>
      </c>
      <c r="AL57" s="64">
        <f>IFERROR(_xlfn.STDEV.S('B4'!AL26,'B5'!AL26,'B6'!AL26),0)</f>
        <v>0</v>
      </c>
      <c r="AM57" s="64">
        <f>IFERROR(_xlfn.STDEV.S('B4'!AM26,'B5'!AM26,'B6'!AM26),0)</f>
        <v>0</v>
      </c>
      <c r="AN57" s="64">
        <f>IFERROR(_xlfn.STDEV.S('B4'!AN26,'B5'!AN26,'B6'!AN26),0)</f>
        <v>0</v>
      </c>
      <c r="AO57" s="64">
        <f>IFERROR(_xlfn.STDEV.S('B4'!AO26,'B5'!AO26,'B6'!AO26),0)</f>
        <v>0</v>
      </c>
      <c r="AP57" s="64">
        <f>IFERROR(_xlfn.STDEV.S('B4'!AP26,'B5'!AP26,'B6'!AP26),0)</f>
        <v>8.9867647228959249E-2</v>
      </c>
      <c r="AQ57" s="64">
        <f>IFERROR(_xlfn.STDEV.S('B4'!AQ26,'B5'!AQ26,'B6'!AQ26),0)</f>
        <v>4.0989193236003495E-2</v>
      </c>
      <c r="AR57" s="64">
        <f>IFERROR(_xlfn.STDEV.S('B4'!AR26,'B5'!AR26,'B6'!AR26),0)</f>
        <v>9.2782368077538271E-2</v>
      </c>
      <c r="AS57" s="64">
        <f>IFERROR(_xlfn.STDEV.S('B4'!AS26,'B5'!AS26,'B6'!AS26),0)</f>
        <v>0.50633682006257419</v>
      </c>
      <c r="AT57" s="64">
        <f>IFERROR(_xlfn.STDEV.S('B4'!AT26,'B5'!AT26,'B6'!AT26),0)</f>
        <v>0</v>
      </c>
      <c r="AU57" s="64">
        <f>IFERROR(_xlfn.STDEV.S('B4'!AU26,'B5'!AU26,'B6'!AU26),0)</f>
        <v>5.6298410564265357E-2</v>
      </c>
      <c r="AV57" s="64">
        <f>IFERROR(_xlfn.STDEV.S('B4'!AV26,'B5'!AV26,'B6'!AV26),0)</f>
        <v>0</v>
      </c>
      <c r="AW57" s="64">
        <f>IFERROR(_xlfn.STDEV.S('B4'!AW26,'B5'!AW26,'B6'!AW26),0)</f>
        <v>2.149059041954561</v>
      </c>
      <c r="AX57" s="64">
        <f>IFERROR(_xlfn.STDEV.S('B4'!AX26,'B5'!AX26,'B6'!AX26),0)</f>
        <v>0</v>
      </c>
      <c r="AY57" s="64">
        <f>IFERROR(_xlfn.STDEV.S('B4'!AY26,'B5'!AY26,'B6'!AY26),0)</f>
        <v>1.0043526812434174E-2</v>
      </c>
      <c r="AZ57" s="64">
        <f>IFERROR(_xlfn.STDEV.S('B4'!AZ26,'B5'!AZ26,'B6'!AZ26),0)</f>
        <v>0</v>
      </c>
      <c r="BA57" s="124">
        <f>IFERROR(_xlfn.STDEV.S('B4'!BA26,'B5'!BA26,'B6'!BA26),0)</f>
        <v>0</v>
      </c>
      <c r="BB57" s="64">
        <f>IFERROR(_xlfn.STDEV.S('B4'!BC26,'B5'!BC26,'B6'!BC26),0)</f>
        <v>0</v>
      </c>
      <c r="BC57" s="64">
        <f>IFERROR(_xlfn.STDEV.S('B4'!BD26,'B5'!BD26,'B6'!BD26),0)</f>
        <v>0</v>
      </c>
      <c r="BD57" s="64">
        <f>IFERROR(_xlfn.STDEV.S('B4'!BE26,'B5'!BE26,'B6'!BE26),0)</f>
        <v>0</v>
      </c>
      <c r="BE57" s="64">
        <f>IFERROR(_xlfn.STDEV.S('B4'!BF26,'B5'!BF26,'B6'!BF26),0)</f>
        <v>0</v>
      </c>
      <c r="BF57" s="64">
        <f>IFERROR(_xlfn.STDEV.S('B4'!BG26,'B5'!BG26,'B6'!BG26),0)</f>
        <v>0</v>
      </c>
      <c r="BG57" s="64">
        <f>IFERROR(_xlfn.STDEV.S('B4'!BH26,'B5'!BH26,'B6'!BH26),0)</f>
        <v>0</v>
      </c>
      <c r="BH57" s="64">
        <f>IFERROR(_xlfn.STDEV.S('B4'!BI26,'B5'!BI26,'B6'!BI26),0)</f>
        <v>0</v>
      </c>
      <c r="BI57" s="64">
        <f>IFERROR(_xlfn.STDEV.S('B4'!BJ26,'B5'!BJ26,'B6'!BJ26),0)</f>
        <v>0.1797352944579185</v>
      </c>
      <c r="BJ57" s="64">
        <f>IFERROR(_xlfn.STDEV.S('B4'!BK26,'B5'!BK26,'B6'!BK26),0)</f>
        <v>0.12296757970801056</v>
      </c>
      <c r="BK57" s="64">
        <f>IFERROR(_xlfn.STDEV.S('B4'!BL26,'B5'!BL26,'B6'!BL26),0)</f>
        <v>0.37112947231015309</v>
      </c>
      <c r="BL57" s="64">
        <f>IFERROR(_xlfn.STDEV.S('B4'!BM26,'B5'!BM26,'B6'!BM26),0)</f>
        <v>2.0253472802502968</v>
      </c>
      <c r="BM57" s="64">
        <f>IFERROR(_xlfn.STDEV.S('B4'!BN26,'B5'!BN26,'B6'!BN26),0)</f>
        <v>0</v>
      </c>
      <c r="BN57" s="64">
        <f>IFERROR(_xlfn.STDEV.S('B4'!BO26,'B5'!BO26,'B6'!BO26),0)</f>
        <v>0.28149205282132683</v>
      </c>
      <c r="BO57" s="64">
        <f>IFERROR(_xlfn.STDEV.S('B4'!BP26,'B5'!BP26,'B6'!BP26),0)</f>
        <v>0</v>
      </c>
      <c r="BP57" s="64">
        <f>IFERROR(_xlfn.STDEV.S('B4'!BQ26,'B5'!BQ26,'B6'!BQ26),0)</f>
        <v>12.894354251727368</v>
      </c>
      <c r="BQ57" s="64">
        <f>IFERROR(_xlfn.STDEV.S('B4'!BR26,'B5'!BR26,'B6'!BR26),0)</f>
        <v>0</v>
      </c>
      <c r="BR57" s="64">
        <f>IFERROR(_xlfn.STDEV.S('B4'!BS26,'B5'!BS26,'B6'!BS26),0)</f>
        <v>8.0348214499473394E-2</v>
      </c>
      <c r="BS57" s="64">
        <f>IFERROR(_xlfn.STDEV.S('B4'!BT26,'B5'!BT26,'B6'!BT26),0)</f>
        <v>0</v>
      </c>
      <c r="BT57" s="64">
        <f>IFERROR(_xlfn.STDEV.S('B4'!BU26,'B5'!BU26,'B6'!BU26),0)</f>
        <v>0</v>
      </c>
      <c r="BU57" s="64">
        <f>IFERROR(_xlfn.STDEV.S('B4'!BV26,'B5'!BV26,'B6'!BV26),0)</f>
        <v>0</v>
      </c>
      <c r="BV57" s="64">
        <f>IFERROR(_xlfn.STDEV.S('B4'!BW26,'B5'!BW26,'B6'!BW26),0)</f>
        <v>0</v>
      </c>
    </row>
    <row r="58" spans="1:74" ht="16" thickBot="1" x14ac:dyDescent="0.4">
      <c r="A58" s="63">
        <f t="shared" si="7"/>
        <v>0</v>
      </c>
      <c r="B58" s="129">
        <f t="shared" si="7"/>
        <v>0</v>
      </c>
      <c r="C58" s="54"/>
      <c r="D58" s="18">
        <f>IFERROR(_xlfn.STDEV.S('B4'!D27,'B5'!D27,'B6'!D27),0)</f>
        <v>0</v>
      </c>
      <c r="E58" s="18">
        <f>IFERROR(_xlfn.STDEV.S('B4'!E27,'B5'!E27,'B6'!E27),0)</f>
        <v>0</v>
      </c>
      <c r="F58" s="18">
        <f>IFERROR(_xlfn.STDEV.S('B4'!F27,'B5'!F27,'B6'!F27),0)</f>
        <v>0</v>
      </c>
      <c r="G58" s="18">
        <f>IFERROR(_xlfn.STDEV.S('B4'!G27,'B5'!G27,'B6'!G27),0)</f>
        <v>0</v>
      </c>
      <c r="H58" s="18">
        <f>IFERROR(_xlfn.STDEV.S('B4'!H27,'B5'!H27,'B6'!H27),0)</f>
        <v>0</v>
      </c>
      <c r="I58" s="18">
        <f>IFERROR(_xlfn.STDEV.S('B4'!I27,'B5'!I27,'B6'!I27),0)</f>
        <v>0</v>
      </c>
      <c r="J58" s="18">
        <f>IFERROR(_xlfn.STDEV.S('B4'!J27,'B5'!J27,'B6'!J27),0)</f>
        <v>0</v>
      </c>
      <c r="K58" s="18">
        <f>IFERROR(_xlfn.STDEV.S('B4'!K27,'B5'!K27,'B6'!K27),0)</f>
        <v>0</v>
      </c>
      <c r="L58" s="18">
        <f>IFERROR(_xlfn.STDEV.S('B4'!L27,'B5'!L27,'B6'!L27),0)</f>
        <v>0</v>
      </c>
      <c r="M58" s="18">
        <f>IFERROR(_xlfn.STDEV.S('B4'!M27,'B5'!M27,'B6'!M27),0)</f>
        <v>0</v>
      </c>
      <c r="N58" s="18">
        <f>IFERROR(_xlfn.STDEV.S('B4'!N27,'B5'!N27,'B6'!N27),0)</f>
        <v>0</v>
      </c>
      <c r="O58" s="18">
        <f>IFERROR(_xlfn.STDEV.S('B4'!O27,'B5'!O27,'B6'!O27),0)</f>
        <v>0</v>
      </c>
      <c r="P58" s="18">
        <f>IFERROR(_xlfn.STDEV.S('B4'!P27,'B5'!P27,'B6'!P27),0)</f>
        <v>0</v>
      </c>
      <c r="Q58" s="18">
        <f>IFERROR(_xlfn.STDEV.S('B4'!Q27,'B5'!Q27,'B6'!Q27),0)</f>
        <v>0</v>
      </c>
      <c r="R58" s="18">
        <f>IFERROR(_xlfn.STDEV.S('B4'!R27,'B5'!R27,'B6'!R27),0)</f>
        <v>0</v>
      </c>
      <c r="S58" s="18">
        <f>IFERROR(_xlfn.STDEV.S('B4'!S27,'B5'!S27,'B6'!S27),0)</f>
        <v>0</v>
      </c>
      <c r="T58" s="18">
        <f>IFERROR(_xlfn.STDEV.S('B4'!T27,'B5'!T27,'B6'!T27),0)</f>
        <v>0</v>
      </c>
      <c r="U58" s="18">
        <f>IFERROR(_xlfn.STDEV.S('B4'!U27,'B5'!U27,'B6'!U27),0)</f>
        <v>0</v>
      </c>
      <c r="V58" s="18">
        <f>IFERROR(_xlfn.STDEV.S('B4'!V27,'B5'!V27,'B6'!V27),0)</f>
        <v>0</v>
      </c>
      <c r="W58" s="123">
        <f>IFERROR(_xlfn.STDEV.S('B4'!W27,'B5'!W27,'B6'!W27),0)</f>
        <v>0</v>
      </c>
      <c r="X58" s="123">
        <f>IFERROR(_xlfn.STDEV.S('B4'!X27,'B5'!X27,'B6'!X27),0)</f>
        <v>0</v>
      </c>
      <c r="Y58" s="123">
        <f>IFERROR(_xlfn.STDEV.S('B4'!Y27,'B5'!Y27,'B6'!Y27),0)</f>
        <v>0</v>
      </c>
      <c r="Z58" s="123">
        <f>IFERROR(_xlfn.STDEV.S('B4'!Z27,'B5'!Z27,'B6'!Z27),0)</f>
        <v>0</v>
      </c>
      <c r="AA58" s="123">
        <f>IFERROR(_xlfn.STDEV.S('B4'!AA27,'B5'!AA27,'B6'!AA27),0)</f>
        <v>0</v>
      </c>
      <c r="AB58" s="123">
        <f>IFERROR(_xlfn.STDEV.S('B4'!AB27,'B5'!AB27,'B6'!AB27),0)</f>
        <v>0</v>
      </c>
      <c r="AC58" s="123">
        <f>IFERROR(_xlfn.STDEV.S('B4'!AC27,'B5'!AC27,'B6'!AC27),0)</f>
        <v>0</v>
      </c>
      <c r="AD58" s="123">
        <f>IFERROR(_xlfn.STDEV.S('B4'!AD27,'B5'!AD27,'B6'!AD27),0)</f>
        <v>0</v>
      </c>
      <c r="AE58" s="123">
        <f>IFERROR(_xlfn.STDEV.S('B4'!AE27,'B5'!AE27,'B6'!AE27),0)</f>
        <v>0</v>
      </c>
      <c r="AF58" s="123">
        <f>IFERROR(_xlfn.STDEV.S('B4'!AF27,'B5'!AF27,'B6'!AF27),0)</f>
        <v>0</v>
      </c>
      <c r="AG58" s="123">
        <f>IFERROR(_xlfn.STDEV.S('B4'!AG27,'B5'!AG27,'B6'!AG27),0)</f>
        <v>0</v>
      </c>
      <c r="AH58" s="123">
        <f>IFERROR(_xlfn.STDEV.S('B4'!AH27,'B5'!AH27,'B6'!AH27),0)</f>
        <v>0</v>
      </c>
      <c r="AI58" s="123">
        <f>IFERROR(_xlfn.STDEV.S('B4'!AI27,'B5'!AI27,'B6'!AI27),0)</f>
        <v>0</v>
      </c>
      <c r="AJ58" s="64">
        <f>IFERROR(_xlfn.STDEV.S('B4'!AJ27,'B5'!AJ27,'B6'!AJ27),0)</f>
        <v>0</v>
      </c>
      <c r="AK58" s="64">
        <f>IFERROR(_xlfn.STDEV.S('B4'!AK27,'B5'!AK27,'B6'!AK27),0)</f>
        <v>0</v>
      </c>
      <c r="AL58" s="64">
        <f>IFERROR(_xlfn.STDEV.S('B4'!AL27,'B5'!AL27,'B6'!AL27),0)</f>
        <v>0</v>
      </c>
      <c r="AM58" s="64">
        <f>IFERROR(_xlfn.STDEV.S('B4'!AM27,'B5'!AM27,'B6'!AM27),0)</f>
        <v>0</v>
      </c>
      <c r="AN58" s="64">
        <f>IFERROR(_xlfn.STDEV.S('B4'!AN27,'B5'!AN27,'B6'!AN27),0)</f>
        <v>0</v>
      </c>
      <c r="AO58" s="64">
        <f>IFERROR(_xlfn.STDEV.S('B4'!AO27,'B5'!AO27,'B6'!AO27),0)</f>
        <v>0</v>
      </c>
      <c r="AP58" s="64">
        <f>IFERROR(_xlfn.STDEV.S('B4'!AP27,'B5'!AP27,'B6'!AP27),0)</f>
        <v>0</v>
      </c>
      <c r="AQ58" s="64">
        <f>IFERROR(_xlfn.STDEV.S('B4'!AQ27,'B5'!AQ27,'B6'!AQ27),0)</f>
        <v>0</v>
      </c>
      <c r="AR58" s="64">
        <f>IFERROR(_xlfn.STDEV.S('B4'!AR27,'B5'!AR27,'B6'!AR27),0)</f>
        <v>0</v>
      </c>
      <c r="AS58" s="64">
        <f>IFERROR(_xlfn.STDEV.S('B4'!AS27,'B5'!AS27,'B6'!AS27),0)</f>
        <v>0</v>
      </c>
      <c r="AT58" s="64">
        <f>IFERROR(_xlfn.STDEV.S('B4'!AT27,'B5'!AT27,'B6'!AT27),0)</f>
        <v>0</v>
      </c>
      <c r="AU58" s="64">
        <f>IFERROR(_xlfn.STDEV.S('B4'!AU27,'B5'!AU27,'B6'!AU27),0)</f>
        <v>0</v>
      </c>
      <c r="AV58" s="64">
        <f>IFERROR(_xlfn.STDEV.S('B4'!AV27,'B5'!AV27,'B6'!AV27),0)</f>
        <v>0</v>
      </c>
      <c r="AW58" s="64">
        <f>IFERROR(_xlfn.STDEV.S('B4'!AW27,'B5'!AW27,'B6'!AW27),0)</f>
        <v>0</v>
      </c>
      <c r="AX58" s="64">
        <f>IFERROR(_xlfn.STDEV.S('B4'!AX27,'B5'!AX27,'B6'!AX27),0)</f>
        <v>0</v>
      </c>
      <c r="AY58" s="64">
        <f>IFERROR(_xlfn.STDEV.S('B4'!AY27,'B5'!AY27,'B6'!AY27),0)</f>
        <v>0</v>
      </c>
      <c r="AZ58" s="64">
        <f>IFERROR(_xlfn.STDEV.S('B4'!AZ27,'B5'!AZ27,'B6'!AZ27),0)</f>
        <v>0</v>
      </c>
      <c r="BA58" s="124">
        <f>IFERROR(_xlfn.STDEV.S('B4'!BA27,'B5'!BA27,'B6'!BA27),0)</f>
        <v>0</v>
      </c>
      <c r="BB58" s="64">
        <f>IFERROR(_xlfn.STDEV.S('B4'!BC27,'B5'!BC27,'B6'!BC27),0)</f>
        <v>0</v>
      </c>
      <c r="BC58" s="64">
        <f>IFERROR(_xlfn.STDEV.S('B4'!BD27,'B5'!BD27,'B6'!BD27),0)</f>
        <v>0</v>
      </c>
      <c r="BD58" s="64">
        <f>IFERROR(_xlfn.STDEV.S('B4'!BE27,'B5'!BE27,'B6'!BE27),0)</f>
        <v>0</v>
      </c>
      <c r="BE58" s="64">
        <f>IFERROR(_xlfn.STDEV.S('B4'!BF27,'B5'!BF27,'B6'!BF27),0)</f>
        <v>0</v>
      </c>
      <c r="BF58" s="64">
        <f>IFERROR(_xlfn.STDEV.S('B4'!BG27,'B5'!BG27,'B6'!BG27),0)</f>
        <v>0</v>
      </c>
      <c r="BG58" s="64">
        <f>IFERROR(_xlfn.STDEV.S('B4'!BH27,'B5'!BH27,'B6'!BH27),0)</f>
        <v>0</v>
      </c>
      <c r="BH58" s="64">
        <f>IFERROR(_xlfn.STDEV.S('B4'!BI27,'B5'!BI27,'B6'!BI27),0)</f>
        <v>0</v>
      </c>
      <c r="BI58" s="64">
        <f>IFERROR(_xlfn.STDEV.S('B4'!BJ27,'B5'!BJ27,'B6'!BJ27),0)</f>
        <v>0</v>
      </c>
      <c r="BJ58" s="64">
        <f>IFERROR(_xlfn.STDEV.S('B4'!BK27,'B5'!BK27,'B6'!BK27),0)</f>
        <v>0</v>
      </c>
      <c r="BK58" s="64">
        <f>IFERROR(_xlfn.STDEV.S('B4'!BL27,'B5'!BL27,'B6'!BL27),0)</f>
        <v>0</v>
      </c>
      <c r="BL58" s="64">
        <f>IFERROR(_xlfn.STDEV.S('B4'!BM27,'B5'!BM27,'B6'!BM27),0)</f>
        <v>0</v>
      </c>
      <c r="BM58" s="64">
        <f>IFERROR(_xlfn.STDEV.S('B4'!BN27,'B5'!BN27,'B6'!BN27),0)</f>
        <v>0</v>
      </c>
      <c r="BN58" s="64">
        <f>IFERROR(_xlfn.STDEV.S('B4'!BO27,'B5'!BO27,'B6'!BO27),0)</f>
        <v>0</v>
      </c>
      <c r="BO58" s="64">
        <f>IFERROR(_xlfn.STDEV.S('B4'!BP27,'B5'!BP27,'B6'!BP27),0)</f>
        <v>0</v>
      </c>
      <c r="BP58" s="64">
        <f>IFERROR(_xlfn.STDEV.S('B4'!BQ27,'B5'!BQ27,'B6'!BQ27),0)</f>
        <v>0</v>
      </c>
      <c r="BQ58" s="64">
        <f>IFERROR(_xlfn.STDEV.S('B4'!BR27,'B5'!BR27,'B6'!BR27),0)</f>
        <v>0</v>
      </c>
      <c r="BR58" s="64">
        <f>IFERROR(_xlfn.STDEV.S('B4'!BS27,'B5'!BS27,'B6'!BS27),0)</f>
        <v>0</v>
      </c>
      <c r="BS58" s="64">
        <f>IFERROR(_xlfn.STDEV.S('B4'!BT27,'B5'!BT27,'B6'!BT27),0)</f>
        <v>0</v>
      </c>
      <c r="BT58" s="64">
        <f>IFERROR(_xlfn.STDEV.S('B4'!BU27,'B5'!BU27,'B6'!BU27),0)</f>
        <v>0</v>
      </c>
      <c r="BU58" s="64">
        <f>IFERROR(_xlfn.STDEV.S('B4'!BV27,'B5'!BV27,'B6'!BV27),0)</f>
        <v>0</v>
      </c>
      <c r="BV58" s="64">
        <f>IFERROR(_xlfn.STDEV.S('B4'!BW27,'B5'!BW27,'B6'!BW27),0)</f>
        <v>0</v>
      </c>
    </row>
    <row r="59" spans="1:74" ht="16" thickBot="1" x14ac:dyDescent="0.4">
      <c r="A59" s="63">
        <f t="shared" si="7"/>
        <v>0</v>
      </c>
      <c r="B59" s="129">
        <f t="shared" si="7"/>
        <v>0</v>
      </c>
      <c r="C59" s="79"/>
      <c r="D59" s="18">
        <f>IFERROR(_xlfn.STDEV.S('B4'!D28,'B5'!D28,'B6'!D28),0)</f>
        <v>0</v>
      </c>
      <c r="E59" s="18">
        <f>IFERROR(_xlfn.STDEV.S('B4'!E28,'B5'!E28,'B6'!E28),0)</f>
        <v>0</v>
      </c>
      <c r="F59" s="18">
        <f>IFERROR(_xlfn.STDEV.S('B4'!F28,'B5'!F28,'B6'!F28),0)</f>
        <v>0</v>
      </c>
      <c r="G59" s="18">
        <f>IFERROR(_xlfn.STDEV.S('B4'!G28,'B5'!G28,'B6'!G28),0)</f>
        <v>0</v>
      </c>
      <c r="H59" s="18">
        <f>IFERROR(_xlfn.STDEV.S('B4'!H28,'B5'!H28,'B6'!H28),0)</f>
        <v>0</v>
      </c>
      <c r="I59" s="18">
        <f>IFERROR(_xlfn.STDEV.S('B4'!I28,'B5'!I28,'B6'!I28),0)</f>
        <v>0</v>
      </c>
      <c r="J59" s="18">
        <f>IFERROR(_xlfn.STDEV.S('B4'!J28,'B5'!J28,'B6'!J28),0)</f>
        <v>0</v>
      </c>
      <c r="K59" s="18">
        <f>IFERROR(_xlfn.STDEV.S('B4'!K28,'B5'!K28,'B6'!K28),0)</f>
        <v>0</v>
      </c>
      <c r="L59" s="18">
        <f>IFERROR(_xlfn.STDEV.S('B4'!L28,'B5'!L28,'B6'!L28),0)</f>
        <v>0</v>
      </c>
      <c r="M59" s="18">
        <f>IFERROR(_xlfn.STDEV.S('B4'!M28,'B5'!M28,'B6'!M28),0)</f>
        <v>0</v>
      </c>
      <c r="N59" s="18">
        <f>IFERROR(_xlfn.STDEV.S('B4'!N28,'B5'!N28,'B6'!N28),0)</f>
        <v>0</v>
      </c>
      <c r="O59" s="18">
        <f>IFERROR(_xlfn.STDEV.S('B4'!O28,'B5'!O28,'B6'!O28),0)</f>
        <v>0</v>
      </c>
      <c r="P59" s="18">
        <f>IFERROR(_xlfn.STDEV.S('B4'!P28,'B5'!P28,'B6'!P28),0)</f>
        <v>0</v>
      </c>
      <c r="Q59" s="18">
        <f>IFERROR(_xlfn.STDEV.S('B4'!Q28,'B5'!Q28,'B6'!Q28),0)</f>
        <v>0</v>
      </c>
      <c r="R59" s="18">
        <f>IFERROR(_xlfn.STDEV.S('B4'!R28,'B5'!R28,'B6'!R28),0)</f>
        <v>0</v>
      </c>
      <c r="S59" s="18">
        <f>IFERROR(_xlfn.STDEV.S('B4'!S28,'B5'!S28,'B6'!S28),0)</f>
        <v>0</v>
      </c>
      <c r="T59" s="18">
        <f>IFERROR(_xlfn.STDEV.S('B4'!T28,'B5'!T28,'B6'!T28),0)</f>
        <v>0</v>
      </c>
      <c r="U59" s="18">
        <f>IFERROR(_xlfn.STDEV.S('B4'!U28,'B5'!U28,'B6'!U28),0)</f>
        <v>0</v>
      </c>
      <c r="V59" s="18">
        <f>IFERROR(_xlfn.STDEV.S('B4'!V28,'B5'!V28,'B6'!V28),0)</f>
        <v>0</v>
      </c>
      <c r="W59" s="123">
        <f>IFERROR(_xlfn.STDEV.S('B4'!W28,'B5'!W28,'B6'!W28),0)</f>
        <v>0</v>
      </c>
      <c r="X59" s="123">
        <f>IFERROR(_xlfn.STDEV.S('B4'!X28,'B5'!X28,'B6'!X28),0)</f>
        <v>0</v>
      </c>
      <c r="Y59" s="123">
        <f>IFERROR(_xlfn.STDEV.S('B4'!Y28,'B5'!Y28,'B6'!Y28),0)</f>
        <v>0</v>
      </c>
      <c r="Z59" s="123">
        <f>IFERROR(_xlfn.STDEV.S('B4'!Z28,'B5'!Z28,'B6'!Z28),0)</f>
        <v>0</v>
      </c>
      <c r="AA59" s="123">
        <f>IFERROR(_xlfn.STDEV.S('B4'!AA28,'B5'!AA28,'B6'!AA28),0)</f>
        <v>0</v>
      </c>
      <c r="AB59" s="123">
        <f>IFERROR(_xlfn.STDEV.S('B4'!AB28,'B5'!AB28,'B6'!AB28),0)</f>
        <v>0</v>
      </c>
      <c r="AC59" s="123">
        <f>IFERROR(_xlfn.STDEV.S('B4'!AC28,'B5'!AC28,'B6'!AC28),0)</f>
        <v>0</v>
      </c>
      <c r="AD59" s="123">
        <f>IFERROR(_xlfn.STDEV.S('B4'!AD28,'B5'!AD28,'B6'!AD28),0)</f>
        <v>0</v>
      </c>
      <c r="AE59" s="123">
        <f>IFERROR(_xlfn.STDEV.S('B4'!AE28,'B5'!AE28,'B6'!AE28),0)</f>
        <v>0</v>
      </c>
      <c r="AF59" s="123">
        <f>IFERROR(_xlfn.STDEV.S('B4'!AF28,'B5'!AF28,'B6'!AF28),0)</f>
        <v>0</v>
      </c>
      <c r="AG59" s="123">
        <f>IFERROR(_xlfn.STDEV.S('B4'!AG28,'B5'!AG28,'B6'!AG28),0)</f>
        <v>0</v>
      </c>
      <c r="AH59" s="123">
        <f>IFERROR(_xlfn.STDEV.S('B4'!AH28,'B5'!AH28,'B6'!AH28),0)</f>
        <v>0</v>
      </c>
      <c r="AI59" s="123">
        <f>IFERROR(_xlfn.STDEV.S('B4'!AI28,'B5'!AI28,'B6'!AI28),0)</f>
        <v>0</v>
      </c>
      <c r="AJ59" s="64">
        <f>IFERROR(_xlfn.STDEV.S('B4'!AJ28,'B5'!AJ28,'B6'!AJ28),0)</f>
        <v>0</v>
      </c>
      <c r="AK59" s="64">
        <f>IFERROR(_xlfn.STDEV.S('B4'!AK28,'B5'!AK28,'B6'!AK28),0)</f>
        <v>0</v>
      </c>
      <c r="AL59" s="64">
        <f>IFERROR(_xlfn.STDEV.S('B4'!AL28,'B5'!AL28,'B6'!AL28),0)</f>
        <v>0</v>
      </c>
      <c r="AM59" s="64">
        <f>IFERROR(_xlfn.STDEV.S('B4'!AM28,'B5'!AM28,'B6'!AM28),0)</f>
        <v>0</v>
      </c>
      <c r="AN59" s="64">
        <f>IFERROR(_xlfn.STDEV.S('B4'!AN28,'B5'!AN28,'B6'!AN28),0)</f>
        <v>0</v>
      </c>
      <c r="AO59" s="64">
        <f>IFERROR(_xlfn.STDEV.S('B4'!AO28,'B5'!AO28,'B6'!AO28),0)</f>
        <v>0</v>
      </c>
      <c r="AP59" s="64">
        <f>IFERROR(_xlfn.STDEV.S('B4'!AP28,'B5'!AP28,'B6'!AP28),0)</f>
        <v>0</v>
      </c>
      <c r="AQ59" s="64">
        <f>IFERROR(_xlfn.STDEV.S('B4'!AQ28,'B5'!AQ28,'B6'!AQ28),0)</f>
        <v>0</v>
      </c>
      <c r="AR59" s="64">
        <f>IFERROR(_xlfn.STDEV.S('B4'!AR28,'B5'!AR28,'B6'!AR28),0)</f>
        <v>0</v>
      </c>
      <c r="AS59" s="64">
        <f>IFERROR(_xlfn.STDEV.S('B4'!AS28,'B5'!AS28,'B6'!AS28),0)</f>
        <v>0</v>
      </c>
      <c r="AT59" s="64">
        <f>IFERROR(_xlfn.STDEV.S('B4'!AT28,'B5'!AT28,'B6'!AT28),0)</f>
        <v>0</v>
      </c>
      <c r="AU59" s="64">
        <f>IFERROR(_xlfn.STDEV.S('B4'!AU28,'B5'!AU28,'B6'!AU28),0)</f>
        <v>0</v>
      </c>
      <c r="AV59" s="64">
        <f>IFERROR(_xlfn.STDEV.S('B4'!AV28,'B5'!AV28,'B6'!AV28),0)</f>
        <v>0</v>
      </c>
      <c r="AW59" s="64">
        <f>IFERROR(_xlfn.STDEV.S('B4'!AW28,'B5'!AW28,'B6'!AW28),0)</f>
        <v>0</v>
      </c>
      <c r="AX59" s="64">
        <f>IFERROR(_xlfn.STDEV.S('B4'!AX28,'B5'!AX28,'B6'!AX28),0)</f>
        <v>0</v>
      </c>
      <c r="AY59" s="64">
        <f>IFERROR(_xlfn.STDEV.S('B4'!AY28,'B5'!AY28,'B6'!AY28),0)</f>
        <v>0</v>
      </c>
      <c r="AZ59" s="64">
        <f>IFERROR(_xlfn.STDEV.S('B4'!AZ28,'B5'!AZ28,'B6'!AZ28),0)</f>
        <v>0</v>
      </c>
      <c r="BA59" s="124">
        <f>IFERROR(_xlfn.STDEV.S('B4'!BA28,'B5'!BA28,'B6'!BA28),0)</f>
        <v>0</v>
      </c>
      <c r="BB59" s="64">
        <f>IFERROR(_xlfn.STDEV.S('B4'!BC28,'B5'!BC28,'B6'!BC28),0)</f>
        <v>0</v>
      </c>
      <c r="BC59" s="64">
        <f>IFERROR(_xlfn.STDEV.S('B4'!BD28,'B5'!BD28,'B6'!BD28),0)</f>
        <v>0</v>
      </c>
      <c r="BD59" s="64">
        <f>IFERROR(_xlfn.STDEV.S('B4'!BE28,'B5'!BE28,'B6'!BE28),0)</f>
        <v>0</v>
      </c>
      <c r="BE59" s="64">
        <f>IFERROR(_xlfn.STDEV.S('B4'!BF28,'B5'!BF28,'B6'!BF28),0)</f>
        <v>0</v>
      </c>
      <c r="BF59" s="64">
        <f>IFERROR(_xlfn.STDEV.S('B4'!BG28,'B5'!BG28,'B6'!BG28),0)</f>
        <v>0</v>
      </c>
      <c r="BG59" s="64">
        <f>IFERROR(_xlfn.STDEV.S('B4'!BH28,'B5'!BH28,'B6'!BH28),0)</f>
        <v>0</v>
      </c>
      <c r="BH59" s="64">
        <f>IFERROR(_xlfn.STDEV.S('B4'!BI28,'B5'!BI28,'B6'!BI28),0)</f>
        <v>0</v>
      </c>
      <c r="BI59" s="64">
        <f>IFERROR(_xlfn.STDEV.S('B4'!BJ28,'B5'!BJ28,'B6'!BJ28),0)</f>
        <v>0</v>
      </c>
      <c r="BJ59" s="64">
        <f>IFERROR(_xlfn.STDEV.S('B4'!BK28,'B5'!BK28,'B6'!BK28),0)</f>
        <v>0</v>
      </c>
      <c r="BK59" s="64">
        <f>IFERROR(_xlfn.STDEV.S('B4'!BL28,'B5'!BL28,'B6'!BL28),0)</f>
        <v>0</v>
      </c>
      <c r="BL59" s="64">
        <f>IFERROR(_xlfn.STDEV.S('B4'!BM28,'B5'!BM28,'B6'!BM28),0)</f>
        <v>0</v>
      </c>
      <c r="BM59" s="64">
        <f>IFERROR(_xlfn.STDEV.S('B4'!BN28,'B5'!BN28,'B6'!BN28),0)</f>
        <v>0</v>
      </c>
      <c r="BN59" s="64">
        <f>IFERROR(_xlfn.STDEV.S('B4'!BO28,'B5'!BO28,'B6'!BO28),0)</f>
        <v>0</v>
      </c>
      <c r="BO59" s="64">
        <f>IFERROR(_xlfn.STDEV.S('B4'!BP28,'B5'!BP28,'B6'!BP28),0)</f>
        <v>0</v>
      </c>
      <c r="BP59" s="64">
        <f>IFERROR(_xlfn.STDEV.S('B4'!BQ28,'B5'!BQ28,'B6'!BQ28),0)</f>
        <v>0</v>
      </c>
      <c r="BQ59" s="64">
        <f>IFERROR(_xlfn.STDEV.S('B4'!BR28,'B5'!BR28,'B6'!BR28),0)</f>
        <v>0</v>
      </c>
      <c r="BR59" s="64">
        <f>IFERROR(_xlfn.STDEV.S('B4'!BS28,'B5'!BS28,'B6'!BS28),0)</f>
        <v>0</v>
      </c>
      <c r="BS59" s="64">
        <f>IFERROR(_xlfn.STDEV.S('B4'!BT28,'B5'!BT28,'B6'!BT28),0)</f>
        <v>0</v>
      </c>
      <c r="BT59" s="64">
        <f>IFERROR(_xlfn.STDEV.S('B4'!BU28,'B5'!BU28,'B6'!BU28),0)</f>
        <v>0</v>
      </c>
      <c r="BU59" s="64">
        <f>IFERROR(_xlfn.STDEV.S('B4'!BV28,'B5'!BV28,'B6'!BV28),0)</f>
        <v>0</v>
      </c>
      <c r="BV59" s="64">
        <f>IFERROR(_xlfn.STDEV.S('B4'!BW28,'B5'!BW28,'B6'!BW28),0)</f>
        <v>0</v>
      </c>
    </row>
    <row r="60" spans="1:74" ht="16" thickBot="1" x14ac:dyDescent="0.4">
      <c r="A60" s="63">
        <f t="shared" si="7"/>
        <v>0</v>
      </c>
      <c r="B60" s="129">
        <f t="shared" si="7"/>
        <v>0</v>
      </c>
      <c r="C60" s="54"/>
      <c r="D60" s="18">
        <f>IFERROR(_xlfn.STDEV.S('B4'!D29,'B5'!D29,'B6'!D29),0)</f>
        <v>0</v>
      </c>
      <c r="E60" s="18">
        <f>IFERROR(_xlfn.STDEV.S('B4'!E29,'B5'!E29,'B6'!E29),0)</f>
        <v>0</v>
      </c>
      <c r="F60" s="18">
        <f>IFERROR(_xlfn.STDEV.S('B4'!F29,'B5'!F29,'B6'!F29),0)</f>
        <v>0</v>
      </c>
      <c r="G60" s="18">
        <f>IFERROR(_xlfn.STDEV.S('B4'!G29,'B5'!G29,'B6'!G29),0)</f>
        <v>0</v>
      </c>
      <c r="H60" s="18">
        <f>IFERROR(_xlfn.STDEV.S('B4'!H29,'B5'!H29,'B6'!H29),0)</f>
        <v>0</v>
      </c>
      <c r="I60" s="18">
        <f>IFERROR(_xlfn.STDEV.S('B4'!I29,'B5'!I29,'B6'!I29),0)</f>
        <v>0</v>
      </c>
      <c r="J60" s="18">
        <f>IFERROR(_xlfn.STDEV.S('B4'!J29,'B5'!J29,'B6'!J29),0)</f>
        <v>0</v>
      </c>
      <c r="K60" s="18">
        <f>IFERROR(_xlfn.STDEV.S('B4'!K29,'B5'!K29,'B6'!K29),0)</f>
        <v>0</v>
      </c>
      <c r="L60" s="18">
        <f>IFERROR(_xlfn.STDEV.S('B4'!L29,'B5'!L29,'B6'!L29),0)</f>
        <v>0</v>
      </c>
      <c r="M60" s="18">
        <f>IFERROR(_xlfn.STDEV.S('B4'!M29,'B5'!M29,'B6'!M29),0)</f>
        <v>0</v>
      </c>
      <c r="N60" s="18">
        <f>IFERROR(_xlfn.STDEV.S('B4'!N29,'B5'!N29,'B6'!N29),0)</f>
        <v>0</v>
      </c>
      <c r="O60" s="18">
        <f>IFERROR(_xlfn.STDEV.S('B4'!O29,'B5'!O29,'B6'!O29),0)</f>
        <v>0</v>
      </c>
      <c r="P60" s="18">
        <f>IFERROR(_xlfn.STDEV.S('B4'!P29,'B5'!P29,'B6'!P29),0)</f>
        <v>0</v>
      </c>
      <c r="Q60" s="18">
        <f>IFERROR(_xlfn.STDEV.S('B4'!Q29,'B5'!Q29,'B6'!Q29),0)</f>
        <v>0</v>
      </c>
      <c r="R60" s="18">
        <f>IFERROR(_xlfn.STDEV.S('B4'!R29,'B5'!R29,'B6'!R29),0)</f>
        <v>0</v>
      </c>
      <c r="S60" s="18">
        <f>IFERROR(_xlfn.STDEV.S('B4'!S29,'B5'!S29,'B6'!S29),0)</f>
        <v>0</v>
      </c>
      <c r="T60" s="18">
        <f>IFERROR(_xlfn.STDEV.S('B4'!T29,'B5'!T29,'B6'!T29),0)</f>
        <v>0</v>
      </c>
      <c r="U60" s="18">
        <f>IFERROR(_xlfn.STDEV.S('B4'!U29,'B5'!U29,'B6'!U29),0)</f>
        <v>0</v>
      </c>
      <c r="V60" s="18">
        <f>IFERROR(_xlfn.STDEV.S('B4'!V29,'B5'!V29,'B6'!V29),0)</f>
        <v>0</v>
      </c>
      <c r="W60" s="123">
        <f>IFERROR(_xlfn.STDEV.S('B4'!W29,'B5'!W29,'B6'!W29),0)</f>
        <v>0</v>
      </c>
      <c r="X60" s="123">
        <f>IFERROR(_xlfn.STDEV.S('B4'!X29,'B5'!X29,'B6'!X29),0)</f>
        <v>0</v>
      </c>
      <c r="Y60" s="123">
        <f>IFERROR(_xlfn.STDEV.S('B4'!Y29,'B5'!Y29,'B6'!Y29),0)</f>
        <v>0</v>
      </c>
      <c r="Z60" s="123">
        <f>IFERROR(_xlfn.STDEV.S('B4'!Z29,'B5'!Z29,'B6'!Z29),0)</f>
        <v>0</v>
      </c>
      <c r="AA60" s="123">
        <f>IFERROR(_xlfn.STDEV.S('B4'!AA29,'B5'!AA29,'B6'!AA29),0)</f>
        <v>0</v>
      </c>
      <c r="AB60" s="123">
        <f>IFERROR(_xlfn.STDEV.S('B4'!AB29,'B5'!AB29,'B6'!AB29),0)</f>
        <v>0</v>
      </c>
      <c r="AC60" s="123">
        <f>IFERROR(_xlfn.STDEV.S('B4'!AC29,'B5'!AC29,'B6'!AC29),0)</f>
        <v>0</v>
      </c>
      <c r="AD60" s="123">
        <f>IFERROR(_xlfn.STDEV.S('B4'!AD29,'B5'!AD29,'B6'!AD29),0)</f>
        <v>0</v>
      </c>
      <c r="AE60" s="123">
        <f>IFERROR(_xlfn.STDEV.S('B4'!AE29,'B5'!AE29,'B6'!AE29),0)</f>
        <v>0</v>
      </c>
      <c r="AF60" s="123">
        <f>IFERROR(_xlfn.STDEV.S('B4'!AF29,'B5'!AF29,'B6'!AF29),0)</f>
        <v>0</v>
      </c>
      <c r="AG60" s="123">
        <f>IFERROR(_xlfn.STDEV.S('B4'!AG29,'B5'!AG29,'B6'!AG29),0)</f>
        <v>0</v>
      </c>
      <c r="AH60" s="123">
        <f>IFERROR(_xlfn.STDEV.S('B4'!AH29,'B5'!AH29,'B6'!AH29),0)</f>
        <v>0</v>
      </c>
      <c r="AI60" s="123">
        <f>IFERROR(_xlfn.STDEV.S('B4'!AI29,'B5'!AI29,'B6'!AI29),0)</f>
        <v>0</v>
      </c>
      <c r="AJ60" s="64">
        <f>IFERROR(_xlfn.STDEV.S('B4'!AJ29,'B5'!AJ29,'B6'!AJ29),0)</f>
        <v>0</v>
      </c>
      <c r="AK60" s="64">
        <f>IFERROR(_xlfn.STDEV.S('B4'!AK29,'B5'!AK29,'B6'!AK29),0)</f>
        <v>0</v>
      </c>
      <c r="AL60" s="64">
        <f>IFERROR(_xlfn.STDEV.S('B4'!AL29,'B5'!AL29,'B6'!AL29),0)</f>
        <v>0</v>
      </c>
      <c r="AM60" s="64">
        <f>IFERROR(_xlfn.STDEV.S('B4'!AM29,'B5'!AM29,'B6'!AM29),0)</f>
        <v>0</v>
      </c>
      <c r="AN60" s="64">
        <f>IFERROR(_xlfn.STDEV.S('B4'!AN29,'B5'!AN29,'B6'!AN29),0)</f>
        <v>0</v>
      </c>
      <c r="AO60" s="64">
        <f>IFERROR(_xlfn.STDEV.S('B4'!AO29,'B5'!AO29,'B6'!AO29),0)</f>
        <v>0</v>
      </c>
      <c r="AP60" s="64">
        <f>IFERROR(_xlfn.STDEV.S('B4'!AP29,'B5'!AP29,'B6'!AP29),0)</f>
        <v>0</v>
      </c>
      <c r="AQ60" s="64">
        <f>IFERROR(_xlfn.STDEV.S('B4'!AQ29,'B5'!AQ29,'B6'!AQ29),0)</f>
        <v>0</v>
      </c>
      <c r="AR60" s="64">
        <f>IFERROR(_xlfn.STDEV.S('B4'!AR29,'B5'!AR29,'B6'!AR29),0)</f>
        <v>0</v>
      </c>
      <c r="AS60" s="64">
        <f>IFERROR(_xlfn.STDEV.S('B4'!AS29,'B5'!AS29,'B6'!AS29),0)</f>
        <v>0</v>
      </c>
      <c r="AT60" s="64">
        <f>IFERROR(_xlfn.STDEV.S('B4'!AT29,'B5'!AT29,'B6'!AT29),0)</f>
        <v>0</v>
      </c>
      <c r="AU60" s="64">
        <f>IFERROR(_xlfn.STDEV.S('B4'!AU29,'B5'!AU29,'B6'!AU29),0)</f>
        <v>0</v>
      </c>
      <c r="AV60" s="64">
        <f>IFERROR(_xlfn.STDEV.S('B4'!AV29,'B5'!AV29,'B6'!AV29),0)</f>
        <v>0</v>
      </c>
      <c r="AW60" s="64">
        <f>IFERROR(_xlfn.STDEV.S('B4'!AW29,'B5'!AW29,'B6'!AW29),0)</f>
        <v>0</v>
      </c>
      <c r="AX60" s="64">
        <f>IFERROR(_xlfn.STDEV.S('B4'!AX29,'B5'!AX29,'B6'!AX29),0)</f>
        <v>0</v>
      </c>
      <c r="AY60" s="64">
        <f>IFERROR(_xlfn.STDEV.S('B4'!AY29,'B5'!AY29,'B6'!AY29),0)</f>
        <v>0</v>
      </c>
      <c r="AZ60" s="64">
        <f>IFERROR(_xlfn.STDEV.S('B4'!AZ29,'B5'!AZ29,'B6'!AZ29),0)</f>
        <v>0</v>
      </c>
      <c r="BA60" s="124">
        <f>IFERROR(_xlfn.STDEV.S('B4'!BA29,'B5'!BA29,'B6'!BA29),0)</f>
        <v>0</v>
      </c>
      <c r="BB60" s="64">
        <f>IFERROR(_xlfn.STDEV.S('B4'!BC29,'B5'!BC29,'B6'!BC29),0)</f>
        <v>0</v>
      </c>
      <c r="BC60" s="64">
        <f>IFERROR(_xlfn.STDEV.S('B4'!BD29,'B5'!BD29,'B6'!BD29),0)</f>
        <v>0</v>
      </c>
      <c r="BD60" s="64">
        <f>IFERROR(_xlfn.STDEV.S('B4'!BE29,'B5'!BE29,'B6'!BE29),0)</f>
        <v>0</v>
      </c>
      <c r="BE60" s="64">
        <f>IFERROR(_xlfn.STDEV.S('B4'!BF29,'B5'!BF29,'B6'!BF29),0)</f>
        <v>0</v>
      </c>
      <c r="BF60" s="64">
        <f>IFERROR(_xlfn.STDEV.S('B4'!BG29,'B5'!BG29,'B6'!BG29),0)</f>
        <v>0</v>
      </c>
      <c r="BG60" s="64">
        <f>IFERROR(_xlfn.STDEV.S('B4'!BH29,'B5'!BH29,'B6'!BH29),0)</f>
        <v>0</v>
      </c>
      <c r="BH60" s="64">
        <f>IFERROR(_xlfn.STDEV.S('B4'!BI29,'B5'!BI29,'B6'!BI29),0)</f>
        <v>0</v>
      </c>
      <c r="BI60" s="64">
        <f>IFERROR(_xlfn.STDEV.S('B4'!BJ29,'B5'!BJ29,'B6'!BJ29),0)</f>
        <v>0</v>
      </c>
      <c r="BJ60" s="64">
        <f>IFERROR(_xlfn.STDEV.S('B4'!BK29,'B5'!BK29,'B6'!BK29),0)</f>
        <v>0</v>
      </c>
      <c r="BK60" s="64">
        <f>IFERROR(_xlfn.STDEV.S('B4'!BL29,'B5'!BL29,'B6'!BL29),0)</f>
        <v>0</v>
      </c>
      <c r="BL60" s="64">
        <f>IFERROR(_xlfn.STDEV.S('B4'!BM29,'B5'!BM29,'B6'!BM29),0)</f>
        <v>0</v>
      </c>
      <c r="BM60" s="64">
        <f>IFERROR(_xlfn.STDEV.S('B4'!BN29,'B5'!BN29,'B6'!BN29),0)</f>
        <v>0</v>
      </c>
      <c r="BN60" s="64">
        <f>IFERROR(_xlfn.STDEV.S('B4'!BO29,'B5'!BO29,'B6'!BO29),0)</f>
        <v>0</v>
      </c>
      <c r="BO60" s="64">
        <f>IFERROR(_xlfn.STDEV.S('B4'!BP29,'B5'!BP29,'B6'!BP29),0)</f>
        <v>0</v>
      </c>
      <c r="BP60" s="64">
        <f>IFERROR(_xlfn.STDEV.S('B4'!BQ29,'B5'!BQ29,'B6'!BQ29),0)</f>
        <v>0</v>
      </c>
      <c r="BQ60" s="64">
        <f>IFERROR(_xlfn.STDEV.S('B4'!BR29,'B5'!BR29,'B6'!BR29),0)</f>
        <v>0</v>
      </c>
      <c r="BR60" s="64">
        <f>IFERROR(_xlfn.STDEV.S('B4'!BS29,'B5'!BS29,'B6'!BS29),0)</f>
        <v>0</v>
      </c>
      <c r="BS60" s="64">
        <f>IFERROR(_xlfn.STDEV.S('B4'!BT29,'B5'!BT29,'B6'!BT29),0)</f>
        <v>0</v>
      </c>
      <c r="BT60" s="64">
        <f>IFERROR(_xlfn.STDEV.S('B4'!BU29,'B5'!BU29,'B6'!BU29),0)</f>
        <v>0</v>
      </c>
      <c r="BU60" s="64">
        <f>IFERROR(_xlfn.STDEV.S('B4'!BV29,'B5'!BV29,'B6'!BV29),0)</f>
        <v>0</v>
      </c>
      <c r="BV60" s="64">
        <f>IFERROR(_xlfn.STDEV.S('B4'!BW29,'B5'!BW29,'B6'!BW29),0)</f>
        <v>0</v>
      </c>
    </row>
    <row r="61" spans="1:74" ht="16" thickBot="1" x14ac:dyDescent="0.4">
      <c r="A61" s="63">
        <f t="shared" si="7"/>
        <v>0</v>
      </c>
      <c r="B61" s="129">
        <f t="shared" si="7"/>
        <v>0</v>
      </c>
      <c r="C61" s="79"/>
      <c r="D61" s="18">
        <f>IFERROR(_xlfn.STDEV.S('B4'!D30,'B5'!D30,'B6'!D30),0)</f>
        <v>0</v>
      </c>
      <c r="E61" s="18">
        <f>IFERROR(_xlfn.STDEV.S('B4'!E30,'B5'!E30,'B6'!E30),0)</f>
        <v>0</v>
      </c>
      <c r="F61" s="18">
        <f>IFERROR(_xlfn.STDEV.S('B4'!F30,'B5'!F30,'B6'!F30),0)</f>
        <v>0</v>
      </c>
      <c r="G61" s="18">
        <f>IFERROR(_xlfn.STDEV.S('B4'!G30,'B5'!G30,'B6'!G30),0)</f>
        <v>0</v>
      </c>
      <c r="H61" s="18">
        <f>IFERROR(_xlfn.STDEV.S('B4'!H30,'B5'!H30,'B6'!H30),0)</f>
        <v>0</v>
      </c>
      <c r="I61" s="18">
        <f>IFERROR(_xlfn.STDEV.S('B4'!I30,'B5'!I30,'B6'!I30),0)</f>
        <v>0</v>
      </c>
      <c r="J61" s="18">
        <f>IFERROR(_xlfn.STDEV.S('B4'!J30,'B5'!J30,'B6'!J30),0)</f>
        <v>0</v>
      </c>
      <c r="K61" s="18">
        <f>IFERROR(_xlfn.STDEV.S('B4'!K30,'B5'!K30,'B6'!K30),0)</f>
        <v>0</v>
      </c>
      <c r="L61" s="18">
        <f>IFERROR(_xlfn.STDEV.S('B4'!L30,'B5'!L30,'B6'!L30),0)</f>
        <v>0</v>
      </c>
      <c r="M61" s="18">
        <f>IFERROR(_xlfn.STDEV.S('B4'!M30,'B5'!M30,'B6'!M30),0)</f>
        <v>0</v>
      </c>
      <c r="N61" s="18">
        <f>IFERROR(_xlfn.STDEV.S('B4'!N30,'B5'!N30,'B6'!N30),0)</f>
        <v>0</v>
      </c>
      <c r="O61" s="18">
        <f>IFERROR(_xlfn.STDEV.S('B4'!O30,'B5'!O30,'B6'!O30),0)</f>
        <v>0</v>
      </c>
      <c r="P61" s="18">
        <f>IFERROR(_xlfn.STDEV.S('B4'!P30,'B5'!P30,'B6'!P30),0)</f>
        <v>0</v>
      </c>
      <c r="Q61" s="18">
        <f>IFERROR(_xlfn.STDEV.S('B4'!Q30,'B5'!Q30,'B6'!Q30),0)</f>
        <v>0</v>
      </c>
      <c r="R61" s="18">
        <f>IFERROR(_xlfn.STDEV.S('B4'!R30,'B5'!R30,'B6'!R30),0)</f>
        <v>0</v>
      </c>
      <c r="S61" s="18">
        <f>IFERROR(_xlfn.STDEV.S('B4'!S30,'B5'!S30,'B6'!S30),0)</f>
        <v>0</v>
      </c>
      <c r="T61" s="18">
        <f>IFERROR(_xlfn.STDEV.S('B4'!T30,'B5'!T30,'B6'!T30),0)</f>
        <v>0</v>
      </c>
      <c r="U61" s="18">
        <f>IFERROR(_xlfn.STDEV.S('B4'!U30,'B5'!U30,'B6'!U30),0)</f>
        <v>0</v>
      </c>
      <c r="V61" s="18">
        <f>IFERROR(_xlfn.STDEV.S('B4'!V30,'B5'!V30,'B6'!V30),0)</f>
        <v>0</v>
      </c>
      <c r="W61" s="123">
        <f>IFERROR(_xlfn.STDEV.S('B4'!W30,'B5'!W30,'B6'!W30),0)</f>
        <v>0</v>
      </c>
      <c r="X61" s="123">
        <f>IFERROR(_xlfn.STDEV.S('B4'!X30,'B5'!X30,'B6'!X30),0)</f>
        <v>0</v>
      </c>
      <c r="Y61" s="123">
        <f>IFERROR(_xlfn.STDEV.S('B4'!Y30,'B5'!Y30,'B6'!Y30),0)</f>
        <v>0</v>
      </c>
      <c r="Z61" s="123">
        <f>IFERROR(_xlfn.STDEV.S('B4'!Z30,'B5'!Z30,'B6'!Z30),0)</f>
        <v>0</v>
      </c>
      <c r="AA61" s="123">
        <f>IFERROR(_xlfn.STDEV.S('B4'!AA30,'B5'!AA30,'B6'!AA30),0)</f>
        <v>0</v>
      </c>
      <c r="AB61" s="123">
        <f>IFERROR(_xlfn.STDEV.S('B4'!AB30,'B5'!AB30,'B6'!AB30),0)</f>
        <v>0</v>
      </c>
      <c r="AC61" s="123">
        <f>IFERROR(_xlfn.STDEV.S('B4'!AC30,'B5'!AC30,'B6'!AC30),0)</f>
        <v>0</v>
      </c>
      <c r="AD61" s="123">
        <f>IFERROR(_xlfn.STDEV.S('B4'!AD30,'B5'!AD30,'B6'!AD30),0)</f>
        <v>0</v>
      </c>
      <c r="AE61" s="123">
        <f>IFERROR(_xlfn.STDEV.S('B4'!AE30,'B5'!AE30,'B6'!AE30),0)</f>
        <v>0</v>
      </c>
      <c r="AF61" s="123">
        <f>IFERROR(_xlfn.STDEV.S('B4'!AF30,'B5'!AF30,'B6'!AF30),0)</f>
        <v>0</v>
      </c>
      <c r="AG61" s="123">
        <f>IFERROR(_xlfn.STDEV.S('B4'!AG30,'B5'!AG30,'B6'!AG30),0)</f>
        <v>0</v>
      </c>
      <c r="AH61" s="123">
        <f>IFERROR(_xlfn.STDEV.S('B4'!AH30,'B5'!AH30,'B6'!AH30),0)</f>
        <v>0</v>
      </c>
      <c r="AI61" s="123">
        <f>IFERROR(_xlfn.STDEV.S('B4'!AI30,'B5'!AI30,'B6'!AI30),0)</f>
        <v>0</v>
      </c>
      <c r="AJ61" s="64">
        <f>IFERROR(_xlfn.STDEV.S('B4'!AJ30,'B5'!AJ30,'B6'!AJ30),0)</f>
        <v>0</v>
      </c>
      <c r="AK61" s="64">
        <f>IFERROR(_xlfn.STDEV.S('B4'!AK30,'B5'!AK30,'B6'!AK30),0)</f>
        <v>0</v>
      </c>
      <c r="AL61" s="64">
        <f>IFERROR(_xlfn.STDEV.S('B4'!AL30,'B5'!AL30,'B6'!AL30),0)</f>
        <v>0</v>
      </c>
      <c r="AM61" s="64">
        <f>IFERROR(_xlfn.STDEV.S('B4'!AM30,'B5'!AM30,'B6'!AM30),0)</f>
        <v>0</v>
      </c>
      <c r="AN61" s="64">
        <f>IFERROR(_xlfn.STDEV.S('B4'!AN30,'B5'!AN30,'B6'!AN30),0)</f>
        <v>0</v>
      </c>
      <c r="AO61" s="64">
        <f>IFERROR(_xlfn.STDEV.S('B4'!AO30,'B5'!AO30,'B6'!AO30),0)</f>
        <v>0</v>
      </c>
      <c r="AP61" s="64">
        <f>IFERROR(_xlfn.STDEV.S('B4'!AP30,'B5'!AP30,'B6'!AP30),0)</f>
        <v>0</v>
      </c>
      <c r="AQ61" s="64">
        <f>IFERROR(_xlfn.STDEV.S('B4'!AQ30,'B5'!AQ30,'B6'!AQ30),0)</f>
        <v>0</v>
      </c>
      <c r="AR61" s="64">
        <f>IFERROR(_xlfn.STDEV.S('B4'!AR30,'B5'!AR30,'B6'!AR30),0)</f>
        <v>0</v>
      </c>
      <c r="AS61" s="64">
        <f>IFERROR(_xlfn.STDEV.S('B4'!AS30,'B5'!AS30,'B6'!AS30),0)</f>
        <v>0</v>
      </c>
      <c r="AT61" s="64">
        <f>IFERROR(_xlfn.STDEV.S('B4'!AT30,'B5'!AT30,'B6'!AT30),0)</f>
        <v>0</v>
      </c>
      <c r="AU61" s="64">
        <f>IFERROR(_xlfn.STDEV.S('B4'!AU30,'B5'!AU30,'B6'!AU30),0)</f>
        <v>0</v>
      </c>
      <c r="AV61" s="64">
        <f>IFERROR(_xlfn.STDEV.S('B4'!AV30,'B5'!AV30,'B6'!AV30),0)</f>
        <v>0</v>
      </c>
      <c r="AW61" s="64">
        <f>IFERROR(_xlfn.STDEV.S('B4'!AW30,'B5'!AW30,'B6'!AW30),0)</f>
        <v>0</v>
      </c>
      <c r="AX61" s="64">
        <f>IFERROR(_xlfn.STDEV.S('B4'!AX30,'B5'!AX30,'B6'!AX30),0)</f>
        <v>0</v>
      </c>
      <c r="AY61" s="64">
        <f>IFERROR(_xlfn.STDEV.S('B4'!AY30,'B5'!AY30,'B6'!AY30),0)</f>
        <v>0</v>
      </c>
      <c r="AZ61" s="64">
        <f>IFERROR(_xlfn.STDEV.S('B4'!AZ30,'B5'!AZ30,'B6'!AZ30),0)</f>
        <v>0</v>
      </c>
      <c r="BA61" s="124">
        <f>IFERROR(_xlfn.STDEV.S('B4'!BA30,'B5'!BA30,'B6'!BA30),0)</f>
        <v>0</v>
      </c>
      <c r="BB61" s="64">
        <f>IFERROR(_xlfn.STDEV.S('B4'!BC30,'B5'!BC30,'B6'!BC30),0)</f>
        <v>0</v>
      </c>
      <c r="BC61" s="64">
        <f>IFERROR(_xlfn.STDEV.S('B4'!BD30,'B5'!BD30,'B6'!BD30),0)</f>
        <v>0</v>
      </c>
      <c r="BD61" s="64">
        <f>IFERROR(_xlfn.STDEV.S('B4'!BE30,'B5'!BE30,'B6'!BE30),0)</f>
        <v>0</v>
      </c>
      <c r="BE61" s="64">
        <f>IFERROR(_xlfn.STDEV.S('B4'!BF30,'B5'!BF30,'B6'!BF30),0)</f>
        <v>0</v>
      </c>
      <c r="BF61" s="64">
        <f>IFERROR(_xlfn.STDEV.S('B4'!BG30,'B5'!BG30,'B6'!BG30),0)</f>
        <v>0</v>
      </c>
      <c r="BG61" s="64">
        <f>IFERROR(_xlfn.STDEV.S('B4'!BH30,'B5'!BH30,'B6'!BH30),0)</f>
        <v>0</v>
      </c>
      <c r="BH61" s="64">
        <f>IFERROR(_xlfn.STDEV.S('B4'!BI30,'B5'!BI30,'B6'!BI30),0)</f>
        <v>0</v>
      </c>
      <c r="BI61" s="64">
        <f>IFERROR(_xlfn.STDEV.S('B4'!BJ30,'B5'!BJ30,'B6'!BJ30),0)</f>
        <v>0</v>
      </c>
      <c r="BJ61" s="64">
        <f>IFERROR(_xlfn.STDEV.S('B4'!BK30,'B5'!BK30,'B6'!BK30),0)</f>
        <v>0</v>
      </c>
      <c r="BK61" s="64">
        <f>IFERROR(_xlfn.STDEV.S('B4'!BL30,'B5'!BL30,'B6'!BL30),0)</f>
        <v>0</v>
      </c>
      <c r="BL61" s="64">
        <f>IFERROR(_xlfn.STDEV.S('B4'!BM30,'B5'!BM30,'B6'!BM30),0)</f>
        <v>0</v>
      </c>
      <c r="BM61" s="64">
        <f>IFERROR(_xlfn.STDEV.S('B4'!BN30,'B5'!BN30,'B6'!BN30),0)</f>
        <v>0</v>
      </c>
      <c r="BN61" s="64">
        <f>IFERROR(_xlfn.STDEV.S('B4'!BO30,'B5'!BO30,'B6'!BO30),0)</f>
        <v>0</v>
      </c>
      <c r="BO61" s="64">
        <f>IFERROR(_xlfn.STDEV.S('B4'!BP30,'B5'!BP30,'B6'!BP30),0)</f>
        <v>0</v>
      </c>
      <c r="BP61" s="64">
        <f>IFERROR(_xlfn.STDEV.S('B4'!BQ30,'B5'!BQ30,'B6'!BQ30),0)</f>
        <v>0</v>
      </c>
      <c r="BQ61" s="64">
        <f>IFERROR(_xlfn.STDEV.S('B4'!BR30,'B5'!BR30,'B6'!BR30),0)</f>
        <v>0</v>
      </c>
      <c r="BR61" s="64">
        <f>IFERROR(_xlfn.STDEV.S('B4'!BS30,'B5'!BS30,'B6'!BS30),0)</f>
        <v>0</v>
      </c>
      <c r="BS61" s="64">
        <f>IFERROR(_xlfn.STDEV.S('B4'!BT30,'B5'!BT30,'B6'!BT30),0)</f>
        <v>0</v>
      </c>
      <c r="BT61" s="64">
        <f>IFERROR(_xlfn.STDEV.S('B4'!BU30,'B5'!BU30,'B6'!BU30),0)</f>
        <v>0</v>
      </c>
      <c r="BU61" s="64">
        <f>IFERROR(_xlfn.STDEV.S('B4'!BV30,'B5'!BV30,'B6'!BV30),0)</f>
        <v>0</v>
      </c>
      <c r="BV61" s="64">
        <f>IFERROR(_xlfn.STDEV.S('B4'!BW30,'B5'!BW30,'B6'!BW30),0)</f>
        <v>0</v>
      </c>
    </row>
    <row r="62" spans="1:74" ht="16" thickBot="1" x14ac:dyDescent="0.4">
      <c r="A62" s="63">
        <f t="shared" si="7"/>
        <v>0</v>
      </c>
      <c r="B62" s="129">
        <f t="shared" si="7"/>
        <v>0</v>
      </c>
      <c r="C62" s="54"/>
      <c r="D62" s="18">
        <f>IFERROR(_xlfn.STDEV.S('B4'!D31,'B5'!D31,'B6'!D31),0)</f>
        <v>0</v>
      </c>
      <c r="E62" s="18">
        <f>IFERROR(_xlfn.STDEV.S('B4'!E31,'B5'!E31,'B6'!E31),0)</f>
        <v>0</v>
      </c>
      <c r="F62" s="18">
        <f>IFERROR(_xlfn.STDEV.S('B4'!F31,'B5'!F31,'B6'!F31),0)</f>
        <v>0</v>
      </c>
      <c r="G62" s="18">
        <f>IFERROR(_xlfn.STDEV.S('B4'!G31,'B5'!G31,'B6'!G31),0)</f>
        <v>0</v>
      </c>
      <c r="H62" s="18">
        <f>IFERROR(_xlfn.STDEV.S('B4'!H31,'B5'!H31,'B6'!H31),0)</f>
        <v>0</v>
      </c>
      <c r="I62" s="18">
        <f>IFERROR(_xlfn.STDEV.S('B4'!I31,'B5'!I31,'B6'!I31),0)</f>
        <v>0</v>
      </c>
      <c r="J62" s="18">
        <f>IFERROR(_xlfn.STDEV.S('B4'!J31,'B5'!J31,'B6'!J31),0)</f>
        <v>0</v>
      </c>
      <c r="K62" s="18">
        <f>IFERROR(_xlfn.STDEV.S('B4'!K31,'B5'!K31,'B6'!K31),0)</f>
        <v>0</v>
      </c>
      <c r="L62" s="18">
        <f>IFERROR(_xlfn.STDEV.S('B4'!L31,'B5'!L31,'B6'!L31),0)</f>
        <v>0</v>
      </c>
      <c r="M62" s="18">
        <f>IFERROR(_xlfn.STDEV.S('B4'!M31,'B5'!M31,'B6'!M31),0)</f>
        <v>0</v>
      </c>
      <c r="N62" s="18">
        <f>IFERROR(_xlfn.STDEV.S('B4'!N31,'B5'!N31,'B6'!N31),0)</f>
        <v>0</v>
      </c>
      <c r="O62" s="18">
        <f>IFERROR(_xlfn.STDEV.S('B4'!O31,'B5'!O31,'B6'!O31),0)</f>
        <v>0</v>
      </c>
      <c r="P62" s="18">
        <f>IFERROR(_xlfn.STDEV.S('B4'!P31,'B5'!P31,'B6'!P31),0)</f>
        <v>0</v>
      </c>
      <c r="Q62" s="18">
        <f>IFERROR(_xlfn.STDEV.S('B4'!Q31,'B5'!Q31,'B6'!Q31),0)</f>
        <v>0</v>
      </c>
      <c r="R62" s="18">
        <f>IFERROR(_xlfn.STDEV.S('B4'!R31,'B5'!R31,'B6'!R31),0)</f>
        <v>0</v>
      </c>
      <c r="S62" s="18">
        <f>IFERROR(_xlfn.STDEV.S('B4'!S31,'B5'!S31,'B6'!S31),0)</f>
        <v>0</v>
      </c>
      <c r="T62" s="18">
        <f>IFERROR(_xlfn.STDEV.S('B4'!T31,'B5'!T31,'B6'!T31),0)</f>
        <v>0</v>
      </c>
      <c r="U62" s="18">
        <f>IFERROR(_xlfn.STDEV.S('B4'!U31,'B5'!U31,'B6'!U31),0)</f>
        <v>0</v>
      </c>
      <c r="V62" s="18">
        <f>IFERROR(_xlfn.STDEV.S('B4'!V31,'B5'!V31,'B6'!V31),0)</f>
        <v>0</v>
      </c>
      <c r="W62" s="123">
        <f>IFERROR(_xlfn.STDEV.S('B4'!W31,'B5'!W31,'B6'!W31),0)</f>
        <v>0</v>
      </c>
      <c r="X62" s="123">
        <f>IFERROR(_xlfn.STDEV.S('B4'!X31,'B5'!X31,'B6'!X31),0)</f>
        <v>0</v>
      </c>
      <c r="Y62" s="123">
        <f>IFERROR(_xlfn.STDEV.S('B4'!Y31,'B5'!Y31,'B6'!Y31),0)</f>
        <v>0</v>
      </c>
      <c r="Z62" s="123">
        <f>IFERROR(_xlfn.STDEV.S('B4'!Z31,'B5'!Z31,'B6'!Z31),0)</f>
        <v>0</v>
      </c>
      <c r="AA62" s="123">
        <f>IFERROR(_xlfn.STDEV.S('B4'!AA31,'B5'!AA31,'B6'!AA31),0)</f>
        <v>0</v>
      </c>
      <c r="AB62" s="123">
        <f>IFERROR(_xlfn.STDEV.S('B4'!AB31,'B5'!AB31,'B6'!AB31),0)</f>
        <v>0</v>
      </c>
      <c r="AC62" s="123">
        <f>IFERROR(_xlfn.STDEV.S('B4'!AC31,'B5'!AC31,'B6'!AC31),0)</f>
        <v>0</v>
      </c>
      <c r="AD62" s="123">
        <f>IFERROR(_xlfn.STDEV.S('B4'!AD31,'B5'!AD31,'B6'!AD31),0)</f>
        <v>0</v>
      </c>
      <c r="AE62" s="123">
        <f>IFERROR(_xlfn.STDEV.S('B4'!AE31,'B5'!AE31,'B6'!AE31),0)</f>
        <v>0</v>
      </c>
      <c r="AF62" s="123">
        <f>IFERROR(_xlfn.STDEV.S('B4'!AF31,'B5'!AF31,'B6'!AF31),0)</f>
        <v>0</v>
      </c>
      <c r="AG62" s="123">
        <f>IFERROR(_xlfn.STDEV.S('B4'!AG31,'B5'!AG31,'B6'!AG31),0)</f>
        <v>0</v>
      </c>
      <c r="AH62" s="123">
        <f>IFERROR(_xlfn.STDEV.S('B4'!AH31,'B5'!AH31,'B6'!AH31),0)</f>
        <v>0</v>
      </c>
      <c r="AI62" s="123">
        <f>IFERROR(_xlfn.STDEV.S('B4'!AI31,'B5'!AI31,'B6'!AI31),0)</f>
        <v>0</v>
      </c>
      <c r="AJ62" s="64">
        <f>IFERROR(_xlfn.STDEV.S('B4'!AJ31,'B5'!AJ31,'B6'!AJ31),0)</f>
        <v>0</v>
      </c>
      <c r="AK62" s="64">
        <f>IFERROR(_xlfn.STDEV.S('B4'!AK31,'B5'!AK31,'B6'!AK31),0)</f>
        <v>0</v>
      </c>
      <c r="AL62" s="64">
        <f>IFERROR(_xlfn.STDEV.S('B4'!AL31,'B5'!AL31,'B6'!AL31),0)</f>
        <v>0</v>
      </c>
      <c r="AM62" s="64">
        <f>IFERROR(_xlfn.STDEV.S('B4'!AM31,'B5'!AM31,'B6'!AM31),0)</f>
        <v>0</v>
      </c>
      <c r="AN62" s="64">
        <f>IFERROR(_xlfn.STDEV.S('B4'!AN31,'B5'!AN31,'B6'!AN31),0)</f>
        <v>0</v>
      </c>
      <c r="AO62" s="64">
        <f>IFERROR(_xlfn.STDEV.S('B4'!AO31,'B5'!AO31,'B6'!AO31),0)</f>
        <v>0</v>
      </c>
      <c r="AP62" s="64">
        <f>IFERROR(_xlfn.STDEV.S('B4'!AP31,'B5'!AP31,'B6'!AP31),0)</f>
        <v>0</v>
      </c>
      <c r="AQ62" s="64">
        <f>IFERROR(_xlfn.STDEV.S('B4'!AQ31,'B5'!AQ31,'B6'!AQ31),0)</f>
        <v>0</v>
      </c>
      <c r="AR62" s="64">
        <f>IFERROR(_xlfn.STDEV.S('B4'!AR31,'B5'!AR31,'B6'!AR31),0)</f>
        <v>0</v>
      </c>
      <c r="AS62" s="64">
        <f>IFERROR(_xlfn.STDEV.S('B4'!AS31,'B5'!AS31,'B6'!AS31),0)</f>
        <v>0</v>
      </c>
      <c r="AT62" s="64">
        <f>IFERROR(_xlfn.STDEV.S('B4'!AT31,'B5'!AT31,'B6'!AT31),0)</f>
        <v>0</v>
      </c>
      <c r="AU62" s="64">
        <f>IFERROR(_xlfn.STDEV.S('B4'!AU31,'B5'!AU31,'B6'!AU31),0)</f>
        <v>0</v>
      </c>
      <c r="AV62" s="64">
        <f>IFERROR(_xlfn.STDEV.S('B4'!AV31,'B5'!AV31,'B6'!AV31),0)</f>
        <v>0</v>
      </c>
      <c r="AW62" s="64">
        <f>IFERROR(_xlfn.STDEV.S('B4'!AW31,'B5'!AW31,'B6'!AW31),0)</f>
        <v>0</v>
      </c>
      <c r="AX62" s="64">
        <f>IFERROR(_xlfn.STDEV.S('B4'!AX31,'B5'!AX31,'B6'!AX31),0)</f>
        <v>0</v>
      </c>
      <c r="AY62" s="64">
        <f>IFERROR(_xlfn.STDEV.S('B4'!AY31,'B5'!AY31,'B6'!AY31),0)</f>
        <v>0</v>
      </c>
      <c r="AZ62" s="64">
        <f>IFERROR(_xlfn.STDEV.S('B4'!AZ31,'B5'!AZ31,'B6'!AZ31),0)</f>
        <v>0</v>
      </c>
      <c r="BA62" s="124">
        <f>IFERROR(_xlfn.STDEV.S('B4'!BA31,'B5'!BA31,'B6'!BA31),0)</f>
        <v>0</v>
      </c>
      <c r="BB62" s="64">
        <f>IFERROR(_xlfn.STDEV.S('B4'!BC31,'B5'!BC31,'B6'!BC31),0)</f>
        <v>0</v>
      </c>
      <c r="BC62" s="64">
        <f>IFERROR(_xlfn.STDEV.S('B4'!BD31,'B5'!BD31,'B6'!BD31),0)</f>
        <v>0</v>
      </c>
      <c r="BD62" s="64">
        <f>IFERROR(_xlfn.STDEV.S('B4'!BE31,'B5'!BE31,'B6'!BE31),0)</f>
        <v>0</v>
      </c>
      <c r="BE62" s="64">
        <f>IFERROR(_xlfn.STDEV.S('B4'!BF31,'B5'!BF31,'B6'!BF31),0)</f>
        <v>0</v>
      </c>
      <c r="BF62" s="64">
        <f>IFERROR(_xlfn.STDEV.S('B4'!BG31,'B5'!BG31,'B6'!BG31),0)</f>
        <v>0</v>
      </c>
      <c r="BG62" s="64">
        <f>IFERROR(_xlfn.STDEV.S('B4'!BH31,'B5'!BH31,'B6'!BH31),0)</f>
        <v>0</v>
      </c>
      <c r="BH62" s="64">
        <f>IFERROR(_xlfn.STDEV.S('B4'!BI31,'B5'!BI31,'B6'!BI31),0)</f>
        <v>0</v>
      </c>
      <c r="BI62" s="64">
        <f>IFERROR(_xlfn.STDEV.S('B4'!BJ31,'B5'!BJ31,'B6'!BJ31),0)</f>
        <v>0</v>
      </c>
      <c r="BJ62" s="64">
        <f>IFERROR(_xlfn.STDEV.S('B4'!BK31,'B5'!BK31,'B6'!BK31),0)</f>
        <v>0</v>
      </c>
      <c r="BK62" s="64">
        <f>IFERROR(_xlfn.STDEV.S('B4'!BL31,'B5'!BL31,'B6'!BL31),0)</f>
        <v>0</v>
      </c>
      <c r="BL62" s="64">
        <f>IFERROR(_xlfn.STDEV.S('B4'!BM31,'B5'!BM31,'B6'!BM31),0)</f>
        <v>0</v>
      </c>
      <c r="BM62" s="64">
        <f>IFERROR(_xlfn.STDEV.S('B4'!BN31,'B5'!BN31,'B6'!BN31),0)</f>
        <v>0</v>
      </c>
      <c r="BN62" s="64">
        <f>IFERROR(_xlfn.STDEV.S('B4'!BO31,'B5'!BO31,'B6'!BO31),0)</f>
        <v>0</v>
      </c>
      <c r="BO62" s="64">
        <f>IFERROR(_xlfn.STDEV.S('B4'!BP31,'B5'!BP31,'B6'!BP31),0)</f>
        <v>0</v>
      </c>
      <c r="BP62" s="64">
        <f>IFERROR(_xlfn.STDEV.S('B4'!BQ31,'B5'!BQ31,'B6'!BQ31),0)</f>
        <v>0</v>
      </c>
      <c r="BQ62" s="64">
        <f>IFERROR(_xlfn.STDEV.S('B4'!BR31,'B5'!BR31,'B6'!BR31),0)</f>
        <v>0</v>
      </c>
      <c r="BR62" s="64">
        <f>IFERROR(_xlfn.STDEV.S('B4'!BS31,'B5'!BS31,'B6'!BS31),0)</f>
        <v>0</v>
      </c>
      <c r="BS62" s="64">
        <f>IFERROR(_xlfn.STDEV.S('B4'!BT31,'B5'!BT31,'B6'!BT31),0)</f>
        <v>0</v>
      </c>
      <c r="BT62" s="64">
        <f>IFERROR(_xlfn.STDEV.S('B4'!BU31,'B5'!BU31,'B6'!BU31),0)</f>
        <v>0</v>
      </c>
      <c r="BU62" s="64">
        <f>IFERROR(_xlfn.STDEV.S('B4'!BV31,'B5'!BV31,'B6'!BV31),0)</f>
        <v>0</v>
      </c>
      <c r="BV62" s="64">
        <f>IFERROR(_xlfn.STDEV.S('B4'!BW31,'B5'!BW31,'B6'!BW31),0)</f>
        <v>0</v>
      </c>
    </row>
    <row r="63" spans="1:74" ht="16" thickBot="1" x14ac:dyDescent="0.4">
      <c r="A63" s="63">
        <f t="shared" si="7"/>
        <v>0</v>
      </c>
      <c r="B63" s="129">
        <f t="shared" si="7"/>
        <v>0</v>
      </c>
      <c r="C63" s="83"/>
      <c r="D63" s="18">
        <f>IFERROR(_xlfn.STDEV.S('B4'!D32,'B5'!D32,'B6'!D32),0)</f>
        <v>0</v>
      </c>
      <c r="E63" s="18">
        <f>IFERROR(_xlfn.STDEV.S('B4'!E32,'B5'!E32,'B6'!E32),0)</f>
        <v>0</v>
      </c>
      <c r="F63" s="18">
        <f>IFERROR(_xlfn.STDEV.S('B4'!F32,'B5'!F32,'B6'!F32),0)</f>
        <v>0</v>
      </c>
      <c r="G63" s="18">
        <f>IFERROR(_xlfn.STDEV.S('B4'!G32,'B5'!G32,'B6'!G32),0)</f>
        <v>0</v>
      </c>
      <c r="H63" s="18">
        <f>IFERROR(_xlfn.STDEV.S('B4'!H32,'B5'!H32,'B6'!H32),0)</f>
        <v>0</v>
      </c>
      <c r="I63" s="18">
        <f>IFERROR(_xlfn.STDEV.S('B4'!I32,'B5'!I32,'B6'!I32),0)</f>
        <v>0</v>
      </c>
      <c r="J63" s="18">
        <f>IFERROR(_xlfn.STDEV.S('B4'!J32,'B5'!J32,'B6'!J32),0)</f>
        <v>0</v>
      </c>
      <c r="K63" s="18">
        <f>IFERROR(_xlfn.STDEV.S('B4'!K32,'B5'!K32,'B6'!K32),0)</f>
        <v>0</v>
      </c>
      <c r="L63" s="18">
        <f>IFERROR(_xlfn.STDEV.S('B4'!L32,'B5'!L32,'B6'!L32),0)</f>
        <v>0</v>
      </c>
      <c r="M63" s="18">
        <f>IFERROR(_xlfn.STDEV.S('B4'!M32,'B5'!M32,'B6'!M32),0)</f>
        <v>0</v>
      </c>
      <c r="N63" s="18">
        <f>IFERROR(_xlfn.STDEV.S('B4'!N32,'B5'!N32,'B6'!N32),0)</f>
        <v>0</v>
      </c>
      <c r="O63" s="18">
        <f>IFERROR(_xlfn.STDEV.S('B4'!O32,'B5'!O32,'B6'!O32),0)</f>
        <v>0</v>
      </c>
      <c r="P63" s="18">
        <f>IFERROR(_xlfn.STDEV.S('B4'!P32,'B5'!P32,'B6'!P32),0)</f>
        <v>0</v>
      </c>
      <c r="Q63" s="18">
        <f>IFERROR(_xlfn.STDEV.S('B4'!Q32,'B5'!Q32,'B6'!Q32),0)</f>
        <v>0</v>
      </c>
      <c r="R63" s="18">
        <f>IFERROR(_xlfn.STDEV.S('B4'!R32,'B5'!R32,'B6'!R32),0)</f>
        <v>0</v>
      </c>
      <c r="S63" s="18">
        <f>IFERROR(_xlfn.STDEV.S('B4'!S32,'B5'!S32,'B6'!S32),0)</f>
        <v>0</v>
      </c>
      <c r="T63" s="18">
        <f>IFERROR(_xlfn.STDEV.S('B4'!T32,'B5'!T32,'B6'!T32),0)</f>
        <v>0</v>
      </c>
      <c r="U63" s="18">
        <f>IFERROR(_xlfn.STDEV.S('B4'!U32,'B5'!U32,'B6'!U32),0)</f>
        <v>0</v>
      </c>
      <c r="V63" s="18">
        <f>IFERROR(_xlfn.STDEV.S('B4'!V32,'B5'!V32,'B6'!V32),0)</f>
        <v>0</v>
      </c>
      <c r="W63" s="123">
        <f>IFERROR(_xlfn.STDEV.S('B4'!W32,'B5'!W32,'B6'!W32),0)</f>
        <v>0</v>
      </c>
      <c r="X63" s="123">
        <f>IFERROR(_xlfn.STDEV.S('B4'!X32,'B5'!X32,'B6'!X32),0)</f>
        <v>0</v>
      </c>
      <c r="Y63" s="123">
        <f>IFERROR(_xlfn.STDEV.S('B4'!Y32,'B5'!Y32,'B6'!Y32),0)</f>
        <v>0</v>
      </c>
      <c r="Z63" s="123">
        <f>IFERROR(_xlfn.STDEV.S('B4'!Z32,'B5'!Z32,'B6'!Z32),0)</f>
        <v>0</v>
      </c>
      <c r="AA63" s="123">
        <f>IFERROR(_xlfn.STDEV.S('B4'!AA32,'B5'!AA32,'B6'!AA32),0)</f>
        <v>0</v>
      </c>
      <c r="AB63" s="123">
        <f>IFERROR(_xlfn.STDEV.S('B4'!AB32,'B5'!AB32,'B6'!AB32),0)</f>
        <v>0</v>
      </c>
      <c r="AC63" s="123">
        <f>IFERROR(_xlfn.STDEV.S('B4'!AC32,'B5'!AC32,'B6'!AC32),0)</f>
        <v>0</v>
      </c>
      <c r="AD63" s="123">
        <f>IFERROR(_xlfn.STDEV.S('B4'!AD32,'B5'!AD32,'B6'!AD32),0)</f>
        <v>0</v>
      </c>
      <c r="AE63" s="123">
        <f>IFERROR(_xlfn.STDEV.S('B4'!AE32,'B5'!AE32,'B6'!AE32),0)</f>
        <v>0</v>
      </c>
      <c r="AF63" s="123">
        <f>IFERROR(_xlfn.STDEV.S('B4'!AF32,'B5'!AF32,'B6'!AF32),0)</f>
        <v>0</v>
      </c>
      <c r="AG63" s="123">
        <f>IFERROR(_xlfn.STDEV.S('B4'!AG32,'B5'!AG32,'B6'!AG32),0)</f>
        <v>0</v>
      </c>
      <c r="AH63" s="123">
        <f>IFERROR(_xlfn.STDEV.S('B4'!AH32,'B5'!AH32,'B6'!AH32),0)</f>
        <v>0</v>
      </c>
      <c r="AI63" s="123">
        <f>IFERROR(_xlfn.STDEV.S('B4'!AI32,'B5'!AI32,'B6'!AI32),0)</f>
        <v>0</v>
      </c>
      <c r="AJ63" s="64">
        <f>IFERROR(_xlfn.STDEV.S('B4'!AJ32,'B5'!AJ32,'B6'!AJ32),0)</f>
        <v>0</v>
      </c>
      <c r="AK63" s="64">
        <f>IFERROR(_xlfn.STDEV.S('B4'!AK32,'B5'!AK32,'B6'!AK32),0)</f>
        <v>0</v>
      </c>
      <c r="AL63" s="64">
        <f>IFERROR(_xlfn.STDEV.S('B4'!AL32,'B5'!AL32,'B6'!AL32),0)</f>
        <v>0</v>
      </c>
      <c r="AM63" s="64">
        <f>IFERROR(_xlfn.STDEV.S('B4'!AM32,'B5'!AM32,'B6'!AM32),0)</f>
        <v>0</v>
      </c>
      <c r="AN63" s="64">
        <f>IFERROR(_xlfn.STDEV.S('B4'!AN32,'B5'!AN32,'B6'!AN32),0)</f>
        <v>0</v>
      </c>
      <c r="AO63" s="64">
        <f>IFERROR(_xlfn.STDEV.S('B4'!AO32,'B5'!AO32,'B6'!AO32),0)</f>
        <v>0</v>
      </c>
      <c r="AP63" s="64">
        <f>IFERROR(_xlfn.STDEV.S('B4'!AP32,'B5'!AP32,'B6'!AP32),0)</f>
        <v>0</v>
      </c>
      <c r="AQ63" s="64">
        <f>IFERROR(_xlfn.STDEV.S('B4'!AQ32,'B5'!AQ32,'B6'!AQ32),0)</f>
        <v>0</v>
      </c>
      <c r="AR63" s="64">
        <f>IFERROR(_xlfn.STDEV.S('B4'!AR32,'B5'!AR32,'B6'!AR32),0)</f>
        <v>0</v>
      </c>
      <c r="AS63" s="64">
        <f>IFERROR(_xlfn.STDEV.S('B4'!AS32,'B5'!AS32,'B6'!AS32),0)</f>
        <v>0</v>
      </c>
      <c r="AT63" s="64">
        <f>IFERROR(_xlfn.STDEV.S('B4'!AT32,'B5'!AT32,'B6'!AT32),0)</f>
        <v>0</v>
      </c>
      <c r="AU63" s="64">
        <f>IFERROR(_xlfn.STDEV.S('B4'!AU32,'B5'!AU32,'B6'!AU32),0)</f>
        <v>0</v>
      </c>
      <c r="AV63" s="64">
        <f>IFERROR(_xlfn.STDEV.S('B4'!AV32,'B5'!AV32,'B6'!AV32),0)</f>
        <v>0</v>
      </c>
      <c r="AW63" s="64">
        <f>IFERROR(_xlfn.STDEV.S('B4'!AW32,'B5'!AW32,'B6'!AW32),0)</f>
        <v>0</v>
      </c>
      <c r="AX63" s="64">
        <f>IFERROR(_xlfn.STDEV.S('B4'!AX32,'B5'!AX32,'B6'!AX32),0)</f>
        <v>0</v>
      </c>
      <c r="AY63" s="64">
        <f>IFERROR(_xlfn.STDEV.S('B4'!AY32,'B5'!AY32,'B6'!AY32),0)</f>
        <v>0</v>
      </c>
      <c r="AZ63" s="64">
        <f>IFERROR(_xlfn.STDEV.S('B4'!AZ32,'B5'!AZ32,'B6'!AZ32),0)</f>
        <v>0</v>
      </c>
      <c r="BA63" s="124">
        <f>IFERROR(_xlfn.STDEV.S('B4'!BA32,'B5'!BA32,'B6'!BA32),0)</f>
        <v>0</v>
      </c>
      <c r="BB63" s="64">
        <f>IFERROR(_xlfn.STDEV.S('B4'!BC32,'B5'!BC32,'B6'!BC32),0)</f>
        <v>0</v>
      </c>
      <c r="BC63" s="64">
        <f>IFERROR(_xlfn.STDEV.S('B4'!BD32,'B5'!BD32,'B6'!BD32),0)</f>
        <v>0</v>
      </c>
      <c r="BD63" s="64">
        <f>IFERROR(_xlfn.STDEV.S('B4'!BE32,'B5'!BE32,'B6'!BE32),0)</f>
        <v>0</v>
      </c>
      <c r="BE63" s="64">
        <f>IFERROR(_xlfn.STDEV.S('B4'!BF32,'B5'!BF32,'B6'!BF32),0)</f>
        <v>0</v>
      </c>
      <c r="BF63" s="64">
        <f>IFERROR(_xlfn.STDEV.S('B4'!BG32,'B5'!BG32,'B6'!BG32),0)</f>
        <v>0</v>
      </c>
      <c r="BG63" s="64">
        <f>IFERROR(_xlfn.STDEV.S('B4'!BH32,'B5'!BH32,'B6'!BH32),0)</f>
        <v>0</v>
      </c>
      <c r="BH63" s="64">
        <f>IFERROR(_xlfn.STDEV.S('B4'!BI32,'B5'!BI32,'B6'!BI32),0)</f>
        <v>0</v>
      </c>
      <c r="BI63" s="64">
        <f>IFERROR(_xlfn.STDEV.S('B4'!BJ32,'B5'!BJ32,'B6'!BJ32),0)</f>
        <v>0</v>
      </c>
      <c r="BJ63" s="64">
        <f>IFERROR(_xlfn.STDEV.S('B4'!BK32,'B5'!BK32,'B6'!BK32),0)</f>
        <v>0</v>
      </c>
      <c r="BK63" s="64">
        <f>IFERROR(_xlfn.STDEV.S('B4'!BL32,'B5'!BL32,'B6'!BL32),0)</f>
        <v>0</v>
      </c>
      <c r="BL63" s="64">
        <f>IFERROR(_xlfn.STDEV.S('B4'!BM32,'B5'!BM32,'B6'!BM32),0)</f>
        <v>0</v>
      </c>
      <c r="BM63" s="64">
        <f>IFERROR(_xlfn.STDEV.S('B4'!BN32,'B5'!BN32,'B6'!BN32),0)</f>
        <v>0</v>
      </c>
      <c r="BN63" s="64">
        <f>IFERROR(_xlfn.STDEV.S('B4'!BO32,'B5'!BO32,'B6'!BO32),0)</f>
        <v>0</v>
      </c>
      <c r="BO63" s="64">
        <f>IFERROR(_xlfn.STDEV.S('B4'!BP32,'B5'!BP32,'B6'!BP32),0)</f>
        <v>0</v>
      </c>
      <c r="BP63" s="64">
        <f>IFERROR(_xlfn.STDEV.S('B4'!BQ32,'B5'!BQ32,'B6'!BQ32),0)</f>
        <v>0</v>
      </c>
      <c r="BQ63" s="64">
        <f>IFERROR(_xlfn.STDEV.S('B4'!BR32,'B5'!BR32,'B6'!BR32),0)</f>
        <v>0</v>
      </c>
      <c r="BR63" s="64">
        <f>IFERROR(_xlfn.STDEV.S('B4'!BS32,'B5'!BS32,'B6'!BS32),0)</f>
        <v>0</v>
      </c>
      <c r="BS63" s="64">
        <f>IFERROR(_xlfn.STDEV.S('B4'!BT32,'B5'!BT32,'B6'!BT32),0)</f>
        <v>0</v>
      </c>
      <c r="BT63" s="64">
        <f>IFERROR(_xlfn.STDEV.S('B4'!BU32,'B5'!BU32,'B6'!BU32),0)</f>
        <v>0</v>
      </c>
      <c r="BU63" s="64">
        <f>IFERROR(_xlfn.STDEV.S('B4'!BV32,'B5'!BV32,'B6'!BV32),0)</f>
        <v>0</v>
      </c>
      <c r="BV63" s="64">
        <f>IFERROR(_xlfn.STDEV.S('B4'!BW32,'B5'!BW32,'B6'!BW32),0)</f>
        <v>0</v>
      </c>
    </row>
    <row r="65" spans="1:74" ht="15" thickBot="1" x14ac:dyDescent="0.4">
      <c r="A65" t="s">
        <v>154</v>
      </c>
    </row>
    <row r="66" spans="1:74" x14ac:dyDescent="0.35">
      <c r="C66" s="5" t="s">
        <v>3</v>
      </c>
      <c r="D66" s="6" t="s">
        <v>4</v>
      </c>
      <c r="E66" s="6" t="s">
        <v>90</v>
      </c>
      <c r="F66" s="6" t="s">
        <v>91</v>
      </c>
      <c r="G66" s="6" t="s">
        <v>92</v>
      </c>
      <c r="H66" s="6" t="s">
        <v>93</v>
      </c>
      <c r="I66" s="6" t="s">
        <v>94</v>
      </c>
      <c r="J66" s="6" t="s">
        <v>95</v>
      </c>
      <c r="K66" s="6" t="s">
        <v>96</v>
      </c>
      <c r="L66" s="6" t="s">
        <v>97</v>
      </c>
      <c r="M66" s="6" t="s">
        <v>98</v>
      </c>
      <c r="N66" s="6" t="s">
        <v>99</v>
      </c>
      <c r="O66" s="6" t="s">
        <v>100</v>
      </c>
      <c r="P66" s="6" t="s">
        <v>101</v>
      </c>
      <c r="Q66" s="6" t="s">
        <v>102</v>
      </c>
      <c r="R66" s="6" t="s">
        <v>103</v>
      </c>
      <c r="S66" s="7" t="s">
        <v>104</v>
      </c>
      <c r="T66" s="7" t="s">
        <v>105</v>
      </c>
      <c r="U66" s="7" t="s">
        <v>106</v>
      </c>
      <c r="V66" s="8" t="s">
        <v>107</v>
      </c>
      <c r="W66" s="36" t="s">
        <v>61</v>
      </c>
      <c r="X66" s="33" t="s">
        <v>108</v>
      </c>
      <c r="Y66" s="36" t="s">
        <v>62</v>
      </c>
      <c r="Z66" s="35" t="s">
        <v>109</v>
      </c>
      <c r="AA66" s="34" t="s">
        <v>110</v>
      </c>
      <c r="AB66" s="33" t="s">
        <v>111</v>
      </c>
      <c r="AC66" s="36" t="s">
        <v>112</v>
      </c>
      <c r="AD66" s="35" t="s">
        <v>113</v>
      </c>
      <c r="AE66" s="38" t="s">
        <v>68</v>
      </c>
      <c r="AF66" s="39" t="s">
        <v>70</v>
      </c>
      <c r="AG66" s="39" t="s">
        <v>71</v>
      </c>
      <c r="AH66" s="40" t="s">
        <v>32</v>
      </c>
      <c r="AI66" s="127" t="s">
        <v>136</v>
      </c>
      <c r="AJ66" s="69" t="s">
        <v>35</v>
      </c>
      <c r="AK66" s="70" t="s">
        <v>114</v>
      </c>
      <c r="AL66" s="70" t="s">
        <v>115</v>
      </c>
      <c r="AM66" s="70" t="s">
        <v>116</v>
      </c>
      <c r="AN66" s="70" t="s">
        <v>117</v>
      </c>
      <c r="AO66" s="70" t="s">
        <v>118</v>
      </c>
      <c r="AP66" s="70" t="s">
        <v>119</v>
      </c>
      <c r="AQ66" s="70" t="s">
        <v>120</v>
      </c>
      <c r="AR66" s="70" t="s">
        <v>121</v>
      </c>
      <c r="AS66" s="70" t="s">
        <v>122</v>
      </c>
      <c r="AT66" s="70" t="s">
        <v>123</v>
      </c>
      <c r="AU66" s="70" t="s">
        <v>124</v>
      </c>
      <c r="AV66" s="70" t="s">
        <v>125</v>
      </c>
      <c r="AW66" s="70" t="s">
        <v>126</v>
      </c>
      <c r="AX66" s="70" t="s">
        <v>127</v>
      </c>
      <c r="AY66" s="71" t="s">
        <v>128</v>
      </c>
      <c r="AZ66" s="72" t="s">
        <v>129</v>
      </c>
      <c r="BA66" s="85" t="s">
        <v>134</v>
      </c>
      <c r="BB66" s="88" t="s">
        <v>135</v>
      </c>
      <c r="BC66" s="69" t="s">
        <v>35</v>
      </c>
      <c r="BD66" s="70" t="s">
        <v>114</v>
      </c>
      <c r="BE66" s="70" t="s">
        <v>115</v>
      </c>
      <c r="BF66" s="70" t="s">
        <v>116</v>
      </c>
      <c r="BG66" s="70" t="s">
        <v>117</v>
      </c>
      <c r="BH66" s="70" t="s">
        <v>118</v>
      </c>
      <c r="BI66" s="70" t="s">
        <v>119</v>
      </c>
      <c r="BJ66" s="70" t="s">
        <v>120</v>
      </c>
      <c r="BK66" s="70" t="s">
        <v>121</v>
      </c>
      <c r="BL66" s="70" t="s">
        <v>122</v>
      </c>
      <c r="BM66" s="70" t="s">
        <v>123</v>
      </c>
      <c r="BN66" s="70" t="s">
        <v>124</v>
      </c>
      <c r="BO66" s="70" t="s">
        <v>125</v>
      </c>
      <c r="BP66" s="70" t="s">
        <v>126</v>
      </c>
      <c r="BQ66" s="70" t="s">
        <v>127</v>
      </c>
      <c r="BR66" s="71" t="s">
        <v>128</v>
      </c>
      <c r="BS66" s="72" t="s">
        <v>129</v>
      </c>
      <c r="BT66" s="85" t="s">
        <v>130</v>
      </c>
      <c r="BU66" s="85" t="s">
        <v>132</v>
      </c>
      <c r="BV66" s="85" t="s">
        <v>140</v>
      </c>
    </row>
    <row r="67" spans="1:74" x14ac:dyDescent="0.35">
      <c r="C67" s="9" t="s">
        <v>5</v>
      </c>
      <c r="D67" s="10" t="s">
        <v>7</v>
      </c>
      <c r="E67" s="10" t="s">
        <v>7</v>
      </c>
      <c r="F67" s="10" t="s">
        <v>7</v>
      </c>
      <c r="G67" s="10" t="s">
        <v>7</v>
      </c>
      <c r="H67" s="10" t="s">
        <v>7</v>
      </c>
      <c r="I67" s="10" t="s">
        <v>7</v>
      </c>
      <c r="J67" s="10" t="s">
        <v>7</v>
      </c>
      <c r="K67" s="10" t="s">
        <v>7</v>
      </c>
      <c r="L67" s="10" t="s">
        <v>7</v>
      </c>
      <c r="M67" s="10" t="s">
        <v>7</v>
      </c>
      <c r="N67" s="10" t="s">
        <v>7</v>
      </c>
      <c r="O67" s="10" t="s">
        <v>7</v>
      </c>
      <c r="P67" s="10" t="s">
        <v>7</v>
      </c>
      <c r="Q67" s="10" t="s">
        <v>7</v>
      </c>
      <c r="R67" s="10" t="s">
        <v>7</v>
      </c>
      <c r="S67" s="11" t="s">
        <v>7</v>
      </c>
      <c r="T67" s="11" t="s">
        <v>6</v>
      </c>
      <c r="U67" s="11" t="s">
        <v>6</v>
      </c>
      <c r="V67" s="12" t="s">
        <v>6</v>
      </c>
      <c r="W67" s="36" t="s">
        <v>63</v>
      </c>
      <c r="X67" s="33" t="s">
        <v>64</v>
      </c>
      <c r="Y67" s="36" t="s">
        <v>63</v>
      </c>
      <c r="Z67" s="35" t="s">
        <v>64</v>
      </c>
      <c r="AA67" s="34" t="s">
        <v>63</v>
      </c>
      <c r="AB67" s="33" t="s">
        <v>64</v>
      </c>
      <c r="AC67" s="36" t="s">
        <v>63</v>
      </c>
      <c r="AD67" s="35" t="s">
        <v>64</v>
      </c>
      <c r="AE67" s="38"/>
      <c r="AF67" s="39" t="s">
        <v>5</v>
      </c>
      <c r="AG67" s="39" t="s">
        <v>72</v>
      </c>
      <c r="AH67" s="40" t="s">
        <v>7</v>
      </c>
      <c r="AI67" s="39" t="s">
        <v>137</v>
      </c>
      <c r="AJ67" s="9" t="s">
        <v>36</v>
      </c>
      <c r="AK67" s="10" t="s">
        <v>36</v>
      </c>
      <c r="AL67" s="10" t="s">
        <v>36</v>
      </c>
      <c r="AM67" s="10" t="s">
        <v>36</v>
      </c>
      <c r="AN67" s="10" t="s">
        <v>36</v>
      </c>
      <c r="AO67" s="10" t="s">
        <v>36</v>
      </c>
      <c r="AP67" s="10" t="s">
        <v>36</v>
      </c>
      <c r="AQ67" s="10" t="s">
        <v>36</v>
      </c>
      <c r="AR67" s="10" t="s">
        <v>36</v>
      </c>
      <c r="AS67" s="10" t="s">
        <v>36</v>
      </c>
      <c r="AT67" s="10" t="s">
        <v>36</v>
      </c>
      <c r="AU67" s="10" t="s">
        <v>36</v>
      </c>
      <c r="AV67" s="10" t="s">
        <v>36</v>
      </c>
      <c r="AW67" s="10" t="s">
        <v>36</v>
      </c>
      <c r="AX67" s="10" t="s">
        <v>36</v>
      </c>
      <c r="AY67" s="12" t="s">
        <v>36</v>
      </c>
      <c r="AZ67" s="58" t="s">
        <v>36</v>
      </c>
      <c r="BA67" s="86" t="s">
        <v>152</v>
      </c>
      <c r="BB67" s="86" t="s">
        <v>36</v>
      </c>
      <c r="BC67" s="9" t="s">
        <v>89</v>
      </c>
      <c r="BD67" s="9" t="s">
        <v>89</v>
      </c>
      <c r="BE67" s="9" t="s">
        <v>89</v>
      </c>
      <c r="BF67" s="9" t="s">
        <v>89</v>
      </c>
      <c r="BG67" s="9" t="s">
        <v>89</v>
      </c>
      <c r="BH67" s="9" t="s">
        <v>89</v>
      </c>
      <c r="BI67" s="9" t="s">
        <v>139</v>
      </c>
      <c r="BJ67" s="9" t="s">
        <v>139</v>
      </c>
      <c r="BK67" s="9" t="s">
        <v>139</v>
      </c>
      <c r="BL67" s="9" t="s">
        <v>139</v>
      </c>
      <c r="BM67" s="9" t="s">
        <v>139</v>
      </c>
      <c r="BN67" s="9" t="s">
        <v>139</v>
      </c>
      <c r="BO67" s="9" t="s">
        <v>139</v>
      </c>
      <c r="BP67" s="9" t="s">
        <v>139</v>
      </c>
      <c r="BQ67" s="9" t="s">
        <v>139</v>
      </c>
      <c r="BR67" s="9" t="s">
        <v>139</v>
      </c>
      <c r="BS67" s="9" t="s">
        <v>89</v>
      </c>
      <c r="BT67" s="9" t="s">
        <v>89</v>
      </c>
      <c r="BU67" s="9" t="s">
        <v>89</v>
      </c>
      <c r="BV67" t="s">
        <v>142</v>
      </c>
    </row>
    <row r="68" spans="1:74" ht="16" thickBot="1" x14ac:dyDescent="0.4">
      <c r="A68" s="22" t="s">
        <v>0</v>
      </c>
      <c r="B68" s="128" t="s">
        <v>1</v>
      </c>
      <c r="C68" s="13" t="s">
        <v>6</v>
      </c>
      <c r="D68" s="14" t="s">
        <v>8</v>
      </c>
      <c r="E68" s="14" t="s">
        <v>9</v>
      </c>
      <c r="F68" s="14" t="s">
        <v>10</v>
      </c>
      <c r="G68" s="14" t="s">
        <v>11</v>
      </c>
      <c r="H68" s="14" t="s">
        <v>12</v>
      </c>
      <c r="I68" s="14" t="s">
        <v>13</v>
      </c>
      <c r="J68" s="14" t="s">
        <v>14</v>
      </c>
      <c r="K68" s="14" t="s">
        <v>15</v>
      </c>
      <c r="L68" s="14" t="s">
        <v>16</v>
      </c>
      <c r="M68" s="14" t="s">
        <v>17</v>
      </c>
      <c r="N68" s="14" t="s">
        <v>18</v>
      </c>
      <c r="O68" s="14" t="s">
        <v>19</v>
      </c>
      <c r="P68" s="14" t="s">
        <v>20</v>
      </c>
      <c r="Q68" s="14" t="s">
        <v>21</v>
      </c>
      <c r="R68" s="14" t="s">
        <v>22</v>
      </c>
      <c r="S68" s="15" t="s">
        <v>23</v>
      </c>
      <c r="T68" s="15" t="s">
        <v>24</v>
      </c>
      <c r="U68" s="15" t="s">
        <v>25</v>
      </c>
      <c r="V68" s="16" t="s">
        <v>26</v>
      </c>
      <c r="W68" s="36" t="s">
        <v>65</v>
      </c>
      <c r="X68" s="33" t="s">
        <v>65</v>
      </c>
      <c r="Y68" s="36" t="s">
        <v>66</v>
      </c>
      <c r="Z68" s="35" t="s">
        <v>66</v>
      </c>
      <c r="AA68" s="34" t="s">
        <v>55</v>
      </c>
      <c r="AB68" s="33" t="s">
        <v>55</v>
      </c>
      <c r="AC68" s="36" t="s">
        <v>67</v>
      </c>
      <c r="AD68" s="35" t="s">
        <v>67</v>
      </c>
      <c r="AE68" s="38"/>
      <c r="AF68" s="39"/>
      <c r="AG68" s="39" t="s">
        <v>63</v>
      </c>
      <c r="AH68" s="40" t="s">
        <v>73</v>
      </c>
      <c r="AI68" s="39" t="s">
        <v>145</v>
      </c>
      <c r="AJ68" s="13" t="s">
        <v>8</v>
      </c>
      <c r="AK68" s="14" t="s">
        <v>9</v>
      </c>
      <c r="AL68" s="14" t="s">
        <v>10</v>
      </c>
      <c r="AM68" s="14" t="s">
        <v>11</v>
      </c>
      <c r="AN68" s="14" t="s">
        <v>12</v>
      </c>
      <c r="AO68" s="14" t="s">
        <v>13</v>
      </c>
      <c r="AP68" s="14" t="s">
        <v>14</v>
      </c>
      <c r="AQ68" s="14" t="s">
        <v>15</v>
      </c>
      <c r="AR68" s="14" t="s">
        <v>16</v>
      </c>
      <c r="AS68" s="14" t="s">
        <v>17</v>
      </c>
      <c r="AT68" s="14" t="s">
        <v>18</v>
      </c>
      <c r="AU68" s="14" t="s">
        <v>19</v>
      </c>
      <c r="AV68" s="14" t="s">
        <v>20</v>
      </c>
      <c r="AW68" s="14" t="s">
        <v>21</v>
      </c>
      <c r="AX68" s="14" t="s">
        <v>22</v>
      </c>
      <c r="AY68" s="16" t="s">
        <v>23</v>
      </c>
      <c r="AZ68" s="59" t="s">
        <v>78</v>
      </c>
      <c r="BA68" s="87" t="s">
        <v>78</v>
      </c>
      <c r="BB68" s="87" t="s">
        <v>131</v>
      </c>
      <c r="BC68" s="13" t="s">
        <v>8</v>
      </c>
      <c r="BD68" s="14" t="s">
        <v>9</v>
      </c>
      <c r="BE68" s="14" t="s">
        <v>10</v>
      </c>
      <c r="BF68" s="14" t="s">
        <v>11</v>
      </c>
      <c r="BG68" s="14" t="s">
        <v>12</v>
      </c>
      <c r="BH68" s="14" t="s">
        <v>13</v>
      </c>
      <c r="BI68" s="14" t="s">
        <v>14</v>
      </c>
      <c r="BJ68" s="14" t="s">
        <v>15</v>
      </c>
      <c r="BK68" s="14" t="s">
        <v>16</v>
      </c>
      <c r="BL68" s="14" t="s">
        <v>17</v>
      </c>
      <c r="BM68" s="14" t="s">
        <v>18</v>
      </c>
      <c r="BN68" s="14" t="s">
        <v>19</v>
      </c>
      <c r="BO68" s="14" t="s">
        <v>20</v>
      </c>
      <c r="BP68" s="14" t="s">
        <v>21</v>
      </c>
      <c r="BQ68" s="14" t="s">
        <v>22</v>
      </c>
      <c r="BR68" s="16" t="s">
        <v>23</v>
      </c>
      <c r="BS68" s="59" t="s">
        <v>78</v>
      </c>
      <c r="BT68" t="s">
        <v>131</v>
      </c>
      <c r="BU68" t="s">
        <v>133</v>
      </c>
      <c r="BV68" t="s">
        <v>143</v>
      </c>
    </row>
    <row r="69" spans="1:74" ht="16" thickBot="1" x14ac:dyDescent="0.4">
      <c r="A69" s="63" t="str">
        <f t="shared" ref="A69:B92" si="8">A9</f>
        <v>20-03-18</v>
      </c>
      <c r="B69" s="129">
        <f t="shared" si="8"/>
        <v>0</v>
      </c>
      <c r="C69" s="41">
        <v>0</v>
      </c>
      <c r="D69" s="123">
        <f>IFERROR(MIN('B4'!D9,'B5'!D9,'B6'!D9),0)</f>
        <v>0</v>
      </c>
      <c r="E69" s="123">
        <f>IFERROR(MIN('B4'!E9,'B5'!E9,'B6'!E9),0)</f>
        <v>0</v>
      </c>
      <c r="F69" s="123">
        <f>IFERROR(MIN('B4'!F9,'B5'!F9,'B6'!F9),0)</f>
        <v>0</v>
      </c>
      <c r="G69" s="123">
        <f>IFERROR(MIN('B4'!G9,'B5'!G9,'B6'!G9),0)</f>
        <v>0</v>
      </c>
      <c r="H69" s="123">
        <f>IFERROR(MIN('B4'!H9,'B5'!H9,'B6'!H9),0)</f>
        <v>0</v>
      </c>
      <c r="I69" s="123">
        <f>IFERROR(MIN('B4'!I9,'B5'!I9,'B6'!I9),0)</f>
        <v>0</v>
      </c>
      <c r="J69" s="123">
        <f>IFERROR(MIN('B4'!J9,'B5'!J9,'B6'!J9),0)</f>
        <v>0</v>
      </c>
      <c r="K69" s="123">
        <f>IFERROR(MIN('B4'!K9,'B5'!K9,'B6'!K9),0)</f>
        <v>0</v>
      </c>
      <c r="L69" s="123">
        <f>IFERROR(MIN('B4'!L9,'B5'!L9,'B6'!L9),0)</f>
        <v>0</v>
      </c>
      <c r="M69" s="123">
        <f>IFERROR(MIN('B4'!M9,'B5'!M9,'B6'!M9),0)</f>
        <v>0</v>
      </c>
      <c r="N69" s="123">
        <f>IFERROR(MIN('B4'!N9,'B5'!N9,'B6'!N9),0)</f>
        <v>0</v>
      </c>
      <c r="O69" s="123">
        <f>IFERROR(MIN('B4'!O9,'B5'!O9,'B6'!O9),0)</f>
        <v>0</v>
      </c>
      <c r="P69" s="123">
        <f>IFERROR(MIN('B4'!P9,'B5'!P9,'B6'!P9),0)</f>
        <v>0</v>
      </c>
      <c r="Q69" s="123">
        <f>IFERROR(MIN('B4'!Q9,'B5'!Q9,'B6'!Q9),0)</f>
        <v>0</v>
      </c>
      <c r="R69" s="123">
        <f>IFERROR(MIN('B4'!R9,'B5'!R9,'B6'!R9),0)</f>
        <v>0</v>
      </c>
      <c r="S69" s="123">
        <f>IFERROR(MIN('B4'!S9,'B5'!S9,'B6'!S9),0)</f>
        <v>0</v>
      </c>
      <c r="T69" s="123">
        <f>IFERROR(MIN('B4'!T9,'B5'!T9,'B6'!T9),0)</f>
        <v>0</v>
      </c>
      <c r="U69" s="123">
        <f>IFERROR(MIN('B4'!U9,'B5'!U9,'B6'!U9),0)</f>
        <v>0</v>
      </c>
      <c r="V69" s="123">
        <f>IFERROR(MIN('B4'!V9,'B5'!V9,'B6'!V9),0)</f>
        <v>0</v>
      </c>
      <c r="W69" s="123">
        <f>IFERROR(MIN('B4'!W9,'B5'!W9,'B6'!W9),0)</f>
        <v>0</v>
      </c>
      <c r="X69" s="123">
        <f>IFERROR(MIN('B4'!X9,'B5'!X9,'B6'!X9),0)</f>
        <v>0</v>
      </c>
      <c r="Y69" s="123">
        <f>IFERROR(MIN('B4'!Y9,'B5'!Y9,'B6'!Y9),0)</f>
        <v>0</v>
      </c>
      <c r="Z69" s="123">
        <f>IFERROR(MIN('B4'!Z9,'B5'!Z9,'B6'!Z9),0)</f>
        <v>0</v>
      </c>
      <c r="AA69" s="123">
        <f>IFERROR(MIN('B4'!AA9,'B5'!AA9,'B6'!AA9),0)</f>
        <v>0</v>
      </c>
      <c r="AB69" s="123">
        <f>IFERROR(MIN('B4'!AB9,'B5'!AB9,'B6'!AB9),0)</f>
        <v>0</v>
      </c>
      <c r="AC69" s="123">
        <f>IFERROR(MIN('B4'!AC9,'B5'!AC9,'B6'!AC9),0)</f>
        <v>0</v>
      </c>
      <c r="AD69" s="123">
        <f>IFERROR(MIN('B4'!AD9,'B5'!AD9,'B6'!AD9),0)</f>
        <v>0</v>
      </c>
      <c r="AE69" s="123">
        <f>IFERROR(MIN('B4'!AE9,'B5'!AE9,'B6'!AE9),0)</f>
        <v>7</v>
      </c>
      <c r="AF69" s="123">
        <f>IFERROR(MIN('B4'!AF9,'B5'!AF9,'B6'!AF9),0)</f>
        <v>0</v>
      </c>
      <c r="AG69" s="123">
        <f>IFERROR(MIN('B4'!AG9,'B5'!AG9,'B6'!AG9),0)</f>
        <v>1</v>
      </c>
      <c r="AH69" s="123">
        <f>IFERROR(MIN('B4'!AH9,'B5'!AH9,'B6'!AH9),0)</f>
        <v>0</v>
      </c>
      <c r="AI69" s="123">
        <f>IFERROR(MIN('B4'!AI9,'B5'!AI9,'B6'!AI9),0)</f>
        <v>0</v>
      </c>
      <c r="AJ69" s="123">
        <f>IFERROR(MIN('B4'!AJ9,'B5'!AJ9,'B6'!AJ9),0)</f>
        <v>0</v>
      </c>
      <c r="AK69" s="123">
        <f>IFERROR(MIN('B4'!AK9,'B5'!AK9,'B6'!AK9),0)</f>
        <v>0</v>
      </c>
      <c r="AL69" s="123">
        <f>IFERROR(MIN('B4'!AL9,'B5'!AL9,'B6'!AL9),0)</f>
        <v>0</v>
      </c>
      <c r="AM69" s="123">
        <f>IFERROR(MIN('B4'!AM9,'B5'!AM9,'B6'!AM9),0)</f>
        <v>0</v>
      </c>
      <c r="AN69" s="123">
        <f>IFERROR(MIN('B4'!AN9,'B5'!AN9,'B6'!AN9),0)</f>
        <v>0</v>
      </c>
      <c r="AO69" s="123">
        <f>IFERROR(MIN('B4'!AO9,'B5'!AO9,'B6'!AO9),0)</f>
        <v>0</v>
      </c>
      <c r="AP69" s="123">
        <f>IFERROR(MIN('B4'!AP9,'B5'!AP9,'B6'!AP9),0)</f>
        <v>0</v>
      </c>
      <c r="AQ69" s="123">
        <f>IFERROR(MIN('B4'!AQ9,'B5'!AQ9,'B6'!AQ9),0)</f>
        <v>0</v>
      </c>
      <c r="AR69" s="123">
        <f>IFERROR(MIN('B4'!AR9,'B5'!AR9,'B6'!AR9),0)</f>
        <v>0</v>
      </c>
      <c r="AS69" s="123">
        <f>IFERROR(MIN('B4'!AS9,'B5'!AS9,'B6'!AS9),0)</f>
        <v>0</v>
      </c>
      <c r="AT69" s="123">
        <f>IFERROR(MIN('B4'!AT9,'B5'!AT9,'B6'!AT9),0)</f>
        <v>0</v>
      </c>
      <c r="AU69" s="123">
        <f>IFERROR(MIN('B4'!AU9,'B5'!AU9,'B6'!AU9),0)</f>
        <v>0</v>
      </c>
      <c r="AV69" s="123">
        <f>IFERROR(MIN('B4'!AV9,'B5'!AV9,'B6'!AV9),0)</f>
        <v>0</v>
      </c>
      <c r="AW69" s="123">
        <f>IFERROR(MIN('B4'!AW9,'B5'!AW9,'B6'!AW9),0)</f>
        <v>0</v>
      </c>
      <c r="AX69" s="123">
        <f>IFERROR(MIN('B4'!AX9,'B5'!AX9,'B6'!AX9),0)</f>
        <v>0</v>
      </c>
      <c r="AY69" s="123">
        <f>IFERROR(MIN('B4'!AY9,'B5'!AY9,'B6'!AY9),0)</f>
        <v>0</v>
      </c>
      <c r="AZ69" s="123">
        <f>IFERROR(MIN('B4'!AZ9,'B5'!AZ9,'B6'!AZ9),0)</f>
        <v>0</v>
      </c>
      <c r="BA69" s="123">
        <f>IFERROR(MIN('B4'!BA9,'B5'!BA9,'B6'!BA9),0)</f>
        <v>0</v>
      </c>
      <c r="BB69" s="123">
        <f>IFERROR(MIN('B4'!BB9,'B5'!BB9,'B6'!BB9),0)</f>
        <v>0</v>
      </c>
      <c r="BC69" s="123">
        <f>IFERROR(MIN('B4'!BC9,'B5'!BC9,'B6'!BC9),0)</f>
        <v>0</v>
      </c>
      <c r="BD69" s="123">
        <f>IFERROR(MIN('B4'!BD9,'B5'!BD9,'B6'!BD9),0)</f>
        <v>0</v>
      </c>
      <c r="BE69" s="123">
        <f>IFERROR(MIN('B4'!BE9,'B5'!BE9,'B6'!BE9),0)</f>
        <v>0</v>
      </c>
      <c r="BF69" s="123">
        <f>IFERROR(MIN('B4'!BF9,'B5'!BF9,'B6'!BF9),0)</f>
        <v>0</v>
      </c>
      <c r="BG69" s="123">
        <f>IFERROR(MIN('B4'!BG9,'B5'!BG9,'B6'!BG9),0)</f>
        <v>0</v>
      </c>
      <c r="BH69" s="123">
        <f>IFERROR(MIN('B4'!BH9,'B5'!BH9,'B6'!BH9),0)</f>
        <v>0</v>
      </c>
      <c r="BI69" s="123">
        <f>IFERROR(MIN('B4'!BI9,'B5'!BI9,'B6'!BI9),0)</f>
        <v>0</v>
      </c>
      <c r="BJ69" s="123">
        <f>IFERROR(MIN('B4'!BJ9,'B5'!BJ9,'B6'!BJ9),0)</f>
        <v>0</v>
      </c>
      <c r="BK69" s="123">
        <f>IFERROR(MIN('B4'!BK9,'B5'!BK9,'B6'!BK9),0)</f>
        <v>0</v>
      </c>
      <c r="BL69" s="123">
        <f>IFERROR(MIN('B4'!BL9,'B5'!BL9,'B6'!BL9),0)</f>
        <v>0</v>
      </c>
      <c r="BM69" s="123">
        <f>IFERROR(MIN('B4'!BM9,'B5'!BM9,'B6'!BM9),0)</f>
        <v>0</v>
      </c>
      <c r="BN69" s="123">
        <f>IFERROR(MIN('B4'!BN9,'B5'!BN9,'B6'!BN9),0)</f>
        <v>0</v>
      </c>
      <c r="BO69" s="123">
        <f>IFERROR(MIN('B4'!BO9,'B5'!BO9,'B6'!BO9),0)</f>
        <v>0</v>
      </c>
      <c r="BP69" s="123">
        <f>IFERROR(MIN('B4'!BP9,'B5'!BP9,'B6'!BP9),0)</f>
        <v>0</v>
      </c>
      <c r="BQ69" s="123">
        <f>IFERROR(MIN('B4'!BQ9,'B5'!BQ9,'B6'!BQ9),0)</f>
        <v>0</v>
      </c>
      <c r="BR69" s="123">
        <f>IFERROR(MIN('B4'!BR9,'B5'!BR9,'B6'!BR9),0)</f>
        <v>0</v>
      </c>
      <c r="BS69" s="123">
        <f>IFERROR(MIN('B4'!BS9,'B5'!BS9,'B6'!BS9),0)</f>
        <v>0</v>
      </c>
      <c r="BT69" s="123">
        <f>IFERROR(MIN('B4'!BT9,'B5'!BT9,'B6'!BT9),0)</f>
        <v>0</v>
      </c>
      <c r="BU69" s="123">
        <f>IFERROR(MIN('B4'!BU9,'B5'!BU9,'B6'!BU9),0)</f>
        <v>0</v>
      </c>
      <c r="BV69" s="123">
        <f>IFERROR(MIN('B4'!BV9,'B5'!BV9,'B6'!BV9),0)</f>
        <v>0</v>
      </c>
    </row>
    <row r="70" spans="1:74" ht="16" thickBot="1" x14ac:dyDescent="0.4">
      <c r="A70" s="63" t="str">
        <f t="shared" si="8"/>
        <v>22-03-18</v>
      </c>
      <c r="B70" s="129">
        <f t="shared" ref="B70:B92" si="9">B10</f>
        <v>2</v>
      </c>
      <c r="C70" s="77">
        <v>0</v>
      </c>
      <c r="D70" s="123">
        <f>IFERROR(MIN('B4'!D10,'B5'!D10,'B6'!D10),0)</f>
        <v>0</v>
      </c>
      <c r="E70" s="123">
        <f>IFERROR(MIN('B4'!E10,'B5'!E10,'B6'!E10),0)</f>
        <v>0</v>
      </c>
      <c r="F70" s="123">
        <f>IFERROR(MIN('B4'!F10,'B5'!F10,'B6'!F10),0)</f>
        <v>0</v>
      </c>
      <c r="G70" s="123">
        <f>IFERROR(MIN('B4'!G10,'B5'!G10,'B6'!G10),0)</f>
        <v>0</v>
      </c>
      <c r="H70" s="123">
        <f>IFERROR(MIN('B4'!H10,'B5'!H10,'B6'!H10),0)</f>
        <v>0</v>
      </c>
      <c r="I70" s="123">
        <f>IFERROR(MIN('B4'!I10,'B5'!I10,'B6'!I10),0)</f>
        <v>0</v>
      </c>
      <c r="J70" s="123">
        <f>IFERROR(MIN('B4'!J10,'B5'!J10,'B6'!J10),0)</f>
        <v>0</v>
      </c>
      <c r="K70" s="123">
        <f>IFERROR(MIN('B4'!K10,'B5'!K10,'B6'!K10),0)</f>
        <v>0</v>
      </c>
      <c r="L70" s="123">
        <f>IFERROR(MIN('B4'!L10,'B5'!L10,'B6'!L10),0)</f>
        <v>0</v>
      </c>
      <c r="M70" s="123">
        <f>IFERROR(MIN('B4'!M10,'B5'!M10,'B6'!M10),0)</f>
        <v>0</v>
      </c>
      <c r="N70" s="123">
        <f>IFERROR(MIN('B4'!N10,'B5'!N10,'B6'!N10),0)</f>
        <v>0</v>
      </c>
      <c r="O70" s="123">
        <f>IFERROR(MIN('B4'!O10,'B5'!O10,'B6'!O10),0)</f>
        <v>0</v>
      </c>
      <c r="P70" s="123">
        <f>IFERROR(MIN('B4'!P10,'B5'!P10,'B6'!P10),0)</f>
        <v>0</v>
      </c>
      <c r="Q70" s="123">
        <f>IFERROR(MIN('B4'!Q10,'B5'!Q10,'B6'!Q10),0)</f>
        <v>0</v>
      </c>
      <c r="R70" s="123">
        <f>IFERROR(MIN('B4'!R10,'B5'!R10,'B6'!R10),0)</f>
        <v>0</v>
      </c>
      <c r="S70" s="123">
        <f>IFERROR(MIN('B4'!S10,'B5'!S10,'B6'!S10),0)</f>
        <v>0</v>
      </c>
      <c r="T70" s="123">
        <f>IFERROR(MIN('B4'!T10,'B5'!T10,'B6'!T10),0)</f>
        <v>0</v>
      </c>
      <c r="U70" s="123">
        <f>IFERROR(MIN('B4'!U10,'B5'!U10,'B6'!U10),0)</f>
        <v>0</v>
      </c>
      <c r="V70" s="123">
        <f>IFERROR(MIN('B4'!V10,'B5'!V10,'B6'!V10),0)</f>
        <v>0</v>
      </c>
      <c r="W70" s="123">
        <f>IFERROR(MIN('B4'!W10,'B5'!W10,'B6'!W10),0)</f>
        <v>0</v>
      </c>
      <c r="X70" s="123">
        <f>IFERROR(MIN('B4'!X10,'B5'!X10,'B6'!X10),0)</f>
        <v>0</v>
      </c>
      <c r="Y70" s="123">
        <f>IFERROR(MIN('B4'!Y10,'B5'!Y10,'B6'!Y10),0)</f>
        <v>0</v>
      </c>
      <c r="Z70" s="123">
        <f>IFERROR(MIN('B4'!Z10,'B5'!Z10,'B6'!Z10),0)</f>
        <v>0</v>
      </c>
      <c r="AA70" s="123">
        <f>IFERROR(MIN('B4'!AA10,'B5'!AA10,'B6'!AA10),0)</f>
        <v>0</v>
      </c>
      <c r="AB70" s="123">
        <f>IFERROR(MIN('B4'!AB10,'B5'!AB10,'B6'!AB10),0)</f>
        <v>0</v>
      </c>
      <c r="AC70" s="123">
        <f>IFERROR(MIN('B4'!AC10,'B5'!AC10,'B6'!AC10),0)</f>
        <v>0</v>
      </c>
      <c r="AD70" s="123">
        <f>IFERROR(MIN('B4'!AD10,'B5'!AD10,'B6'!AD10),0)</f>
        <v>0</v>
      </c>
      <c r="AE70" s="123">
        <f>IFERROR(MIN('B4'!AE10,'B5'!AE10,'B6'!AE10),0)</f>
        <v>6.76</v>
      </c>
      <c r="AF70" s="123">
        <f>IFERROR(MIN('B4'!AF10,'B5'!AF10,'B6'!AF10),0)</f>
        <v>10</v>
      </c>
      <c r="AG70" s="123">
        <f>IFERROR(MIN('B4'!AG10,'B5'!AG10,'B6'!AG10),0)</f>
        <v>1</v>
      </c>
      <c r="AH70" s="123">
        <f>IFERROR(MIN('B4'!AH10,'B5'!AH10,'B6'!AH10),0)</f>
        <v>9.8800000000000008</v>
      </c>
      <c r="AI70" s="123">
        <f>IFERROR(MIN('B4'!AI10,'B5'!AI10,'B6'!AI10),0)</f>
        <v>0</v>
      </c>
      <c r="AJ70" s="123">
        <f>IFERROR(MIN('B4'!AJ10,'B5'!AJ10,'B6'!AJ10),0)</f>
        <v>0</v>
      </c>
      <c r="AK70" s="123">
        <f>IFERROR(MIN('B4'!AK10,'B5'!AK10,'B6'!AK10),0)</f>
        <v>0</v>
      </c>
      <c r="AL70" s="123">
        <f>IFERROR(MIN('B4'!AL10,'B5'!AL10,'B6'!AL10),0)</f>
        <v>0</v>
      </c>
      <c r="AM70" s="123">
        <f>IFERROR(MIN('B4'!AM10,'B5'!AM10,'B6'!AM10),0)</f>
        <v>0</v>
      </c>
      <c r="AN70" s="123">
        <f>IFERROR(MIN('B4'!AN10,'B5'!AN10,'B6'!AN10),0)</f>
        <v>0</v>
      </c>
      <c r="AO70" s="123">
        <f>IFERROR(MIN('B4'!AO10,'B5'!AO10,'B6'!AO10),0)</f>
        <v>0</v>
      </c>
      <c r="AP70" s="123">
        <f>IFERROR(MIN('B4'!AP10,'B5'!AP10,'B6'!AP10),0)</f>
        <v>0</v>
      </c>
      <c r="AQ70" s="123">
        <f>IFERROR(MIN('B4'!AQ10,'B5'!AQ10,'B6'!AQ10),0)</f>
        <v>0</v>
      </c>
      <c r="AR70" s="123">
        <f>IFERROR(MIN('B4'!AR10,'B5'!AR10,'B6'!AR10),0)</f>
        <v>0</v>
      </c>
      <c r="AS70" s="123">
        <f>IFERROR(MIN('B4'!AS10,'B5'!AS10,'B6'!AS10),0)</f>
        <v>0</v>
      </c>
      <c r="AT70" s="123">
        <f>IFERROR(MIN('B4'!AT10,'B5'!AT10,'B6'!AT10),0)</f>
        <v>0</v>
      </c>
      <c r="AU70" s="123">
        <f>IFERROR(MIN('B4'!AU10,'B5'!AU10,'B6'!AU10),0)</f>
        <v>0</v>
      </c>
      <c r="AV70" s="123">
        <f>IFERROR(MIN('B4'!AV10,'B5'!AV10,'B6'!AV10),0)</f>
        <v>0</v>
      </c>
      <c r="AW70" s="123">
        <f>IFERROR(MIN('B4'!AW10,'B5'!AW10,'B6'!AW10),0)</f>
        <v>0</v>
      </c>
      <c r="AX70" s="123">
        <f>IFERROR(MIN('B4'!AX10,'B5'!AX10,'B6'!AX10),0)</f>
        <v>0</v>
      </c>
      <c r="AY70" s="123">
        <f>IFERROR(MIN('B4'!AY10,'B5'!AY10,'B6'!AY10),0)</f>
        <v>0</v>
      </c>
      <c r="AZ70" s="123">
        <f>IFERROR(MIN('B4'!AZ10,'B5'!AZ10,'B6'!AZ10),0)</f>
        <v>1.0968028419182949</v>
      </c>
      <c r="BA70" s="123">
        <f>IFERROR(MIN('B4'!BA10,'B5'!BA10,'B6'!BA10),0)</f>
        <v>9.8800000000000013E-2</v>
      </c>
      <c r="BB70" s="123">
        <f>IFERROR(MIN('B4'!BB10,'B5'!BB10,'B6'!BB10),0)</f>
        <v>0</v>
      </c>
      <c r="BC70" s="123">
        <f>IFERROR(MIN('B4'!BC10,'B5'!BC10,'B6'!BC10),0)</f>
        <v>0</v>
      </c>
      <c r="BD70" s="123">
        <f>IFERROR(MIN('B4'!BD10,'B5'!BD10,'B6'!BD10),0)</f>
        <v>0</v>
      </c>
      <c r="BE70" s="123">
        <f>IFERROR(MIN('B4'!BE10,'B5'!BE10,'B6'!BE10),0)</f>
        <v>0</v>
      </c>
      <c r="BF70" s="123">
        <f>IFERROR(MIN('B4'!BF10,'B5'!BF10,'B6'!BF10),0)</f>
        <v>0</v>
      </c>
      <c r="BG70" s="123">
        <f>IFERROR(MIN('B4'!BG10,'B5'!BG10,'B6'!BG10),0)</f>
        <v>0</v>
      </c>
      <c r="BH70" s="123">
        <f>IFERROR(MIN('B4'!BH10,'B5'!BH10,'B6'!BH10),0)</f>
        <v>0</v>
      </c>
      <c r="BI70" s="123">
        <f>IFERROR(MIN('B4'!BI10,'B5'!BI10,'B6'!BI10),0)</f>
        <v>0</v>
      </c>
      <c r="BJ70" s="123">
        <f>IFERROR(MIN('B4'!BJ10,'B5'!BJ10,'B6'!BJ10),0)</f>
        <v>0</v>
      </c>
      <c r="BK70" s="123">
        <f>IFERROR(MIN('B4'!BK10,'B5'!BK10,'B6'!BK10),0)</f>
        <v>0</v>
      </c>
      <c r="BL70" s="123">
        <f>IFERROR(MIN('B4'!BL10,'B5'!BL10,'B6'!BL10),0)</f>
        <v>0</v>
      </c>
      <c r="BM70" s="123">
        <f>IFERROR(MIN('B4'!BM10,'B5'!BM10,'B6'!BM10),0)</f>
        <v>0</v>
      </c>
      <c r="BN70" s="123">
        <f>IFERROR(MIN('B4'!BN10,'B5'!BN10,'B6'!BN10),0)</f>
        <v>0</v>
      </c>
      <c r="BO70" s="123">
        <f>IFERROR(MIN('B4'!BO10,'B5'!BO10,'B6'!BO10),0)</f>
        <v>0</v>
      </c>
      <c r="BP70" s="123">
        <f>IFERROR(MIN('B4'!BP10,'B5'!BP10,'B6'!BP10),0)</f>
        <v>0</v>
      </c>
      <c r="BQ70" s="123">
        <f>IFERROR(MIN('B4'!BQ10,'B5'!BQ10,'B6'!BQ10),0)</f>
        <v>0</v>
      </c>
      <c r="BR70" s="123">
        <f>IFERROR(MIN('B4'!BR10,'B5'!BR10,'B6'!BR10),0)</f>
        <v>0</v>
      </c>
      <c r="BS70" s="123">
        <f>IFERROR(MIN('B4'!BS10,'B5'!BS10,'B6'!BS10),0)</f>
        <v>0</v>
      </c>
      <c r="BT70" s="123">
        <f>IFERROR(MIN('B4'!BT10,'B5'!BT10,'B6'!BT10),0)</f>
        <v>3.2904085257548848E-3</v>
      </c>
      <c r="BU70" s="123">
        <f>IFERROR(MIN('B4'!BU10,'B5'!BU10,'B6'!BU10),0)</f>
        <v>0</v>
      </c>
      <c r="BV70" s="123">
        <f>IFERROR(MIN('B4'!BV10,'B5'!BV10,'B6'!BV10),0)</f>
        <v>0</v>
      </c>
    </row>
    <row r="71" spans="1:74" ht="16" thickBot="1" x14ac:dyDescent="0.4">
      <c r="A71" s="63" t="str">
        <f t="shared" si="8"/>
        <v>23-03-18</v>
      </c>
      <c r="B71" s="129">
        <f t="shared" si="9"/>
        <v>3</v>
      </c>
      <c r="C71" s="41">
        <v>0</v>
      </c>
      <c r="D71" s="123">
        <f>IFERROR(MIN('B4'!D11,'B5'!D11,'B6'!D11),0)</f>
        <v>0</v>
      </c>
      <c r="E71" s="123">
        <f>IFERROR(MIN('B4'!E11,'B5'!E11,'B6'!E11),0)</f>
        <v>0</v>
      </c>
      <c r="F71" s="123">
        <f>IFERROR(MIN('B4'!F11,'B5'!F11,'B6'!F11),0)</f>
        <v>0</v>
      </c>
      <c r="G71" s="123">
        <f>IFERROR(MIN('B4'!G11,'B5'!G11,'B6'!G11),0)</f>
        <v>0</v>
      </c>
      <c r="H71" s="123">
        <f>IFERROR(MIN('B4'!H11,'B5'!H11,'B6'!H11),0)</f>
        <v>0</v>
      </c>
      <c r="I71" s="123">
        <f>IFERROR(MIN('B4'!I11,'B5'!I11,'B6'!I11),0)</f>
        <v>0</v>
      </c>
      <c r="J71" s="123">
        <f>IFERROR(MIN('B4'!J11,'B5'!J11,'B6'!J11),0)</f>
        <v>0</v>
      </c>
      <c r="K71" s="123">
        <f>IFERROR(MIN('B4'!K11,'B5'!K11,'B6'!K11),0)</f>
        <v>0</v>
      </c>
      <c r="L71" s="123">
        <f>IFERROR(MIN('B4'!L11,'B5'!L11,'B6'!L11),0)</f>
        <v>0</v>
      </c>
      <c r="M71" s="123">
        <f>IFERROR(MIN('B4'!M11,'B5'!M11,'B6'!M11),0)</f>
        <v>0</v>
      </c>
      <c r="N71" s="123">
        <f>IFERROR(MIN('B4'!N11,'B5'!N11,'B6'!N11),0)</f>
        <v>0</v>
      </c>
      <c r="O71" s="123">
        <f>IFERROR(MIN('B4'!O11,'B5'!O11,'B6'!O11),0)</f>
        <v>0</v>
      </c>
      <c r="P71" s="123">
        <f>IFERROR(MIN('B4'!P11,'B5'!P11,'B6'!P11),0)</f>
        <v>0</v>
      </c>
      <c r="Q71" s="123">
        <f>IFERROR(MIN('B4'!Q11,'B5'!Q11,'B6'!Q11),0)</f>
        <v>0</v>
      </c>
      <c r="R71" s="123">
        <f>IFERROR(MIN('B4'!R11,'B5'!R11,'B6'!R11),0)</f>
        <v>0</v>
      </c>
      <c r="S71" s="123">
        <f>IFERROR(MIN('B4'!S11,'B5'!S11,'B6'!S11),0)</f>
        <v>0</v>
      </c>
      <c r="T71" s="123">
        <f>IFERROR(MIN('B4'!T11,'B5'!T11,'B6'!T11),0)</f>
        <v>0</v>
      </c>
      <c r="U71" s="123">
        <f>IFERROR(MIN('B4'!U11,'B5'!U11,'B6'!U11),0)</f>
        <v>0</v>
      </c>
      <c r="V71" s="123">
        <f>IFERROR(MIN('B4'!V11,'B5'!V11,'B6'!V11),0)</f>
        <v>0</v>
      </c>
      <c r="W71" s="123">
        <f>IFERROR(MIN('B4'!W11,'B5'!W11,'B6'!W11),0)</f>
        <v>0</v>
      </c>
      <c r="X71" s="123">
        <f>IFERROR(MIN('B4'!X11,'B5'!X11,'B6'!X11),0)</f>
        <v>0</v>
      </c>
      <c r="Y71" s="123">
        <f>IFERROR(MIN('B4'!Y11,'B5'!Y11,'B6'!Y11),0)</f>
        <v>0</v>
      </c>
      <c r="Z71" s="123">
        <f>IFERROR(MIN('B4'!Z11,'B5'!Z11,'B6'!Z11),0)</f>
        <v>0</v>
      </c>
      <c r="AA71" s="123">
        <f>IFERROR(MIN('B4'!AA11,'B5'!AA11,'B6'!AA11),0)</f>
        <v>0</v>
      </c>
      <c r="AB71" s="123">
        <f>IFERROR(MIN('B4'!AB11,'B5'!AB11,'B6'!AB11),0)</f>
        <v>0</v>
      </c>
      <c r="AC71" s="123">
        <f>IFERROR(MIN('B4'!AC11,'B5'!AC11,'B6'!AC11),0)</f>
        <v>0</v>
      </c>
      <c r="AD71" s="123">
        <f>IFERROR(MIN('B4'!AD11,'B5'!AD11,'B6'!AD11),0)</f>
        <v>0</v>
      </c>
      <c r="AE71" s="123">
        <f>IFERROR(MIN('B4'!AE11,'B5'!AE11,'B6'!AE11),0)</f>
        <v>6.3</v>
      </c>
      <c r="AF71" s="123">
        <f>IFERROR(MIN('B4'!AF11,'B5'!AF11,'B6'!AF11),0)</f>
        <v>10</v>
      </c>
      <c r="AG71" s="123">
        <f>IFERROR(MIN('B4'!AG11,'B5'!AG11,'B6'!AG11),0)</f>
        <v>1</v>
      </c>
      <c r="AH71" s="123">
        <f>IFERROR(MIN('B4'!AH11,'B5'!AH11,'B6'!AH11),0)</f>
        <v>27.78</v>
      </c>
      <c r="AI71" s="123">
        <f>IFERROR(MIN('B4'!AI11,'B5'!AI11,'B6'!AI11),0)</f>
        <v>0</v>
      </c>
      <c r="AJ71" s="123">
        <f>IFERROR(MIN('B4'!AJ11,'B5'!AJ11,'B6'!AJ11),0)</f>
        <v>0</v>
      </c>
      <c r="AK71" s="123">
        <f>IFERROR(MIN('B4'!AK11,'B5'!AK11,'B6'!AK11),0)</f>
        <v>0</v>
      </c>
      <c r="AL71" s="123">
        <f>IFERROR(MIN('B4'!AL11,'B5'!AL11,'B6'!AL11),0)</f>
        <v>0</v>
      </c>
      <c r="AM71" s="123">
        <f>IFERROR(MIN('B4'!AM11,'B5'!AM11,'B6'!AM11),0)</f>
        <v>0</v>
      </c>
      <c r="AN71" s="123">
        <f>IFERROR(MIN('B4'!AN11,'B5'!AN11,'B6'!AN11),0)</f>
        <v>0</v>
      </c>
      <c r="AO71" s="123">
        <f>IFERROR(MIN('B4'!AO11,'B5'!AO11,'B6'!AO11),0)</f>
        <v>0</v>
      </c>
      <c r="AP71" s="123">
        <f>IFERROR(MIN('B4'!AP11,'B5'!AP11,'B6'!AP11),0)</f>
        <v>0</v>
      </c>
      <c r="AQ71" s="123">
        <f>IFERROR(MIN('B4'!AQ11,'B5'!AQ11,'B6'!AQ11),0)</f>
        <v>0</v>
      </c>
      <c r="AR71" s="123">
        <f>IFERROR(MIN('B4'!AR11,'B5'!AR11,'B6'!AR11),0)</f>
        <v>0</v>
      </c>
      <c r="AS71" s="123">
        <f>IFERROR(MIN('B4'!AS11,'B5'!AS11,'B6'!AS11),0)</f>
        <v>0</v>
      </c>
      <c r="AT71" s="123">
        <f>IFERROR(MIN('B4'!AT11,'B5'!AT11,'B6'!AT11),0)</f>
        <v>0</v>
      </c>
      <c r="AU71" s="123">
        <f>IFERROR(MIN('B4'!AU11,'B5'!AU11,'B6'!AU11),0)</f>
        <v>0</v>
      </c>
      <c r="AV71" s="123">
        <f>IFERROR(MIN('B4'!AV11,'B5'!AV11,'B6'!AV11),0)</f>
        <v>0</v>
      </c>
      <c r="AW71" s="123">
        <f>IFERROR(MIN('B4'!AW11,'B5'!AW11,'B6'!AW11),0)</f>
        <v>0</v>
      </c>
      <c r="AX71" s="123">
        <f>IFERROR(MIN('B4'!AX11,'B5'!AX11,'B6'!AX11),0)</f>
        <v>0</v>
      </c>
      <c r="AY71" s="123">
        <f>IFERROR(MIN('B4'!AY11,'B5'!AY11,'B6'!AY11),0)</f>
        <v>0</v>
      </c>
      <c r="AZ71" s="123">
        <f>IFERROR(MIN('B4'!AZ11,'B5'!AZ11,'B6'!AZ11),0)</f>
        <v>3.0839253996447602</v>
      </c>
      <c r="BA71" s="123">
        <f>IFERROR(MIN('B4'!BA11,'B5'!BA11,'B6'!BA11),0)</f>
        <v>0.27779999999999999</v>
      </c>
      <c r="BB71" s="123">
        <f>IFERROR(MIN('B4'!BB11,'B5'!BB11,'B6'!BB11),0)</f>
        <v>0</v>
      </c>
      <c r="BC71" s="123">
        <f>IFERROR(MIN('B4'!BC11,'B5'!BC11,'B6'!BC11),0)</f>
        <v>0</v>
      </c>
      <c r="BD71" s="123">
        <f>IFERROR(MIN('B4'!BD11,'B5'!BD11,'B6'!BD11),0)</f>
        <v>0</v>
      </c>
      <c r="BE71" s="123">
        <f>IFERROR(MIN('B4'!BE11,'B5'!BE11,'B6'!BE11),0)</f>
        <v>0</v>
      </c>
      <c r="BF71" s="123">
        <f>IFERROR(MIN('B4'!BF11,'B5'!BF11,'B6'!BF11),0)</f>
        <v>0</v>
      </c>
      <c r="BG71" s="123">
        <f>IFERROR(MIN('B4'!BG11,'B5'!BG11,'B6'!BG11),0)</f>
        <v>0</v>
      </c>
      <c r="BH71" s="123">
        <f>IFERROR(MIN('B4'!BH11,'B5'!BH11,'B6'!BH11),0)</f>
        <v>0</v>
      </c>
      <c r="BI71" s="123">
        <f>IFERROR(MIN('B4'!BI11,'B5'!BI11,'B6'!BI11),0)</f>
        <v>0</v>
      </c>
      <c r="BJ71" s="123">
        <f>IFERROR(MIN('B4'!BJ11,'B5'!BJ11,'B6'!BJ11),0)</f>
        <v>0</v>
      </c>
      <c r="BK71" s="123">
        <f>IFERROR(MIN('B4'!BK11,'B5'!BK11,'B6'!BK11),0)</f>
        <v>0</v>
      </c>
      <c r="BL71" s="123">
        <f>IFERROR(MIN('B4'!BL11,'B5'!BL11,'B6'!BL11),0)</f>
        <v>0</v>
      </c>
      <c r="BM71" s="123">
        <f>IFERROR(MIN('B4'!BM11,'B5'!BM11,'B6'!BM11),0)</f>
        <v>0</v>
      </c>
      <c r="BN71" s="123">
        <f>IFERROR(MIN('B4'!BN11,'B5'!BN11,'B6'!BN11),0)</f>
        <v>0</v>
      </c>
      <c r="BO71" s="123">
        <f>IFERROR(MIN('B4'!BO11,'B5'!BO11,'B6'!BO11),0)</f>
        <v>0</v>
      </c>
      <c r="BP71" s="123">
        <f>IFERROR(MIN('B4'!BP11,'B5'!BP11,'B6'!BP11),0)</f>
        <v>0</v>
      </c>
      <c r="BQ71" s="123">
        <f>IFERROR(MIN('B4'!BQ11,'B5'!BQ11,'B6'!BQ11),0)</f>
        <v>0</v>
      </c>
      <c r="BR71" s="123">
        <f>IFERROR(MIN('B4'!BR11,'B5'!BR11,'B6'!BR11),0)</f>
        <v>0</v>
      </c>
      <c r="BS71" s="123">
        <f>IFERROR(MIN('B4'!BS11,'B5'!BS11,'B6'!BS11),0)</f>
        <v>0</v>
      </c>
      <c r="BT71" s="123">
        <f>IFERROR(MIN('B4'!BT11,'B5'!BT11,'B6'!BT11),0)</f>
        <v>9.2517761989342803E-3</v>
      </c>
      <c r="BU71" s="123">
        <f>IFERROR(MIN('B4'!BU11,'B5'!BU11,'B6'!BU11),0)</f>
        <v>0</v>
      </c>
      <c r="BV71" s="123">
        <f>IFERROR(MIN('B4'!BV11,'B5'!BV11,'B6'!BV11),0)</f>
        <v>0</v>
      </c>
    </row>
    <row r="72" spans="1:74" ht="16" thickBot="1" x14ac:dyDescent="0.4">
      <c r="A72" s="63" t="str">
        <f t="shared" si="8"/>
        <v>26-03-18</v>
      </c>
      <c r="B72" s="129">
        <f t="shared" si="9"/>
        <v>6</v>
      </c>
      <c r="C72" s="77">
        <v>0</v>
      </c>
      <c r="D72" s="123">
        <f>IFERROR(MIN('B4'!D12,'B5'!D12,'B6'!D12),0)</f>
        <v>0</v>
      </c>
      <c r="E72" s="123">
        <f>IFERROR(MIN('B4'!E12,'B5'!E12,'B6'!E12),0)</f>
        <v>0</v>
      </c>
      <c r="F72" s="123">
        <f>IFERROR(MIN('B4'!F12,'B5'!F12,'B6'!F12),0)</f>
        <v>0</v>
      </c>
      <c r="G72" s="123">
        <f>IFERROR(MIN('B4'!G12,'B5'!G12,'B6'!G12),0)</f>
        <v>0</v>
      </c>
      <c r="H72" s="123">
        <f>IFERROR(MIN('B4'!H12,'B5'!H12,'B6'!H12),0)</f>
        <v>0</v>
      </c>
      <c r="I72" s="123">
        <f>IFERROR(MIN('B4'!I12,'B5'!I12,'B6'!I12),0)</f>
        <v>0</v>
      </c>
      <c r="J72" s="123">
        <f>IFERROR(MIN('B4'!J12,'B5'!J12,'B6'!J12),0)</f>
        <v>0</v>
      </c>
      <c r="K72" s="123">
        <f>IFERROR(MIN('B4'!K12,'B5'!K12,'B6'!K12),0)</f>
        <v>0</v>
      </c>
      <c r="L72" s="123">
        <f>IFERROR(MIN('B4'!L12,'B5'!L12,'B6'!L12),0)</f>
        <v>0</v>
      </c>
      <c r="M72" s="123">
        <f>IFERROR(MIN('B4'!M12,'B5'!M12,'B6'!M12),0)</f>
        <v>0</v>
      </c>
      <c r="N72" s="123">
        <f>IFERROR(MIN('B4'!N12,'B5'!N12,'B6'!N12),0)</f>
        <v>0</v>
      </c>
      <c r="O72" s="123">
        <f>IFERROR(MIN('B4'!O12,'B5'!O12,'B6'!O12),0)</f>
        <v>0</v>
      </c>
      <c r="P72" s="123">
        <f>IFERROR(MIN('B4'!P12,'B5'!P12,'B6'!P12),0)</f>
        <v>0</v>
      </c>
      <c r="Q72" s="123">
        <f>IFERROR(MIN('B4'!Q12,'B5'!Q12,'B6'!Q12),0)</f>
        <v>0</v>
      </c>
      <c r="R72" s="123">
        <f>IFERROR(MIN('B4'!R12,'B5'!R12,'B6'!R12),0)</f>
        <v>0</v>
      </c>
      <c r="S72" s="123">
        <f>IFERROR(MIN('B4'!S12,'B5'!S12,'B6'!S12),0)</f>
        <v>0</v>
      </c>
      <c r="T72" s="123">
        <f>IFERROR(MIN('B4'!T12,'B5'!T12,'B6'!T12),0)</f>
        <v>0</v>
      </c>
      <c r="U72" s="123">
        <f>IFERROR(MIN('B4'!U12,'B5'!U12,'B6'!U12),0)</f>
        <v>0</v>
      </c>
      <c r="V72" s="123">
        <f>IFERROR(MIN('B4'!V12,'B5'!V12,'B6'!V12),0)</f>
        <v>0</v>
      </c>
      <c r="W72" s="123">
        <f>IFERROR(MIN('B4'!W12,'B5'!W12,'B6'!W12),0)</f>
        <v>0</v>
      </c>
      <c r="X72" s="123">
        <f>IFERROR(MIN('B4'!X12,'B5'!X12,'B6'!X12),0)</f>
        <v>0</v>
      </c>
      <c r="Y72" s="123">
        <f>IFERROR(MIN('B4'!Y12,'B5'!Y12,'B6'!Y12),0)</f>
        <v>0</v>
      </c>
      <c r="Z72" s="123">
        <f>IFERROR(MIN('B4'!Z12,'B5'!Z12,'B6'!Z12),0)</f>
        <v>0</v>
      </c>
      <c r="AA72" s="123">
        <f>IFERROR(MIN('B4'!AA12,'B5'!AA12,'B6'!AA12),0)</f>
        <v>0</v>
      </c>
      <c r="AB72" s="123">
        <f>IFERROR(MIN('B4'!AB12,'B5'!AB12,'B6'!AB12),0)</f>
        <v>0</v>
      </c>
      <c r="AC72" s="123">
        <f>IFERROR(MIN('B4'!AC12,'B5'!AC12,'B6'!AC12),0)</f>
        <v>0</v>
      </c>
      <c r="AD72" s="123">
        <f>IFERROR(MIN('B4'!AD12,'B5'!AD12,'B6'!AD12),0)</f>
        <v>0</v>
      </c>
      <c r="AE72" s="123">
        <f>IFERROR(MIN('B4'!AE12,'B5'!AE12,'B6'!AE12),0)</f>
        <v>3.49</v>
      </c>
      <c r="AF72" s="123">
        <f>IFERROR(MIN('B4'!AF12,'B5'!AF12,'B6'!AF12),0)</f>
        <v>100</v>
      </c>
      <c r="AG72" s="123">
        <f>IFERROR(MIN('B4'!AG12,'B5'!AG12,'B6'!AG12),0)</f>
        <v>1</v>
      </c>
      <c r="AH72" s="123">
        <f>IFERROR(MIN('B4'!AH12,'B5'!AH12,'B6'!AH12),0)</f>
        <v>9.5200999999999993</v>
      </c>
      <c r="AI72" s="123">
        <f>IFERROR(MIN('B4'!AI12,'B5'!AI12,'B6'!AI12),0)</f>
        <v>0</v>
      </c>
      <c r="AJ72" s="123">
        <f>IFERROR(MIN('B4'!AJ12,'B5'!AJ12,'B6'!AJ12),0)</f>
        <v>0</v>
      </c>
      <c r="AK72" s="123">
        <f>IFERROR(MIN('B4'!AK12,'B5'!AK12,'B6'!AK12),0)</f>
        <v>0</v>
      </c>
      <c r="AL72" s="123">
        <f>IFERROR(MIN('B4'!AL12,'B5'!AL12,'B6'!AL12),0)</f>
        <v>0</v>
      </c>
      <c r="AM72" s="123">
        <f>IFERROR(MIN('B4'!AM12,'B5'!AM12,'B6'!AM12),0)</f>
        <v>0</v>
      </c>
      <c r="AN72" s="123">
        <f>IFERROR(MIN('B4'!AN12,'B5'!AN12,'B6'!AN12),0)</f>
        <v>0</v>
      </c>
      <c r="AO72" s="123">
        <f>IFERROR(MIN('B4'!AO12,'B5'!AO12,'B6'!AO12),0)</f>
        <v>0</v>
      </c>
      <c r="AP72" s="123">
        <f>IFERROR(MIN('B4'!AP12,'B5'!AP12,'B6'!AP12),0)</f>
        <v>0</v>
      </c>
      <c r="AQ72" s="123">
        <f>IFERROR(MIN('B4'!AQ12,'B5'!AQ12,'B6'!AQ12),0)</f>
        <v>0</v>
      </c>
      <c r="AR72" s="123">
        <f>IFERROR(MIN('B4'!AR12,'B5'!AR12,'B6'!AR12),0)</f>
        <v>0</v>
      </c>
      <c r="AS72" s="123">
        <f>IFERROR(MIN('B4'!AS12,'B5'!AS12,'B6'!AS12),0)</f>
        <v>0</v>
      </c>
      <c r="AT72" s="123">
        <f>IFERROR(MIN('B4'!AT12,'B5'!AT12,'B6'!AT12),0)</f>
        <v>0</v>
      </c>
      <c r="AU72" s="123">
        <f>IFERROR(MIN('B4'!AU12,'B5'!AU12,'B6'!AU12),0)</f>
        <v>0</v>
      </c>
      <c r="AV72" s="123">
        <f>IFERROR(MIN('B4'!AV12,'B5'!AV12,'B6'!AV12),0)</f>
        <v>0</v>
      </c>
      <c r="AW72" s="123">
        <f>IFERROR(MIN('B4'!AW12,'B5'!AW12,'B6'!AW12),0)</f>
        <v>0</v>
      </c>
      <c r="AX72" s="123">
        <f>IFERROR(MIN('B4'!AX12,'B5'!AX12,'B6'!AX12),0)</f>
        <v>0</v>
      </c>
      <c r="AY72" s="123">
        <f>IFERROR(MIN('B4'!AY12,'B5'!AY12,'B6'!AY12),0)</f>
        <v>0</v>
      </c>
      <c r="AZ72" s="123">
        <f>IFERROR(MIN('B4'!AZ12,'B5'!AZ12,'B6'!AZ12),0)</f>
        <v>10.568494671403197</v>
      </c>
      <c r="BA72" s="123">
        <f>IFERROR(MIN('B4'!BA12,'B5'!BA12,'B6'!BA12),0)</f>
        <v>0.95201000000000002</v>
      </c>
      <c r="BB72" s="123">
        <f>IFERROR(MIN('B4'!BB12,'B5'!BB12,'B6'!BB12),0)</f>
        <v>0</v>
      </c>
      <c r="BC72" s="123">
        <f>IFERROR(MIN('B4'!BC12,'B5'!BC12,'B6'!BC12),0)</f>
        <v>0</v>
      </c>
      <c r="BD72" s="123">
        <f>IFERROR(MIN('B4'!BD12,'B5'!BD12,'B6'!BD12),0)</f>
        <v>0</v>
      </c>
      <c r="BE72" s="123">
        <f>IFERROR(MIN('B4'!BE12,'B5'!BE12,'B6'!BE12),0)</f>
        <v>0</v>
      </c>
      <c r="BF72" s="123">
        <f>IFERROR(MIN('B4'!BF12,'B5'!BF12,'B6'!BF12),0)</f>
        <v>0</v>
      </c>
      <c r="BG72" s="123">
        <f>IFERROR(MIN('B4'!BG12,'B5'!BG12,'B6'!BG12),0)</f>
        <v>0</v>
      </c>
      <c r="BH72" s="123">
        <f>IFERROR(MIN('B4'!BH12,'B5'!BH12,'B6'!BH12),0)</f>
        <v>0</v>
      </c>
      <c r="BI72" s="123">
        <f>IFERROR(MIN('B4'!BI12,'B5'!BI12,'B6'!BI12),0)</f>
        <v>0</v>
      </c>
      <c r="BJ72" s="123">
        <f>IFERROR(MIN('B4'!BJ12,'B5'!BJ12,'B6'!BJ12),0)</f>
        <v>0</v>
      </c>
      <c r="BK72" s="123">
        <f>IFERROR(MIN('B4'!BK12,'B5'!BK12,'B6'!BK12),0)</f>
        <v>0</v>
      </c>
      <c r="BL72" s="123">
        <f>IFERROR(MIN('B4'!BL12,'B5'!BL12,'B6'!BL12),0)</f>
        <v>0</v>
      </c>
      <c r="BM72" s="123">
        <f>IFERROR(MIN('B4'!BM12,'B5'!BM12,'B6'!BM12),0)</f>
        <v>0</v>
      </c>
      <c r="BN72" s="123">
        <f>IFERROR(MIN('B4'!BN12,'B5'!BN12,'B6'!BN12),0)</f>
        <v>0</v>
      </c>
      <c r="BO72" s="123">
        <f>IFERROR(MIN('B4'!BO12,'B5'!BO12,'B6'!BO12),0)</f>
        <v>0</v>
      </c>
      <c r="BP72" s="123">
        <f>IFERROR(MIN('B4'!BP12,'B5'!BP12,'B6'!BP12),0)</f>
        <v>0</v>
      </c>
      <c r="BQ72" s="123">
        <f>IFERROR(MIN('B4'!BQ12,'B5'!BQ12,'B6'!BQ12),0)</f>
        <v>0</v>
      </c>
      <c r="BR72" s="123">
        <f>IFERROR(MIN('B4'!BR12,'B5'!BR12,'B6'!BR12),0)</f>
        <v>0</v>
      </c>
      <c r="BS72" s="123">
        <f>IFERROR(MIN('B4'!BS12,'B5'!BS12,'B6'!BS12),0)</f>
        <v>0</v>
      </c>
      <c r="BT72" s="123">
        <f>IFERROR(MIN('B4'!BT12,'B5'!BT12,'B6'!BT12),0)</f>
        <v>3.1705484014209591E-2</v>
      </c>
      <c r="BU72" s="123">
        <f>IFERROR(MIN('B4'!BU12,'B5'!BU12,'B6'!BU12),0)</f>
        <v>0</v>
      </c>
      <c r="BV72" s="123">
        <f>IFERROR(MIN('B4'!BV12,'B5'!BV12,'B6'!BV12),0)</f>
        <v>0</v>
      </c>
    </row>
    <row r="73" spans="1:74" ht="16" thickBot="1" x14ac:dyDescent="0.4">
      <c r="A73" s="63" t="str">
        <f t="shared" si="8"/>
        <v>29-03-18</v>
      </c>
      <c r="B73" s="129">
        <f t="shared" si="9"/>
        <v>9</v>
      </c>
      <c r="C73" s="41">
        <v>0</v>
      </c>
      <c r="D73" s="123">
        <f>IFERROR(MIN('B4'!D13,'B5'!D13,'B6'!D13),0)</f>
        <v>0</v>
      </c>
      <c r="E73" s="123">
        <f>IFERROR(MIN('B4'!E13,'B5'!E13,'B6'!E13),0)</f>
        <v>0</v>
      </c>
      <c r="F73" s="123">
        <f>IFERROR(MIN('B4'!F13,'B5'!F13,'B6'!F13),0)</f>
        <v>0</v>
      </c>
      <c r="G73" s="123">
        <f>IFERROR(MIN('B4'!G13,'B5'!G13,'B6'!G13),0)</f>
        <v>0</v>
      </c>
      <c r="H73" s="123">
        <f>IFERROR(MIN('B4'!H13,'B5'!H13,'B6'!H13),0)</f>
        <v>0</v>
      </c>
      <c r="I73" s="123">
        <f>IFERROR(MIN('B4'!I13,'B5'!I13,'B6'!I13),0)</f>
        <v>0</v>
      </c>
      <c r="J73" s="123">
        <f>IFERROR(MIN('B4'!J13,'B5'!J13,'B6'!J13),0)</f>
        <v>0</v>
      </c>
      <c r="K73" s="123">
        <f>IFERROR(MIN('B4'!K13,'B5'!K13,'B6'!K13),0)</f>
        <v>0</v>
      </c>
      <c r="L73" s="123">
        <f>IFERROR(MIN('B4'!L13,'B5'!L13,'B6'!L13),0)</f>
        <v>0</v>
      </c>
      <c r="M73" s="123">
        <f>IFERROR(MIN('B4'!M13,'B5'!M13,'B6'!M13),0)</f>
        <v>0</v>
      </c>
      <c r="N73" s="123">
        <f>IFERROR(MIN('B4'!N13,'B5'!N13,'B6'!N13),0)</f>
        <v>0</v>
      </c>
      <c r="O73" s="123">
        <f>IFERROR(MIN('B4'!O13,'B5'!O13,'B6'!O13),0)</f>
        <v>0</v>
      </c>
      <c r="P73" s="123">
        <f>IFERROR(MIN('B4'!P13,'B5'!P13,'B6'!P13),0)</f>
        <v>0</v>
      </c>
      <c r="Q73" s="123">
        <f>IFERROR(MIN('B4'!Q13,'B5'!Q13,'B6'!Q13),0)</f>
        <v>0</v>
      </c>
      <c r="R73" s="123">
        <f>IFERROR(MIN('B4'!R13,'B5'!R13,'B6'!R13),0)</f>
        <v>0</v>
      </c>
      <c r="S73" s="123">
        <f>IFERROR(MIN('B4'!S13,'B5'!S13,'B6'!S13),0)</f>
        <v>0</v>
      </c>
      <c r="T73" s="123">
        <f>IFERROR(MIN('B4'!T13,'B5'!T13,'B6'!T13),0)</f>
        <v>0</v>
      </c>
      <c r="U73" s="123">
        <f>IFERROR(MIN('B4'!U13,'B5'!U13,'B6'!U13),0)</f>
        <v>0</v>
      </c>
      <c r="V73" s="123">
        <f>IFERROR(MIN('B4'!V13,'B5'!V13,'B6'!V13),0)</f>
        <v>0</v>
      </c>
      <c r="W73" s="123">
        <f>IFERROR(MIN('B4'!W13,'B5'!W13,'B6'!W13),0)</f>
        <v>0</v>
      </c>
      <c r="X73" s="123">
        <f>IFERROR(MIN('B4'!X13,'B5'!X13,'B6'!X13),0)</f>
        <v>0</v>
      </c>
      <c r="Y73" s="123">
        <f>IFERROR(MIN('B4'!Y13,'B5'!Y13,'B6'!Y13),0)</f>
        <v>0</v>
      </c>
      <c r="Z73" s="123">
        <f>IFERROR(MIN('B4'!Z13,'B5'!Z13,'B6'!Z13),0)</f>
        <v>0</v>
      </c>
      <c r="AA73" s="123">
        <f>IFERROR(MIN('B4'!AA13,'B5'!AA13,'B6'!AA13),0)</f>
        <v>0</v>
      </c>
      <c r="AB73" s="123">
        <f>IFERROR(MIN('B4'!AB13,'B5'!AB13,'B6'!AB13),0)</f>
        <v>0</v>
      </c>
      <c r="AC73" s="123">
        <f>IFERROR(MIN('B4'!AC13,'B5'!AC13,'B6'!AC13),0)</f>
        <v>0</v>
      </c>
      <c r="AD73" s="123">
        <f>IFERROR(MIN('B4'!AD13,'B5'!AD13,'B6'!AD13),0)</f>
        <v>0</v>
      </c>
      <c r="AE73" s="123">
        <f>IFERROR(MIN('B4'!AE13,'B5'!AE13,'B6'!AE13),0)</f>
        <v>2.95</v>
      </c>
      <c r="AF73" s="123">
        <f>IFERROR(MIN('B4'!AF13,'B5'!AF13,'B6'!AF13),0)</f>
        <v>100</v>
      </c>
      <c r="AG73" s="123">
        <f>IFERROR(MIN('B4'!AG13,'B5'!AG13,'B6'!AG13),0)</f>
        <v>1</v>
      </c>
      <c r="AH73" s="123">
        <f>IFERROR(MIN('B4'!AH13,'B5'!AH13,'B6'!AH13),0)</f>
        <v>26.4072</v>
      </c>
      <c r="AI73" s="123">
        <f>IFERROR(MIN('B4'!AI13,'B5'!AI13,'B6'!AI13),0)</f>
        <v>0</v>
      </c>
      <c r="AJ73" s="123">
        <f>IFERROR(MIN('B4'!AJ13,'B5'!AJ13,'B6'!AJ13),0)</f>
        <v>0</v>
      </c>
      <c r="AK73" s="123">
        <f>IFERROR(MIN('B4'!AK13,'B5'!AK13,'B6'!AK13),0)</f>
        <v>0</v>
      </c>
      <c r="AL73" s="123">
        <f>IFERROR(MIN('B4'!AL13,'B5'!AL13,'B6'!AL13),0)</f>
        <v>0</v>
      </c>
      <c r="AM73" s="123">
        <f>IFERROR(MIN('B4'!AM13,'B5'!AM13,'B6'!AM13),0)</f>
        <v>0</v>
      </c>
      <c r="AN73" s="123">
        <f>IFERROR(MIN('B4'!AN13,'B5'!AN13,'B6'!AN13),0)</f>
        <v>0</v>
      </c>
      <c r="AO73" s="123">
        <f>IFERROR(MIN('B4'!AO13,'B5'!AO13,'B6'!AO13),0)</f>
        <v>0</v>
      </c>
      <c r="AP73" s="123">
        <f>IFERROR(MIN('B4'!AP13,'B5'!AP13,'B6'!AP13),0)</f>
        <v>0</v>
      </c>
      <c r="AQ73" s="123">
        <f>IFERROR(MIN('B4'!AQ13,'B5'!AQ13,'B6'!AQ13),0)</f>
        <v>0</v>
      </c>
      <c r="AR73" s="123">
        <f>IFERROR(MIN('B4'!AR13,'B5'!AR13,'B6'!AR13),0)</f>
        <v>0</v>
      </c>
      <c r="AS73" s="123">
        <f>IFERROR(MIN('B4'!AS13,'B5'!AS13,'B6'!AS13),0)</f>
        <v>0</v>
      </c>
      <c r="AT73" s="123">
        <f>IFERROR(MIN('B4'!AT13,'B5'!AT13,'B6'!AT13),0)</f>
        <v>0</v>
      </c>
      <c r="AU73" s="123">
        <f>IFERROR(MIN('B4'!AU13,'B5'!AU13,'B6'!AU13),0)</f>
        <v>0</v>
      </c>
      <c r="AV73" s="123">
        <f>IFERROR(MIN('B4'!AV13,'B5'!AV13,'B6'!AV13),0)</f>
        <v>0</v>
      </c>
      <c r="AW73" s="123">
        <f>IFERROR(MIN('B4'!AW13,'B5'!AW13,'B6'!AW13),0)</f>
        <v>0</v>
      </c>
      <c r="AX73" s="123">
        <f>IFERROR(MIN('B4'!AX13,'B5'!AX13,'B6'!AX13),0)</f>
        <v>0</v>
      </c>
      <c r="AY73" s="123">
        <f>IFERROR(MIN('B4'!AY13,'B5'!AY13,'B6'!AY13),0)</f>
        <v>0</v>
      </c>
      <c r="AZ73" s="123">
        <f>IFERROR(MIN('B4'!AZ13,'B5'!AZ13,'B6'!AZ13),0)</f>
        <v>29.31527531083481</v>
      </c>
      <c r="BA73" s="123">
        <f>IFERROR(MIN('B4'!BA13,'B5'!BA13,'B6'!BA13),0)</f>
        <v>2.64072</v>
      </c>
      <c r="BB73" s="123">
        <f>IFERROR(MIN('B4'!BB13,'B5'!BB13,'B6'!BB13),0)</f>
        <v>0</v>
      </c>
      <c r="BC73" s="123">
        <f>IFERROR(MIN('B4'!BC13,'B5'!BC13,'B6'!BC13),0)</f>
        <v>0</v>
      </c>
      <c r="BD73" s="123">
        <f>IFERROR(MIN('B4'!BD13,'B5'!BD13,'B6'!BD13),0)</f>
        <v>0</v>
      </c>
      <c r="BE73" s="123">
        <f>IFERROR(MIN('B4'!BE13,'B5'!BE13,'B6'!BE13),0)</f>
        <v>0</v>
      </c>
      <c r="BF73" s="123">
        <f>IFERROR(MIN('B4'!BF13,'B5'!BF13,'B6'!BF13),0)</f>
        <v>0</v>
      </c>
      <c r="BG73" s="123">
        <f>IFERROR(MIN('B4'!BG13,'B5'!BG13,'B6'!BG13),0)</f>
        <v>0</v>
      </c>
      <c r="BH73" s="123">
        <f>IFERROR(MIN('B4'!BH13,'B5'!BH13,'B6'!BH13),0)</f>
        <v>0</v>
      </c>
      <c r="BI73" s="123">
        <f>IFERROR(MIN('B4'!BI13,'B5'!BI13,'B6'!BI13),0)</f>
        <v>0</v>
      </c>
      <c r="BJ73" s="123">
        <f>IFERROR(MIN('B4'!BJ13,'B5'!BJ13,'B6'!BJ13),0)</f>
        <v>0</v>
      </c>
      <c r="BK73" s="123">
        <f>IFERROR(MIN('B4'!BK13,'B5'!BK13,'B6'!BK13),0)</f>
        <v>0</v>
      </c>
      <c r="BL73" s="123">
        <f>IFERROR(MIN('B4'!BL13,'B5'!BL13,'B6'!BL13),0)</f>
        <v>0</v>
      </c>
      <c r="BM73" s="123">
        <f>IFERROR(MIN('B4'!BM13,'B5'!BM13,'B6'!BM13),0)</f>
        <v>0</v>
      </c>
      <c r="BN73" s="123">
        <f>IFERROR(MIN('B4'!BN13,'B5'!BN13,'B6'!BN13),0)</f>
        <v>0</v>
      </c>
      <c r="BO73" s="123">
        <f>IFERROR(MIN('B4'!BO13,'B5'!BO13,'B6'!BO13),0)</f>
        <v>0</v>
      </c>
      <c r="BP73" s="123">
        <f>IFERROR(MIN('B4'!BP13,'B5'!BP13,'B6'!BP13),0)</f>
        <v>0</v>
      </c>
      <c r="BQ73" s="123">
        <f>IFERROR(MIN('B4'!BQ13,'B5'!BQ13,'B6'!BQ13),0)</f>
        <v>0</v>
      </c>
      <c r="BR73" s="123">
        <f>IFERROR(MIN('B4'!BR13,'B5'!BR13,'B6'!BR13),0)</f>
        <v>0</v>
      </c>
      <c r="BS73" s="123">
        <f>IFERROR(MIN('B4'!BS13,'B5'!BS13,'B6'!BS13),0)</f>
        <v>0</v>
      </c>
      <c r="BT73" s="123">
        <f>IFERROR(MIN('B4'!BT13,'B5'!BT13,'B6'!BT13),0)</f>
        <v>8.794582593250444E-2</v>
      </c>
      <c r="BU73" s="123">
        <f>IFERROR(MIN('B4'!BU13,'B5'!BU13,'B6'!BU13),0)</f>
        <v>0</v>
      </c>
      <c r="BV73" s="123">
        <f>IFERROR(MIN('B4'!BV13,'B5'!BV13,'B6'!BV13),0)</f>
        <v>0</v>
      </c>
    </row>
    <row r="74" spans="1:74" ht="16" thickBot="1" x14ac:dyDescent="0.4">
      <c r="A74" s="63">
        <f t="shared" si="8"/>
        <v>43163</v>
      </c>
      <c r="B74" s="129">
        <f t="shared" si="9"/>
        <v>15</v>
      </c>
      <c r="C74" s="77">
        <v>0</v>
      </c>
      <c r="D74" s="123">
        <f>IFERROR(MIN('B4'!D14,'B5'!D14,'B6'!D14),0)</f>
        <v>0</v>
      </c>
      <c r="E74" s="123">
        <f>IFERROR(MIN('B4'!E14,'B5'!E14,'B6'!E14),0)</f>
        <v>0</v>
      </c>
      <c r="F74" s="123">
        <f>IFERROR(MIN('B4'!F14,'B5'!F14,'B6'!F14),0)</f>
        <v>0</v>
      </c>
      <c r="G74" s="123">
        <f>IFERROR(MIN('B4'!G14,'B5'!G14,'B6'!G14),0)</f>
        <v>0</v>
      </c>
      <c r="H74" s="123">
        <f>IFERROR(MIN('B4'!H14,'B5'!H14,'B6'!H14),0)</f>
        <v>0</v>
      </c>
      <c r="I74" s="123">
        <f>IFERROR(MIN('B4'!I14,'B5'!I14,'B6'!I14),0)</f>
        <v>0</v>
      </c>
      <c r="J74" s="123">
        <f>IFERROR(MIN('B4'!J14,'B5'!J14,'B6'!J14),0)</f>
        <v>0</v>
      </c>
      <c r="K74" s="123">
        <f>IFERROR(MIN('B4'!K14,'B5'!K14,'B6'!K14),0)</f>
        <v>0</v>
      </c>
      <c r="L74" s="123">
        <f>IFERROR(MIN('B4'!L14,'B5'!L14,'B6'!L14),0)</f>
        <v>0</v>
      </c>
      <c r="M74" s="123">
        <f>IFERROR(MIN('B4'!M14,'B5'!M14,'B6'!M14),0)</f>
        <v>0</v>
      </c>
      <c r="N74" s="123">
        <f>IFERROR(MIN('B4'!N14,'B5'!N14,'B6'!N14),0)</f>
        <v>0</v>
      </c>
      <c r="O74" s="123">
        <f>IFERROR(MIN('B4'!O14,'B5'!O14,'B6'!O14),0)</f>
        <v>0</v>
      </c>
      <c r="P74" s="123">
        <f>IFERROR(MIN('B4'!P14,'B5'!P14,'B6'!P14),0)</f>
        <v>0</v>
      </c>
      <c r="Q74" s="123">
        <f>IFERROR(MIN('B4'!Q14,'B5'!Q14,'B6'!Q14),0)</f>
        <v>0</v>
      </c>
      <c r="R74" s="123">
        <f>IFERROR(MIN('B4'!R14,'B5'!R14,'B6'!R14),0)</f>
        <v>0</v>
      </c>
      <c r="S74" s="123">
        <f>IFERROR(MIN('B4'!S14,'B5'!S14,'B6'!S14),0)</f>
        <v>0</v>
      </c>
      <c r="T74" s="123">
        <f>IFERROR(MIN('B4'!T14,'B5'!T14,'B6'!T14),0)</f>
        <v>0</v>
      </c>
      <c r="U74" s="123">
        <f>IFERROR(MIN('B4'!U14,'B5'!U14,'B6'!U14),0)</f>
        <v>0</v>
      </c>
      <c r="V74" s="123">
        <f>IFERROR(MIN('B4'!V14,'B5'!V14,'B6'!V14),0)</f>
        <v>0</v>
      </c>
      <c r="W74" s="123">
        <f>IFERROR(MIN('B4'!W14,'B5'!W14,'B6'!W14),0)</f>
        <v>0</v>
      </c>
      <c r="X74" s="123">
        <f>IFERROR(MIN('B4'!X14,'B5'!X14,'B6'!X14),0)</f>
        <v>0</v>
      </c>
      <c r="Y74" s="123">
        <f>IFERROR(MIN('B4'!Y14,'B5'!Y14,'B6'!Y14),0)</f>
        <v>0</v>
      </c>
      <c r="Z74" s="123">
        <f>IFERROR(MIN('B4'!Z14,'B5'!Z14,'B6'!Z14),0)</f>
        <v>0</v>
      </c>
      <c r="AA74" s="123">
        <f>IFERROR(MIN('B4'!AA14,'B5'!AA14,'B6'!AA14),0)</f>
        <v>0</v>
      </c>
      <c r="AB74" s="123">
        <f>IFERROR(MIN('B4'!AB14,'B5'!AB14,'B6'!AB14),0)</f>
        <v>0</v>
      </c>
      <c r="AC74" s="123">
        <f>IFERROR(MIN('B4'!AC14,'B5'!AC14,'B6'!AC14),0)</f>
        <v>0</v>
      </c>
      <c r="AD74" s="123">
        <f>IFERROR(MIN('B4'!AD14,'B5'!AD14,'B6'!AD14),0)</f>
        <v>0</v>
      </c>
      <c r="AE74" s="123">
        <f>IFERROR(MIN('B4'!AE14,'B5'!AE14,'B6'!AE14),0)</f>
        <v>2.64</v>
      </c>
      <c r="AF74" s="123">
        <f>IFERROR(MIN('B4'!AF14,'B5'!AF14,'B6'!AF14),0)</f>
        <v>100</v>
      </c>
      <c r="AG74" s="123">
        <f>IFERROR(MIN('B4'!AG14,'B5'!AG14,'B6'!AG14),0)</f>
        <v>1</v>
      </c>
      <c r="AH74" s="123">
        <f>IFERROR(MIN('B4'!AH14,'B5'!AH14,'B6'!AH14),0)</f>
        <v>87.901499999999999</v>
      </c>
      <c r="AI74" s="123">
        <f>IFERROR(MIN('B4'!AI14,'B5'!AI14,'B6'!AI14),0)</f>
        <v>0</v>
      </c>
      <c r="AJ74" s="123">
        <f>IFERROR(MIN('B4'!AJ14,'B5'!AJ14,'B6'!AJ14),0)</f>
        <v>0</v>
      </c>
      <c r="AK74" s="123">
        <f>IFERROR(MIN('B4'!AK14,'B5'!AK14,'B6'!AK14),0)</f>
        <v>0</v>
      </c>
      <c r="AL74" s="123">
        <f>IFERROR(MIN('B4'!AL14,'B5'!AL14,'B6'!AL14),0)</f>
        <v>0</v>
      </c>
      <c r="AM74" s="123">
        <f>IFERROR(MIN('B4'!AM14,'B5'!AM14,'B6'!AM14),0)</f>
        <v>0</v>
      </c>
      <c r="AN74" s="123">
        <f>IFERROR(MIN('B4'!AN14,'B5'!AN14,'B6'!AN14),0)</f>
        <v>0</v>
      </c>
      <c r="AO74" s="123">
        <f>IFERROR(MIN('B4'!AO14,'B5'!AO14,'B6'!AO14),0)</f>
        <v>0</v>
      </c>
      <c r="AP74" s="123">
        <f>IFERROR(MIN('B4'!AP14,'B5'!AP14,'B6'!AP14),0)</f>
        <v>0</v>
      </c>
      <c r="AQ74" s="123">
        <f>IFERROR(MIN('B4'!AQ14,'B5'!AQ14,'B6'!AQ14),0)</f>
        <v>0</v>
      </c>
      <c r="AR74" s="123">
        <f>IFERROR(MIN('B4'!AR14,'B5'!AR14,'B6'!AR14),0)</f>
        <v>0</v>
      </c>
      <c r="AS74" s="123">
        <f>IFERROR(MIN('B4'!AS14,'B5'!AS14,'B6'!AS14),0)</f>
        <v>0</v>
      </c>
      <c r="AT74" s="123">
        <f>IFERROR(MIN('B4'!AT14,'B5'!AT14,'B6'!AT14),0)</f>
        <v>0</v>
      </c>
      <c r="AU74" s="123">
        <f>IFERROR(MIN('B4'!AU14,'B5'!AU14,'B6'!AU14),0)</f>
        <v>0</v>
      </c>
      <c r="AV74" s="123">
        <f>IFERROR(MIN('B4'!AV14,'B5'!AV14,'B6'!AV14),0)</f>
        <v>0</v>
      </c>
      <c r="AW74" s="123">
        <f>IFERROR(MIN('B4'!AW14,'B5'!AW14,'B6'!AW14),0)</f>
        <v>0</v>
      </c>
      <c r="AX74" s="123">
        <f>IFERROR(MIN('B4'!AX14,'B5'!AX14,'B6'!AX14),0)</f>
        <v>0</v>
      </c>
      <c r="AY74" s="123">
        <f>IFERROR(MIN('B4'!AY14,'B5'!AY14,'B6'!AY14),0)</f>
        <v>0</v>
      </c>
      <c r="AZ74" s="123">
        <f>IFERROR(MIN('B4'!AZ14,'B5'!AZ14,'B6'!AZ14),0)</f>
        <v>97.581594138543508</v>
      </c>
      <c r="BA74" s="123">
        <f>IFERROR(MIN('B4'!BA14,'B5'!BA14,'B6'!BA14),0)</f>
        <v>8.7901499999999988</v>
      </c>
      <c r="BB74" s="123">
        <f>IFERROR(MIN('B4'!BB14,'B5'!BB14,'B6'!BB14),0)</f>
        <v>0</v>
      </c>
      <c r="BC74" s="123">
        <f>IFERROR(MIN('B4'!BC14,'B5'!BC14,'B6'!BC14),0)</f>
        <v>0</v>
      </c>
      <c r="BD74" s="123">
        <f>IFERROR(MIN('B4'!BD14,'B5'!BD14,'B6'!BD14),0)</f>
        <v>0</v>
      </c>
      <c r="BE74" s="123">
        <f>IFERROR(MIN('B4'!BE14,'B5'!BE14,'B6'!BE14),0)</f>
        <v>0</v>
      </c>
      <c r="BF74" s="123">
        <f>IFERROR(MIN('B4'!BF14,'B5'!BF14,'B6'!BF14),0)</f>
        <v>0</v>
      </c>
      <c r="BG74" s="123">
        <f>IFERROR(MIN('B4'!BG14,'B5'!BG14,'B6'!BG14),0)</f>
        <v>0</v>
      </c>
      <c r="BH74" s="123">
        <f>IFERROR(MIN('B4'!BH14,'B5'!BH14,'B6'!BH14),0)</f>
        <v>0</v>
      </c>
      <c r="BI74" s="123">
        <f>IFERROR(MIN('B4'!BI14,'B5'!BI14,'B6'!BI14),0)</f>
        <v>0</v>
      </c>
      <c r="BJ74" s="123">
        <f>IFERROR(MIN('B4'!BJ14,'B5'!BJ14,'B6'!BJ14),0)</f>
        <v>0</v>
      </c>
      <c r="BK74" s="123">
        <f>IFERROR(MIN('B4'!BK14,'B5'!BK14,'B6'!BK14),0)</f>
        <v>0</v>
      </c>
      <c r="BL74" s="123">
        <f>IFERROR(MIN('B4'!BL14,'B5'!BL14,'B6'!BL14),0)</f>
        <v>0</v>
      </c>
      <c r="BM74" s="123">
        <f>IFERROR(MIN('B4'!BM14,'B5'!BM14,'B6'!BM14),0)</f>
        <v>0</v>
      </c>
      <c r="BN74" s="123">
        <f>IFERROR(MIN('B4'!BN14,'B5'!BN14,'B6'!BN14),0)</f>
        <v>0</v>
      </c>
      <c r="BO74" s="123">
        <f>IFERROR(MIN('B4'!BO14,'B5'!BO14,'B6'!BO14),0)</f>
        <v>0</v>
      </c>
      <c r="BP74" s="123">
        <f>IFERROR(MIN('B4'!BP14,'B5'!BP14,'B6'!BP14),0)</f>
        <v>0</v>
      </c>
      <c r="BQ74" s="123">
        <f>IFERROR(MIN('B4'!BQ14,'B5'!BQ14,'B6'!BQ14),0)</f>
        <v>0</v>
      </c>
      <c r="BR74" s="123">
        <f>IFERROR(MIN('B4'!BR14,'B5'!BR14,'B6'!BR14),0)</f>
        <v>0</v>
      </c>
      <c r="BS74" s="123">
        <f>IFERROR(MIN('B4'!BS14,'B5'!BS14,'B6'!BS14),0)</f>
        <v>0</v>
      </c>
      <c r="BT74" s="123">
        <f>IFERROR(MIN('B4'!BT14,'B5'!BT14,'B6'!BT14),0)</f>
        <v>0.29274478241563051</v>
      </c>
      <c r="BU74" s="123">
        <f>IFERROR(MIN('B4'!BU14,'B5'!BU14,'B6'!BU14),0)</f>
        <v>0</v>
      </c>
      <c r="BV74" s="123">
        <f>IFERROR(MIN('B4'!BV14,'B5'!BV14,'B6'!BV14),0)</f>
        <v>0</v>
      </c>
    </row>
    <row r="75" spans="1:74" ht="16" thickBot="1" x14ac:dyDescent="0.4">
      <c r="A75" s="63">
        <f t="shared" si="8"/>
        <v>43347</v>
      </c>
      <c r="B75" s="129">
        <f t="shared" si="9"/>
        <v>21</v>
      </c>
      <c r="C75" s="41">
        <v>0</v>
      </c>
      <c r="D75" s="123">
        <f>IFERROR(MIN('B4'!D15,'B5'!D15,'B6'!D15),0)</f>
        <v>0</v>
      </c>
      <c r="E75" s="123">
        <f>IFERROR(MIN('B4'!E15,'B5'!E15,'B6'!E15),0)</f>
        <v>0</v>
      </c>
      <c r="F75" s="123">
        <f>IFERROR(MIN('B4'!F15,'B5'!F15,'B6'!F15),0)</f>
        <v>0</v>
      </c>
      <c r="G75" s="123">
        <f>IFERROR(MIN('B4'!G15,'B5'!G15,'B6'!G15),0)</f>
        <v>0</v>
      </c>
      <c r="H75" s="123">
        <f>IFERROR(MIN('B4'!H15,'B5'!H15,'B6'!H15),0)</f>
        <v>0</v>
      </c>
      <c r="I75" s="123">
        <f>IFERROR(MIN('B4'!I15,'B5'!I15,'B6'!I15),0)</f>
        <v>0</v>
      </c>
      <c r="J75" s="123">
        <f>IFERROR(MIN('B4'!J15,'B5'!J15,'B6'!J15),0)</f>
        <v>0</v>
      </c>
      <c r="K75" s="123">
        <f>IFERROR(MIN('B4'!K15,'B5'!K15,'B6'!K15),0)</f>
        <v>0</v>
      </c>
      <c r="L75" s="123">
        <f>IFERROR(MIN('B4'!L15,'B5'!L15,'B6'!L15),0)</f>
        <v>0</v>
      </c>
      <c r="M75" s="123">
        <f>IFERROR(MIN('B4'!M15,'B5'!M15,'B6'!M15),0)</f>
        <v>0</v>
      </c>
      <c r="N75" s="123">
        <f>IFERROR(MIN('B4'!N15,'B5'!N15,'B6'!N15),0)</f>
        <v>0</v>
      </c>
      <c r="O75" s="123">
        <f>IFERROR(MIN('B4'!O15,'B5'!O15,'B6'!O15),0)</f>
        <v>0</v>
      </c>
      <c r="P75" s="123">
        <f>IFERROR(MIN('B4'!P15,'B5'!P15,'B6'!P15),0)</f>
        <v>0</v>
      </c>
      <c r="Q75" s="123">
        <f>IFERROR(MIN('B4'!Q15,'B5'!Q15,'B6'!Q15),0)</f>
        <v>0</v>
      </c>
      <c r="R75" s="123">
        <f>IFERROR(MIN('B4'!R15,'B5'!R15,'B6'!R15),0)</f>
        <v>0</v>
      </c>
      <c r="S75" s="123">
        <f>IFERROR(MIN('B4'!S15,'B5'!S15,'B6'!S15),0)</f>
        <v>0</v>
      </c>
      <c r="T75" s="123">
        <f>IFERROR(MIN('B4'!T15,'B5'!T15,'B6'!T15),0)</f>
        <v>0</v>
      </c>
      <c r="U75" s="123">
        <f>IFERROR(MIN('B4'!U15,'B5'!U15,'B6'!U15),0)</f>
        <v>0</v>
      </c>
      <c r="V75" s="123">
        <f>IFERROR(MIN('B4'!V15,'B5'!V15,'B6'!V15),0)</f>
        <v>0</v>
      </c>
      <c r="W75" s="123">
        <f>IFERROR(MIN('B4'!W15,'B5'!W15,'B6'!W15),0)</f>
        <v>0</v>
      </c>
      <c r="X75" s="123">
        <f>IFERROR(MIN('B4'!X15,'B5'!X15,'B6'!X15),0)</f>
        <v>0</v>
      </c>
      <c r="Y75" s="123">
        <f>IFERROR(MIN('B4'!Y15,'B5'!Y15,'B6'!Y15),0)</f>
        <v>0</v>
      </c>
      <c r="Z75" s="123">
        <f>IFERROR(MIN('B4'!Z15,'B5'!Z15,'B6'!Z15),0)</f>
        <v>0</v>
      </c>
      <c r="AA75" s="123">
        <f>IFERROR(MIN('B4'!AA15,'B5'!AA15,'B6'!AA15),0)</f>
        <v>0</v>
      </c>
      <c r="AB75" s="123">
        <f>IFERROR(MIN('B4'!AB15,'B5'!AB15,'B6'!AB15),0)</f>
        <v>0</v>
      </c>
      <c r="AC75" s="123">
        <f>IFERROR(MIN('B4'!AC15,'B5'!AC15,'B6'!AC15),0)</f>
        <v>0</v>
      </c>
      <c r="AD75" s="123">
        <f>IFERROR(MIN('B4'!AD15,'B5'!AD15,'B6'!AD15),0)</f>
        <v>0</v>
      </c>
      <c r="AE75" s="123">
        <f>IFERROR(MIN('B4'!AE15,'B5'!AE15,'B6'!AE15),0)</f>
        <v>2.61</v>
      </c>
      <c r="AF75" s="123">
        <f>IFERROR(MIN('B4'!AF15,'B5'!AF15,'B6'!AF15),0)</f>
        <v>100</v>
      </c>
      <c r="AG75" s="123">
        <f>IFERROR(MIN('B4'!AG15,'B5'!AG15,'B6'!AG15),0)</f>
        <v>1</v>
      </c>
      <c r="AH75" s="123">
        <f>IFERROR(MIN('B4'!AH15,'B5'!AH15,'B6'!AH15),0)</f>
        <v>131.6576</v>
      </c>
      <c r="AI75" s="123">
        <f>IFERROR(MIN('B4'!AI15,'B5'!AI15,'B6'!AI15),0)</f>
        <v>0</v>
      </c>
      <c r="AJ75" s="123">
        <f>IFERROR(MIN('B4'!AJ15,'B5'!AJ15,'B6'!AJ15),0)</f>
        <v>0</v>
      </c>
      <c r="AK75" s="123">
        <f>IFERROR(MIN('B4'!AK15,'B5'!AK15,'B6'!AK15),0)</f>
        <v>0</v>
      </c>
      <c r="AL75" s="123">
        <f>IFERROR(MIN('B4'!AL15,'B5'!AL15,'B6'!AL15),0)</f>
        <v>0</v>
      </c>
      <c r="AM75" s="123">
        <f>IFERROR(MIN('B4'!AM15,'B5'!AM15,'B6'!AM15),0)</f>
        <v>0</v>
      </c>
      <c r="AN75" s="123">
        <f>IFERROR(MIN('B4'!AN15,'B5'!AN15,'B6'!AN15),0)</f>
        <v>0</v>
      </c>
      <c r="AO75" s="123">
        <f>IFERROR(MIN('B4'!AO15,'B5'!AO15,'B6'!AO15),0)</f>
        <v>0</v>
      </c>
      <c r="AP75" s="123">
        <f>IFERROR(MIN('B4'!AP15,'B5'!AP15,'B6'!AP15),0)</f>
        <v>0</v>
      </c>
      <c r="AQ75" s="123">
        <f>IFERROR(MIN('B4'!AQ15,'B5'!AQ15,'B6'!AQ15),0)</f>
        <v>0</v>
      </c>
      <c r="AR75" s="123">
        <f>IFERROR(MIN('B4'!AR15,'B5'!AR15,'B6'!AR15),0)</f>
        <v>0</v>
      </c>
      <c r="AS75" s="123">
        <f>IFERROR(MIN('B4'!AS15,'B5'!AS15,'B6'!AS15),0)</f>
        <v>0</v>
      </c>
      <c r="AT75" s="123">
        <f>IFERROR(MIN('B4'!AT15,'B5'!AT15,'B6'!AT15),0)</f>
        <v>0</v>
      </c>
      <c r="AU75" s="123">
        <f>IFERROR(MIN('B4'!AU15,'B5'!AU15,'B6'!AU15),0)</f>
        <v>0</v>
      </c>
      <c r="AV75" s="123">
        <f>IFERROR(MIN('B4'!AV15,'B5'!AV15,'B6'!AV15),0)</f>
        <v>0</v>
      </c>
      <c r="AW75" s="123">
        <f>IFERROR(MIN('B4'!AW15,'B5'!AW15,'B6'!AW15),0)</f>
        <v>0</v>
      </c>
      <c r="AX75" s="123">
        <f>IFERROR(MIN('B4'!AX15,'B5'!AX15,'B6'!AX15),0)</f>
        <v>0</v>
      </c>
      <c r="AY75" s="123">
        <f>IFERROR(MIN('B4'!AY15,'B5'!AY15,'B6'!AY15),0)</f>
        <v>0</v>
      </c>
      <c r="AZ75" s="123">
        <f>IFERROR(MIN('B4'!AZ15,'B5'!AZ15,'B6'!AZ15),0)</f>
        <v>146.15630550621671</v>
      </c>
      <c r="BA75" s="123">
        <f>IFERROR(MIN('B4'!BA15,'B5'!BA15,'B6'!BA15),0)</f>
        <v>13.165760000000001</v>
      </c>
      <c r="BB75" s="123">
        <f>IFERROR(MIN('B4'!BB15,'B5'!BB15,'B6'!BB15),0)</f>
        <v>0</v>
      </c>
      <c r="BC75" s="123">
        <f>IFERROR(MIN('B4'!BC15,'B5'!BC15,'B6'!BC15),0)</f>
        <v>0</v>
      </c>
      <c r="BD75" s="123">
        <f>IFERROR(MIN('B4'!BD15,'B5'!BD15,'B6'!BD15),0)</f>
        <v>0</v>
      </c>
      <c r="BE75" s="123">
        <f>IFERROR(MIN('B4'!BE15,'B5'!BE15,'B6'!BE15),0)</f>
        <v>0</v>
      </c>
      <c r="BF75" s="123">
        <f>IFERROR(MIN('B4'!BF15,'B5'!BF15,'B6'!BF15),0)</f>
        <v>0</v>
      </c>
      <c r="BG75" s="123">
        <f>IFERROR(MIN('B4'!BG15,'B5'!BG15,'B6'!BG15),0)</f>
        <v>0</v>
      </c>
      <c r="BH75" s="123">
        <f>IFERROR(MIN('B4'!BH15,'B5'!BH15,'B6'!BH15),0)</f>
        <v>0</v>
      </c>
      <c r="BI75" s="123">
        <f>IFERROR(MIN('B4'!BI15,'B5'!BI15,'B6'!BI15),0)</f>
        <v>0</v>
      </c>
      <c r="BJ75" s="123">
        <f>IFERROR(MIN('B4'!BJ15,'B5'!BJ15,'B6'!BJ15),0)</f>
        <v>0</v>
      </c>
      <c r="BK75" s="123">
        <f>IFERROR(MIN('B4'!BK15,'B5'!BK15,'B6'!BK15),0)</f>
        <v>0</v>
      </c>
      <c r="BL75" s="123">
        <f>IFERROR(MIN('B4'!BL15,'B5'!BL15,'B6'!BL15),0)</f>
        <v>0</v>
      </c>
      <c r="BM75" s="123">
        <f>IFERROR(MIN('B4'!BM15,'B5'!BM15,'B6'!BM15),0)</f>
        <v>0</v>
      </c>
      <c r="BN75" s="123">
        <f>IFERROR(MIN('B4'!BN15,'B5'!BN15,'B6'!BN15),0)</f>
        <v>0</v>
      </c>
      <c r="BO75" s="123">
        <f>IFERROR(MIN('B4'!BO15,'B5'!BO15,'B6'!BO15),0)</f>
        <v>0</v>
      </c>
      <c r="BP75" s="123">
        <f>IFERROR(MIN('B4'!BP15,'B5'!BP15,'B6'!BP15),0)</f>
        <v>0</v>
      </c>
      <c r="BQ75" s="123">
        <f>IFERROR(MIN('B4'!BQ15,'B5'!BQ15,'B6'!BQ15),0)</f>
        <v>0</v>
      </c>
      <c r="BR75" s="123">
        <f>IFERROR(MIN('B4'!BR15,'B5'!BR15,'B6'!BR15),0)</f>
        <v>0</v>
      </c>
      <c r="BS75" s="123">
        <f>IFERROR(MIN('B4'!BS15,'B5'!BS15,'B6'!BS15),0)</f>
        <v>0</v>
      </c>
      <c r="BT75" s="123">
        <f>IFERROR(MIN('B4'!BT15,'B5'!BT15,'B6'!BT15),0)</f>
        <v>0.43846891651865011</v>
      </c>
      <c r="BU75" s="123">
        <f>IFERROR(MIN('B4'!BU15,'B5'!BU15,'B6'!BU15),0)</f>
        <v>0</v>
      </c>
      <c r="BV75" s="123">
        <f>IFERROR(MIN('B4'!BV15,'B5'!BV15,'B6'!BV15),0)</f>
        <v>0</v>
      </c>
    </row>
    <row r="76" spans="1:74" ht="16" thickBot="1" x14ac:dyDescent="0.4">
      <c r="A76" s="63">
        <f t="shared" si="8"/>
        <v>43347</v>
      </c>
      <c r="B76" s="129">
        <f t="shared" si="9"/>
        <v>21</v>
      </c>
      <c r="C76" s="77">
        <v>10</v>
      </c>
      <c r="D76" s="123">
        <f>IFERROR(MIN('B4'!D16,'B5'!D16,'B6'!D16),0)</f>
        <v>0</v>
      </c>
      <c r="E76" s="123">
        <f>IFERROR(MIN('B4'!E16,'B5'!E16,'B6'!E16),0)</f>
        <v>0</v>
      </c>
      <c r="F76" s="123">
        <f>IFERROR(MIN('B4'!F16,'B5'!F16,'B6'!F16),0)</f>
        <v>0</v>
      </c>
      <c r="G76" s="123">
        <f>IFERROR(MIN('B4'!G16,'B5'!G16,'B6'!G16),0)</f>
        <v>0</v>
      </c>
      <c r="H76" s="123">
        <f>IFERROR(MIN('B4'!H16,'B5'!H16,'B6'!H16),0)</f>
        <v>0</v>
      </c>
      <c r="I76" s="123">
        <f>IFERROR(MIN('B4'!I16,'B5'!I16,'B6'!I16),0)</f>
        <v>0</v>
      </c>
      <c r="J76" s="123">
        <f>IFERROR(MIN('B4'!J16,'B5'!J16,'B6'!J16),0)</f>
        <v>5.9827415039243883</v>
      </c>
      <c r="K76" s="123">
        <f>IFERROR(MIN('B4'!K16,'B5'!K16,'B6'!K16),0)</f>
        <v>35.360451389468814</v>
      </c>
      <c r="L76" s="123">
        <f>IFERROR(MIN('B4'!L16,'B5'!L16,'B6'!L16),0)</f>
        <v>0</v>
      </c>
      <c r="M76" s="123">
        <f>IFERROR(MIN('B4'!M16,'B5'!M16,'B6'!M16),0)</f>
        <v>0.7425554785572146</v>
      </c>
      <c r="N76" s="123">
        <f>IFERROR(MIN('B4'!N16,'B5'!N16,'B6'!N16),0)</f>
        <v>0</v>
      </c>
      <c r="O76" s="123">
        <f>IFERROR(MIN('B4'!O16,'B5'!O16,'B6'!O16),0)</f>
        <v>0</v>
      </c>
      <c r="P76" s="123">
        <f>IFERROR(MIN('B4'!P16,'B5'!P16,'B6'!P16),0)</f>
        <v>0</v>
      </c>
      <c r="Q76" s="123">
        <f>IFERROR(MIN('B4'!Q16,'B5'!Q16,'B6'!Q16),0)</f>
        <v>1.7597602458357406</v>
      </c>
      <c r="R76" s="123">
        <f>IFERROR(MIN('B4'!R16,'B5'!R16,'B6'!R16),0)</f>
        <v>0</v>
      </c>
      <c r="S76" s="123">
        <f>IFERROR(MIN('B4'!S16,'B5'!S16,'B6'!S16),0)</f>
        <v>5.0561010676382709</v>
      </c>
      <c r="T76" s="123">
        <f>IFERROR(MIN('B4'!T16,'B5'!T16,'B6'!T16),0)</f>
        <v>0</v>
      </c>
      <c r="U76" s="123">
        <f>IFERROR(MIN('B4'!U16,'B5'!U16,'B6'!U16),0)</f>
        <v>0</v>
      </c>
      <c r="V76" s="123">
        <f>IFERROR(MIN('B4'!V16,'B5'!V16,'B6'!V16),0)</f>
        <v>0</v>
      </c>
      <c r="W76" s="123">
        <f>IFERROR(MIN('B4'!W16,'B5'!W16,'B6'!W16),0)</f>
        <v>0</v>
      </c>
      <c r="X76" s="123">
        <f>IFERROR(MIN('B4'!X16,'B5'!X16,'B6'!X16),0)</f>
        <v>0</v>
      </c>
      <c r="Y76" s="123">
        <f>IFERROR(MIN('B4'!Y16,'B5'!Y16,'B6'!Y16),0)</f>
        <v>0</v>
      </c>
      <c r="Z76" s="123">
        <f>IFERROR(MIN('B4'!Z16,'B5'!Z16,'B6'!Z16),0)</f>
        <v>0</v>
      </c>
      <c r="AA76" s="123">
        <f>IFERROR(MIN('B4'!AA16,'B5'!AA16,'B6'!AA16),0)</f>
        <v>0</v>
      </c>
      <c r="AB76" s="123">
        <f>IFERROR(MIN('B4'!AB16,'B5'!AB16,'B6'!AB16),0)</f>
        <v>0</v>
      </c>
      <c r="AC76" s="123">
        <f>IFERROR(MIN('B4'!AC16,'B5'!AC16,'B6'!AC16),0)</f>
        <v>0</v>
      </c>
      <c r="AD76" s="123">
        <f>IFERROR(MIN('B4'!AD16,'B5'!AD16,'B6'!AD16),0)</f>
        <v>0</v>
      </c>
      <c r="AE76" s="123">
        <f>IFERROR(MIN('B4'!AE16,'B5'!AE16,'B6'!AE16),0)</f>
        <v>5.31</v>
      </c>
      <c r="AF76" s="123">
        <f>IFERROR(MIN('B4'!AF16,'B5'!AF16,'B6'!AF16),0)</f>
        <v>100</v>
      </c>
      <c r="AG76" s="123">
        <f>IFERROR(MIN('B4'!AG16,'B5'!AG16,'B6'!AG16),0)</f>
        <v>1</v>
      </c>
      <c r="AH76" s="123">
        <f>IFERROR(MIN('B4'!AH16,'B5'!AH16,'B6'!AH16),0)</f>
        <v>71.599999999999994</v>
      </c>
      <c r="AI76" s="123">
        <f>IFERROR(MIN('B4'!AI16,'B5'!AI16,'B6'!AI16),0)</f>
        <v>0</v>
      </c>
      <c r="AJ76" s="123">
        <f>IFERROR(MIN('B4'!AJ16,'B5'!AJ16,'B6'!AJ16),0)</f>
        <v>0</v>
      </c>
      <c r="AK76" s="123">
        <f>IFERROR(MIN('B4'!AK16,'B5'!AK16,'B6'!AK16),0)</f>
        <v>0</v>
      </c>
      <c r="AL76" s="123">
        <f>IFERROR(MIN('B4'!AL16,'B5'!AL16,'B6'!AL16),0)</f>
        <v>0</v>
      </c>
      <c r="AM76" s="123">
        <f>IFERROR(MIN('B4'!AM16,'B5'!AM16,'B6'!AM16),0)</f>
        <v>0</v>
      </c>
      <c r="AN76" s="123">
        <f>IFERROR(MIN('B4'!AN16,'B5'!AN16,'B6'!AN16),0)</f>
        <v>0</v>
      </c>
      <c r="AO76" s="123">
        <f>IFERROR(MIN('B4'!AO16,'B5'!AO16,'B6'!AO16),0)</f>
        <v>0</v>
      </c>
      <c r="AP76" s="123">
        <f>IFERROR(MIN('B4'!AP16,'B5'!AP16,'B6'!AP16),0)</f>
        <v>0</v>
      </c>
      <c r="AQ76" s="123">
        <f>IFERROR(MIN('B4'!AQ16,'B5'!AQ16,'B6'!AQ16),0)</f>
        <v>0</v>
      </c>
      <c r="AR76" s="123">
        <f>IFERROR(MIN('B4'!AR16,'B5'!AR16,'B6'!AR16),0)</f>
        <v>0</v>
      </c>
      <c r="AS76" s="123">
        <f>IFERROR(MIN('B4'!AS16,'B5'!AS16,'B6'!AS16),0)</f>
        <v>0</v>
      </c>
      <c r="AT76" s="123">
        <f>IFERROR(MIN('B4'!AT16,'B5'!AT16,'B6'!AT16),0)</f>
        <v>0</v>
      </c>
      <c r="AU76" s="123">
        <f>IFERROR(MIN('B4'!AU16,'B5'!AU16,'B6'!AU16),0)</f>
        <v>0</v>
      </c>
      <c r="AV76" s="123">
        <f>IFERROR(MIN('B4'!AV16,'B5'!AV16,'B6'!AV16),0)</f>
        <v>0</v>
      </c>
      <c r="AW76" s="123">
        <f>IFERROR(MIN('B4'!AW16,'B5'!AW16,'B6'!AW16),0)</f>
        <v>0</v>
      </c>
      <c r="AX76" s="123">
        <f>IFERROR(MIN('B4'!AX16,'B5'!AX16,'B6'!AX16),0)</f>
        <v>0</v>
      </c>
      <c r="AY76" s="123">
        <f>IFERROR(MIN('B4'!AY16,'B5'!AY16,'B6'!AY16),0)</f>
        <v>0</v>
      </c>
      <c r="AZ76" s="123">
        <f>IFERROR(MIN('B4'!AZ16,'B5'!AZ16,'B6'!AZ16),0)</f>
        <v>79.484902309058612</v>
      </c>
      <c r="BA76" s="123">
        <f>IFERROR(MIN('B4'!BA16,'B5'!BA16,'B6'!BA16),0)</f>
        <v>7.1599999999999993</v>
      </c>
      <c r="BB76" s="123">
        <f>IFERROR(MIN('B4'!BB16,'B5'!BB16,'B6'!BB16),0)</f>
        <v>0</v>
      </c>
      <c r="BC76" s="123">
        <f>IFERROR(MIN('B4'!BC16,'B5'!BC16,'B6'!BC16),0)</f>
        <v>0</v>
      </c>
      <c r="BD76" s="123">
        <f>IFERROR(MIN('B4'!BD16,'B5'!BD16,'B6'!BD16),0)</f>
        <v>0</v>
      </c>
      <c r="BE76" s="123">
        <f>IFERROR(MIN('B4'!BE16,'B5'!BE16,'B6'!BE16),0)</f>
        <v>0</v>
      </c>
      <c r="BF76" s="123">
        <f>IFERROR(MIN('B4'!BF16,'B5'!BF16,'B6'!BF16),0)</f>
        <v>0</v>
      </c>
      <c r="BG76" s="123">
        <f>IFERROR(MIN('B4'!BG16,'B5'!BG16,'B6'!BG16),0)</f>
        <v>0</v>
      </c>
      <c r="BH76" s="123">
        <f>IFERROR(MIN('B4'!BH16,'B5'!BH16,'B6'!BH16),0)</f>
        <v>0</v>
      </c>
      <c r="BI76" s="123">
        <f>IFERROR(MIN('B4'!BI16,'B5'!BI16,'B6'!BI16),0)</f>
        <v>0</v>
      </c>
      <c r="BJ76" s="123">
        <f>IFERROR(MIN('B4'!BJ16,'B5'!BJ16,'B6'!BJ16),0)</f>
        <v>0</v>
      </c>
      <c r="BK76" s="123">
        <f>IFERROR(MIN('B4'!BK16,'B5'!BK16,'B6'!BK16),0)</f>
        <v>0</v>
      </c>
      <c r="BL76" s="123">
        <f>IFERROR(MIN('B4'!BL16,'B5'!BL16,'B6'!BL16),0)</f>
        <v>0</v>
      </c>
      <c r="BM76" s="123">
        <f>IFERROR(MIN('B4'!BM16,'B5'!BM16,'B6'!BM16),0)</f>
        <v>0</v>
      </c>
      <c r="BN76" s="123">
        <f>IFERROR(MIN('B4'!BN16,'B5'!BN16,'B6'!BN16),0)</f>
        <v>0</v>
      </c>
      <c r="BO76" s="123">
        <f>IFERROR(MIN('B4'!BO16,'B5'!BO16,'B6'!BO16),0)</f>
        <v>0</v>
      </c>
      <c r="BP76" s="123">
        <f>IFERROR(MIN('B4'!BP16,'B5'!BP16,'B6'!BP16),0)</f>
        <v>0</v>
      </c>
      <c r="BQ76" s="123">
        <f>IFERROR(MIN('B4'!BQ16,'B5'!BQ16,'B6'!BQ16),0)</f>
        <v>0</v>
      </c>
      <c r="BR76" s="123">
        <f>IFERROR(MIN('B4'!BR16,'B5'!BR16,'B6'!BR16),0)</f>
        <v>0</v>
      </c>
      <c r="BS76" s="123">
        <f>IFERROR(MIN('B4'!BS16,'B5'!BS16,'B6'!BS16),0)</f>
        <v>0</v>
      </c>
      <c r="BT76" s="123">
        <f>IFERROR(MIN('B4'!BT16,'B5'!BT16,'B6'!BT16),0)</f>
        <v>0.23845470692717582</v>
      </c>
      <c r="BU76" s="123">
        <f>IFERROR(MIN('B4'!BU16,'B5'!BU16,'B6'!BU16),0)</f>
        <v>0</v>
      </c>
      <c r="BV76" s="123">
        <f>IFERROR(MIN('B4'!BV16,'B5'!BV16,'B6'!BV16),0)</f>
        <v>0</v>
      </c>
    </row>
    <row r="77" spans="1:74" ht="16" thickBot="1" x14ac:dyDescent="0.4">
      <c r="A77" s="63" t="str">
        <f t="shared" si="8"/>
        <v>13-04</v>
      </c>
      <c r="B77" s="129">
        <f t="shared" si="9"/>
        <v>26</v>
      </c>
      <c r="C77" s="77">
        <v>10</v>
      </c>
      <c r="D77" s="123">
        <f>IFERROR(MIN('B4'!D17,'B5'!D17,'B6'!D17),0)</f>
        <v>0</v>
      </c>
      <c r="E77" s="123">
        <f>IFERROR(MIN('B4'!E17,'B5'!E17,'B6'!E17),0)</f>
        <v>0</v>
      </c>
      <c r="F77" s="123">
        <f>IFERROR(MIN('B4'!F17,'B5'!F17,'B6'!F17),0)</f>
        <v>0</v>
      </c>
      <c r="G77" s="123">
        <f>IFERROR(MIN('B4'!G17,'B5'!G17,'B6'!G17),0)</f>
        <v>0</v>
      </c>
      <c r="H77" s="123">
        <f>IFERROR(MIN('B4'!H17,'B5'!H17,'B6'!H17),0)</f>
        <v>0</v>
      </c>
      <c r="I77" s="123">
        <f>IFERROR(MIN('B4'!I17,'B5'!I17,'B6'!I17),0)</f>
        <v>1.0985562898925805</v>
      </c>
      <c r="J77" s="123">
        <f>IFERROR(MIN('B4'!J17,'B5'!J17,'B6'!J17),0)</f>
        <v>10.426482157087531</v>
      </c>
      <c r="K77" s="123">
        <f>IFERROR(MIN('B4'!K17,'B5'!K17,'B6'!K17),0)</f>
        <v>17.618710961750899</v>
      </c>
      <c r="L77" s="123">
        <f>IFERROR(MIN('B4'!L17,'B5'!L17,'B6'!L17),0)</f>
        <v>0</v>
      </c>
      <c r="M77" s="123">
        <f>IFERROR(MIN('B4'!M17,'B5'!M17,'B6'!M17),0)</f>
        <v>0.84479269853937844</v>
      </c>
      <c r="N77" s="123">
        <f>IFERROR(MIN('B4'!N17,'B5'!N17,'B6'!N17),0)</f>
        <v>0</v>
      </c>
      <c r="O77" s="123">
        <f>IFERROR(MIN('B4'!O17,'B5'!O17,'B6'!O17),0)</f>
        <v>0</v>
      </c>
      <c r="P77" s="123">
        <f>IFERROR(MIN('B4'!P17,'B5'!P17,'B6'!P17),0)</f>
        <v>0</v>
      </c>
      <c r="Q77" s="123">
        <f>IFERROR(MIN('B4'!Q17,'B5'!Q17,'B6'!Q17),0)</f>
        <v>1.2911600165658883</v>
      </c>
      <c r="R77" s="123">
        <f>IFERROR(MIN('B4'!R17,'B5'!R17,'B6'!R17),0)</f>
        <v>0</v>
      </c>
      <c r="S77" s="123">
        <f>IFERROR(MIN('B4'!S17,'B5'!S17,'B6'!S17),0)</f>
        <v>2.54591451383288</v>
      </c>
      <c r="T77" s="123">
        <f>IFERROR(MIN('B4'!T17,'B5'!T17,'B6'!T17),0)</f>
        <v>0</v>
      </c>
      <c r="U77" s="123">
        <f>IFERROR(MIN('B4'!U17,'B5'!U17,'B6'!U17),0)</f>
        <v>0</v>
      </c>
      <c r="V77" s="123">
        <f>IFERROR(MIN('B4'!V17,'B5'!V17,'B6'!V17),0)</f>
        <v>0</v>
      </c>
      <c r="W77" s="123">
        <f>IFERROR(MIN('B4'!W17,'B5'!W17,'B6'!W17),0)</f>
        <v>0</v>
      </c>
      <c r="X77" s="123">
        <f>IFERROR(MIN('B4'!X17,'B5'!X17,'B6'!X17),0)</f>
        <v>0</v>
      </c>
      <c r="Y77" s="123">
        <f>IFERROR(MIN('B4'!Y17,'B5'!Y17,'B6'!Y17),0)</f>
        <v>0</v>
      </c>
      <c r="Z77" s="123">
        <f>IFERROR(MIN('B4'!Z17,'B5'!Z17,'B6'!Z17),0)</f>
        <v>0</v>
      </c>
      <c r="AA77" s="123">
        <f>IFERROR(MIN('B4'!AA17,'B5'!AA17,'B6'!AA17),0)</f>
        <v>0</v>
      </c>
      <c r="AB77" s="123">
        <f>IFERROR(MIN('B4'!AB17,'B5'!AB17,'B6'!AB17),0)</f>
        <v>0</v>
      </c>
      <c r="AC77" s="123">
        <f>IFERROR(MIN('B4'!AC17,'B5'!AC17,'B6'!AC17),0)</f>
        <v>0</v>
      </c>
      <c r="AD77" s="123">
        <f>IFERROR(MIN('B4'!AD17,'B5'!AD17,'B6'!AD17),0)</f>
        <v>0</v>
      </c>
      <c r="AE77" s="123">
        <f>IFERROR(MIN('B4'!AE17,'B5'!AE17,'B6'!AE17),0)</f>
        <v>5.39</v>
      </c>
      <c r="AF77" s="123">
        <f>IFERROR(MIN('B4'!AF17,'B5'!AF17,'B6'!AF17),0)</f>
        <v>100</v>
      </c>
      <c r="AG77" s="123">
        <f>IFERROR(MIN('B4'!AG17,'B5'!AG17,'B6'!AG17),0)</f>
        <v>1</v>
      </c>
      <c r="AH77" s="123">
        <f>IFERROR(MIN('B4'!AH17,'B5'!AH17,'B6'!AH17),0)</f>
        <v>79.459999999999994</v>
      </c>
      <c r="AI77" s="123">
        <f>IFERROR(MIN('B4'!AI17,'B5'!AI17,'B6'!AI17),0)</f>
        <v>0</v>
      </c>
      <c r="AJ77" s="123">
        <f>IFERROR(MIN('B4'!AJ17,'B5'!AJ17,'B6'!AJ17),0)</f>
        <v>0</v>
      </c>
      <c r="AK77" s="123">
        <f>IFERROR(MIN('B4'!AK17,'B5'!AK17,'B6'!AK17),0)</f>
        <v>0</v>
      </c>
      <c r="AL77" s="123">
        <f>IFERROR(MIN('B4'!AL17,'B5'!AL17,'B6'!AL17),0)</f>
        <v>0</v>
      </c>
      <c r="AM77" s="123">
        <f>IFERROR(MIN('B4'!AM17,'B5'!AM17,'B6'!AM17),0)</f>
        <v>0</v>
      </c>
      <c r="AN77" s="123">
        <f>IFERROR(MIN('B4'!AN17,'B5'!AN17,'B6'!AN17),0)</f>
        <v>0</v>
      </c>
      <c r="AO77" s="123">
        <f>IFERROR(MIN('B4'!AO17,'B5'!AO17,'B6'!AO17),0)</f>
        <v>0</v>
      </c>
      <c r="AP77" s="123">
        <f>IFERROR(MIN('B4'!AP17,'B5'!AP17,'B6'!AP17),0)</f>
        <v>0.10426482157087531</v>
      </c>
      <c r="AQ77" s="123">
        <f>IFERROR(MIN('B4'!AQ17,'B5'!AQ17,'B6'!AQ17),0)</f>
        <v>0.176187109617509</v>
      </c>
      <c r="AR77" s="123">
        <f>IFERROR(MIN('B4'!AR17,'B5'!AR17,'B6'!AR17),0)</f>
        <v>0</v>
      </c>
      <c r="AS77" s="123">
        <f>IFERROR(MIN('B4'!AS17,'B5'!AS17,'B6'!AS17),0)</f>
        <v>0</v>
      </c>
      <c r="AT77" s="123">
        <f>IFERROR(MIN('B4'!AT17,'B5'!AT17,'B6'!AT17),0)</f>
        <v>0</v>
      </c>
      <c r="AU77" s="123">
        <f>IFERROR(MIN('B4'!AU17,'B5'!AU17,'B6'!AU17),0)</f>
        <v>0</v>
      </c>
      <c r="AV77" s="123">
        <f>IFERROR(MIN('B4'!AV17,'B5'!AV17,'B6'!AV17),0)</f>
        <v>0</v>
      </c>
      <c r="AW77" s="123">
        <f>IFERROR(MIN('B4'!AW17,'B5'!AW17,'B6'!AW17),0)</f>
        <v>0</v>
      </c>
      <c r="AX77" s="123">
        <f>IFERROR(MIN('B4'!AX17,'B5'!AX17,'B6'!AX17),0)</f>
        <v>0</v>
      </c>
      <c r="AY77" s="123">
        <f>IFERROR(MIN('B4'!AY17,'B5'!AY17,'B6'!AY17),0)</f>
        <v>2.7462604210683819E-2</v>
      </c>
      <c r="AZ77" s="123">
        <f>IFERROR(MIN('B4'!AZ17,'B5'!AZ17,'B6'!AZ17),0)</f>
        <v>88.210479573712249</v>
      </c>
      <c r="BA77" s="123">
        <f>IFERROR(MIN('B4'!BA17,'B5'!BA17,'B6'!BA17),0)</f>
        <v>7.9459999999999988</v>
      </c>
      <c r="BB77" s="123">
        <f>IFERROR(MIN('B4'!BB17,'B5'!BB17,'B6'!BB17),0)</f>
        <v>0</v>
      </c>
      <c r="BC77" s="123">
        <f>IFERROR(MIN('B4'!BC17,'B5'!BC17,'B6'!BC17),0)</f>
        <v>0</v>
      </c>
      <c r="BD77" s="123">
        <f>IFERROR(MIN('B4'!BD17,'B5'!BD17,'B6'!BD17),0)</f>
        <v>0</v>
      </c>
      <c r="BE77" s="123">
        <f>IFERROR(MIN('B4'!BE17,'B5'!BE17,'B6'!BE17),0)</f>
        <v>0</v>
      </c>
      <c r="BF77" s="123">
        <f>IFERROR(MIN('B4'!BF17,'B5'!BF17,'B6'!BF17),0)</f>
        <v>0</v>
      </c>
      <c r="BG77" s="123">
        <f>IFERROR(MIN('B4'!BG17,'B5'!BG17,'B6'!BG17),0)</f>
        <v>0</v>
      </c>
      <c r="BH77" s="123">
        <f>IFERROR(MIN('B4'!BH17,'B5'!BH17,'B6'!BH17),0)</f>
        <v>0</v>
      </c>
      <c r="BI77" s="123">
        <f>IFERROR(MIN('B4'!BI17,'B5'!BI17,'B6'!BI17),0)</f>
        <v>0</v>
      </c>
      <c r="BJ77" s="123">
        <f>IFERROR(MIN('B4'!BJ17,'B5'!BJ17,'B6'!BJ17),0)</f>
        <v>0.20852964314175063</v>
      </c>
      <c r="BK77" s="123">
        <f>IFERROR(MIN('B4'!BK17,'B5'!BK17,'B6'!BK17),0)</f>
        <v>0.52856132885252705</v>
      </c>
      <c r="BL77" s="123">
        <f>IFERROR(MIN('B4'!BL17,'B5'!BL17,'B6'!BL17),0)</f>
        <v>0</v>
      </c>
      <c r="BM77" s="123">
        <f>IFERROR(MIN('B4'!BM17,'B5'!BM17,'B6'!BM17),0)</f>
        <v>0</v>
      </c>
      <c r="BN77" s="123">
        <f>IFERROR(MIN('B4'!BN17,'B5'!BN17,'B6'!BN17),0)</f>
        <v>0</v>
      </c>
      <c r="BO77" s="123">
        <f>IFERROR(MIN('B4'!BO17,'B5'!BO17,'B6'!BO17),0)</f>
        <v>0</v>
      </c>
      <c r="BP77" s="123">
        <f>IFERROR(MIN('B4'!BP17,'B5'!BP17,'B6'!BP17),0)</f>
        <v>0</v>
      </c>
      <c r="BQ77" s="123">
        <f>IFERROR(MIN('B4'!BQ17,'B5'!BQ17,'B6'!BQ17),0)</f>
        <v>0</v>
      </c>
      <c r="BR77" s="123">
        <f>IFERROR(MIN('B4'!BR17,'B5'!BR17,'B6'!BR17),0)</f>
        <v>0</v>
      </c>
      <c r="BS77" s="123">
        <f>IFERROR(MIN('B4'!BS17,'B5'!BS17,'B6'!BS17),0)</f>
        <v>0.21970083368547055</v>
      </c>
      <c r="BT77" s="123">
        <f>IFERROR(MIN('B4'!BT17,'B5'!BT17,'B6'!BT17),0)</f>
        <v>0.26463143872113676</v>
      </c>
      <c r="BU77" s="123">
        <f>IFERROR(MIN('B4'!BU17,'B5'!BU17,'B6'!BU17),0)</f>
        <v>0</v>
      </c>
      <c r="BV77" s="123">
        <f>IFERROR(MIN('B4'!BV17,'B5'!BV17,'B6'!BV17),0)</f>
        <v>0</v>
      </c>
    </row>
    <row r="78" spans="1:74" ht="16" thickBot="1" x14ac:dyDescent="0.4">
      <c r="A78" s="63" t="str">
        <f t="shared" si="8"/>
        <v>16-04</v>
      </c>
      <c r="B78" s="129">
        <f t="shared" si="9"/>
        <v>29</v>
      </c>
      <c r="C78" s="77">
        <v>10</v>
      </c>
      <c r="D78" s="123">
        <f>IFERROR(MIN('B4'!D18,'B5'!D18,'B6'!D18),0)</f>
        <v>0</v>
      </c>
      <c r="E78" s="123">
        <f>IFERROR(MIN('B4'!E18,'B5'!E18,'B6'!E18),0)</f>
        <v>0</v>
      </c>
      <c r="F78" s="123">
        <f>IFERROR(MIN('B4'!F18,'B5'!F18,'B6'!F18),0)</f>
        <v>0</v>
      </c>
      <c r="G78" s="123">
        <f>IFERROR(MIN('B4'!G18,'B5'!G18,'B6'!G18),0)</f>
        <v>0</v>
      </c>
      <c r="H78" s="123">
        <f>IFERROR(MIN('B4'!H18,'B5'!H18,'B6'!H18),0)</f>
        <v>0</v>
      </c>
      <c r="I78" s="123">
        <f>IFERROR(MIN('B4'!I18,'B5'!I18,'B6'!I18),0)</f>
        <v>4.1920789930555554E-3</v>
      </c>
      <c r="J78" s="123">
        <f>IFERROR(MIN('B4'!J18,'B5'!J18,'B6'!J18),0)</f>
        <v>1.2034754774305554E-2</v>
      </c>
      <c r="K78" s="123">
        <f>IFERROR(MIN('B4'!K18,'B5'!K18,'B6'!K18),0)</f>
        <v>0.20194581163194444</v>
      </c>
      <c r="L78" s="123">
        <f>IFERROR(MIN('B4'!L18,'B5'!L18,'B6'!L18),0)</f>
        <v>0</v>
      </c>
      <c r="M78" s="123">
        <f>IFERROR(MIN('B4'!M18,'B5'!M18,'B6'!M18),0)</f>
        <v>8.057194010416666E-3</v>
      </c>
      <c r="N78" s="123">
        <f>IFERROR(MIN('B4'!N18,'B5'!N18,'B6'!N18),0)</f>
        <v>0</v>
      </c>
      <c r="O78" s="123">
        <f>IFERROR(MIN('B4'!O18,'B5'!O18,'B6'!O18),0)</f>
        <v>0</v>
      </c>
      <c r="P78" s="123">
        <f>IFERROR(MIN('B4'!P18,'B5'!P18,'B6'!P18),0)</f>
        <v>0</v>
      </c>
      <c r="Q78" s="123">
        <f>IFERROR(MIN('B4'!Q18,'B5'!Q18,'B6'!Q18),0)</f>
        <v>4.9531792534722218E-3</v>
      </c>
      <c r="R78" s="123">
        <f>IFERROR(MIN('B4'!R18,'B5'!R18,'B6'!R18),0)</f>
        <v>7.6128797743055549E-3</v>
      </c>
      <c r="S78" s="123">
        <f>IFERROR(MIN('B4'!S18,'B5'!S18,'B6'!S18),0)</f>
        <v>1.3274175347222221E-2</v>
      </c>
      <c r="T78" s="123">
        <f>IFERROR(MIN('B4'!T18,'B5'!T18,'B6'!T18),0)</f>
        <v>0</v>
      </c>
      <c r="U78" s="123">
        <f>IFERROR(MIN('B4'!U18,'B5'!U18,'B6'!U18),0)</f>
        <v>0</v>
      </c>
      <c r="V78" s="123">
        <f>IFERROR(MIN('B4'!V18,'B5'!V18,'B6'!V18),0)</f>
        <v>0</v>
      </c>
      <c r="W78" s="123">
        <f>IFERROR(MIN('B4'!W18,'B5'!W18,'B6'!W18),0)</f>
        <v>0</v>
      </c>
      <c r="X78" s="123">
        <f>IFERROR(MIN('B4'!X18,'B5'!X18,'B6'!X18),0)</f>
        <v>0</v>
      </c>
      <c r="Y78" s="123">
        <f>IFERROR(MIN('B4'!Y18,'B5'!Y18,'B6'!Y18),0)</f>
        <v>0</v>
      </c>
      <c r="Z78" s="123">
        <f>IFERROR(MIN('B4'!Z18,'B5'!Z18,'B6'!Z18),0)</f>
        <v>0</v>
      </c>
      <c r="AA78" s="123">
        <f>IFERROR(MIN('B4'!AA18,'B5'!AA18,'B6'!AA18),0)</f>
        <v>0</v>
      </c>
      <c r="AB78" s="123">
        <f>IFERROR(MIN('B4'!AB18,'B5'!AB18,'B6'!AB18),0)</f>
        <v>0</v>
      </c>
      <c r="AC78" s="123">
        <f>IFERROR(MIN('B4'!AC18,'B5'!AC18,'B6'!AC18),0)</f>
        <v>0</v>
      </c>
      <c r="AD78" s="123">
        <f>IFERROR(MIN('B4'!AD18,'B5'!AD18,'B6'!AD18),0)</f>
        <v>0</v>
      </c>
      <c r="AE78" s="123">
        <f>IFERROR(MIN('B4'!AE18,'B5'!AE18,'B6'!AE18),0)</f>
        <v>5.62</v>
      </c>
      <c r="AF78" s="123">
        <f>IFERROR(MIN('B4'!AF18,'B5'!AF18,'B6'!AF18),0)</f>
        <v>110</v>
      </c>
      <c r="AG78" s="123">
        <f>IFERROR(MIN('B4'!AG18,'B5'!AG18,'B6'!AG18),0)</f>
        <v>1</v>
      </c>
      <c r="AH78" s="123">
        <f>IFERROR(MIN('B4'!AH18,'B5'!AH18,'B6'!AH18),0)</f>
        <v>72.45</v>
      </c>
      <c r="AI78" s="123">
        <f>IFERROR(MIN('B4'!AI18,'B5'!AI18,'B6'!AI18),0)</f>
        <v>0</v>
      </c>
      <c r="AJ78" s="123">
        <f>IFERROR(MIN('B4'!AJ18,'B5'!AJ18,'B6'!AJ18),0)</f>
        <v>0</v>
      </c>
      <c r="AK78" s="123">
        <f>IFERROR(MIN('B4'!AK18,'B5'!AK18,'B6'!AK18),0)</f>
        <v>0</v>
      </c>
      <c r="AL78" s="123">
        <f>IFERROR(MIN('B4'!AL18,'B5'!AL18,'B6'!AL18),0)</f>
        <v>0</v>
      </c>
      <c r="AM78" s="123">
        <f>IFERROR(MIN('B4'!AM18,'B5'!AM18,'B6'!AM18),0)</f>
        <v>0</v>
      </c>
      <c r="AN78" s="123">
        <f>IFERROR(MIN('B4'!AN18,'B5'!AN18,'B6'!AN18),0)</f>
        <v>0</v>
      </c>
      <c r="AO78" s="123">
        <f>IFERROR(MIN('B4'!AO18,'B5'!AO18,'B6'!AO18),0)</f>
        <v>4.1027618672064703E-4</v>
      </c>
      <c r="AP78" s="123">
        <f>IFERROR(MIN('B4'!AP18,'B5'!AP18,'B6'!AP18),0)</f>
        <v>0</v>
      </c>
      <c r="AQ78" s="123">
        <f>IFERROR(MIN('B4'!AQ18,'B5'!AQ18,'B6'!AQ18),0)</f>
        <v>0</v>
      </c>
      <c r="AR78" s="123">
        <f>IFERROR(MIN('B4'!AR18,'B5'!AR18,'B6'!AR18),0)</f>
        <v>0</v>
      </c>
      <c r="AS78" s="123">
        <f>IFERROR(MIN('B4'!AS18,'B5'!AS18,'B6'!AS18),0)</f>
        <v>0</v>
      </c>
      <c r="AT78" s="123">
        <f>IFERROR(MIN('B4'!AT18,'B5'!AT18,'B6'!AT18),0)</f>
        <v>0</v>
      </c>
      <c r="AU78" s="123">
        <f>IFERROR(MIN('B4'!AU18,'B5'!AU18,'B6'!AU18),0)</f>
        <v>0</v>
      </c>
      <c r="AV78" s="123">
        <f>IFERROR(MIN('B4'!AV18,'B5'!AV18,'B6'!AV18),0)</f>
        <v>0</v>
      </c>
      <c r="AW78" s="123">
        <f>IFERROR(MIN('B4'!AW18,'B5'!AW18,'B6'!AW18),0)</f>
        <v>0</v>
      </c>
      <c r="AX78" s="123">
        <f>IFERROR(MIN('B4'!AX18,'B5'!AX18,'B6'!AX18),0)</f>
        <v>0</v>
      </c>
      <c r="AY78" s="123">
        <f>IFERROR(MIN('B4'!AY18,'B5'!AY18,'B6'!AY18),0)</f>
        <v>0</v>
      </c>
      <c r="AZ78" s="123">
        <f>IFERROR(MIN('B4'!AZ18,'B5'!AZ18,'B6'!AZ18),0)</f>
        <v>88.471358792184731</v>
      </c>
      <c r="BA78" s="123">
        <f>IFERROR(MIN('B4'!BA18,'B5'!BA18,'B6'!BA18),0)</f>
        <v>7.9695</v>
      </c>
      <c r="BB78" s="123">
        <f>IFERROR(MIN('B4'!BB18,'B5'!BB18,'B6'!BB18),0)</f>
        <v>0</v>
      </c>
      <c r="BC78" s="123">
        <f>IFERROR(MIN('B4'!BC18,'B5'!BC18,'B6'!BC18),0)</f>
        <v>0</v>
      </c>
      <c r="BD78" s="123">
        <f>IFERROR(MIN('B4'!BD18,'B5'!BD18,'B6'!BD18),0)</f>
        <v>0</v>
      </c>
      <c r="BE78" s="123">
        <f>IFERROR(MIN('B4'!BE18,'B5'!BE18,'B6'!BE18),0)</f>
        <v>0</v>
      </c>
      <c r="BF78" s="123">
        <f>IFERROR(MIN('B4'!BF18,'B5'!BF18,'B6'!BF18),0)</f>
        <v>0</v>
      </c>
      <c r="BG78" s="123">
        <f>IFERROR(MIN('B4'!BG18,'B5'!BG18,'B6'!BG18),0)</f>
        <v>0</v>
      </c>
      <c r="BH78" s="123">
        <f>IFERROR(MIN('B4'!BH18,'B5'!BH18,'B6'!BH18),0)</f>
        <v>0</v>
      </c>
      <c r="BI78" s="123">
        <f>IFERROR(MIN('B4'!BI18,'B5'!BI18,'B6'!BI18),0)</f>
        <v>2.4616571203238821E-6</v>
      </c>
      <c r="BJ78" s="123">
        <f>IFERROR(MIN('B4'!BJ18,'B5'!BJ18,'B6'!BJ18),0)</f>
        <v>0</v>
      </c>
      <c r="BK78" s="123">
        <f>IFERROR(MIN('B4'!BK18,'B5'!BK18,'B6'!BK18),0)</f>
        <v>0</v>
      </c>
      <c r="BL78" s="123">
        <f>IFERROR(MIN('B4'!BL18,'B5'!BL18,'B6'!BL18),0)</f>
        <v>0</v>
      </c>
      <c r="BM78" s="123">
        <f>IFERROR(MIN('B4'!BM18,'B5'!BM18,'B6'!BM18),0)</f>
        <v>0</v>
      </c>
      <c r="BN78" s="123">
        <f>IFERROR(MIN('B4'!BN18,'B5'!BN18,'B6'!BN18),0)</f>
        <v>0</v>
      </c>
      <c r="BO78" s="123">
        <f>IFERROR(MIN('B4'!BO18,'B5'!BO18,'B6'!BO18),0)</f>
        <v>0</v>
      </c>
      <c r="BP78" s="123">
        <f>IFERROR(MIN('B4'!BP18,'B5'!BP18,'B6'!BP18),0)</f>
        <v>0</v>
      </c>
      <c r="BQ78" s="123">
        <f>IFERROR(MIN('B4'!BQ18,'B5'!BQ18,'B6'!BQ18),0)</f>
        <v>0</v>
      </c>
      <c r="BR78" s="123">
        <f>IFERROR(MIN('B4'!BR18,'B5'!BR18,'B6'!BR18),0)</f>
        <v>0</v>
      </c>
      <c r="BS78" s="123">
        <f>IFERROR(MIN('B4'!BS18,'B5'!BS18,'B6'!BS18),0)</f>
        <v>0</v>
      </c>
      <c r="BT78" s="123">
        <f>IFERROR(MIN('B4'!BT18,'B5'!BT18,'B6'!BT18),0)</f>
        <v>0.26541407637655418</v>
      </c>
      <c r="BU78" s="123">
        <f>IFERROR(MIN('B4'!BU18,'B5'!BU18,'B6'!BU18),0)</f>
        <v>0</v>
      </c>
      <c r="BV78" s="123">
        <f>IFERROR(MIN('B4'!BV18,'B5'!BV18,'B6'!BV18),0)</f>
        <v>0</v>
      </c>
    </row>
    <row r="79" spans="1:74" ht="16" thickBot="1" x14ac:dyDescent="0.4">
      <c r="A79" s="63" t="str">
        <f t="shared" si="8"/>
        <v>19-04</v>
      </c>
      <c r="B79" s="129">
        <f t="shared" si="9"/>
        <v>32</v>
      </c>
      <c r="C79" s="77">
        <v>10</v>
      </c>
      <c r="D79" s="123">
        <f>IFERROR(MIN('B4'!D19,'B5'!D19,'B6'!D19),0)</f>
        <v>0</v>
      </c>
      <c r="E79" s="123">
        <f>IFERROR(MIN('B4'!E19,'B5'!E19,'B6'!E19),0)</f>
        <v>0</v>
      </c>
      <c r="F79" s="123">
        <f>IFERROR(MIN('B4'!F19,'B5'!F19,'B6'!F19),0)</f>
        <v>0</v>
      </c>
      <c r="G79" s="123">
        <f>IFERROR(MIN('B4'!G19,'B5'!G19,'B6'!G19),0)</f>
        <v>0</v>
      </c>
      <c r="H79" s="123">
        <f>IFERROR(MIN('B4'!H19,'B5'!H19,'B6'!H19),0)</f>
        <v>0</v>
      </c>
      <c r="I79" s="123">
        <f>IFERROR(MIN('B4'!I19,'B5'!I19,'B6'!I19),0)</f>
        <v>0.75550098400115906</v>
      </c>
      <c r="J79" s="123">
        <f>IFERROR(MIN('B4'!J19,'B5'!J19,'B6'!J19),0)</f>
        <v>6.2168031476208085</v>
      </c>
      <c r="K79" s="123">
        <f>IFERROR(MIN('B4'!K19,'B5'!K19,'B6'!K19),0)</f>
        <v>25.451437277770879</v>
      </c>
      <c r="L79" s="123">
        <f>IFERROR(MIN('B4'!L19,'B5'!L19,'B6'!L19),0)</f>
        <v>0</v>
      </c>
      <c r="M79" s="123">
        <f>IFERROR(MIN('B4'!M19,'B5'!M19,'B6'!M19),0)</f>
        <v>2.7488326885767207</v>
      </c>
      <c r="N79" s="123">
        <f>IFERROR(MIN('B4'!N19,'B5'!N19,'B6'!N19),0)</f>
        <v>0</v>
      </c>
      <c r="O79" s="123">
        <f>IFERROR(MIN('B4'!O19,'B5'!O19,'B6'!O19),0)</f>
        <v>0</v>
      </c>
      <c r="P79" s="123">
        <f>IFERROR(MIN('B4'!P19,'B5'!P19,'B6'!P19),0)</f>
        <v>0</v>
      </c>
      <c r="Q79" s="123">
        <f>IFERROR(MIN('B4'!Q19,'B5'!Q19,'B6'!Q19),0)</f>
        <v>0.74797938473040237</v>
      </c>
      <c r="R79" s="123">
        <f>IFERROR(MIN('B4'!R19,'B5'!R19,'B6'!R19),0)</f>
        <v>0.70776181414223649</v>
      </c>
      <c r="S79" s="123">
        <f>IFERROR(MIN('B4'!S19,'B5'!S19,'B6'!S19),0)</f>
        <v>1.3760798316967815</v>
      </c>
      <c r="T79" s="123">
        <f>IFERROR(MIN('B4'!T19,'B5'!T19,'B6'!T19),0)</f>
        <v>0</v>
      </c>
      <c r="U79" s="123">
        <f>IFERROR(MIN('B4'!U19,'B5'!U19,'B6'!U19),0)</f>
        <v>0</v>
      </c>
      <c r="V79" s="123">
        <f>IFERROR(MIN('B4'!V19,'B5'!V19,'B6'!V19),0)</f>
        <v>0</v>
      </c>
      <c r="W79" s="123">
        <f>IFERROR(MIN('B4'!W19,'B5'!W19,'B6'!W19),0)</f>
        <v>0</v>
      </c>
      <c r="X79" s="123">
        <f>IFERROR(MIN('B4'!X19,'B5'!X19,'B6'!X19),0)</f>
        <v>0</v>
      </c>
      <c r="Y79" s="123">
        <f>IFERROR(MIN('B4'!Y19,'B5'!Y19,'B6'!Y19),0)</f>
        <v>0</v>
      </c>
      <c r="Z79" s="123">
        <f>IFERROR(MIN('B4'!Z19,'B5'!Z19,'B6'!Z19),0)</f>
        <v>0</v>
      </c>
      <c r="AA79" s="123">
        <f>IFERROR(MIN('B4'!AA19,'B5'!AA19,'B6'!AA19),0)</f>
        <v>0</v>
      </c>
      <c r="AB79" s="123">
        <f>IFERROR(MIN('B4'!AB19,'B5'!AB19,'B6'!AB19),0)</f>
        <v>0</v>
      </c>
      <c r="AC79" s="123">
        <f>IFERROR(MIN('B4'!AC19,'B5'!AC19,'B6'!AC19),0)</f>
        <v>0</v>
      </c>
      <c r="AD79" s="123">
        <f>IFERROR(MIN('B4'!AD19,'B5'!AD19,'B6'!AD19),0)</f>
        <v>0</v>
      </c>
      <c r="AE79" s="123">
        <f>IFERROR(MIN('B4'!AE19,'B5'!AE19,'B6'!AE19),0)</f>
        <v>5.75</v>
      </c>
      <c r="AF79" s="123">
        <f>IFERROR(MIN('B4'!AF19,'B5'!AF19,'B6'!AF19),0)</f>
        <v>100</v>
      </c>
      <c r="AG79" s="123">
        <f>IFERROR(MIN('B4'!AG19,'B5'!AG19,'B6'!AG19),0)</f>
        <v>1</v>
      </c>
      <c r="AH79" s="123">
        <f>IFERROR(MIN('B4'!AH19,'B5'!AH19,'B6'!AH19),0)</f>
        <v>0</v>
      </c>
      <c r="AI79" s="123">
        <f>IFERROR(MIN('B4'!AI19,'B5'!AI19,'B6'!AI19),0)</f>
        <v>0</v>
      </c>
      <c r="AJ79" s="123">
        <f>IFERROR(MIN('B4'!AJ19,'B5'!AJ19,'B6'!AJ19),0)</f>
        <v>0</v>
      </c>
      <c r="AK79" s="123">
        <f>IFERROR(MIN('B4'!AK19,'B5'!AK19,'B6'!AK19),0)</f>
        <v>0</v>
      </c>
      <c r="AL79" s="123">
        <f>IFERROR(MIN('B4'!AL19,'B5'!AL19,'B6'!AL19),0)</f>
        <v>0</v>
      </c>
      <c r="AM79" s="123">
        <f>IFERROR(MIN('B4'!AM19,'B5'!AM19,'B6'!AM19),0)</f>
        <v>0</v>
      </c>
      <c r="AN79" s="123">
        <f>IFERROR(MIN('B4'!AN19,'B5'!AN19,'B6'!AN19),0)</f>
        <v>0</v>
      </c>
      <c r="AO79" s="123">
        <f>IFERROR(MIN('B4'!AO19,'B5'!AO19,'B6'!AO19),0)</f>
        <v>0</v>
      </c>
      <c r="AP79" s="123">
        <f>IFERROR(MIN('B4'!AP19,'B5'!AP19,'B6'!AP19),0)</f>
        <v>6.2168031476208085E-2</v>
      </c>
      <c r="AQ79" s="123">
        <f>IFERROR(MIN('B4'!AQ19,'B5'!AQ19,'B6'!AQ19),0)</f>
        <v>0.25451437277770877</v>
      </c>
      <c r="AR79" s="123">
        <f>IFERROR(MIN('B4'!AR19,'B5'!AR19,'B6'!AR19),0)</f>
        <v>0</v>
      </c>
      <c r="AS79" s="123">
        <f>IFERROR(MIN('B4'!AS19,'B5'!AS19,'B6'!AS19),0)</f>
        <v>0</v>
      </c>
      <c r="AT79" s="123">
        <f>IFERROR(MIN('B4'!AT19,'B5'!AT19,'B6'!AT19),0)</f>
        <v>0</v>
      </c>
      <c r="AU79" s="123">
        <f>IFERROR(MIN('B4'!AU19,'B5'!AU19,'B6'!AU19),0)</f>
        <v>0</v>
      </c>
      <c r="AV79" s="123">
        <f>IFERROR(MIN('B4'!AV19,'B5'!AV19,'B6'!AV19),0)</f>
        <v>0</v>
      </c>
      <c r="AW79" s="123">
        <f>IFERROR(MIN('B4'!AW19,'B5'!AW19,'B6'!AW19),0)</f>
        <v>0</v>
      </c>
      <c r="AX79" s="123">
        <f>IFERROR(MIN('B4'!AX19,'B5'!AX19,'B6'!AX19),0)</f>
        <v>0</v>
      </c>
      <c r="AY79" s="123">
        <f>IFERROR(MIN('B4'!AY19,'B5'!AY19,'B6'!AY19),0)</f>
        <v>1.6556337211486655E-2</v>
      </c>
      <c r="AZ79" s="123">
        <f>IFERROR(MIN('B4'!AZ19,'B5'!AZ19,'B6'!AZ19),0)</f>
        <v>0</v>
      </c>
      <c r="BA79" s="123">
        <f>IFERROR(MIN('B4'!BA19,'B5'!BA19,'B6'!BA19),0)</f>
        <v>0</v>
      </c>
      <c r="BB79" s="123">
        <f>IFERROR(MIN('B4'!BB19,'B5'!BB19,'B6'!BB19),0)</f>
        <v>0</v>
      </c>
      <c r="BC79" s="123">
        <f>IFERROR(MIN('B4'!BC19,'B5'!BC19,'B6'!BC19),0)</f>
        <v>0</v>
      </c>
      <c r="BD79" s="123">
        <f>IFERROR(MIN('B4'!BD19,'B5'!BD19,'B6'!BD19),0)</f>
        <v>0</v>
      </c>
      <c r="BE79" s="123">
        <f>IFERROR(MIN('B4'!BE19,'B5'!BE19,'B6'!BE19),0)</f>
        <v>0</v>
      </c>
      <c r="BF79" s="123">
        <f>IFERROR(MIN('B4'!BF19,'B5'!BF19,'B6'!BF19),0)</f>
        <v>0</v>
      </c>
      <c r="BG79" s="123">
        <f>IFERROR(MIN('B4'!BG19,'B5'!BG19,'B6'!BG19),0)</f>
        <v>0</v>
      </c>
      <c r="BH79" s="123">
        <f>IFERROR(MIN('B4'!BH19,'B5'!BH19,'B6'!BH19),0)</f>
        <v>0</v>
      </c>
      <c r="BI79" s="123">
        <f>IFERROR(MIN('B4'!BI19,'B5'!BI19,'B6'!BI19),0)</f>
        <v>0</v>
      </c>
      <c r="BJ79" s="123">
        <f>IFERROR(MIN('B4'!BJ19,'B5'!BJ19,'B6'!BJ19),0)</f>
        <v>0.12433606295241617</v>
      </c>
      <c r="BK79" s="123">
        <f>IFERROR(MIN('B4'!BK19,'B5'!BK19,'B6'!BK19),0)</f>
        <v>0.76354311833312627</v>
      </c>
      <c r="BL79" s="123">
        <f>IFERROR(MIN('B4'!BL19,'B5'!BL19,'B6'!BL19),0)</f>
        <v>0</v>
      </c>
      <c r="BM79" s="123">
        <f>IFERROR(MIN('B4'!BM19,'B5'!BM19,'B6'!BM19),0)</f>
        <v>0</v>
      </c>
      <c r="BN79" s="123">
        <f>IFERROR(MIN('B4'!BN19,'B5'!BN19,'B6'!BN19),0)</f>
        <v>0</v>
      </c>
      <c r="BO79" s="123">
        <f>IFERROR(MIN('B4'!BO19,'B5'!BO19,'B6'!BO19),0)</f>
        <v>0</v>
      </c>
      <c r="BP79" s="123">
        <f>IFERROR(MIN('B4'!BP19,'B5'!BP19,'B6'!BP19),0)</f>
        <v>0</v>
      </c>
      <c r="BQ79" s="123">
        <f>IFERROR(MIN('B4'!BQ19,'B5'!BQ19,'B6'!BQ19),0)</f>
        <v>0</v>
      </c>
      <c r="BR79" s="123">
        <f>IFERROR(MIN('B4'!BR19,'B5'!BR19,'B6'!BR19),0)</f>
        <v>0</v>
      </c>
      <c r="BS79" s="123">
        <f>IFERROR(MIN('B4'!BS19,'B5'!BS19,'B6'!BS19),0)</f>
        <v>0.13245069769189324</v>
      </c>
      <c r="BT79" s="123">
        <f>IFERROR(MIN('B4'!BT19,'B5'!BT19,'B6'!BT19),0)</f>
        <v>0</v>
      </c>
      <c r="BU79" s="123">
        <f>IFERROR(MIN('B4'!BU19,'B5'!BU19,'B6'!BU19),0)</f>
        <v>0</v>
      </c>
      <c r="BV79" s="123">
        <f>IFERROR(MIN('B4'!BV19,'B5'!BV19,'B6'!BV19),0)</f>
        <v>0</v>
      </c>
    </row>
    <row r="80" spans="1:74" ht="16" thickBot="1" x14ac:dyDescent="0.4">
      <c r="A80" s="63" t="str">
        <f t="shared" si="8"/>
        <v>26-04</v>
      </c>
      <c r="B80" s="129">
        <f t="shared" si="9"/>
        <v>38</v>
      </c>
      <c r="C80" s="77">
        <v>10</v>
      </c>
      <c r="D80" s="123">
        <f>IFERROR(MIN('B4'!D20,'B5'!D20,'B6'!D20),0)</f>
        <v>0.38370819109665799</v>
      </c>
      <c r="E80" s="123">
        <f>IFERROR(MIN('B4'!E20,'B5'!E20,'B6'!E20),0)</f>
        <v>0</v>
      </c>
      <c r="F80" s="123">
        <f>IFERROR(MIN('B4'!F20,'B5'!F20,'B6'!F20),0)</f>
        <v>0</v>
      </c>
      <c r="G80" s="123">
        <f>IFERROR(MIN('B4'!G20,'B5'!G20,'B6'!G20),0)</f>
        <v>0</v>
      </c>
      <c r="H80" s="123">
        <f>IFERROR(MIN('B4'!H20,'B5'!H20,'B6'!H20),0)</f>
        <v>0</v>
      </c>
      <c r="I80" s="123">
        <f>IFERROR(MIN('B4'!I20,'B5'!I20,'B6'!I20),0)</f>
        <v>0</v>
      </c>
      <c r="J80" s="123">
        <f>IFERROR(MIN('B4'!J20,'B5'!J20,'B6'!J20),0)</f>
        <v>11.088289635589975</v>
      </c>
      <c r="K80" s="123">
        <f>IFERROR(MIN('B4'!K20,'B5'!K20,'B6'!K20),0)</f>
        <v>14.439607272313355</v>
      </c>
      <c r="L80" s="123">
        <f>IFERROR(MIN('B4'!L20,'B5'!L20,'B6'!L20),0)</f>
        <v>0.76252714143902223</v>
      </c>
      <c r="M80" s="123">
        <f>IFERROR(MIN('B4'!M20,'B5'!M20,'B6'!M20),0)</f>
        <v>24.931413805570806</v>
      </c>
      <c r="N80" s="123">
        <f>IFERROR(MIN('B4'!N20,'B5'!N20,'B6'!N20),0)</f>
        <v>0</v>
      </c>
      <c r="O80" s="123">
        <f>IFERROR(MIN('B4'!O20,'B5'!O20,'B6'!O20),0)</f>
        <v>0.97741669295625533</v>
      </c>
      <c r="P80" s="123">
        <f>IFERROR(MIN('B4'!P20,'B5'!P20,'B6'!P20),0)</f>
        <v>0</v>
      </c>
      <c r="Q80" s="123">
        <f>IFERROR(MIN('B4'!Q20,'B5'!Q20,'B6'!Q20),0)</f>
        <v>1.6410788796763331</v>
      </c>
      <c r="R80" s="123">
        <f>IFERROR(MIN('B4'!R20,'B5'!R20,'B6'!R20),0)</f>
        <v>0</v>
      </c>
      <c r="S80" s="123">
        <f>IFERROR(MIN('B4'!S20,'B5'!S20,'B6'!S20),0)</f>
        <v>0</v>
      </c>
      <c r="T80" s="123">
        <f>IFERROR(MIN('B4'!T20,'B5'!T20,'B6'!T20),0)</f>
        <v>0</v>
      </c>
      <c r="U80" s="123">
        <f>IFERROR(MIN('B4'!U20,'B5'!U20,'B6'!U20),0)</f>
        <v>0</v>
      </c>
      <c r="V80" s="123">
        <f>IFERROR(MIN('B4'!V20,'B5'!V20,'B6'!V20),0)</f>
        <v>0</v>
      </c>
      <c r="W80" s="123">
        <f>IFERROR(MIN('B4'!W20,'B5'!W20,'B6'!W20),0)</f>
        <v>0.97616666666666663</v>
      </c>
      <c r="X80" s="123">
        <f>IFERROR(MIN('B4'!X20,'B5'!X20,'B6'!X20),0)</f>
        <v>0.13348499696311875</v>
      </c>
      <c r="Y80" s="123">
        <f>IFERROR(MIN('B4'!Y20,'B5'!Y20,'B6'!Y20),0)</f>
        <v>1.3479999999999999</v>
      </c>
      <c r="Z80" s="123">
        <f>IFERROR(MIN('B4'!Z20,'B5'!Z20,'B6'!Z20),0)</f>
        <v>82.545584006772472</v>
      </c>
      <c r="AA80" s="123">
        <f>IFERROR(MIN('B4'!AA20,'B5'!AA20,'B6'!AA20),0)</f>
        <v>0</v>
      </c>
      <c r="AB80" s="123">
        <f>IFERROR(MIN('B4'!AB20,'B5'!AB20,'B6'!AB20),0)</f>
        <v>0</v>
      </c>
      <c r="AC80" s="123">
        <f>IFERROR(MIN('B4'!AC20,'B5'!AC20,'B6'!AC20),0)</f>
        <v>2.5193333333333334</v>
      </c>
      <c r="AD80" s="123">
        <f>IFERROR(MIN('B4'!AD20,'B5'!AD20,'B6'!AD20),0)</f>
        <v>3.310891869878215</v>
      </c>
      <c r="AE80" s="123">
        <f>IFERROR(MIN('B4'!AE20,'B5'!AE20,'B6'!AE20),0)</f>
        <v>0</v>
      </c>
      <c r="AF80" s="123">
        <f>IFERROR(MIN('B4'!AF20,'B5'!AF20,'B6'!AF20),0)</f>
        <v>30</v>
      </c>
      <c r="AG80" s="123">
        <f>IFERROR(MIN('B4'!AG20,'B5'!AG20,'B6'!AG20),0)</f>
        <v>1</v>
      </c>
      <c r="AH80" s="123">
        <f>IFERROR(MIN('B4'!AH20,'B5'!AH20,'B6'!AH20),0)</f>
        <v>101.3</v>
      </c>
      <c r="AI80" s="123">
        <f>IFERROR(MIN('B4'!AI20,'B5'!AI20,'B6'!AI20),0)</f>
        <v>0</v>
      </c>
      <c r="AJ80" s="123">
        <f>IFERROR(MIN('B4'!AJ20,'B5'!AJ20,'B6'!AJ20),0)</f>
        <v>0</v>
      </c>
      <c r="AK80" s="123">
        <f>IFERROR(MIN('B4'!AK20,'B5'!AK20,'B6'!AK20),0)</f>
        <v>0</v>
      </c>
      <c r="AL80" s="123">
        <f>IFERROR(MIN('B4'!AL20,'B5'!AL20,'B6'!AL20),0)</f>
        <v>0</v>
      </c>
      <c r="AM80" s="123">
        <f>IFERROR(MIN('B4'!AM20,'B5'!AM20,'B6'!AM20),0)</f>
        <v>0</v>
      </c>
      <c r="AN80" s="123">
        <f>IFERROR(MIN('B4'!AN20,'B5'!AN20,'B6'!AN20),0)</f>
        <v>0</v>
      </c>
      <c r="AO80" s="123">
        <f>IFERROR(MIN('B4'!AO20,'B5'!AO20,'B6'!AO20),0)</f>
        <v>0</v>
      </c>
      <c r="AP80" s="123">
        <f>IFERROR(MIN('B4'!AP20,'B5'!AP20,'B6'!AP20),0)</f>
        <v>0.11088289635589975</v>
      </c>
      <c r="AQ80" s="123">
        <f>IFERROR(MIN('B4'!AQ20,'B5'!AQ20,'B6'!AQ20),0)</f>
        <v>0.14439607272313357</v>
      </c>
      <c r="AR80" s="123">
        <f>IFERROR(MIN('B4'!AR20,'B5'!AR20,'B6'!AR20),0)</f>
        <v>0</v>
      </c>
      <c r="AS80" s="123">
        <f>IFERROR(MIN('B4'!AS20,'B5'!AS20,'B6'!AS20),0)</f>
        <v>0.24931413805570804</v>
      </c>
      <c r="AT80" s="123">
        <f>IFERROR(MIN('B4'!AT20,'B5'!AT20,'B6'!AT20),0)</f>
        <v>0</v>
      </c>
      <c r="AU80" s="123">
        <f>IFERROR(MIN('B4'!AU20,'B5'!AU20,'B6'!AU20),0)</f>
        <v>0</v>
      </c>
      <c r="AV80" s="123">
        <f>IFERROR(MIN('B4'!AV20,'B5'!AV20,'B6'!AV20),0)</f>
        <v>0</v>
      </c>
      <c r="AW80" s="123">
        <f>IFERROR(MIN('B4'!AW20,'B5'!AW20,'B6'!AW20),0)</f>
        <v>0</v>
      </c>
      <c r="AX80" s="123">
        <f>IFERROR(MIN('B4'!AX20,'B5'!AX20,'B6'!AX20),0)</f>
        <v>0</v>
      </c>
      <c r="AY80" s="123">
        <f>IFERROR(MIN('B4'!AY20,'B5'!AY20,'B6'!AY20),0)</f>
        <v>0</v>
      </c>
      <c r="AZ80" s="123">
        <f>IFERROR(MIN('B4'!AZ20,'B5'!AZ20,'B6'!AZ20),0)</f>
        <v>33.736678507992899</v>
      </c>
      <c r="BA80" s="123">
        <f>IFERROR(MIN('B4'!BA20,'B5'!BA20,'B6'!BA20),0)</f>
        <v>3.0390000000000001</v>
      </c>
      <c r="BB80" s="123">
        <f>IFERROR(MIN('B4'!BB20,'B5'!BB20,'B6'!BB20),0)</f>
        <v>0</v>
      </c>
      <c r="BC80" s="123">
        <f>IFERROR(MIN('B4'!BC20,'B5'!BC20,'B6'!BC20),0)</f>
        <v>0</v>
      </c>
      <c r="BD80" s="123">
        <f>IFERROR(MIN('B4'!BD20,'B5'!BD20,'B6'!BD20),0)</f>
        <v>0</v>
      </c>
      <c r="BE80" s="123">
        <f>IFERROR(MIN('B4'!BE20,'B5'!BE20,'B6'!BE20),0)</f>
        <v>0</v>
      </c>
      <c r="BF80" s="123">
        <f>IFERROR(MIN('B4'!BF20,'B5'!BF20,'B6'!BF20),0)</f>
        <v>0</v>
      </c>
      <c r="BG80" s="123">
        <f>IFERROR(MIN('B4'!BG20,'B5'!BG20,'B6'!BG20),0)</f>
        <v>0</v>
      </c>
      <c r="BH80" s="123">
        <f>IFERROR(MIN('B4'!BH20,'B5'!BH20,'B6'!BH20),0)</f>
        <v>0</v>
      </c>
      <c r="BI80" s="123">
        <f>IFERROR(MIN('B4'!BI20,'B5'!BI20,'B6'!BI20),0)</f>
        <v>0</v>
      </c>
      <c r="BJ80" s="123">
        <f>IFERROR(MIN('B4'!BJ20,'B5'!BJ20,'B6'!BJ20),0)</f>
        <v>0.2217657927117995</v>
      </c>
      <c r="BK80" s="123">
        <f>IFERROR(MIN('B4'!BK20,'B5'!BK20,'B6'!BK20),0)</f>
        <v>0.43318821816940067</v>
      </c>
      <c r="BL80" s="123">
        <f>IFERROR(MIN('B4'!BL20,'B5'!BL20,'B6'!BL20),0)</f>
        <v>0</v>
      </c>
      <c r="BM80" s="123">
        <f>IFERROR(MIN('B4'!BM20,'B5'!BM20,'B6'!BM20),0)</f>
        <v>0.99725655222283216</v>
      </c>
      <c r="BN80" s="123">
        <f>IFERROR(MIN('B4'!BN20,'B5'!BN20,'B6'!BN20),0)</f>
        <v>0</v>
      </c>
      <c r="BO80" s="123">
        <f>IFERROR(MIN('B4'!BO20,'B5'!BO20,'B6'!BO20),0)</f>
        <v>0</v>
      </c>
      <c r="BP80" s="123">
        <f>IFERROR(MIN('B4'!BP20,'B5'!BP20,'B6'!BP20),0)</f>
        <v>0</v>
      </c>
      <c r="BQ80" s="123">
        <f>IFERROR(MIN('B4'!BQ20,'B5'!BQ20,'B6'!BQ20),0)</f>
        <v>0</v>
      </c>
      <c r="BR80" s="123">
        <f>IFERROR(MIN('B4'!BR20,'B5'!BR20,'B6'!BR20),0)</f>
        <v>0</v>
      </c>
      <c r="BS80" s="123">
        <f>IFERROR(MIN('B4'!BS20,'B5'!BS20,'B6'!BS20),0)</f>
        <v>0</v>
      </c>
      <c r="BT80" s="123">
        <f>IFERROR(MIN('B4'!BT20,'B5'!BT20,'B6'!BT20),0)</f>
        <v>0.10121003552397868</v>
      </c>
      <c r="BU80" s="123">
        <f>IFERROR(MIN('B4'!BU20,'B5'!BU20,'B6'!BU20),0)</f>
        <v>0</v>
      </c>
      <c r="BV80" s="123">
        <f>IFERROR(MIN('B4'!BV20,'B5'!BV20,'B6'!BV20),0)</f>
        <v>0</v>
      </c>
    </row>
    <row r="81" spans="1:74" ht="16" thickBot="1" x14ac:dyDescent="0.4">
      <c r="A81" s="63">
        <f t="shared" si="8"/>
        <v>43105</v>
      </c>
      <c r="B81" s="129">
        <f t="shared" si="9"/>
        <v>43</v>
      </c>
      <c r="C81" s="54"/>
      <c r="D81" s="123">
        <f>IFERROR(MIN('B4'!D21,'B5'!D21,'B6'!D21),0)</f>
        <v>0</v>
      </c>
      <c r="E81" s="123">
        <f>IFERROR(MIN('B4'!E21,'B5'!E21,'B6'!E21),0)</f>
        <v>0</v>
      </c>
      <c r="F81" s="123">
        <f>IFERROR(MIN('B4'!F21,'B5'!F21,'B6'!F21),0)</f>
        <v>0</v>
      </c>
      <c r="G81" s="123">
        <f>IFERROR(MIN('B4'!G21,'B5'!G21,'B6'!G21),0)</f>
        <v>0</v>
      </c>
      <c r="H81" s="123">
        <f>IFERROR(MIN('B4'!H21,'B5'!H21,'B6'!H21),0)</f>
        <v>0</v>
      </c>
      <c r="I81" s="123">
        <f>IFERROR(MIN('B4'!I21,'B5'!I21,'B6'!I21),0)</f>
        <v>0</v>
      </c>
      <c r="J81" s="123">
        <f>IFERROR(MIN('B4'!J21,'B5'!J21,'B6'!J21),0)</f>
        <v>8.8363541753855852</v>
      </c>
      <c r="K81" s="123">
        <f>IFERROR(MIN('B4'!K21,'B5'!K21,'B6'!K21),0)</f>
        <v>7.154624515379016</v>
      </c>
      <c r="L81" s="123">
        <f>IFERROR(MIN('B4'!L21,'B5'!L21,'B6'!L21),0)</f>
        <v>0</v>
      </c>
      <c r="M81" s="123">
        <f>IFERROR(MIN('B4'!M21,'B5'!M21,'B6'!M21),0)</f>
        <v>11.055540941904024</v>
      </c>
      <c r="N81" s="123">
        <f>IFERROR(MIN('B4'!N21,'B5'!N21,'B6'!N21),0)</f>
        <v>0</v>
      </c>
      <c r="O81" s="123">
        <f>IFERROR(MIN('B4'!O21,'B5'!O21,'B6'!O21),0)</f>
        <v>0</v>
      </c>
      <c r="P81" s="123">
        <f>IFERROR(MIN('B4'!P21,'B5'!P21,'B6'!P21),0)</f>
        <v>0</v>
      </c>
      <c r="Q81" s="123">
        <f>IFERROR(MIN('B4'!Q21,'B5'!Q21,'B6'!Q21),0)</f>
        <v>0</v>
      </c>
      <c r="R81" s="123">
        <f>IFERROR(MIN('B4'!R21,'B5'!R21,'B6'!R21),0)</f>
        <v>0</v>
      </c>
      <c r="S81" s="123">
        <f>IFERROR(MIN('B4'!S21,'B5'!S21,'B6'!S21),0)</f>
        <v>0</v>
      </c>
      <c r="T81" s="123">
        <f>IFERROR(MIN('B4'!T21,'B5'!T21,'B6'!T21),0)</f>
        <v>0</v>
      </c>
      <c r="U81" s="123">
        <f>IFERROR(MIN('B4'!U21,'B5'!U21,'B6'!U21),0)</f>
        <v>0</v>
      </c>
      <c r="V81" s="123">
        <f>IFERROR(MIN('B4'!V21,'B5'!V21,'B6'!V21),0)</f>
        <v>0</v>
      </c>
      <c r="W81" s="123">
        <f>IFERROR(MIN('B4'!W21,'B5'!W21,'B6'!W21),0)</f>
        <v>0</v>
      </c>
      <c r="X81" s="123">
        <f>IFERROR(MIN('B4'!X21,'B5'!X21,'B6'!X21),0)</f>
        <v>0</v>
      </c>
      <c r="Y81" s="123">
        <f>IFERROR(MIN('B4'!Y21,'B5'!Y21,'B6'!Y21),0)</f>
        <v>0</v>
      </c>
      <c r="Z81" s="123">
        <f>IFERROR(MIN('B4'!Z21,'B5'!Z21,'B6'!Z21),0)</f>
        <v>0</v>
      </c>
      <c r="AA81" s="123">
        <f>IFERROR(MIN('B4'!AA21,'B5'!AA21,'B6'!AA21),0)</f>
        <v>0</v>
      </c>
      <c r="AB81" s="123">
        <f>IFERROR(MIN('B4'!AB21,'B5'!AB21,'B6'!AB21),0)</f>
        <v>0</v>
      </c>
      <c r="AC81" s="123">
        <f>IFERROR(MIN('B4'!AC21,'B5'!AC21,'B6'!AC21),0)</f>
        <v>0</v>
      </c>
      <c r="AD81" s="123">
        <f>IFERROR(MIN('B4'!AD21,'B5'!AD21,'B6'!AD21),0)</f>
        <v>0</v>
      </c>
      <c r="AE81" s="123">
        <f>IFERROR(MIN('B4'!AE21,'B5'!AE21,'B6'!AE21),0)</f>
        <v>6.54</v>
      </c>
      <c r="AF81" s="123">
        <f>IFERROR(MIN('B4'!AF21,'B5'!AF21,'B6'!AF21),0)</f>
        <v>20</v>
      </c>
      <c r="AG81" s="123">
        <f>IFERROR(MIN('B4'!AG21,'B5'!AG21,'B6'!AG21),0)</f>
        <v>1</v>
      </c>
      <c r="AH81" s="123">
        <f>IFERROR(MIN('B4'!AH21,'B5'!AH21,'B6'!AH21),0)</f>
        <v>0</v>
      </c>
      <c r="AI81" s="123">
        <f>IFERROR(MIN('B4'!AI21,'B5'!AI21,'B6'!AI21),0)</f>
        <v>0</v>
      </c>
      <c r="AJ81" s="123">
        <f>IFERROR(MIN('B4'!AJ21,'B5'!AJ21,'B6'!AJ21),0)</f>
        <v>0</v>
      </c>
      <c r="AK81" s="123">
        <f>IFERROR(MIN('B4'!AK21,'B5'!AK21,'B6'!AK21),0)</f>
        <v>0</v>
      </c>
      <c r="AL81" s="123">
        <f>IFERROR(MIN('B4'!AL21,'B5'!AL21,'B6'!AL21),0)</f>
        <v>0</v>
      </c>
      <c r="AM81" s="123">
        <f>IFERROR(MIN('B4'!AM21,'B5'!AM21,'B6'!AM21),0)</f>
        <v>0</v>
      </c>
      <c r="AN81" s="123">
        <f>IFERROR(MIN('B4'!AN21,'B5'!AN21,'B6'!AN21),0)</f>
        <v>0</v>
      </c>
      <c r="AO81" s="123">
        <f>IFERROR(MIN('B4'!AO21,'B5'!AO21,'B6'!AO21),0)</f>
        <v>0</v>
      </c>
      <c r="AP81" s="123">
        <f>IFERROR(MIN('B4'!AP21,'B5'!AP21,'B6'!AP21),0)</f>
        <v>0.17672708350771171</v>
      </c>
      <c r="AQ81" s="123">
        <f>IFERROR(MIN('B4'!AQ21,'B5'!AQ21,'B6'!AQ21),0)</f>
        <v>0.14309249030758031</v>
      </c>
      <c r="AR81" s="123">
        <f>IFERROR(MIN('B4'!AR21,'B5'!AR21,'B6'!AR21),0)</f>
        <v>0</v>
      </c>
      <c r="AS81" s="123">
        <f>IFERROR(MIN('B4'!AS21,'B5'!AS21,'B6'!AS21),0)</f>
        <v>0.22111081883808048</v>
      </c>
      <c r="AT81" s="123">
        <f>IFERROR(MIN('B4'!AT21,'B5'!AT21,'B6'!AT21),0)</f>
        <v>0</v>
      </c>
      <c r="AU81" s="123">
        <f>IFERROR(MIN('B4'!AU21,'B5'!AU21,'B6'!AU21),0)</f>
        <v>0</v>
      </c>
      <c r="AV81" s="123">
        <f>IFERROR(MIN('B4'!AV21,'B5'!AV21,'B6'!AV21),0)</f>
        <v>0</v>
      </c>
      <c r="AW81" s="123">
        <f>IFERROR(MIN('B4'!AW21,'B5'!AW21,'B6'!AW21),0)</f>
        <v>0</v>
      </c>
      <c r="AX81" s="123">
        <f>IFERROR(MIN('B4'!AX21,'B5'!AX21,'B6'!AX21),0)</f>
        <v>0</v>
      </c>
      <c r="AY81" s="123">
        <f>IFERROR(MIN('B4'!AY21,'B5'!AY21,'B6'!AY21),0)</f>
        <v>0</v>
      </c>
      <c r="AZ81" s="123">
        <f>IFERROR(MIN('B4'!AZ21,'B5'!AZ21,'B6'!AZ21),0)</f>
        <v>0</v>
      </c>
      <c r="BA81" s="123">
        <f>IFERROR(MIN('B4'!BA21,'B5'!BA21,'B6'!BA21),0)</f>
        <v>0</v>
      </c>
      <c r="BB81" s="123">
        <f>IFERROR(MIN('B4'!BB21,'B5'!BB21,'B6'!BB21),0)</f>
        <v>0</v>
      </c>
      <c r="BC81" s="123">
        <f>IFERROR(MIN('B4'!BC21,'B5'!BC21,'B6'!BC21),0)</f>
        <v>0</v>
      </c>
      <c r="BD81" s="123">
        <f>IFERROR(MIN('B4'!BD21,'B5'!BD21,'B6'!BD21),0)</f>
        <v>0</v>
      </c>
      <c r="BE81" s="123">
        <f>IFERROR(MIN('B4'!BE21,'B5'!BE21,'B6'!BE21),0)</f>
        <v>0</v>
      </c>
      <c r="BF81" s="123">
        <f>IFERROR(MIN('B4'!BF21,'B5'!BF21,'B6'!BF21),0)</f>
        <v>0</v>
      </c>
      <c r="BG81" s="123">
        <f>IFERROR(MIN('B4'!BG21,'B5'!BG21,'B6'!BG21),0)</f>
        <v>0</v>
      </c>
      <c r="BH81" s="123">
        <f>IFERROR(MIN('B4'!BH21,'B5'!BH21,'B6'!BH21),0)</f>
        <v>0</v>
      </c>
      <c r="BI81" s="123">
        <f>IFERROR(MIN('B4'!BI21,'B5'!BI21,'B6'!BI21),0)</f>
        <v>0</v>
      </c>
      <c r="BJ81" s="123">
        <f>IFERROR(MIN('B4'!BJ21,'B5'!BJ21,'B6'!BJ21),0)</f>
        <v>0.35345416701542343</v>
      </c>
      <c r="BK81" s="123">
        <f>IFERROR(MIN('B4'!BK21,'B5'!BK21,'B6'!BK21),0)</f>
        <v>0.42927747092274093</v>
      </c>
      <c r="BL81" s="123">
        <f>IFERROR(MIN('B4'!BL21,'B5'!BL21,'B6'!BL21),0)</f>
        <v>0</v>
      </c>
      <c r="BM81" s="123">
        <f>IFERROR(MIN('B4'!BM21,'B5'!BM21,'B6'!BM21),0)</f>
        <v>0.88444327535232192</v>
      </c>
      <c r="BN81" s="123">
        <f>IFERROR(MIN('B4'!BN21,'B5'!BN21,'B6'!BN21),0)</f>
        <v>0</v>
      </c>
      <c r="BO81" s="123">
        <f>IFERROR(MIN('B4'!BO21,'B5'!BO21,'B6'!BO21),0)</f>
        <v>0</v>
      </c>
      <c r="BP81" s="123">
        <f>IFERROR(MIN('B4'!BP21,'B5'!BP21,'B6'!BP21),0)</f>
        <v>0</v>
      </c>
      <c r="BQ81" s="123">
        <f>IFERROR(MIN('B4'!BQ21,'B5'!BQ21,'B6'!BQ21),0)</f>
        <v>0</v>
      </c>
      <c r="BR81" s="123">
        <f>IFERROR(MIN('B4'!BR21,'B5'!BR21,'B6'!BR21),0)</f>
        <v>0</v>
      </c>
      <c r="BS81" s="123">
        <f>IFERROR(MIN('B4'!BS21,'B5'!BS21,'B6'!BS21),0)</f>
        <v>0</v>
      </c>
      <c r="BT81" s="123">
        <f>IFERROR(MIN('B4'!BT21,'B5'!BT21,'B6'!BT21),0)</f>
        <v>0</v>
      </c>
      <c r="BU81" s="123">
        <f>IFERROR(MIN('B4'!BU21,'B5'!BU21,'B6'!BU21),0)</f>
        <v>0</v>
      </c>
      <c r="BV81" s="123">
        <f>IFERROR(MIN('B4'!BV21,'B5'!BV21,'B6'!BV21),0)</f>
        <v>0</v>
      </c>
    </row>
    <row r="82" spans="1:74" ht="16" thickBot="1" x14ac:dyDescent="0.4">
      <c r="A82" s="63">
        <f t="shared" si="8"/>
        <v>43195</v>
      </c>
      <c r="B82" s="129">
        <f t="shared" si="9"/>
        <v>46</v>
      </c>
      <c r="C82" s="79"/>
      <c r="D82" s="123">
        <f>IFERROR(MIN('B4'!D22,'B5'!D22,'B6'!D22),0)</f>
        <v>0</v>
      </c>
      <c r="E82" s="123">
        <f>IFERROR(MIN('B4'!E22,'B5'!E22,'B6'!E22),0)</f>
        <v>0</v>
      </c>
      <c r="F82" s="123">
        <f>IFERROR(MIN('B4'!F22,'B5'!F22,'B6'!F22),0)</f>
        <v>0</v>
      </c>
      <c r="G82" s="123">
        <f>IFERROR(MIN('B4'!G22,'B5'!G22,'B6'!G22),0)</f>
        <v>0</v>
      </c>
      <c r="H82" s="123">
        <f>IFERROR(MIN('B4'!H22,'B5'!H22,'B6'!H22),0)</f>
        <v>0</v>
      </c>
      <c r="I82" s="123">
        <f>IFERROR(MIN('B4'!I22,'B5'!I22,'B6'!I22),0)</f>
        <v>0.5532639880509117</v>
      </c>
      <c r="J82" s="123">
        <f>IFERROR(MIN('B4'!J22,'B5'!J22,'B6'!J22),0)</f>
        <v>8.7996557606323673</v>
      </c>
      <c r="K82" s="123">
        <f>IFERROR(MIN('B4'!K22,'B5'!K22,'B6'!K22),0)</f>
        <v>9.8235670192185776</v>
      </c>
      <c r="L82" s="123">
        <f>IFERROR(MIN('B4'!L22,'B5'!L22,'B6'!L22),0)</f>
        <v>1.4554021317978378</v>
      </c>
      <c r="M82" s="123">
        <f>IFERROR(MIN('B4'!M22,'B5'!M22,'B6'!M22),0)</f>
        <v>25.276328954122253</v>
      </c>
      <c r="N82" s="123">
        <f>IFERROR(MIN('B4'!N22,'B5'!N22,'B6'!N22),0)</f>
        <v>0</v>
      </c>
      <c r="O82" s="123">
        <f>IFERROR(MIN('B4'!O22,'B5'!O22,'B6'!O22),0)</f>
        <v>1.5888854412565394</v>
      </c>
      <c r="P82" s="123">
        <f>IFERROR(MIN('B4'!P22,'B5'!P22,'B6'!P22),0)</f>
        <v>0</v>
      </c>
      <c r="Q82" s="123">
        <f>IFERROR(MIN('B4'!Q22,'B5'!Q22,'B6'!Q22),0)</f>
        <v>0</v>
      </c>
      <c r="R82" s="123">
        <f>IFERROR(MIN('B4'!R22,'B5'!R22,'B6'!R22),0)</f>
        <v>0</v>
      </c>
      <c r="S82" s="123">
        <f>IFERROR(MIN('B4'!S22,'B5'!S22,'B6'!S22),0)</f>
        <v>0</v>
      </c>
      <c r="T82" s="123">
        <f>IFERROR(MIN('B4'!T22,'B5'!T22,'B6'!T22),0)</f>
        <v>0</v>
      </c>
      <c r="U82" s="123">
        <f>IFERROR(MIN('B4'!U22,'B5'!U22,'B6'!U22),0)</f>
        <v>0</v>
      </c>
      <c r="V82" s="123">
        <f>IFERROR(MIN('B4'!V22,'B5'!V22,'B6'!V22),0)</f>
        <v>0</v>
      </c>
      <c r="W82" s="123">
        <f>IFERROR(MIN('B4'!W22,'B5'!W22,'B6'!W22),0)</f>
        <v>0</v>
      </c>
      <c r="X82" s="123">
        <f>IFERROR(MIN('B4'!X22,'B5'!X22,'B6'!X22),0)</f>
        <v>0</v>
      </c>
      <c r="Y82" s="123">
        <f>IFERROR(MIN('B4'!Y22,'B5'!Y22,'B6'!Y22),0)</f>
        <v>0</v>
      </c>
      <c r="Z82" s="123">
        <f>IFERROR(MIN('B4'!Z22,'B5'!Z22,'B6'!Z22),0)</f>
        <v>0</v>
      </c>
      <c r="AA82" s="123">
        <f>IFERROR(MIN('B4'!AA22,'B5'!AA22,'B6'!AA22),0)</f>
        <v>0</v>
      </c>
      <c r="AB82" s="123">
        <f>IFERROR(MIN('B4'!AB22,'B5'!AB22,'B6'!AB22),0)</f>
        <v>0</v>
      </c>
      <c r="AC82" s="123">
        <f>IFERROR(MIN('B4'!AC22,'B5'!AC22,'B6'!AC22),0)</f>
        <v>0</v>
      </c>
      <c r="AD82" s="123">
        <f>IFERROR(MIN('B4'!AD22,'B5'!AD22,'B6'!AD22),0)</f>
        <v>0</v>
      </c>
      <c r="AE82" s="123">
        <f>IFERROR(MIN('B4'!AE22,'B5'!AE22,'B6'!AE22),0)</f>
        <v>6.58</v>
      </c>
      <c r="AF82" s="123">
        <f>IFERROR(MIN('B4'!AF22,'B5'!AF22,'B6'!AF22),0)</f>
        <v>20</v>
      </c>
      <c r="AG82" s="123">
        <f>IFERROR(MIN('B4'!AG22,'B5'!AG22,'B6'!AG22),0)</f>
        <v>1</v>
      </c>
      <c r="AH82" s="123">
        <f>IFERROR(MIN('B4'!AH22,'B5'!AH22,'B6'!AH22),0)</f>
        <v>0</v>
      </c>
      <c r="AI82" s="123">
        <f>IFERROR(MIN('B4'!AI22,'B5'!AI22,'B6'!AI22),0)</f>
        <v>0</v>
      </c>
      <c r="AJ82" s="123">
        <f>IFERROR(MIN('B4'!AJ22,'B5'!AJ22,'B6'!AJ22),0)</f>
        <v>0</v>
      </c>
      <c r="AK82" s="123">
        <f>IFERROR(MIN('B4'!AK22,'B5'!AK22,'B6'!AK22),0)</f>
        <v>0</v>
      </c>
      <c r="AL82" s="123">
        <f>IFERROR(MIN('B4'!AL22,'B5'!AL22,'B6'!AL22),0)</f>
        <v>0</v>
      </c>
      <c r="AM82" s="123">
        <f>IFERROR(MIN('B4'!AM22,'B5'!AM22,'B6'!AM22),0)</f>
        <v>0</v>
      </c>
      <c r="AN82" s="123">
        <f>IFERROR(MIN('B4'!AN22,'B5'!AN22,'B6'!AN22),0)</f>
        <v>0</v>
      </c>
      <c r="AO82" s="123">
        <f>IFERROR(MIN('B4'!AO22,'B5'!AO22,'B6'!AO22),0)</f>
        <v>0</v>
      </c>
      <c r="AP82" s="123">
        <f>IFERROR(MIN('B4'!AP22,'B5'!AP22,'B6'!AP22),0)</f>
        <v>0.17599311521264735</v>
      </c>
      <c r="AQ82" s="123">
        <f>IFERROR(MIN('B4'!AQ22,'B5'!AQ22,'B6'!AQ22),0)</f>
        <v>0.19647134038437156</v>
      </c>
      <c r="AR82" s="123">
        <f>IFERROR(MIN('B4'!AR22,'B5'!AR22,'B6'!AR22),0)</f>
        <v>0</v>
      </c>
      <c r="AS82" s="123">
        <f>IFERROR(MIN('B4'!AS22,'B5'!AS22,'B6'!AS22),0)</f>
        <v>0.50552657908244503</v>
      </c>
      <c r="AT82" s="123">
        <f>IFERROR(MIN('B4'!AT22,'B5'!AT22,'B6'!AT22),0)</f>
        <v>0</v>
      </c>
      <c r="AU82" s="123">
        <f>IFERROR(MIN('B4'!AU22,'B5'!AU22,'B6'!AU22),0)</f>
        <v>0</v>
      </c>
      <c r="AV82" s="123">
        <f>IFERROR(MIN('B4'!AV22,'B5'!AV22,'B6'!AV22),0)</f>
        <v>0</v>
      </c>
      <c r="AW82" s="123">
        <f>IFERROR(MIN('B4'!AW22,'B5'!AW22,'B6'!AW22),0)</f>
        <v>0</v>
      </c>
      <c r="AX82" s="123">
        <f>IFERROR(MIN('B4'!AX22,'B5'!AX22,'B6'!AX22),0)</f>
        <v>0</v>
      </c>
      <c r="AY82" s="123">
        <f>IFERROR(MIN('B4'!AY22,'B5'!AY22,'B6'!AY22),0)</f>
        <v>0</v>
      </c>
      <c r="AZ82" s="123">
        <f>IFERROR(MIN('B4'!AZ22,'B5'!AZ22,'B6'!AZ22),0)</f>
        <v>0</v>
      </c>
      <c r="BA82" s="123">
        <f>IFERROR(MIN('B4'!BA22,'B5'!BA22,'B6'!BA22),0)</f>
        <v>0</v>
      </c>
      <c r="BB82" s="123">
        <f>IFERROR(MIN('B4'!BB22,'B5'!BB22,'B6'!BB22),0)</f>
        <v>0</v>
      </c>
      <c r="BC82" s="123">
        <f>IFERROR(MIN('B4'!BC22,'B5'!BC22,'B6'!BC22),0)</f>
        <v>0</v>
      </c>
      <c r="BD82" s="123">
        <f>IFERROR(MIN('B4'!BD22,'B5'!BD22,'B6'!BD22),0)</f>
        <v>0</v>
      </c>
      <c r="BE82" s="123">
        <f>IFERROR(MIN('B4'!BE22,'B5'!BE22,'B6'!BE22),0)</f>
        <v>0</v>
      </c>
      <c r="BF82" s="123">
        <f>IFERROR(MIN('B4'!BF22,'B5'!BF22,'B6'!BF22),0)</f>
        <v>0</v>
      </c>
      <c r="BG82" s="123">
        <f>IFERROR(MIN('B4'!BG22,'B5'!BG22,'B6'!BG22),0)</f>
        <v>0</v>
      </c>
      <c r="BH82" s="123">
        <f>IFERROR(MIN('B4'!BH22,'B5'!BH22,'B6'!BH22),0)</f>
        <v>0</v>
      </c>
      <c r="BI82" s="123">
        <f>IFERROR(MIN('B4'!BI22,'B5'!BI22,'B6'!BI22),0)</f>
        <v>0</v>
      </c>
      <c r="BJ82" s="123">
        <f>IFERROR(MIN('B4'!BJ22,'B5'!BJ22,'B6'!BJ22),0)</f>
        <v>0.3519862304252947</v>
      </c>
      <c r="BK82" s="123">
        <f>IFERROR(MIN('B4'!BK22,'B5'!BK22,'B6'!BK22),0)</f>
        <v>0.5894140211531147</v>
      </c>
      <c r="BL82" s="123">
        <f>IFERROR(MIN('B4'!BL22,'B5'!BL22,'B6'!BL22),0)</f>
        <v>0</v>
      </c>
      <c r="BM82" s="123">
        <f>IFERROR(MIN('B4'!BM22,'B5'!BM22,'B6'!BM22),0)</f>
        <v>2.0221063163297801</v>
      </c>
      <c r="BN82" s="123">
        <f>IFERROR(MIN('B4'!BN22,'B5'!BN22,'B6'!BN22),0)</f>
        <v>0</v>
      </c>
      <c r="BO82" s="123">
        <f>IFERROR(MIN('B4'!BO22,'B5'!BO22,'B6'!BO22),0)</f>
        <v>0</v>
      </c>
      <c r="BP82" s="123">
        <f>IFERROR(MIN('B4'!BP22,'B5'!BP22,'B6'!BP22),0)</f>
        <v>0</v>
      </c>
      <c r="BQ82" s="123">
        <f>IFERROR(MIN('B4'!BQ22,'B5'!BQ22,'B6'!BQ22),0)</f>
        <v>0</v>
      </c>
      <c r="BR82" s="123">
        <f>IFERROR(MIN('B4'!BR22,'B5'!BR22,'B6'!BR22),0)</f>
        <v>0</v>
      </c>
      <c r="BS82" s="123">
        <f>IFERROR(MIN('B4'!BS22,'B5'!BS22,'B6'!BS22),0)</f>
        <v>0</v>
      </c>
      <c r="BT82" s="123">
        <f>IFERROR(MIN('B4'!BT22,'B5'!BT22,'B6'!BT22),0)</f>
        <v>0</v>
      </c>
      <c r="BU82" s="123">
        <f>IFERROR(MIN('B4'!BU22,'B5'!BU22,'B6'!BU22),0)</f>
        <v>0</v>
      </c>
      <c r="BV82" s="123">
        <f>IFERROR(MIN('B4'!BV22,'B5'!BV22,'B6'!BV22),0)</f>
        <v>0</v>
      </c>
    </row>
    <row r="83" spans="1:74" ht="16" thickBot="1" x14ac:dyDescent="0.4">
      <c r="A83" s="63">
        <f t="shared" si="8"/>
        <v>43317</v>
      </c>
      <c r="B83" s="129">
        <f t="shared" si="9"/>
        <v>50</v>
      </c>
      <c r="C83" s="54"/>
      <c r="D83" s="123">
        <f>IFERROR(MIN('B4'!D23,'B5'!D23,'B6'!D23),0)</f>
        <v>1.1548369332099033</v>
      </c>
      <c r="E83" s="123">
        <f>IFERROR(MIN('B4'!E23,'B5'!E23,'B6'!E23),0)</f>
        <v>0</v>
      </c>
      <c r="F83" s="123">
        <f>IFERROR(MIN('B4'!F23,'B5'!F23,'B6'!F23),0)</f>
        <v>3.0612884218881944</v>
      </c>
      <c r="G83" s="123">
        <f>IFERROR(MIN('B4'!G23,'B5'!G23,'B6'!G23),0)</f>
        <v>1.5893246711346265</v>
      </c>
      <c r="H83" s="123">
        <f>IFERROR(MIN('B4'!H23,'B5'!H23,'B6'!H23),0)</f>
        <v>0.56908285103823175</v>
      </c>
      <c r="I83" s="123">
        <f>IFERROR(MIN('B4'!I23,'B5'!I23,'B6'!I23),0)</f>
        <v>0</v>
      </c>
      <c r="J83" s="123">
        <f>IFERROR(MIN('B4'!J23,'B5'!J23,'B6'!J23),0)</f>
        <v>7.4573386132860202</v>
      </c>
      <c r="K83" s="123">
        <f>IFERROR(MIN('B4'!K23,'B5'!K23,'B6'!K23),0)</f>
        <v>8.2809057932742807</v>
      </c>
      <c r="L83" s="123">
        <f>IFERROR(MIN('B4'!L23,'B5'!L23,'B6'!L23),0)</f>
        <v>3.4312962252013564</v>
      </c>
      <c r="M83" s="123">
        <f>IFERROR(MIN('B4'!M23,'B5'!M23,'B6'!M23),0)</f>
        <v>18.311958456643968</v>
      </c>
      <c r="N83" s="123">
        <f>IFERROR(MIN('B4'!N23,'B5'!N23,'B6'!N23),0)</f>
        <v>0</v>
      </c>
      <c r="O83" s="123">
        <f>IFERROR(MIN('B4'!O23,'B5'!O23,'B6'!O23),0)</f>
        <v>1.5397251801638154</v>
      </c>
      <c r="P83" s="123">
        <f>IFERROR(MIN('B4'!P23,'B5'!P23,'B6'!P23),0)</f>
        <v>0</v>
      </c>
      <c r="Q83" s="123">
        <f>IFERROR(MIN('B4'!Q23,'B5'!Q23,'B6'!Q23),0)</f>
        <v>0</v>
      </c>
      <c r="R83" s="123">
        <f>IFERROR(MIN('B4'!R23,'B5'!R23,'B6'!R23),0)</f>
        <v>0</v>
      </c>
      <c r="S83" s="123">
        <f>IFERROR(MIN('B4'!S23,'B5'!S23,'B6'!S23),0)</f>
        <v>0</v>
      </c>
      <c r="T83" s="123">
        <f>IFERROR(MIN('B4'!T23,'B5'!T23,'B6'!T23),0)</f>
        <v>0</v>
      </c>
      <c r="U83" s="123">
        <f>IFERROR(MIN('B4'!U23,'B5'!U23,'B6'!U23),0)</f>
        <v>0</v>
      </c>
      <c r="V83" s="123">
        <f>IFERROR(MIN('B4'!V23,'B5'!V23,'B6'!V23),0)</f>
        <v>0</v>
      </c>
      <c r="W83" s="123">
        <f>IFERROR(MIN('B4'!W23,'B5'!W23,'B6'!W23),0)</f>
        <v>0</v>
      </c>
      <c r="X83" s="123">
        <f>IFERROR(MIN('B4'!X23,'B5'!X23,'B6'!X23),0)</f>
        <v>0</v>
      </c>
      <c r="Y83" s="123">
        <f>IFERROR(MIN('B4'!Y23,'B5'!Y23,'B6'!Y23),0)</f>
        <v>0</v>
      </c>
      <c r="Z83" s="123">
        <f>IFERROR(MIN('B4'!Z23,'B5'!Z23,'B6'!Z23),0)</f>
        <v>0</v>
      </c>
      <c r="AA83" s="123">
        <f>IFERROR(MIN('B4'!AA23,'B5'!AA23,'B6'!AA23),0)</f>
        <v>0</v>
      </c>
      <c r="AB83" s="123">
        <f>IFERROR(MIN('B4'!AB23,'B5'!AB23,'B6'!AB23),0)</f>
        <v>0</v>
      </c>
      <c r="AC83" s="123">
        <f>IFERROR(MIN('B4'!AC23,'B5'!AC23,'B6'!AC23),0)</f>
        <v>0</v>
      </c>
      <c r="AD83" s="123">
        <f>IFERROR(MIN('B4'!AD23,'B5'!AD23,'B6'!AD23),0)</f>
        <v>0</v>
      </c>
      <c r="AE83" s="123">
        <f>IFERROR(MIN('B4'!AE23,'B5'!AE23,'B6'!AE23),0)</f>
        <v>0</v>
      </c>
      <c r="AF83" s="123">
        <f>IFERROR(MIN('B4'!AF23,'B5'!AF23,'B6'!AF23),0)</f>
        <v>10</v>
      </c>
      <c r="AG83" s="123">
        <f>IFERROR(MIN('B4'!AG23,'B5'!AG23,'B6'!AG23),0)</f>
        <v>1</v>
      </c>
      <c r="AH83" s="123">
        <f>IFERROR(MIN('B4'!AH23,'B5'!AH23,'B6'!AH23),0)</f>
        <v>0</v>
      </c>
      <c r="AI83" s="123">
        <f>IFERROR(MIN('B4'!AI23,'B5'!AI23,'B6'!AI23),0)</f>
        <v>0</v>
      </c>
      <c r="AJ83" s="123">
        <f>IFERROR(MIN('B4'!AJ23,'B5'!AJ23,'B6'!AJ23),0)</f>
        <v>0</v>
      </c>
      <c r="AK83" s="123">
        <f>IFERROR(MIN('B4'!AK23,'B5'!AK23,'B6'!AK23),0)</f>
        <v>0</v>
      </c>
      <c r="AL83" s="123">
        <f>IFERROR(MIN('B4'!AL23,'B5'!AL23,'B6'!AL23),0)</f>
        <v>0</v>
      </c>
      <c r="AM83" s="123">
        <f>IFERROR(MIN('B4'!AM23,'B5'!AM23,'B6'!AM23),0)</f>
        <v>0</v>
      </c>
      <c r="AN83" s="123">
        <f>IFERROR(MIN('B4'!AN23,'B5'!AN23,'B6'!AN23),0)</f>
        <v>0</v>
      </c>
      <c r="AO83" s="123">
        <f>IFERROR(MIN('B4'!AO23,'B5'!AO23,'B6'!AO23),0)</f>
        <v>0</v>
      </c>
      <c r="AP83" s="123">
        <f>IFERROR(MIN('B4'!AP23,'B5'!AP23,'B6'!AP23),0)</f>
        <v>0.37286693066430104</v>
      </c>
      <c r="AQ83" s="123">
        <f>IFERROR(MIN('B4'!AQ23,'B5'!AQ23,'B6'!AQ23),0)</f>
        <v>0.41404528966371401</v>
      </c>
      <c r="AR83" s="123">
        <f>IFERROR(MIN('B4'!AR23,'B5'!AR23,'B6'!AR23),0)</f>
        <v>0</v>
      </c>
      <c r="AS83" s="123">
        <f>IFERROR(MIN('B4'!AS23,'B5'!AS23,'B6'!AS23),0)</f>
        <v>0.91559792283219843</v>
      </c>
      <c r="AT83" s="123">
        <f>IFERROR(MIN('B4'!AT23,'B5'!AT23,'B6'!AT23),0)</f>
        <v>0</v>
      </c>
      <c r="AU83" s="123">
        <f>IFERROR(MIN('B4'!AU23,'B5'!AU23,'B6'!AU23),0)</f>
        <v>0</v>
      </c>
      <c r="AV83" s="123">
        <f>IFERROR(MIN('B4'!AV23,'B5'!AV23,'B6'!AV23),0)</f>
        <v>0</v>
      </c>
      <c r="AW83" s="123">
        <f>IFERROR(MIN('B4'!AW23,'B5'!AW23,'B6'!AW23),0)</f>
        <v>0</v>
      </c>
      <c r="AX83" s="123">
        <f>IFERROR(MIN('B4'!AX23,'B5'!AX23,'B6'!AX23),0)</f>
        <v>0</v>
      </c>
      <c r="AY83" s="123">
        <f>IFERROR(MIN('B4'!AY23,'B5'!AY23,'B6'!AY23),0)</f>
        <v>0</v>
      </c>
      <c r="AZ83" s="123">
        <f>IFERROR(MIN('B4'!AZ23,'B5'!AZ23,'B6'!AZ23),0)</f>
        <v>0</v>
      </c>
      <c r="BA83" s="123">
        <f>IFERROR(MIN('B4'!BA23,'B5'!BA23,'B6'!BA23),0)</f>
        <v>0</v>
      </c>
      <c r="BB83" s="123">
        <f>IFERROR(MIN('B4'!BB23,'B5'!BB23,'B6'!BB23),0)</f>
        <v>0</v>
      </c>
      <c r="BC83" s="123">
        <f>IFERROR(MIN('B4'!BC23,'B5'!BC23,'B6'!BC23),0)</f>
        <v>0</v>
      </c>
      <c r="BD83" s="123">
        <f>IFERROR(MIN('B4'!BD23,'B5'!BD23,'B6'!BD23),0)</f>
        <v>0</v>
      </c>
      <c r="BE83" s="123">
        <f>IFERROR(MIN('B4'!BE23,'B5'!BE23,'B6'!BE23),0)</f>
        <v>0</v>
      </c>
      <c r="BF83" s="123">
        <f>IFERROR(MIN('B4'!BF23,'B5'!BF23,'B6'!BF23),0)</f>
        <v>0</v>
      </c>
      <c r="BG83" s="123">
        <f>IFERROR(MIN('B4'!BG23,'B5'!BG23,'B6'!BG23),0)</f>
        <v>0</v>
      </c>
      <c r="BH83" s="123">
        <f>IFERROR(MIN('B4'!BH23,'B5'!BH23,'B6'!BH23),0)</f>
        <v>0</v>
      </c>
      <c r="BI83" s="123">
        <f>IFERROR(MIN('B4'!BI23,'B5'!BI23,'B6'!BI23),0)</f>
        <v>0</v>
      </c>
      <c r="BJ83" s="123">
        <f>IFERROR(MIN('B4'!BJ23,'B5'!BJ23,'B6'!BJ23),0)</f>
        <v>0.74573386132860209</v>
      </c>
      <c r="BK83" s="123">
        <f>IFERROR(MIN('B4'!BK23,'B5'!BK23,'B6'!BK23),0)</f>
        <v>1.2421358689911419</v>
      </c>
      <c r="BL83" s="123">
        <f>IFERROR(MIN('B4'!BL23,'B5'!BL23,'B6'!BL23),0)</f>
        <v>0</v>
      </c>
      <c r="BM83" s="123">
        <f>IFERROR(MIN('B4'!BM23,'B5'!BM23,'B6'!BM23),0)</f>
        <v>3.6623916913287937</v>
      </c>
      <c r="BN83" s="123">
        <f>IFERROR(MIN('B4'!BN23,'B5'!BN23,'B6'!BN23),0)</f>
        <v>0</v>
      </c>
      <c r="BO83" s="123">
        <f>IFERROR(MIN('B4'!BO23,'B5'!BO23,'B6'!BO23),0)</f>
        <v>0</v>
      </c>
      <c r="BP83" s="123">
        <f>IFERROR(MIN('B4'!BP23,'B5'!BP23,'B6'!BP23),0)</f>
        <v>0</v>
      </c>
      <c r="BQ83" s="123">
        <f>IFERROR(MIN('B4'!BQ23,'B5'!BQ23,'B6'!BQ23),0)</f>
        <v>0</v>
      </c>
      <c r="BR83" s="123">
        <f>IFERROR(MIN('B4'!BR23,'B5'!BR23,'B6'!BR23),0)</f>
        <v>0</v>
      </c>
      <c r="BS83" s="123">
        <f>IFERROR(MIN('B4'!BS23,'B5'!BS23,'B6'!BS23),0)</f>
        <v>0</v>
      </c>
      <c r="BT83" s="123">
        <f>IFERROR(MIN('B4'!BT23,'B5'!BT23,'B6'!BT23),0)</f>
        <v>0</v>
      </c>
      <c r="BU83" s="123">
        <f>IFERROR(MIN('B4'!BU23,'B5'!BU23,'B6'!BU23),0)</f>
        <v>0</v>
      </c>
      <c r="BV83" s="123">
        <f>IFERROR(MIN('B4'!BV23,'B5'!BV23,'B6'!BV23),0)</f>
        <v>0</v>
      </c>
    </row>
    <row r="84" spans="1:74" ht="16" thickBot="1" x14ac:dyDescent="0.4">
      <c r="A84" s="63" t="str">
        <f t="shared" si="8"/>
        <v>16-05-2018</v>
      </c>
      <c r="B84" s="129">
        <f t="shared" si="9"/>
        <v>58</v>
      </c>
      <c r="C84" s="79"/>
      <c r="D84" s="123">
        <f>IFERROR(MIN('B4'!D24,'B5'!D24,'B6'!D24),0)</f>
        <v>0</v>
      </c>
      <c r="E84" s="123">
        <f>IFERROR(MIN('B4'!E24,'B5'!E24,'B6'!E24),0)</f>
        <v>0.41496728432452656</v>
      </c>
      <c r="F84" s="123">
        <f>IFERROR(MIN('B4'!F24,'B5'!F24,'B6'!F24),0)</f>
        <v>0</v>
      </c>
      <c r="G84" s="123">
        <f>IFERROR(MIN('B4'!G24,'B5'!G24,'B6'!G24),0)</f>
        <v>0</v>
      </c>
      <c r="H84" s="123">
        <f>IFERROR(MIN('B4'!H24,'B5'!H24,'B6'!H24),0)</f>
        <v>0</v>
      </c>
      <c r="I84" s="123">
        <f>IFERROR(MIN('B4'!I24,'B5'!I24,'B6'!I24),0)</f>
        <v>0</v>
      </c>
      <c r="J84" s="123">
        <f>IFERROR(MIN('B4'!J24,'B5'!J24,'B6'!J24),0)</f>
        <v>39.793858058886507</v>
      </c>
      <c r="K84" s="123">
        <f>IFERROR(MIN('B4'!K24,'B5'!K24,'B6'!K24),0)</f>
        <v>27.726258601918939</v>
      </c>
      <c r="L84" s="123">
        <f>IFERROR(MIN('B4'!L24,'B5'!L24,'B6'!L24),0)</f>
        <v>38.315586617611331</v>
      </c>
      <c r="M84" s="123">
        <f>IFERROR(MIN('B4'!M24,'B5'!M24,'B6'!M24),0)</f>
        <v>245.19767219652383</v>
      </c>
      <c r="N84" s="123">
        <f>IFERROR(MIN('B4'!N24,'B5'!N24,'B6'!N24),0)</f>
        <v>0.91094338459750857</v>
      </c>
      <c r="O84" s="123">
        <f>IFERROR(MIN('B4'!O24,'B5'!O24,'B6'!O24),0)</f>
        <v>8.6850337503222121</v>
      </c>
      <c r="P84" s="123">
        <f>IFERROR(MIN('B4'!P24,'B5'!P24,'B6'!P24),0)</f>
        <v>0</v>
      </c>
      <c r="Q84" s="123">
        <f>IFERROR(MIN('B4'!Q24,'B5'!Q24,'B6'!Q24),0)</f>
        <v>2.9102566292355538</v>
      </c>
      <c r="R84" s="123">
        <f>IFERROR(MIN('B4'!R24,'B5'!R24,'B6'!R24),0)</f>
        <v>0</v>
      </c>
      <c r="S84" s="123">
        <f>IFERROR(MIN('B4'!S24,'B5'!S24,'B6'!S24),0)</f>
        <v>0</v>
      </c>
      <c r="T84" s="123">
        <f>IFERROR(MIN('B4'!T24,'B5'!T24,'B6'!T24),0)</f>
        <v>0</v>
      </c>
      <c r="U84" s="123">
        <f>IFERROR(MIN('B4'!U24,'B5'!U24,'B6'!U24),0)</f>
        <v>0</v>
      </c>
      <c r="V84" s="123">
        <f>IFERROR(MIN('B4'!V24,'B5'!V24,'B6'!V24),0)</f>
        <v>0</v>
      </c>
      <c r="W84" s="123">
        <f>IFERROR(MIN('B4'!W24,'B5'!W24,'B6'!W24),0)</f>
        <v>0</v>
      </c>
      <c r="X84" s="123">
        <f>IFERROR(MIN('B4'!X24,'B5'!X24,'B6'!X24),0)</f>
        <v>0</v>
      </c>
      <c r="Y84" s="123">
        <f>IFERROR(MIN('B4'!Y24,'B5'!Y24,'B6'!Y24),0)</f>
        <v>0</v>
      </c>
      <c r="Z84" s="123">
        <f>IFERROR(MIN('B4'!Z24,'B5'!Z24,'B6'!Z24),0)</f>
        <v>0</v>
      </c>
      <c r="AA84" s="123">
        <f>IFERROR(MIN('B4'!AA24,'B5'!AA24,'B6'!AA24),0)</f>
        <v>0</v>
      </c>
      <c r="AB84" s="123">
        <f>IFERROR(MIN('B4'!AB24,'B5'!AB24,'B6'!AB24),0)</f>
        <v>0</v>
      </c>
      <c r="AC84" s="123">
        <f>IFERROR(MIN('B4'!AC24,'B5'!AC24,'B6'!AC24),0)</f>
        <v>0</v>
      </c>
      <c r="AD84" s="123">
        <f>IFERROR(MIN('B4'!AD24,'B5'!AD24,'B6'!AD24),0)</f>
        <v>0</v>
      </c>
      <c r="AE84" s="123">
        <f>IFERROR(MIN('B4'!AE24,'B5'!AE24,'B6'!AE24),0)</f>
        <v>7.54</v>
      </c>
      <c r="AF84" s="123">
        <f>IFERROR(MIN('B4'!AF24,'B5'!AF24,'B6'!AF24),0)</f>
        <v>0</v>
      </c>
      <c r="AG84" s="123">
        <f>IFERROR(MIN('B4'!AG24,'B5'!AG24,'B6'!AG24),0)</f>
        <v>1</v>
      </c>
      <c r="AH84" s="123">
        <f>IFERROR(MIN('B4'!AH24,'B5'!AH24,'B6'!AH24),0)</f>
        <v>0</v>
      </c>
      <c r="AI84" s="123">
        <f>IFERROR(MIN('B4'!AI24,'B5'!AI24,'B6'!AI24),0)</f>
        <v>0</v>
      </c>
      <c r="AJ84" s="123">
        <f>IFERROR(MIN('B4'!AJ24,'B5'!AJ24,'B6'!AJ24),0)</f>
        <v>0</v>
      </c>
      <c r="AK84" s="123">
        <f>IFERROR(MIN('B4'!AK24,'B5'!AK24,'B6'!AK24),0)</f>
        <v>0</v>
      </c>
      <c r="AL84" s="123">
        <f>IFERROR(MIN('B4'!AL24,'B5'!AL24,'B6'!AL24),0)</f>
        <v>0</v>
      </c>
      <c r="AM84" s="123">
        <f>IFERROR(MIN('B4'!AM24,'B5'!AM24,'B6'!AM24),0)</f>
        <v>0</v>
      </c>
      <c r="AN84" s="123">
        <f>IFERROR(MIN('B4'!AN24,'B5'!AN24,'B6'!AN24),0)</f>
        <v>0</v>
      </c>
      <c r="AO84" s="123">
        <f>IFERROR(MIN('B4'!AO24,'B5'!AO24,'B6'!AO24),0)</f>
        <v>0</v>
      </c>
      <c r="AP84" s="123">
        <f>IFERROR(MIN('B4'!AP24,'B5'!AP24,'B6'!AP24),0)</f>
        <v>0.79587716117773011</v>
      </c>
      <c r="AQ84" s="123">
        <f>IFERROR(MIN('B4'!AQ24,'B5'!AQ24,'B6'!AQ24),0)</f>
        <v>0.5545251720383787</v>
      </c>
      <c r="AR84" s="123">
        <f>IFERROR(MIN('B4'!AR24,'B5'!AR24,'B6'!AR24),0)</f>
        <v>0.7663117323522266</v>
      </c>
      <c r="AS84" s="123">
        <f>IFERROR(MIN('B4'!AS24,'B5'!AS24,'B6'!AS24),0)</f>
        <v>4.9039534439304759</v>
      </c>
      <c r="AT84" s="123">
        <f>IFERROR(MIN('B4'!AT24,'B5'!AT24,'B6'!AT24),0)</f>
        <v>0</v>
      </c>
      <c r="AU84" s="123">
        <f>IFERROR(MIN('B4'!AU24,'B5'!AU24,'B6'!AU24),0)</f>
        <v>0.17370067500644423</v>
      </c>
      <c r="AV84" s="123">
        <f>IFERROR(MIN('B4'!AV24,'B5'!AV24,'B6'!AV24),0)</f>
        <v>0</v>
      </c>
      <c r="AW84" s="123">
        <f>IFERROR(MIN('B4'!AW24,'B5'!AW24,'B6'!AW24),0)</f>
        <v>5.8205132584711078E-2</v>
      </c>
      <c r="AX84" s="123">
        <f>IFERROR(MIN('B4'!AX24,'B5'!AX24,'B6'!AX24),0)</f>
        <v>0</v>
      </c>
      <c r="AY84" s="123">
        <f>IFERROR(MIN('B4'!AY24,'B5'!AY24,'B6'!AY24),0)</f>
        <v>0</v>
      </c>
      <c r="AZ84" s="123">
        <f>IFERROR(MIN('B4'!AZ24,'B5'!AZ24,'B6'!AZ24),0)</f>
        <v>0</v>
      </c>
      <c r="BA84" s="123">
        <f>IFERROR(MIN('B4'!BA24,'B5'!BA24,'B6'!BA24),0)</f>
        <v>0</v>
      </c>
      <c r="BB84" s="123">
        <f>IFERROR(MIN('B4'!BB24,'B5'!BB24,'B6'!BB24),0)</f>
        <v>0</v>
      </c>
      <c r="BC84" s="123">
        <f>IFERROR(MIN('B4'!BC24,'B5'!BC24,'B6'!BC24),0)</f>
        <v>0</v>
      </c>
      <c r="BD84" s="123">
        <f>IFERROR(MIN('B4'!BD24,'B5'!BD24,'B6'!BD24),0)</f>
        <v>0</v>
      </c>
      <c r="BE84" s="123">
        <f>IFERROR(MIN('B4'!BE24,'B5'!BE24,'B6'!BE24),0)</f>
        <v>0</v>
      </c>
      <c r="BF84" s="123">
        <f>IFERROR(MIN('B4'!BF24,'B5'!BF24,'B6'!BF24),0)</f>
        <v>0</v>
      </c>
      <c r="BG84" s="123">
        <f>IFERROR(MIN('B4'!BG24,'B5'!BG24,'B6'!BG24),0)</f>
        <v>0</v>
      </c>
      <c r="BH84" s="123">
        <f>IFERROR(MIN('B4'!BH24,'B5'!BH24,'B6'!BH24),0)</f>
        <v>0</v>
      </c>
      <c r="BI84" s="123">
        <f>IFERROR(MIN('B4'!BI24,'B5'!BI24,'B6'!BI24),0)</f>
        <v>0</v>
      </c>
      <c r="BJ84" s="123">
        <f>IFERROR(MIN('B4'!BJ24,'B5'!BJ24,'B6'!BJ24),0)</f>
        <v>1.5917543223554602</v>
      </c>
      <c r="BK84" s="123">
        <f>IFERROR(MIN('B4'!BK24,'B5'!BK24,'B6'!BK24),0)</f>
        <v>1.6635755161151362</v>
      </c>
      <c r="BL84" s="123">
        <f>IFERROR(MIN('B4'!BL24,'B5'!BL24,'B6'!BL24),0)</f>
        <v>3.0652469294089064</v>
      </c>
      <c r="BM84" s="123">
        <f>IFERROR(MIN('B4'!BM24,'B5'!BM24,'B6'!BM24),0)</f>
        <v>19.615813775721904</v>
      </c>
      <c r="BN84" s="123">
        <f>IFERROR(MIN('B4'!BN24,'B5'!BN24,'B6'!BN24),0)</f>
        <v>0</v>
      </c>
      <c r="BO84" s="123">
        <f>IFERROR(MIN('B4'!BO24,'B5'!BO24,'B6'!BO24),0)</f>
        <v>0.86850337503222119</v>
      </c>
      <c r="BP84" s="123">
        <f>IFERROR(MIN('B4'!BP24,'B5'!BP24,'B6'!BP24),0)</f>
        <v>0</v>
      </c>
      <c r="BQ84" s="123">
        <f>IFERROR(MIN('B4'!BQ24,'B5'!BQ24,'B6'!BQ24),0)</f>
        <v>0.34923079550826647</v>
      </c>
      <c r="BR84" s="123">
        <f>IFERROR(MIN('B4'!BR24,'B5'!BR24,'B6'!BR24),0)</f>
        <v>0</v>
      </c>
      <c r="BS84" s="123">
        <f>IFERROR(MIN('B4'!BS24,'B5'!BS24,'B6'!BS24),0)</f>
        <v>0</v>
      </c>
      <c r="BT84" s="123">
        <f>IFERROR(MIN('B4'!BT24,'B5'!BT24,'B6'!BT24),0)</f>
        <v>0</v>
      </c>
      <c r="BU84" s="123">
        <f>IFERROR(MIN('B4'!BU24,'B5'!BU24,'B6'!BU24),0)</f>
        <v>0</v>
      </c>
      <c r="BV84" s="123">
        <f>IFERROR(MIN('B4'!BV24,'B5'!BV24,'B6'!BV24),0)</f>
        <v>0</v>
      </c>
    </row>
    <row r="85" spans="1:74" ht="16" thickBot="1" x14ac:dyDescent="0.4">
      <c r="A85" s="63">
        <f t="shared" si="8"/>
        <v>0</v>
      </c>
      <c r="B85" s="129">
        <f t="shared" si="9"/>
        <v>0</v>
      </c>
      <c r="C85" s="54"/>
      <c r="D85" s="123">
        <f>IFERROR(MIN('B4'!D25,'B5'!D25,'B6'!D25),0)</f>
        <v>0</v>
      </c>
      <c r="E85" s="123">
        <f>IFERROR(MIN('B4'!E25,'B5'!E25,'B6'!E25),0)</f>
        <v>0</v>
      </c>
      <c r="F85" s="123">
        <f>IFERROR(MIN('B4'!F25,'B5'!F25,'B6'!F25),0)</f>
        <v>0</v>
      </c>
      <c r="G85" s="123">
        <f>IFERROR(MIN('B4'!G25,'B5'!G25,'B6'!G25),0)</f>
        <v>0</v>
      </c>
      <c r="H85" s="123">
        <f>IFERROR(MIN('B4'!H25,'B5'!H25,'B6'!H25),0)</f>
        <v>0</v>
      </c>
      <c r="I85" s="123">
        <f>IFERROR(MIN('B4'!I25,'B5'!I25,'B6'!I25),0)</f>
        <v>0</v>
      </c>
      <c r="J85" s="123">
        <f>IFERROR(MIN('B4'!J25,'B5'!J25,'B6'!J25),0)</f>
        <v>34.016155361613833</v>
      </c>
      <c r="K85" s="123">
        <f>IFERROR(MIN('B4'!K25,'B5'!K25,'B6'!K25),0)</f>
        <v>23.232735755759123</v>
      </c>
      <c r="L85" s="123">
        <f>IFERROR(MIN('B4'!L25,'B5'!L25,'B6'!L25),0)</f>
        <v>34.78642407145044</v>
      </c>
      <c r="M85" s="123">
        <f>IFERROR(MIN('B4'!M25,'B5'!M25,'B6'!M25),0)</f>
        <v>186.4302954552264</v>
      </c>
      <c r="N85" s="123">
        <f>IFERROR(MIN('B4'!N25,'B5'!N25,'B6'!N25),0)</f>
        <v>0</v>
      </c>
      <c r="O85" s="123">
        <f>IFERROR(MIN('B4'!O25,'B5'!O25,'B6'!O25),0)</f>
        <v>4.8087752208200074</v>
      </c>
      <c r="P85" s="123">
        <f>IFERROR(MIN('B4'!P25,'B5'!P25,'B6'!P25),0)</f>
        <v>0</v>
      </c>
      <c r="Q85" s="123">
        <f>IFERROR(MIN('B4'!Q25,'B5'!Q25,'B6'!Q25),0)</f>
        <v>0</v>
      </c>
      <c r="R85" s="123">
        <f>IFERROR(MIN('B4'!R25,'B5'!R25,'B6'!R25),0)</f>
        <v>0</v>
      </c>
      <c r="S85" s="123">
        <f>IFERROR(MIN('B4'!S25,'B5'!S25,'B6'!S25),0)</f>
        <v>0</v>
      </c>
      <c r="T85" s="123">
        <f>IFERROR(MIN('B4'!T25,'B5'!T25,'B6'!T25),0)</f>
        <v>0</v>
      </c>
      <c r="U85" s="123">
        <f>IFERROR(MIN('B4'!U25,'B5'!U25,'B6'!U25),0)</f>
        <v>0</v>
      </c>
      <c r="V85" s="123">
        <f>IFERROR(MIN('B4'!V25,'B5'!V25,'B6'!V25),0)</f>
        <v>0</v>
      </c>
      <c r="W85" s="123">
        <f>IFERROR(MIN('B4'!W25,'B5'!W25,'B6'!W25),0)</f>
        <v>0</v>
      </c>
      <c r="X85" s="123">
        <f>IFERROR(MIN('B4'!X25,'B5'!X25,'B6'!X25),0)</f>
        <v>0</v>
      </c>
      <c r="Y85" s="123">
        <f>IFERROR(MIN('B4'!Y25,'B5'!Y25,'B6'!Y25),0)</f>
        <v>0</v>
      </c>
      <c r="Z85" s="123">
        <f>IFERROR(MIN('B4'!Z25,'B5'!Z25,'B6'!Z25),0)</f>
        <v>0</v>
      </c>
      <c r="AA85" s="123">
        <f>IFERROR(MIN('B4'!AA25,'B5'!AA25,'B6'!AA25),0)</f>
        <v>0</v>
      </c>
      <c r="AB85" s="123">
        <f>IFERROR(MIN('B4'!AB25,'B5'!AB25,'B6'!AB25),0)</f>
        <v>0</v>
      </c>
      <c r="AC85" s="123">
        <f>IFERROR(MIN('B4'!AC25,'B5'!AC25,'B6'!AC25),0)</f>
        <v>0</v>
      </c>
      <c r="AD85" s="123">
        <f>IFERROR(MIN('B4'!AD25,'B5'!AD25,'B6'!AD25),0)</f>
        <v>0</v>
      </c>
      <c r="AE85" s="123">
        <f>IFERROR(MIN('B4'!AE25,'B5'!AE25,'B6'!AE25),0)</f>
        <v>8.8699999999999992</v>
      </c>
      <c r="AF85" s="123">
        <f>IFERROR(MIN('B4'!AF25,'B5'!AF25,'B6'!AF25),0)</f>
        <v>0</v>
      </c>
      <c r="AG85" s="123">
        <f>IFERROR(MIN('B4'!AG25,'B5'!AG25,'B6'!AG25),0)</f>
        <v>1</v>
      </c>
      <c r="AH85" s="123">
        <f>IFERROR(MIN('B4'!AH25,'B5'!AH25,'B6'!AH25),0)</f>
        <v>0</v>
      </c>
      <c r="AI85" s="123">
        <f>IFERROR(MIN('B4'!AI25,'B5'!AI25,'B6'!AI25),0)</f>
        <v>0</v>
      </c>
      <c r="AJ85" s="123">
        <f>IFERROR(MIN('B4'!AJ25,'B5'!AJ25,'B6'!AJ25),0)</f>
        <v>0</v>
      </c>
      <c r="AK85" s="123">
        <f>IFERROR(MIN('B4'!AK25,'B5'!AK25,'B6'!AK25),0)</f>
        <v>0</v>
      </c>
      <c r="AL85" s="123">
        <f>IFERROR(MIN('B4'!AL25,'B5'!AL25,'B6'!AL25),0)</f>
        <v>0</v>
      </c>
      <c r="AM85" s="123">
        <f>IFERROR(MIN('B4'!AM25,'B5'!AM25,'B6'!AM25),0)</f>
        <v>0</v>
      </c>
      <c r="AN85" s="123">
        <f>IFERROR(MIN('B4'!AN25,'B5'!AN25,'B6'!AN25),0)</f>
        <v>0</v>
      </c>
      <c r="AO85" s="123">
        <f>IFERROR(MIN('B4'!AO25,'B5'!AO25,'B6'!AO25),0)</f>
        <v>0</v>
      </c>
      <c r="AP85" s="123">
        <f>IFERROR(MIN('B4'!AP25,'B5'!AP25,'B6'!AP25),0)</f>
        <v>0.68032310723227674</v>
      </c>
      <c r="AQ85" s="123">
        <f>IFERROR(MIN('B4'!AQ25,'B5'!AQ25,'B6'!AQ25),0)</f>
        <v>0.46465471511518247</v>
      </c>
      <c r="AR85" s="123">
        <f>IFERROR(MIN('B4'!AR25,'B5'!AR25,'B6'!AR25),0)</f>
        <v>0.69572848142900878</v>
      </c>
      <c r="AS85" s="123">
        <f>IFERROR(MIN('B4'!AS25,'B5'!AS25,'B6'!AS25),0)</f>
        <v>3.728605909104528</v>
      </c>
      <c r="AT85" s="123">
        <f>IFERROR(MIN('B4'!AT25,'B5'!AT25,'B6'!AT25),0)</f>
        <v>0</v>
      </c>
      <c r="AU85" s="123">
        <f>IFERROR(MIN('B4'!AU25,'B5'!AU25,'B6'!AU25),0)</f>
        <v>9.6175504416400145E-2</v>
      </c>
      <c r="AV85" s="123">
        <f>IFERROR(MIN('B4'!AV25,'B5'!AV25,'B6'!AV25),0)</f>
        <v>0</v>
      </c>
      <c r="AW85" s="123">
        <f>IFERROR(MIN('B4'!AW25,'B5'!AW25,'B6'!AW25),0)</f>
        <v>0</v>
      </c>
      <c r="AX85" s="123">
        <f>IFERROR(MIN('B4'!AX25,'B5'!AX25,'B6'!AX25),0)</f>
        <v>0</v>
      </c>
      <c r="AY85" s="123">
        <f>IFERROR(MIN('B4'!AY25,'B5'!AY25,'B6'!AY25),0)</f>
        <v>0</v>
      </c>
      <c r="AZ85" s="123">
        <f>IFERROR(MIN('B4'!AZ25,'B5'!AZ25,'B6'!AZ25),0)</f>
        <v>0</v>
      </c>
      <c r="BA85" s="123">
        <f>IFERROR(MIN('B4'!BA25,'B5'!BA25,'B6'!BA25),0)</f>
        <v>0</v>
      </c>
      <c r="BB85" s="123">
        <f>IFERROR(MIN('B4'!BB25,'B5'!BB25,'B6'!BB25),0)</f>
        <v>0</v>
      </c>
      <c r="BC85" s="123">
        <f>IFERROR(MIN('B4'!BC25,'B5'!BC25,'B6'!BC25),0)</f>
        <v>0</v>
      </c>
      <c r="BD85" s="123">
        <f>IFERROR(MIN('B4'!BD25,'B5'!BD25,'B6'!BD25),0)</f>
        <v>0</v>
      </c>
      <c r="BE85" s="123">
        <f>IFERROR(MIN('B4'!BE25,'B5'!BE25,'B6'!BE25),0)</f>
        <v>0</v>
      </c>
      <c r="BF85" s="123">
        <f>IFERROR(MIN('B4'!BF25,'B5'!BF25,'B6'!BF25),0)</f>
        <v>0</v>
      </c>
      <c r="BG85" s="123">
        <f>IFERROR(MIN('B4'!BG25,'B5'!BG25,'B6'!BG25),0)</f>
        <v>0</v>
      </c>
      <c r="BH85" s="123">
        <f>IFERROR(MIN('B4'!BH25,'B5'!BH25,'B6'!BH25),0)</f>
        <v>0</v>
      </c>
      <c r="BI85" s="123">
        <f>IFERROR(MIN('B4'!BI25,'B5'!BI25,'B6'!BI25),0)</f>
        <v>0</v>
      </c>
      <c r="BJ85" s="123">
        <f>IFERROR(MIN('B4'!BJ25,'B5'!BJ25,'B6'!BJ25),0)</f>
        <v>1.3606462144645535</v>
      </c>
      <c r="BK85" s="123">
        <f>IFERROR(MIN('B4'!BK25,'B5'!BK25,'B6'!BK25),0)</f>
        <v>1.3939641453455474</v>
      </c>
      <c r="BL85" s="123">
        <f>IFERROR(MIN('B4'!BL25,'B5'!BL25,'B6'!BL25),0)</f>
        <v>2.7829139257160351</v>
      </c>
      <c r="BM85" s="123">
        <f>IFERROR(MIN('B4'!BM25,'B5'!BM25,'B6'!BM25),0)</f>
        <v>14.914423636418112</v>
      </c>
      <c r="BN85" s="123">
        <f>IFERROR(MIN('B4'!BN25,'B5'!BN25,'B6'!BN25),0)</f>
        <v>0</v>
      </c>
      <c r="BO85" s="123">
        <f>IFERROR(MIN('B4'!BO25,'B5'!BO25,'B6'!BO25),0)</f>
        <v>0.48087752208200074</v>
      </c>
      <c r="BP85" s="123">
        <f>IFERROR(MIN('B4'!BP25,'B5'!BP25,'B6'!BP25),0)</f>
        <v>0</v>
      </c>
      <c r="BQ85" s="123">
        <f>IFERROR(MIN('B4'!BQ25,'B5'!BQ25,'B6'!BQ25),0)</f>
        <v>0</v>
      </c>
      <c r="BR85" s="123">
        <f>IFERROR(MIN('B4'!BR25,'B5'!BR25,'B6'!BR25),0)</f>
        <v>0</v>
      </c>
      <c r="BS85" s="123">
        <f>IFERROR(MIN('B4'!BS25,'B5'!BS25,'B6'!BS25),0)</f>
        <v>0</v>
      </c>
      <c r="BT85" s="123">
        <f>IFERROR(MIN('B4'!BT25,'B5'!BT25,'B6'!BT25),0)</f>
        <v>0</v>
      </c>
      <c r="BU85" s="123">
        <f>IFERROR(MIN('B4'!BU25,'B5'!BU25,'B6'!BU25),0)</f>
        <v>0</v>
      </c>
      <c r="BV85" s="123">
        <f>IFERROR(MIN('B4'!BV25,'B5'!BV25,'B6'!BV25),0)</f>
        <v>0</v>
      </c>
    </row>
    <row r="86" spans="1:74" ht="16" thickBot="1" x14ac:dyDescent="0.4">
      <c r="A86" s="63">
        <f t="shared" si="8"/>
        <v>0</v>
      </c>
      <c r="B86" s="129">
        <f t="shared" si="9"/>
        <v>0</v>
      </c>
      <c r="C86" s="79"/>
      <c r="D86" s="123">
        <f>IFERROR(MIN('B4'!D26,'B5'!D26,'B6'!D26),0)</f>
        <v>0</v>
      </c>
      <c r="E86" s="123">
        <f>IFERROR(MIN('B4'!E26,'B5'!E26,'B6'!E26),0)</f>
        <v>0</v>
      </c>
      <c r="F86" s="123">
        <f>IFERROR(MIN('B4'!F26,'B5'!F26,'B6'!F26),0)</f>
        <v>0</v>
      </c>
      <c r="G86" s="123">
        <f>IFERROR(MIN('B4'!G26,'B5'!G26,'B6'!G26),0)</f>
        <v>0</v>
      </c>
      <c r="H86" s="123">
        <f>IFERROR(MIN('B4'!H26,'B5'!H26,'B6'!H26),0)</f>
        <v>0</v>
      </c>
      <c r="I86" s="123">
        <f>IFERROR(MIN('B4'!I26,'B5'!I26,'B6'!I26),0)</f>
        <v>0</v>
      </c>
      <c r="J86" s="123">
        <f>IFERROR(MIN('B4'!J26,'B5'!J26,'B6'!J26),0)</f>
        <v>0</v>
      </c>
      <c r="K86" s="123">
        <f>IFERROR(MIN('B4'!K26,'B5'!K26,'B6'!K26),0)</f>
        <v>0</v>
      </c>
      <c r="L86" s="123">
        <f>IFERROR(MIN('B4'!L26,'B5'!L26,'B6'!L26),0)</f>
        <v>0</v>
      </c>
      <c r="M86" s="123">
        <f>IFERROR(MIN('B4'!M26,'B5'!M26,'B6'!M26),0)</f>
        <v>0</v>
      </c>
      <c r="N86" s="123">
        <f>IFERROR(MIN('B4'!N26,'B5'!N26,'B6'!N26),0)</f>
        <v>0</v>
      </c>
      <c r="O86" s="123">
        <f>IFERROR(MIN('B4'!O26,'B5'!O26,'B6'!O26),0)</f>
        <v>0</v>
      </c>
      <c r="P86" s="123">
        <f>IFERROR(MIN('B4'!P26,'B5'!P26,'B6'!P26),0)</f>
        <v>0</v>
      </c>
      <c r="Q86" s="123">
        <f>IFERROR(MIN('B4'!Q26,'B5'!Q26,'B6'!Q26),0)</f>
        <v>0</v>
      </c>
      <c r="R86" s="123">
        <f>IFERROR(MIN('B4'!R26,'B5'!R26,'B6'!R26),0)</f>
        <v>0</v>
      </c>
      <c r="S86" s="123">
        <f>IFERROR(MIN('B4'!S26,'B5'!S26,'B6'!S26),0)</f>
        <v>0</v>
      </c>
      <c r="T86" s="123">
        <f>IFERROR(MIN('B4'!T26,'B5'!T26,'B6'!T26),0)</f>
        <v>0</v>
      </c>
      <c r="U86" s="123">
        <f>IFERROR(MIN('B4'!U26,'B5'!U26,'B6'!U26),0)</f>
        <v>0</v>
      </c>
      <c r="V86" s="123">
        <f>IFERROR(MIN('B4'!V26,'B5'!V26,'B6'!V26),0)</f>
        <v>0</v>
      </c>
      <c r="W86" s="123">
        <f>IFERROR(MIN('B4'!W26,'B5'!W26,'B6'!W26),0)</f>
        <v>0</v>
      </c>
      <c r="X86" s="123">
        <f>IFERROR(MIN('B4'!X26,'B5'!X26,'B6'!X26),0)</f>
        <v>0</v>
      </c>
      <c r="Y86" s="123">
        <f>IFERROR(MIN('B4'!Y26,'B5'!Y26,'B6'!Y26),0)</f>
        <v>0</v>
      </c>
      <c r="Z86" s="123">
        <f>IFERROR(MIN('B4'!Z26,'B5'!Z26,'B6'!Z26),0)</f>
        <v>0</v>
      </c>
      <c r="AA86" s="123">
        <f>IFERROR(MIN('B4'!AA26,'B5'!AA26,'B6'!AA26),0)</f>
        <v>0</v>
      </c>
      <c r="AB86" s="123">
        <f>IFERROR(MIN('B4'!AB26,'B5'!AB26,'B6'!AB26),0)</f>
        <v>0</v>
      </c>
      <c r="AC86" s="123">
        <f>IFERROR(MIN('B4'!AC26,'B5'!AC26,'B6'!AC26),0)</f>
        <v>0</v>
      </c>
      <c r="AD86" s="123">
        <f>IFERROR(MIN('B4'!AD26,'B5'!AD26,'B6'!AD26),0)</f>
        <v>0</v>
      </c>
      <c r="AE86" s="123">
        <f>IFERROR(MIN('B4'!AE26,'B5'!AE26,'B6'!AE26),0)</f>
        <v>0</v>
      </c>
      <c r="AF86" s="123">
        <f>IFERROR(MIN('B4'!AF26,'B5'!AF26,'B6'!AF26),0)</f>
        <v>0</v>
      </c>
      <c r="AG86" s="123">
        <f>IFERROR(MIN('B4'!AG26,'B5'!AG26,'B6'!AG26),0)</f>
        <v>1</v>
      </c>
      <c r="AH86" s="123">
        <f>IFERROR(MIN('B4'!AH26,'B5'!AH26,'B6'!AH26),0)</f>
        <v>0</v>
      </c>
      <c r="AI86" s="123">
        <f>IFERROR(MIN('B4'!AI26,'B5'!AI26,'B6'!AI26),0)</f>
        <v>0</v>
      </c>
      <c r="AJ86" s="123">
        <f>IFERROR(MIN('B4'!AJ26,'B5'!AJ26,'B6'!AJ26),0)</f>
        <v>0</v>
      </c>
      <c r="AK86" s="123">
        <f>IFERROR(MIN('B4'!AK26,'B5'!AK26,'B6'!AK26),0)</f>
        <v>0</v>
      </c>
      <c r="AL86" s="123">
        <f>IFERROR(MIN('B4'!AL26,'B5'!AL26,'B6'!AL26),0)</f>
        <v>0</v>
      </c>
      <c r="AM86" s="123">
        <f>IFERROR(MIN('B4'!AM26,'B5'!AM26,'B6'!AM26),0)</f>
        <v>0</v>
      </c>
      <c r="AN86" s="123">
        <f>IFERROR(MIN('B4'!AN26,'B5'!AN26,'B6'!AN26),0)</f>
        <v>0</v>
      </c>
      <c r="AO86" s="123">
        <f>IFERROR(MIN('B4'!AO26,'B5'!AO26,'B6'!AO26),0)</f>
        <v>0</v>
      </c>
      <c r="AP86" s="123">
        <f>IFERROR(MIN('B4'!AP26,'B5'!AP26,'B6'!AP26),0)</f>
        <v>6.2581772089509657E-2</v>
      </c>
      <c r="AQ86" s="123">
        <f>IFERROR(MIN('B4'!AQ26,'B5'!AQ26,'B6'!AQ26),0)</f>
        <v>3.1902983938108531E-2</v>
      </c>
      <c r="AR86" s="123">
        <f>IFERROR(MIN('B4'!AR26,'B5'!AR26,'B6'!AR26),0)</f>
        <v>2.7438852661971436E-2</v>
      </c>
      <c r="AS86" s="123">
        <f>IFERROR(MIN('B4'!AS26,'B5'!AS26,'B6'!AS26),0)</f>
        <v>0.45927913676459031</v>
      </c>
      <c r="AT86" s="123">
        <f>IFERROR(MIN('B4'!AT26,'B5'!AT26,'B6'!AT26),0)</f>
        <v>0</v>
      </c>
      <c r="AU86" s="123">
        <f>IFERROR(MIN('B4'!AU26,'B5'!AU26,'B6'!AU26),0)</f>
        <v>7.7525170590044087E-2</v>
      </c>
      <c r="AV86" s="123">
        <f>IFERROR(MIN('B4'!AV26,'B5'!AV26,'B6'!AV26),0)</f>
        <v>0</v>
      </c>
      <c r="AW86" s="123">
        <f>IFERROR(MIN('B4'!AW26,'B5'!AW26,'B6'!AW26),0)</f>
        <v>0.16077155652732977</v>
      </c>
      <c r="AX86" s="123">
        <f>IFERROR(MIN('B4'!AX26,'B5'!AX26,'B6'!AX26),0)</f>
        <v>0</v>
      </c>
      <c r="AY86" s="123">
        <f>IFERROR(MIN('B4'!AY26,'B5'!AY26,'B6'!AY26),0)</f>
        <v>0</v>
      </c>
      <c r="AZ86" s="123">
        <f>IFERROR(MIN('B4'!AZ26,'B5'!AZ26,'B6'!AZ26),0)</f>
        <v>0</v>
      </c>
      <c r="BA86" s="123">
        <f>IFERROR(MIN('B4'!BA26,'B5'!BA26,'B6'!BA26),0)</f>
        <v>0</v>
      </c>
      <c r="BB86" s="123">
        <f>IFERROR(MIN('B4'!BB26,'B5'!BB26,'B6'!BB26),0)</f>
        <v>0</v>
      </c>
      <c r="BC86" s="123">
        <f>IFERROR(MIN('B4'!BC26,'B5'!BC26,'B6'!BC26),0)</f>
        <v>0</v>
      </c>
      <c r="BD86" s="123">
        <f>IFERROR(MIN('B4'!BD26,'B5'!BD26,'B6'!BD26),0)</f>
        <v>0</v>
      </c>
      <c r="BE86" s="123">
        <f>IFERROR(MIN('B4'!BE26,'B5'!BE26,'B6'!BE26),0)</f>
        <v>0</v>
      </c>
      <c r="BF86" s="123">
        <f>IFERROR(MIN('B4'!BF26,'B5'!BF26,'B6'!BF26),0)</f>
        <v>0</v>
      </c>
      <c r="BG86" s="123">
        <f>IFERROR(MIN('B4'!BG26,'B5'!BG26,'B6'!BG26),0)</f>
        <v>0</v>
      </c>
      <c r="BH86" s="123">
        <f>IFERROR(MIN('B4'!BH26,'B5'!BH26,'B6'!BH26),0)</f>
        <v>0</v>
      </c>
      <c r="BI86" s="123">
        <f>IFERROR(MIN('B4'!BI26,'B5'!BI26,'B6'!BI26),0)</f>
        <v>0</v>
      </c>
      <c r="BJ86" s="123">
        <f>IFERROR(MIN('B4'!BJ26,'B5'!BJ26,'B6'!BJ26),0)</f>
        <v>0.12516354417901931</v>
      </c>
      <c r="BK86" s="123">
        <f>IFERROR(MIN('B4'!BK26,'B5'!BK26,'B6'!BK26),0)</f>
        <v>9.5708951814325594E-2</v>
      </c>
      <c r="BL86" s="123">
        <f>IFERROR(MIN('B4'!BL26,'B5'!BL26,'B6'!BL26),0)</f>
        <v>0.10975541064788574</v>
      </c>
      <c r="BM86" s="123">
        <f>IFERROR(MIN('B4'!BM26,'B5'!BM26,'B6'!BM26),0)</f>
        <v>1.8371165470583612</v>
      </c>
      <c r="BN86" s="123">
        <f>IFERROR(MIN('B4'!BN26,'B5'!BN26,'B6'!BN26),0)</f>
        <v>0</v>
      </c>
      <c r="BO86" s="123">
        <f>IFERROR(MIN('B4'!BO26,'B5'!BO26,'B6'!BO26),0)</f>
        <v>0.38762585295022045</v>
      </c>
      <c r="BP86" s="123">
        <f>IFERROR(MIN('B4'!BP26,'B5'!BP26,'B6'!BP26),0)</f>
        <v>0</v>
      </c>
      <c r="BQ86" s="123">
        <f>IFERROR(MIN('B4'!BQ26,'B5'!BQ26,'B6'!BQ26),0)</f>
        <v>0.96462933916397864</v>
      </c>
      <c r="BR86" s="123">
        <f>IFERROR(MIN('B4'!BR26,'B5'!BR26,'B6'!BR26),0)</f>
        <v>0</v>
      </c>
      <c r="BS86" s="123">
        <f>IFERROR(MIN('B4'!BS26,'B5'!BS26,'B6'!BS26),0)</f>
        <v>0</v>
      </c>
      <c r="BT86" s="123">
        <f>IFERROR(MIN('B4'!BT26,'B5'!BT26,'B6'!BT26),0)</f>
        <v>0</v>
      </c>
      <c r="BU86" s="123">
        <f>IFERROR(MIN('B4'!BU26,'B5'!BU26,'B6'!BU26),0)</f>
        <v>0</v>
      </c>
      <c r="BV86" s="123">
        <f>IFERROR(MIN('B4'!BV26,'B5'!BV26,'B6'!BV26),0)</f>
        <v>0</v>
      </c>
    </row>
    <row r="87" spans="1:74" ht="16" thickBot="1" x14ac:dyDescent="0.4">
      <c r="A87" s="63">
        <f t="shared" si="8"/>
        <v>0</v>
      </c>
      <c r="B87" s="129">
        <f t="shared" si="9"/>
        <v>0</v>
      </c>
      <c r="C87" s="54"/>
      <c r="D87" s="123">
        <f>IFERROR(MIN('B4'!D27,'B5'!D27,'B6'!D27),0)</f>
        <v>0</v>
      </c>
      <c r="E87" s="123">
        <f>IFERROR(MIN('B4'!E27,'B5'!E27,'B6'!E27),0)</f>
        <v>0</v>
      </c>
      <c r="F87" s="123">
        <f>IFERROR(MIN('B4'!F27,'B5'!F27,'B6'!F27),0)</f>
        <v>0</v>
      </c>
      <c r="G87" s="123">
        <f>IFERROR(MIN('B4'!G27,'B5'!G27,'B6'!G27),0)</f>
        <v>0</v>
      </c>
      <c r="H87" s="123">
        <f>IFERROR(MIN('B4'!H27,'B5'!H27,'B6'!H27),0)</f>
        <v>0</v>
      </c>
      <c r="I87" s="123">
        <f>IFERROR(MIN('B4'!I27,'B5'!I27,'B6'!I27),0)</f>
        <v>0</v>
      </c>
      <c r="J87" s="123">
        <f>IFERROR(MIN('B4'!J27,'B5'!J27,'B6'!J27),0)</f>
        <v>0</v>
      </c>
      <c r="K87" s="123">
        <f>IFERROR(MIN('B4'!K27,'B5'!K27,'B6'!K27),0)</f>
        <v>0</v>
      </c>
      <c r="L87" s="123">
        <f>IFERROR(MIN('B4'!L27,'B5'!L27,'B6'!L27),0)</f>
        <v>0</v>
      </c>
      <c r="M87" s="123">
        <f>IFERROR(MIN('B4'!M27,'B5'!M27,'B6'!M27),0)</f>
        <v>0</v>
      </c>
      <c r="N87" s="123">
        <f>IFERROR(MIN('B4'!N27,'B5'!N27,'B6'!N27),0)</f>
        <v>0</v>
      </c>
      <c r="O87" s="123">
        <f>IFERROR(MIN('B4'!O27,'B5'!O27,'B6'!O27),0)</f>
        <v>0</v>
      </c>
      <c r="P87" s="123">
        <f>IFERROR(MIN('B4'!P27,'B5'!P27,'B6'!P27),0)</f>
        <v>0</v>
      </c>
      <c r="Q87" s="123">
        <f>IFERROR(MIN('B4'!Q27,'B5'!Q27,'B6'!Q27),0)</f>
        <v>0</v>
      </c>
      <c r="R87" s="123">
        <f>IFERROR(MIN('B4'!R27,'B5'!R27,'B6'!R27),0)</f>
        <v>0</v>
      </c>
      <c r="S87" s="123">
        <f>IFERROR(MIN('B4'!S27,'B5'!S27,'B6'!S27),0)</f>
        <v>0</v>
      </c>
      <c r="T87" s="123">
        <f>IFERROR(MIN('B4'!T27,'B5'!T27,'B6'!T27),0)</f>
        <v>0</v>
      </c>
      <c r="U87" s="123">
        <f>IFERROR(MIN('B4'!U27,'B5'!U27,'B6'!U27),0)</f>
        <v>0</v>
      </c>
      <c r="V87" s="123">
        <f>IFERROR(MIN('B4'!V27,'B5'!V27,'B6'!V27),0)</f>
        <v>0</v>
      </c>
      <c r="W87" s="123">
        <f>IFERROR(MIN('B4'!W27,'B5'!W27,'B6'!W27),0)</f>
        <v>0</v>
      </c>
      <c r="X87" s="123">
        <f>IFERROR(MIN('B4'!X27,'B5'!X27,'B6'!X27),0)</f>
        <v>0</v>
      </c>
      <c r="Y87" s="123">
        <f>IFERROR(MIN('B4'!Y27,'B5'!Y27,'B6'!Y27),0)</f>
        <v>0</v>
      </c>
      <c r="Z87" s="123">
        <f>IFERROR(MIN('B4'!Z27,'B5'!Z27,'B6'!Z27),0)</f>
        <v>0</v>
      </c>
      <c r="AA87" s="123">
        <f>IFERROR(MIN('B4'!AA27,'B5'!AA27,'B6'!AA27),0)</f>
        <v>0</v>
      </c>
      <c r="AB87" s="123">
        <f>IFERROR(MIN('B4'!AB27,'B5'!AB27,'B6'!AB27),0)</f>
        <v>0</v>
      </c>
      <c r="AC87" s="123">
        <f>IFERROR(MIN('B4'!AC27,'B5'!AC27,'B6'!AC27),0)</f>
        <v>0</v>
      </c>
      <c r="AD87" s="123">
        <f>IFERROR(MIN('B4'!AD27,'B5'!AD27,'B6'!AD27),0)</f>
        <v>0</v>
      </c>
      <c r="AE87" s="123">
        <f>IFERROR(MIN('B4'!AE27,'B5'!AE27,'B6'!AE27),0)</f>
        <v>0</v>
      </c>
      <c r="AF87" s="123">
        <f>IFERROR(MIN('B4'!AF27,'B5'!AF27,'B6'!AF27),0)</f>
        <v>0</v>
      </c>
      <c r="AG87" s="123">
        <f>IFERROR(MIN('B4'!AG27,'B5'!AG27,'B6'!AG27),0)</f>
        <v>1</v>
      </c>
      <c r="AH87" s="123">
        <f>IFERROR(MIN('B4'!AH27,'B5'!AH27,'B6'!AH27),0)</f>
        <v>0</v>
      </c>
      <c r="AI87" s="123">
        <f>IFERROR(MIN('B4'!AI27,'B5'!AI27,'B6'!AI27),0)</f>
        <v>0</v>
      </c>
      <c r="AJ87" s="123">
        <f>IFERROR(MIN('B4'!AJ27,'B5'!AJ27,'B6'!AJ27),0)</f>
        <v>0</v>
      </c>
      <c r="AK87" s="123">
        <f>IFERROR(MIN('B4'!AK27,'B5'!AK27,'B6'!AK27),0)</f>
        <v>0</v>
      </c>
      <c r="AL87" s="123">
        <f>IFERROR(MIN('B4'!AL27,'B5'!AL27,'B6'!AL27),0)</f>
        <v>0</v>
      </c>
      <c r="AM87" s="123">
        <f>IFERROR(MIN('B4'!AM27,'B5'!AM27,'B6'!AM27),0)</f>
        <v>0</v>
      </c>
      <c r="AN87" s="123">
        <f>IFERROR(MIN('B4'!AN27,'B5'!AN27,'B6'!AN27),0)</f>
        <v>0</v>
      </c>
      <c r="AO87" s="123">
        <f>IFERROR(MIN('B4'!AO27,'B5'!AO27,'B6'!AO27),0)</f>
        <v>0</v>
      </c>
      <c r="AP87" s="123">
        <f>IFERROR(MIN('B4'!AP27,'B5'!AP27,'B6'!AP27),0)</f>
        <v>0</v>
      </c>
      <c r="AQ87" s="123">
        <f>IFERROR(MIN('B4'!AQ27,'B5'!AQ27,'B6'!AQ27),0)</f>
        <v>0</v>
      </c>
      <c r="AR87" s="123">
        <f>IFERROR(MIN('B4'!AR27,'B5'!AR27,'B6'!AR27),0)</f>
        <v>0</v>
      </c>
      <c r="AS87" s="123">
        <f>IFERROR(MIN('B4'!AS27,'B5'!AS27,'B6'!AS27),0)</f>
        <v>0</v>
      </c>
      <c r="AT87" s="123">
        <f>IFERROR(MIN('B4'!AT27,'B5'!AT27,'B6'!AT27),0)</f>
        <v>0</v>
      </c>
      <c r="AU87" s="123">
        <f>IFERROR(MIN('B4'!AU27,'B5'!AU27,'B6'!AU27),0)</f>
        <v>0</v>
      </c>
      <c r="AV87" s="123">
        <f>IFERROR(MIN('B4'!AV27,'B5'!AV27,'B6'!AV27),0)</f>
        <v>0</v>
      </c>
      <c r="AW87" s="123">
        <f>IFERROR(MIN('B4'!AW27,'B5'!AW27,'B6'!AW27),0)</f>
        <v>0</v>
      </c>
      <c r="AX87" s="123">
        <f>IFERROR(MIN('B4'!AX27,'B5'!AX27,'B6'!AX27),0)</f>
        <v>0</v>
      </c>
      <c r="AY87" s="123">
        <f>IFERROR(MIN('B4'!AY27,'B5'!AY27,'B6'!AY27),0)</f>
        <v>0</v>
      </c>
      <c r="AZ87" s="123">
        <f>IFERROR(MIN('B4'!AZ27,'B5'!AZ27,'B6'!AZ27),0)</f>
        <v>0</v>
      </c>
      <c r="BA87" s="123">
        <f>IFERROR(MIN('B4'!BA27,'B5'!BA27,'B6'!BA27),0)</f>
        <v>0</v>
      </c>
      <c r="BB87" s="123">
        <f>IFERROR(MIN('B4'!BB27,'B5'!BB27,'B6'!BB27),0)</f>
        <v>0</v>
      </c>
      <c r="BC87" s="123">
        <f>IFERROR(MIN('B4'!BC27,'B5'!BC27,'B6'!BC27),0)</f>
        <v>0</v>
      </c>
      <c r="BD87" s="123">
        <f>IFERROR(MIN('B4'!BD27,'B5'!BD27,'B6'!BD27),0)</f>
        <v>0</v>
      </c>
      <c r="BE87" s="123">
        <f>IFERROR(MIN('B4'!BE27,'B5'!BE27,'B6'!BE27),0)</f>
        <v>0</v>
      </c>
      <c r="BF87" s="123">
        <f>IFERROR(MIN('B4'!BF27,'B5'!BF27,'B6'!BF27),0)</f>
        <v>0</v>
      </c>
      <c r="BG87" s="123">
        <f>IFERROR(MIN('B4'!BG27,'B5'!BG27,'B6'!BG27),0)</f>
        <v>0</v>
      </c>
      <c r="BH87" s="123">
        <f>IFERROR(MIN('B4'!BH27,'B5'!BH27,'B6'!BH27),0)</f>
        <v>0</v>
      </c>
      <c r="BI87" s="123">
        <f>IFERROR(MIN('B4'!BI27,'B5'!BI27,'B6'!BI27),0)</f>
        <v>0</v>
      </c>
      <c r="BJ87" s="123">
        <f>IFERROR(MIN('B4'!BJ27,'B5'!BJ27,'B6'!BJ27),0)</f>
        <v>0</v>
      </c>
      <c r="BK87" s="123">
        <f>IFERROR(MIN('B4'!BK27,'B5'!BK27,'B6'!BK27),0)</f>
        <v>0</v>
      </c>
      <c r="BL87" s="123">
        <f>IFERROR(MIN('B4'!BL27,'B5'!BL27,'B6'!BL27),0)</f>
        <v>0</v>
      </c>
      <c r="BM87" s="123">
        <f>IFERROR(MIN('B4'!BM27,'B5'!BM27,'B6'!BM27),0)</f>
        <v>0</v>
      </c>
      <c r="BN87" s="123">
        <f>IFERROR(MIN('B4'!BN27,'B5'!BN27,'B6'!BN27),0)</f>
        <v>0</v>
      </c>
      <c r="BO87" s="123">
        <f>IFERROR(MIN('B4'!BO27,'B5'!BO27,'B6'!BO27),0)</f>
        <v>0</v>
      </c>
      <c r="BP87" s="123">
        <f>IFERROR(MIN('B4'!BP27,'B5'!BP27,'B6'!BP27),0)</f>
        <v>0</v>
      </c>
      <c r="BQ87" s="123">
        <f>IFERROR(MIN('B4'!BQ27,'B5'!BQ27,'B6'!BQ27),0)</f>
        <v>0</v>
      </c>
      <c r="BR87" s="123">
        <f>IFERROR(MIN('B4'!BR27,'B5'!BR27,'B6'!BR27),0)</f>
        <v>0</v>
      </c>
      <c r="BS87" s="123">
        <f>IFERROR(MIN('B4'!BS27,'B5'!BS27,'B6'!BS27),0)</f>
        <v>0</v>
      </c>
      <c r="BT87" s="123">
        <f>IFERROR(MIN('B4'!BT27,'B5'!BT27,'B6'!BT27),0)</f>
        <v>0</v>
      </c>
      <c r="BU87" s="123">
        <f>IFERROR(MIN('B4'!BU27,'B5'!BU27,'B6'!BU27),0)</f>
        <v>0</v>
      </c>
      <c r="BV87" s="123">
        <f>IFERROR(MIN('B4'!BV27,'B5'!BV27,'B6'!BV27),0)</f>
        <v>0</v>
      </c>
    </row>
    <row r="88" spans="1:74" ht="16" thickBot="1" x14ac:dyDescent="0.4">
      <c r="A88" s="63">
        <f t="shared" si="8"/>
        <v>0</v>
      </c>
      <c r="B88" s="129">
        <f t="shared" si="9"/>
        <v>0</v>
      </c>
      <c r="C88" s="79"/>
      <c r="D88" s="123">
        <f>IFERROR(MIN('B4'!D28,'B5'!D28,'B6'!D28),0)</f>
        <v>0</v>
      </c>
      <c r="E88" s="123">
        <f>IFERROR(MIN('B4'!E28,'B5'!E28,'B6'!E28),0)</f>
        <v>0</v>
      </c>
      <c r="F88" s="123">
        <f>IFERROR(MIN('B4'!F28,'B5'!F28,'B6'!F28),0)</f>
        <v>0</v>
      </c>
      <c r="G88" s="123">
        <f>IFERROR(MIN('B4'!G28,'B5'!G28,'B6'!G28),0)</f>
        <v>0</v>
      </c>
      <c r="H88" s="123">
        <f>IFERROR(MIN('B4'!H28,'B5'!H28,'B6'!H28),0)</f>
        <v>0</v>
      </c>
      <c r="I88" s="123">
        <f>IFERROR(MIN('B4'!I28,'B5'!I28,'B6'!I28),0)</f>
        <v>0</v>
      </c>
      <c r="J88" s="123">
        <f>IFERROR(MIN('B4'!J28,'B5'!J28,'B6'!J28),0)</f>
        <v>0</v>
      </c>
      <c r="K88" s="123">
        <f>IFERROR(MIN('B4'!K28,'B5'!K28,'B6'!K28),0)</f>
        <v>0</v>
      </c>
      <c r="L88" s="123">
        <f>IFERROR(MIN('B4'!L28,'B5'!L28,'B6'!L28),0)</f>
        <v>0</v>
      </c>
      <c r="M88" s="123">
        <f>IFERROR(MIN('B4'!M28,'B5'!M28,'B6'!M28),0)</f>
        <v>0</v>
      </c>
      <c r="N88" s="123">
        <f>IFERROR(MIN('B4'!N28,'B5'!N28,'B6'!N28),0)</f>
        <v>0</v>
      </c>
      <c r="O88" s="123">
        <f>IFERROR(MIN('B4'!O28,'B5'!O28,'B6'!O28),0)</f>
        <v>0</v>
      </c>
      <c r="P88" s="123">
        <f>IFERROR(MIN('B4'!P28,'B5'!P28,'B6'!P28),0)</f>
        <v>0</v>
      </c>
      <c r="Q88" s="123">
        <f>IFERROR(MIN('B4'!Q28,'B5'!Q28,'B6'!Q28),0)</f>
        <v>0</v>
      </c>
      <c r="R88" s="123">
        <f>IFERROR(MIN('B4'!R28,'B5'!R28,'B6'!R28),0)</f>
        <v>0</v>
      </c>
      <c r="S88" s="123">
        <f>IFERROR(MIN('B4'!S28,'B5'!S28,'B6'!S28),0)</f>
        <v>0</v>
      </c>
      <c r="T88" s="123">
        <f>IFERROR(MIN('B4'!T28,'B5'!T28,'B6'!T28),0)</f>
        <v>0</v>
      </c>
      <c r="U88" s="123">
        <f>IFERROR(MIN('B4'!U28,'B5'!U28,'B6'!U28),0)</f>
        <v>0</v>
      </c>
      <c r="V88" s="123">
        <f>IFERROR(MIN('B4'!V28,'B5'!V28,'B6'!V28),0)</f>
        <v>0</v>
      </c>
      <c r="W88" s="123">
        <f>IFERROR(MIN('B4'!W28,'B5'!W28,'B6'!W28),0)</f>
        <v>0</v>
      </c>
      <c r="X88" s="123">
        <f>IFERROR(MIN('B4'!X28,'B5'!X28,'B6'!X28),0)</f>
        <v>0</v>
      </c>
      <c r="Y88" s="123">
        <f>IFERROR(MIN('B4'!Y28,'B5'!Y28,'B6'!Y28),0)</f>
        <v>0</v>
      </c>
      <c r="Z88" s="123">
        <f>IFERROR(MIN('B4'!Z28,'B5'!Z28,'B6'!Z28),0)</f>
        <v>0</v>
      </c>
      <c r="AA88" s="123">
        <f>IFERROR(MIN('B4'!AA28,'B5'!AA28,'B6'!AA28),0)</f>
        <v>0</v>
      </c>
      <c r="AB88" s="123">
        <f>IFERROR(MIN('B4'!AB28,'B5'!AB28,'B6'!AB28),0)</f>
        <v>0</v>
      </c>
      <c r="AC88" s="123">
        <f>IFERROR(MIN('B4'!AC28,'B5'!AC28,'B6'!AC28),0)</f>
        <v>0</v>
      </c>
      <c r="AD88" s="123">
        <f>IFERROR(MIN('B4'!AD28,'B5'!AD28,'B6'!AD28),0)</f>
        <v>0</v>
      </c>
      <c r="AE88" s="123">
        <f>IFERROR(MIN('B4'!AE28,'B5'!AE28,'B6'!AE28),0)</f>
        <v>0</v>
      </c>
      <c r="AF88" s="123">
        <f>IFERROR(MIN('B4'!AF28,'B5'!AF28,'B6'!AF28),0)</f>
        <v>0</v>
      </c>
      <c r="AG88" s="123">
        <f>IFERROR(MIN('B4'!AG28,'B5'!AG28,'B6'!AG28),0)</f>
        <v>1</v>
      </c>
      <c r="AH88" s="123">
        <f>IFERROR(MIN('B4'!AH28,'B5'!AH28,'B6'!AH28),0)</f>
        <v>0</v>
      </c>
      <c r="AI88" s="123">
        <f>IFERROR(MIN('B4'!AI28,'B5'!AI28,'B6'!AI28),0)</f>
        <v>0</v>
      </c>
      <c r="AJ88" s="123">
        <f>IFERROR(MIN('B4'!AJ28,'B5'!AJ28,'B6'!AJ28),0)</f>
        <v>0</v>
      </c>
      <c r="AK88" s="123">
        <f>IFERROR(MIN('B4'!AK28,'B5'!AK28,'B6'!AK28),0)</f>
        <v>0</v>
      </c>
      <c r="AL88" s="123">
        <f>IFERROR(MIN('B4'!AL28,'B5'!AL28,'B6'!AL28),0)</f>
        <v>0</v>
      </c>
      <c r="AM88" s="123">
        <f>IFERROR(MIN('B4'!AM28,'B5'!AM28,'B6'!AM28),0)</f>
        <v>0</v>
      </c>
      <c r="AN88" s="123">
        <f>IFERROR(MIN('B4'!AN28,'B5'!AN28,'B6'!AN28),0)</f>
        <v>0</v>
      </c>
      <c r="AO88" s="123">
        <f>IFERROR(MIN('B4'!AO28,'B5'!AO28,'B6'!AO28),0)</f>
        <v>0</v>
      </c>
      <c r="AP88" s="123">
        <f>IFERROR(MIN('B4'!AP28,'B5'!AP28,'B6'!AP28),0)</f>
        <v>0</v>
      </c>
      <c r="AQ88" s="123">
        <f>IFERROR(MIN('B4'!AQ28,'B5'!AQ28,'B6'!AQ28),0)</f>
        <v>0</v>
      </c>
      <c r="AR88" s="123">
        <f>IFERROR(MIN('B4'!AR28,'B5'!AR28,'B6'!AR28),0)</f>
        <v>0</v>
      </c>
      <c r="AS88" s="123">
        <f>IFERROR(MIN('B4'!AS28,'B5'!AS28,'B6'!AS28),0)</f>
        <v>0</v>
      </c>
      <c r="AT88" s="123">
        <f>IFERROR(MIN('B4'!AT28,'B5'!AT28,'B6'!AT28),0)</f>
        <v>0</v>
      </c>
      <c r="AU88" s="123">
        <f>IFERROR(MIN('B4'!AU28,'B5'!AU28,'B6'!AU28),0)</f>
        <v>0</v>
      </c>
      <c r="AV88" s="123">
        <f>IFERROR(MIN('B4'!AV28,'B5'!AV28,'B6'!AV28),0)</f>
        <v>0</v>
      </c>
      <c r="AW88" s="123">
        <f>IFERROR(MIN('B4'!AW28,'B5'!AW28,'B6'!AW28),0)</f>
        <v>0</v>
      </c>
      <c r="AX88" s="123">
        <f>IFERROR(MIN('B4'!AX28,'B5'!AX28,'B6'!AX28),0)</f>
        <v>0</v>
      </c>
      <c r="AY88" s="123">
        <f>IFERROR(MIN('B4'!AY28,'B5'!AY28,'B6'!AY28),0)</f>
        <v>0</v>
      </c>
      <c r="AZ88" s="123">
        <f>IFERROR(MIN('B4'!AZ28,'B5'!AZ28,'B6'!AZ28),0)</f>
        <v>0</v>
      </c>
      <c r="BA88" s="123">
        <f>IFERROR(MIN('B4'!BA28,'B5'!BA28,'B6'!BA28),0)</f>
        <v>0</v>
      </c>
      <c r="BB88" s="123">
        <f>IFERROR(MIN('B4'!BB28,'B5'!BB28,'B6'!BB28),0)</f>
        <v>0</v>
      </c>
      <c r="BC88" s="123">
        <f>IFERROR(MIN('B4'!BC28,'B5'!BC28,'B6'!BC28),0)</f>
        <v>0</v>
      </c>
      <c r="BD88" s="123">
        <f>IFERROR(MIN('B4'!BD28,'B5'!BD28,'B6'!BD28),0)</f>
        <v>0</v>
      </c>
      <c r="BE88" s="123">
        <f>IFERROR(MIN('B4'!BE28,'B5'!BE28,'B6'!BE28),0)</f>
        <v>0</v>
      </c>
      <c r="BF88" s="123">
        <f>IFERROR(MIN('B4'!BF28,'B5'!BF28,'B6'!BF28),0)</f>
        <v>0</v>
      </c>
      <c r="BG88" s="123">
        <f>IFERROR(MIN('B4'!BG28,'B5'!BG28,'B6'!BG28),0)</f>
        <v>0</v>
      </c>
      <c r="BH88" s="123">
        <f>IFERROR(MIN('B4'!BH28,'B5'!BH28,'B6'!BH28),0)</f>
        <v>0</v>
      </c>
      <c r="BI88" s="123">
        <f>IFERROR(MIN('B4'!BI28,'B5'!BI28,'B6'!BI28),0)</f>
        <v>0</v>
      </c>
      <c r="BJ88" s="123">
        <f>IFERROR(MIN('B4'!BJ28,'B5'!BJ28,'B6'!BJ28),0)</f>
        <v>0</v>
      </c>
      <c r="BK88" s="123">
        <f>IFERROR(MIN('B4'!BK28,'B5'!BK28,'B6'!BK28),0)</f>
        <v>0</v>
      </c>
      <c r="BL88" s="123">
        <f>IFERROR(MIN('B4'!BL28,'B5'!BL28,'B6'!BL28),0)</f>
        <v>0</v>
      </c>
      <c r="BM88" s="123">
        <f>IFERROR(MIN('B4'!BM28,'B5'!BM28,'B6'!BM28),0)</f>
        <v>0</v>
      </c>
      <c r="BN88" s="123">
        <f>IFERROR(MIN('B4'!BN28,'B5'!BN28,'B6'!BN28),0)</f>
        <v>0</v>
      </c>
      <c r="BO88" s="123">
        <f>IFERROR(MIN('B4'!BO28,'B5'!BO28,'B6'!BO28),0)</f>
        <v>0</v>
      </c>
      <c r="BP88" s="123">
        <f>IFERROR(MIN('B4'!BP28,'B5'!BP28,'B6'!BP28),0)</f>
        <v>0</v>
      </c>
      <c r="BQ88" s="123">
        <f>IFERROR(MIN('B4'!BQ28,'B5'!BQ28,'B6'!BQ28),0)</f>
        <v>0</v>
      </c>
      <c r="BR88" s="123">
        <f>IFERROR(MIN('B4'!BR28,'B5'!BR28,'B6'!BR28),0)</f>
        <v>0</v>
      </c>
      <c r="BS88" s="123">
        <f>IFERROR(MIN('B4'!BS28,'B5'!BS28,'B6'!BS28),0)</f>
        <v>0</v>
      </c>
      <c r="BT88" s="123">
        <f>IFERROR(MIN('B4'!BT28,'B5'!BT28,'B6'!BT28),0)</f>
        <v>0</v>
      </c>
      <c r="BU88" s="123">
        <f>IFERROR(MIN('B4'!BU28,'B5'!BU28,'B6'!BU28),0)</f>
        <v>0</v>
      </c>
      <c r="BV88" s="123">
        <f>IFERROR(MIN('B4'!BV28,'B5'!BV28,'B6'!BV28),0)</f>
        <v>0</v>
      </c>
    </row>
    <row r="89" spans="1:74" ht="16" thickBot="1" x14ac:dyDescent="0.4">
      <c r="A89" s="63">
        <f t="shared" si="8"/>
        <v>0</v>
      </c>
      <c r="B89" s="129">
        <f t="shared" si="9"/>
        <v>0</v>
      </c>
      <c r="C89" s="54"/>
      <c r="D89" s="123">
        <f>IFERROR(MIN('B4'!D29,'B5'!D29,'B6'!D29),0)</f>
        <v>0</v>
      </c>
      <c r="E89" s="123">
        <f>IFERROR(MIN('B4'!E29,'B5'!E29,'B6'!E29),0)</f>
        <v>0</v>
      </c>
      <c r="F89" s="123">
        <f>IFERROR(MIN('B4'!F29,'B5'!F29,'B6'!F29),0)</f>
        <v>0</v>
      </c>
      <c r="G89" s="123">
        <f>IFERROR(MIN('B4'!G29,'B5'!G29,'B6'!G29),0)</f>
        <v>0</v>
      </c>
      <c r="H89" s="123">
        <f>IFERROR(MIN('B4'!H29,'B5'!H29,'B6'!H29),0)</f>
        <v>0</v>
      </c>
      <c r="I89" s="123">
        <f>IFERROR(MIN('B4'!I29,'B5'!I29,'B6'!I29),0)</f>
        <v>0</v>
      </c>
      <c r="J89" s="123">
        <f>IFERROR(MIN('B4'!J29,'B5'!J29,'B6'!J29),0)</f>
        <v>0</v>
      </c>
      <c r="K89" s="123">
        <f>IFERROR(MIN('B4'!K29,'B5'!K29,'B6'!K29),0)</f>
        <v>0</v>
      </c>
      <c r="L89" s="123">
        <f>IFERROR(MIN('B4'!L29,'B5'!L29,'B6'!L29),0)</f>
        <v>0</v>
      </c>
      <c r="M89" s="123">
        <f>IFERROR(MIN('B4'!M29,'B5'!M29,'B6'!M29),0)</f>
        <v>0</v>
      </c>
      <c r="N89" s="123">
        <f>IFERROR(MIN('B4'!N29,'B5'!N29,'B6'!N29),0)</f>
        <v>0</v>
      </c>
      <c r="O89" s="123">
        <f>IFERROR(MIN('B4'!O29,'B5'!O29,'B6'!O29),0)</f>
        <v>0</v>
      </c>
      <c r="P89" s="123">
        <f>IFERROR(MIN('B4'!P29,'B5'!P29,'B6'!P29),0)</f>
        <v>0</v>
      </c>
      <c r="Q89" s="123">
        <f>IFERROR(MIN('B4'!Q29,'B5'!Q29,'B6'!Q29),0)</f>
        <v>0</v>
      </c>
      <c r="R89" s="123">
        <f>IFERROR(MIN('B4'!R29,'B5'!R29,'B6'!R29),0)</f>
        <v>0</v>
      </c>
      <c r="S89" s="123">
        <f>IFERROR(MIN('B4'!S29,'B5'!S29,'B6'!S29),0)</f>
        <v>0</v>
      </c>
      <c r="T89" s="123">
        <f>IFERROR(MIN('B4'!T29,'B5'!T29,'B6'!T29),0)</f>
        <v>0</v>
      </c>
      <c r="U89" s="123">
        <f>IFERROR(MIN('B4'!U29,'B5'!U29,'B6'!U29),0)</f>
        <v>0</v>
      </c>
      <c r="V89" s="123">
        <f>IFERROR(MIN('B4'!V29,'B5'!V29,'B6'!V29),0)</f>
        <v>0</v>
      </c>
      <c r="W89" s="123">
        <f>IFERROR(MIN('B4'!W29,'B5'!W29,'B6'!W29),0)</f>
        <v>0</v>
      </c>
      <c r="X89" s="123">
        <f>IFERROR(MIN('B4'!X29,'B5'!X29,'B6'!X29),0)</f>
        <v>0</v>
      </c>
      <c r="Y89" s="123">
        <f>IFERROR(MIN('B4'!Y29,'B5'!Y29,'B6'!Y29),0)</f>
        <v>0</v>
      </c>
      <c r="Z89" s="123">
        <f>IFERROR(MIN('B4'!Z29,'B5'!Z29,'B6'!Z29),0)</f>
        <v>0</v>
      </c>
      <c r="AA89" s="123">
        <f>IFERROR(MIN('B4'!AA29,'B5'!AA29,'B6'!AA29),0)</f>
        <v>0</v>
      </c>
      <c r="AB89" s="123">
        <f>IFERROR(MIN('B4'!AB29,'B5'!AB29,'B6'!AB29),0)</f>
        <v>0</v>
      </c>
      <c r="AC89" s="123">
        <f>IFERROR(MIN('B4'!AC29,'B5'!AC29,'B6'!AC29),0)</f>
        <v>0</v>
      </c>
      <c r="AD89" s="123">
        <f>IFERROR(MIN('B4'!AD29,'B5'!AD29,'B6'!AD29),0)</f>
        <v>0</v>
      </c>
      <c r="AE89" s="123">
        <f>IFERROR(MIN('B4'!AE29,'B5'!AE29,'B6'!AE29),0)</f>
        <v>0</v>
      </c>
      <c r="AF89" s="123">
        <f>IFERROR(MIN('B4'!AF29,'B5'!AF29,'B6'!AF29),0)</f>
        <v>0</v>
      </c>
      <c r="AG89" s="123">
        <f>IFERROR(MIN('B4'!AG29,'B5'!AG29,'B6'!AG29),0)</f>
        <v>1</v>
      </c>
      <c r="AH89" s="123">
        <f>IFERROR(MIN('B4'!AH29,'B5'!AH29,'B6'!AH29),0)</f>
        <v>0</v>
      </c>
      <c r="AI89" s="123">
        <f>IFERROR(MIN('B4'!AI29,'B5'!AI29,'B6'!AI29),0)</f>
        <v>0</v>
      </c>
      <c r="AJ89" s="123">
        <f>IFERROR(MIN('B4'!AJ29,'B5'!AJ29,'B6'!AJ29),0)</f>
        <v>0</v>
      </c>
      <c r="AK89" s="123">
        <f>IFERROR(MIN('B4'!AK29,'B5'!AK29,'B6'!AK29),0)</f>
        <v>0</v>
      </c>
      <c r="AL89" s="123">
        <f>IFERROR(MIN('B4'!AL29,'B5'!AL29,'B6'!AL29),0)</f>
        <v>0</v>
      </c>
      <c r="AM89" s="123">
        <f>IFERROR(MIN('B4'!AM29,'B5'!AM29,'B6'!AM29),0)</f>
        <v>0</v>
      </c>
      <c r="AN89" s="123">
        <f>IFERROR(MIN('B4'!AN29,'B5'!AN29,'B6'!AN29),0)</f>
        <v>0</v>
      </c>
      <c r="AO89" s="123">
        <f>IFERROR(MIN('B4'!AO29,'B5'!AO29,'B6'!AO29),0)</f>
        <v>0</v>
      </c>
      <c r="AP89" s="123">
        <f>IFERROR(MIN('B4'!AP29,'B5'!AP29,'B6'!AP29),0)</f>
        <v>0</v>
      </c>
      <c r="AQ89" s="123">
        <f>IFERROR(MIN('B4'!AQ29,'B5'!AQ29,'B6'!AQ29),0)</f>
        <v>0</v>
      </c>
      <c r="AR89" s="123">
        <f>IFERROR(MIN('B4'!AR29,'B5'!AR29,'B6'!AR29),0)</f>
        <v>0</v>
      </c>
      <c r="AS89" s="123">
        <f>IFERROR(MIN('B4'!AS29,'B5'!AS29,'B6'!AS29),0)</f>
        <v>0</v>
      </c>
      <c r="AT89" s="123">
        <f>IFERROR(MIN('B4'!AT29,'B5'!AT29,'B6'!AT29),0)</f>
        <v>0</v>
      </c>
      <c r="AU89" s="123">
        <f>IFERROR(MIN('B4'!AU29,'B5'!AU29,'B6'!AU29),0)</f>
        <v>0</v>
      </c>
      <c r="AV89" s="123">
        <f>IFERROR(MIN('B4'!AV29,'B5'!AV29,'B6'!AV29),0)</f>
        <v>0</v>
      </c>
      <c r="AW89" s="123">
        <f>IFERROR(MIN('B4'!AW29,'B5'!AW29,'B6'!AW29),0)</f>
        <v>0</v>
      </c>
      <c r="AX89" s="123">
        <f>IFERROR(MIN('B4'!AX29,'B5'!AX29,'B6'!AX29),0)</f>
        <v>0</v>
      </c>
      <c r="AY89" s="123">
        <f>IFERROR(MIN('B4'!AY29,'B5'!AY29,'B6'!AY29),0)</f>
        <v>0</v>
      </c>
      <c r="AZ89" s="123">
        <f>IFERROR(MIN('B4'!AZ29,'B5'!AZ29,'B6'!AZ29),0)</f>
        <v>0</v>
      </c>
      <c r="BA89" s="123">
        <f>IFERROR(MIN('B4'!BA29,'B5'!BA29,'B6'!BA29),0)</f>
        <v>0</v>
      </c>
      <c r="BB89" s="123">
        <f>IFERROR(MIN('B4'!BB29,'B5'!BB29,'B6'!BB29),0)</f>
        <v>0</v>
      </c>
      <c r="BC89" s="123">
        <f>IFERROR(MIN('B4'!BC29,'B5'!BC29,'B6'!BC29),0)</f>
        <v>0</v>
      </c>
      <c r="BD89" s="123">
        <f>IFERROR(MIN('B4'!BD29,'B5'!BD29,'B6'!BD29),0)</f>
        <v>0</v>
      </c>
      <c r="BE89" s="123">
        <f>IFERROR(MIN('B4'!BE29,'B5'!BE29,'B6'!BE29),0)</f>
        <v>0</v>
      </c>
      <c r="BF89" s="123">
        <f>IFERROR(MIN('B4'!BF29,'B5'!BF29,'B6'!BF29),0)</f>
        <v>0</v>
      </c>
      <c r="BG89" s="123">
        <f>IFERROR(MIN('B4'!BG29,'B5'!BG29,'B6'!BG29),0)</f>
        <v>0</v>
      </c>
      <c r="BH89" s="123">
        <f>IFERROR(MIN('B4'!BH29,'B5'!BH29,'B6'!BH29),0)</f>
        <v>0</v>
      </c>
      <c r="BI89" s="123">
        <f>IFERROR(MIN('B4'!BI29,'B5'!BI29,'B6'!BI29),0)</f>
        <v>0</v>
      </c>
      <c r="BJ89" s="123">
        <f>IFERROR(MIN('B4'!BJ29,'B5'!BJ29,'B6'!BJ29),0)</f>
        <v>0</v>
      </c>
      <c r="BK89" s="123">
        <f>IFERROR(MIN('B4'!BK29,'B5'!BK29,'B6'!BK29),0)</f>
        <v>0</v>
      </c>
      <c r="BL89" s="123">
        <f>IFERROR(MIN('B4'!BL29,'B5'!BL29,'B6'!BL29),0)</f>
        <v>0</v>
      </c>
      <c r="BM89" s="123">
        <f>IFERROR(MIN('B4'!BM29,'B5'!BM29,'B6'!BM29),0)</f>
        <v>0</v>
      </c>
      <c r="BN89" s="123">
        <f>IFERROR(MIN('B4'!BN29,'B5'!BN29,'B6'!BN29),0)</f>
        <v>0</v>
      </c>
      <c r="BO89" s="123">
        <f>IFERROR(MIN('B4'!BO29,'B5'!BO29,'B6'!BO29),0)</f>
        <v>0</v>
      </c>
      <c r="BP89" s="123">
        <f>IFERROR(MIN('B4'!BP29,'B5'!BP29,'B6'!BP29),0)</f>
        <v>0</v>
      </c>
      <c r="BQ89" s="123">
        <f>IFERROR(MIN('B4'!BQ29,'B5'!BQ29,'B6'!BQ29),0)</f>
        <v>0</v>
      </c>
      <c r="BR89" s="123">
        <f>IFERROR(MIN('B4'!BR29,'B5'!BR29,'B6'!BR29),0)</f>
        <v>0</v>
      </c>
      <c r="BS89" s="123">
        <f>IFERROR(MIN('B4'!BS29,'B5'!BS29,'B6'!BS29),0)</f>
        <v>0</v>
      </c>
      <c r="BT89" s="123">
        <f>IFERROR(MIN('B4'!BT29,'B5'!BT29,'B6'!BT29),0)</f>
        <v>0</v>
      </c>
      <c r="BU89" s="123">
        <f>IFERROR(MIN('B4'!BU29,'B5'!BU29,'B6'!BU29),0)</f>
        <v>0</v>
      </c>
      <c r="BV89" s="123">
        <f>IFERROR(MIN('B4'!BV29,'B5'!BV29,'B6'!BV29),0)</f>
        <v>0</v>
      </c>
    </row>
    <row r="90" spans="1:74" ht="16" thickBot="1" x14ac:dyDescent="0.4">
      <c r="A90" s="63">
        <f t="shared" si="8"/>
        <v>0</v>
      </c>
      <c r="B90" s="129">
        <f t="shared" si="9"/>
        <v>0</v>
      </c>
      <c r="C90" s="79"/>
      <c r="D90" s="123">
        <f>IFERROR(MIN('B4'!D30,'B5'!D30,'B6'!D30),0)</f>
        <v>0</v>
      </c>
      <c r="E90" s="123">
        <f>IFERROR(MIN('B4'!E30,'B5'!E30,'B6'!E30),0)</f>
        <v>0</v>
      </c>
      <c r="F90" s="123">
        <f>IFERROR(MIN('B4'!F30,'B5'!F30,'B6'!F30),0)</f>
        <v>0</v>
      </c>
      <c r="G90" s="123">
        <f>IFERROR(MIN('B4'!G30,'B5'!G30,'B6'!G30),0)</f>
        <v>0</v>
      </c>
      <c r="H90" s="123">
        <f>IFERROR(MIN('B4'!H30,'B5'!H30,'B6'!H30),0)</f>
        <v>0</v>
      </c>
      <c r="I90" s="123">
        <f>IFERROR(MIN('B4'!I30,'B5'!I30,'B6'!I30),0)</f>
        <v>0</v>
      </c>
      <c r="J90" s="123">
        <f>IFERROR(MIN('B4'!J30,'B5'!J30,'B6'!J30),0)</f>
        <v>0</v>
      </c>
      <c r="K90" s="123">
        <f>IFERROR(MIN('B4'!K30,'B5'!K30,'B6'!K30),0)</f>
        <v>0</v>
      </c>
      <c r="L90" s="123">
        <f>IFERROR(MIN('B4'!L30,'B5'!L30,'B6'!L30),0)</f>
        <v>0</v>
      </c>
      <c r="M90" s="123">
        <f>IFERROR(MIN('B4'!M30,'B5'!M30,'B6'!M30),0)</f>
        <v>0</v>
      </c>
      <c r="N90" s="123">
        <f>IFERROR(MIN('B4'!N30,'B5'!N30,'B6'!N30),0)</f>
        <v>0</v>
      </c>
      <c r="O90" s="123">
        <f>IFERROR(MIN('B4'!O30,'B5'!O30,'B6'!O30),0)</f>
        <v>0</v>
      </c>
      <c r="P90" s="123">
        <f>IFERROR(MIN('B4'!P30,'B5'!P30,'B6'!P30),0)</f>
        <v>0</v>
      </c>
      <c r="Q90" s="123">
        <f>IFERROR(MIN('B4'!Q30,'B5'!Q30,'B6'!Q30),0)</f>
        <v>0</v>
      </c>
      <c r="R90" s="123">
        <f>IFERROR(MIN('B4'!R30,'B5'!R30,'B6'!R30),0)</f>
        <v>0</v>
      </c>
      <c r="S90" s="123">
        <f>IFERROR(MIN('B4'!S30,'B5'!S30,'B6'!S30),0)</f>
        <v>0</v>
      </c>
      <c r="T90" s="123">
        <f>IFERROR(MIN('B4'!T30,'B5'!T30,'B6'!T30),0)</f>
        <v>0</v>
      </c>
      <c r="U90" s="123">
        <f>IFERROR(MIN('B4'!U30,'B5'!U30,'B6'!U30),0)</f>
        <v>0</v>
      </c>
      <c r="V90" s="123">
        <f>IFERROR(MIN('B4'!V30,'B5'!V30,'B6'!V30),0)</f>
        <v>0</v>
      </c>
      <c r="W90" s="123">
        <f>IFERROR(MIN('B4'!W30,'B5'!W30,'B6'!W30),0)</f>
        <v>0</v>
      </c>
      <c r="X90" s="123">
        <f>IFERROR(MIN('B4'!X30,'B5'!X30,'B6'!X30),0)</f>
        <v>0</v>
      </c>
      <c r="Y90" s="123">
        <f>IFERROR(MIN('B4'!Y30,'B5'!Y30,'B6'!Y30),0)</f>
        <v>0</v>
      </c>
      <c r="Z90" s="123">
        <f>IFERROR(MIN('B4'!Z30,'B5'!Z30,'B6'!Z30),0)</f>
        <v>0</v>
      </c>
      <c r="AA90" s="123">
        <f>IFERROR(MIN('B4'!AA30,'B5'!AA30,'B6'!AA30),0)</f>
        <v>0</v>
      </c>
      <c r="AB90" s="123">
        <f>IFERROR(MIN('B4'!AB30,'B5'!AB30,'B6'!AB30),0)</f>
        <v>0</v>
      </c>
      <c r="AC90" s="123">
        <f>IFERROR(MIN('B4'!AC30,'B5'!AC30,'B6'!AC30),0)</f>
        <v>0</v>
      </c>
      <c r="AD90" s="123">
        <f>IFERROR(MIN('B4'!AD30,'B5'!AD30,'B6'!AD30),0)</f>
        <v>0</v>
      </c>
      <c r="AE90" s="123">
        <f>IFERROR(MIN('B4'!AE30,'B5'!AE30,'B6'!AE30),0)</f>
        <v>0</v>
      </c>
      <c r="AF90" s="123">
        <f>IFERROR(MIN('B4'!AF30,'B5'!AF30,'B6'!AF30),0)</f>
        <v>0</v>
      </c>
      <c r="AG90" s="123">
        <f>IFERROR(MIN('B4'!AG30,'B5'!AG30,'B6'!AG30),0)</f>
        <v>1</v>
      </c>
      <c r="AH90" s="123">
        <f>IFERROR(MIN('B4'!AH30,'B5'!AH30,'B6'!AH30),0)</f>
        <v>0</v>
      </c>
      <c r="AI90" s="123">
        <f>IFERROR(MIN('B4'!AI30,'B5'!AI30,'B6'!AI30),0)</f>
        <v>0</v>
      </c>
      <c r="AJ90" s="123">
        <f>IFERROR(MIN('B4'!AJ30,'B5'!AJ30,'B6'!AJ30),0)</f>
        <v>0</v>
      </c>
      <c r="AK90" s="123">
        <f>IFERROR(MIN('B4'!AK30,'B5'!AK30,'B6'!AK30),0)</f>
        <v>0</v>
      </c>
      <c r="AL90" s="123">
        <f>IFERROR(MIN('B4'!AL30,'B5'!AL30,'B6'!AL30),0)</f>
        <v>0</v>
      </c>
      <c r="AM90" s="123">
        <f>IFERROR(MIN('B4'!AM30,'B5'!AM30,'B6'!AM30),0)</f>
        <v>0</v>
      </c>
      <c r="AN90" s="123">
        <f>IFERROR(MIN('B4'!AN30,'B5'!AN30,'B6'!AN30),0)</f>
        <v>0</v>
      </c>
      <c r="AO90" s="123">
        <f>IFERROR(MIN('B4'!AO30,'B5'!AO30,'B6'!AO30),0)</f>
        <v>0</v>
      </c>
      <c r="AP90" s="123">
        <f>IFERROR(MIN('B4'!AP30,'B5'!AP30,'B6'!AP30),0)</f>
        <v>0</v>
      </c>
      <c r="AQ90" s="123">
        <f>IFERROR(MIN('B4'!AQ30,'B5'!AQ30,'B6'!AQ30),0)</f>
        <v>0</v>
      </c>
      <c r="AR90" s="123">
        <f>IFERROR(MIN('B4'!AR30,'B5'!AR30,'B6'!AR30),0)</f>
        <v>0</v>
      </c>
      <c r="AS90" s="123">
        <f>IFERROR(MIN('B4'!AS30,'B5'!AS30,'B6'!AS30),0)</f>
        <v>0</v>
      </c>
      <c r="AT90" s="123">
        <f>IFERROR(MIN('B4'!AT30,'B5'!AT30,'B6'!AT30),0)</f>
        <v>0</v>
      </c>
      <c r="AU90" s="123">
        <f>IFERROR(MIN('B4'!AU30,'B5'!AU30,'B6'!AU30),0)</f>
        <v>0</v>
      </c>
      <c r="AV90" s="123">
        <f>IFERROR(MIN('B4'!AV30,'B5'!AV30,'B6'!AV30),0)</f>
        <v>0</v>
      </c>
      <c r="AW90" s="123">
        <f>IFERROR(MIN('B4'!AW30,'B5'!AW30,'B6'!AW30),0)</f>
        <v>0</v>
      </c>
      <c r="AX90" s="123">
        <f>IFERROR(MIN('B4'!AX30,'B5'!AX30,'B6'!AX30),0)</f>
        <v>0</v>
      </c>
      <c r="AY90" s="123">
        <f>IFERROR(MIN('B4'!AY30,'B5'!AY30,'B6'!AY30),0)</f>
        <v>0</v>
      </c>
      <c r="AZ90" s="123">
        <f>IFERROR(MIN('B4'!AZ30,'B5'!AZ30,'B6'!AZ30),0)</f>
        <v>0</v>
      </c>
      <c r="BA90" s="123">
        <f>IFERROR(MIN('B4'!BA30,'B5'!BA30,'B6'!BA30),0)</f>
        <v>0</v>
      </c>
      <c r="BB90" s="123">
        <f>IFERROR(MIN('B4'!BB30,'B5'!BB30,'B6'!BB30),0)</f>
        <v>0</v>
      </c>
      <c r="BC90" s="123">
        <f>IFERROR(MIN('B4'!BC30,'B5'!BC30,'B6'!BC30),0)</f>
        <v>0</v>
      </c>
      <c r="BD90" s="123">
        <f>IFERROR(MIN('B4'!BD30,'B5'!BD30,'B6'!BD30),0)</f>
        <v>0</v>
      </c>
      <c r="BE90" s="123">
        <f>IFERROR(MIN('B4'!BE30,'B5'!BE30,'B6'!BE30),0)</f>
        <v>0</v>
      </c>
      <c r="BF90" s="123">
        <f>IFERROR(MIN('B4'!BF30,'B5'!BF30,'B6'!BF30),0)</f>
        <v>0</v>
      </c>
      <c r="BG90" s="123">
        <f>IFERROR(MIN('B4'!BG30,'B5'!BG30,'B6'!BG30),0)</f>
        <v>0</v>
      </c>
      <c r="BH90" s="123">
        <f>IFERROR(MIN('B4'!BH30,'B5'!BH30,'B6'!BH30),0)</f>
        <v>0</v>
      </c>
      <c r="BI90" s="123">
        <f>IFERROR(MIN('B4'!BI30,'B5'!BI30,'B6'!BI30),0)</f>
        <v>0</v>
      </c>
      <c r="BJ90" s="123">
        <f>IFERROR(MIN('B4'!BJ30,'B5'!BJ30,'B6'!BJ30),0)</f>
        <v>0</v>
      </c>
      <c r="BK90" s="123">
        <f>IFERROR(MIN('B4'!BK30,'B5'!BK30,'B6'!BK30),0)</f>
        <v>0</v>
      </c>
      <c r="BL90" s="123">
        <f>IFERROR(MIN('B4'!BL30,'B5'!BL30,'B6'!BL30),0)</f>
        <v>0</v>
      </c>
      <c r="BM90" s="123">
        <f>IFERROR(MIN('B4'!BM30,'B5'!BM30,'B6'!BM30),0)</f>
        <v>0</v>
      </c>
      <c r="BN90" s="123">
        <f>IFERROR(MIN('B4'!BN30,'B5'!BN30,'B6'!BN30),0)</f>
        <v>0</v>
      </c>
      <c r="BO90" s="123">
        <f>IFERROR(MIN('B4'!BO30,'B5'!BO30,'B6'!BO30),0)</f>
        <v>0</v>
      </c>
      <c r="BP90" s="123">
        <f>IFERROR(MIN('B4'!BP30,'B5'!BP30,'B6'!BP30),0)</f>
        <v>0</v>
      </c>
      <c r="BQ90" s="123">
        <f>IFERROR(MIN('B4'!BQ30,'B5'!BQ30,'B6'!BQ30),0)</f>
        <v>0</v>
      </c>
      <c r="BR90" s="123">
        <f>IFERROR(MIN('B4'!BR30,'B5'!BR30,'B6'!BR30),0)</f>
        <v>0</v>
      </c>
      <c r="BS90" s="123">
        <f>IFERROR(MIN('B4'!BS30,'B5'!BS30,'B6'!BS30),0)</f>
        <v>0</v>
      </c>
      <c r="BT90" s="123">
        <f>IFERROR(MIN('B4'!BT30,'B5'!BT30,'B6'!BT30),0)</f>
        <v>0</v>
      </c>
      <c r="BU90" s="123">
        <f>IFERROR(MIN('B4'!BU30,'B5'!BU30,'B6'!BU30),0)</f>
        <v>0</v>
      </c>
      <c r="BV90" s="123">
        <f>IFERROR(MIN('B4'!BV30,'B5'!BV30,'B6'!BV30),0)</f>
        <v>0</v>
      </c>
    </row>
    <row r="91" spans="1:74" ht="16" thickBot="1" x14ac:dyDescent="0.4">
      <c r="A91" s="63">
        <f t="shared" si="8"/>
        <v>0</v>
      </c>
      <c r="B91" s="129">
        <f t="shared" si="9"/>
        <v>0</v>
      </c>
      <c r="C91" s="54"/>
      <c r="D91" s="123">
        <f>IFERROR(MIN('B4'!D31,'B5'!D31,'B6'!D31),0)</f>
        <v>0</v>
      </c>
      <c r="E91" s="123">
        <f>IFERROR(MIN('B4'!E31,'B5'!E31,'B6'!E31),0)</f>
        <v>0</v>
      </c>
      <c r="F91" s="123">
        <f>IFERROR(MIN('B4'!F31,'B5'!F31,'B6'!F31),0)</f>
        <v>0</v>
      </c>
      <c r="G91" s="123">
        <f>IFERROR(MIN('B4'!G31,'B5'!G31,'B6'!G31),0)</f>
        <v>0</v>
      </c>
      <c r="H91" s="123">
        <f>IFERROR(MIN('B4'!H31,'B5'!H31,'B6'!H31),0)</f>
        <v>0</v>
      </c>
      <c r="I91" s="123">
        <f>IFERROR(MIN('B4'!I31,'B5'!I31,'B6'!I31),0)</f>
        <v>0</v>
      </c>
      <c r="J91" s="123">
        <f>IFERROR(MIN('B4'!J31,'B5'!J31,'B6'!J31),0)</f>
        <v>0</v>
      </c>
      <c r="K91" s="123">
        <f>IFERROR(MIN('B4'!K31,'B5'!K31,'B6'!K31),0)</f>
        <v>0</v>
      </c>
      <c r="L91" s="123">
        <f>IFERROR(MIN('B4'!L31,'B5'!L31,'B6'!L31),0)</f>
        <v>0</v>
      </c>
      <c r="M91" s="123">
        <f>IFERROR(MIN('B4'!M31,'B5'!M31,'B6'!M31),0)</f>
        <v>0</v>
      </c>
      <c r="N91" s="123">
        <f>IFERROR(MIN('B4'!N31,'B5'!N31,'B6'!N31),0)</f>
        <v>0</v>
      </c>
      <c r="O91" s="123">
        <f>IFERROR(MIN('B4'!O31,'B5'!O31,'B6'!O31),0)</f>
        <v>0</v>
      </c>
      <c r="P91" s="123">
        <f>IFERROR(MIN('B4'!P31,'B5'!P31,'B6'!P31),0)</f>
        <v>0</v>
      </c>
      <c r="Q91" s="123">
        <f>IFERROR(MIN('B4'!Q31,'B5'!Q31,'B6'!Q31),0)</f>
        <v>0</v>
      </c>
      <c r="R91" s="123">
        <f>IFERROR(MIN('B4'!R31,'B5'!R31,'B6'!R31),0)</f>
        <v>0</v>
      </c>
      <c r="S91" s="123">
        <f>IFERROR(MIN('B4'!S31,'B5'!S31,'B6'!S31),0)</f>
        <v>0</v>
      </c>
      <c r="T91" s="123">
        <f>IFERROR(MIN('B4'!T31,'B5'!T31,'B6'!T31),0)</f>
        <v>0</v>
      </c>
      <c r="U91" s="123">
        <f>IFERROR(MIN('B4'!U31,'B5'!U31,'B6'!U31),0)</f>
        <v>0</v>
      </c>
      <c r="V91" s="123">
        <f>IFERROR(MIN('B4'!V31,'B5'!V31,'B6'!V31),0)</f>
        <v>0</v>
      </c>
      <c r="W91" s="123">
        <f>IFERROR(MIN('B4'!W31,'B5'!W31,'B6'!W31),0)</f>
        <v>0</v>
      </c>
      <c r="X91" s="123">
        <f>IFERROR(MIN('B4'!X31,'B5'!X31,'B6'!X31),0)</f>
        <v>0</v>
      </c>
      <c r="Y91" s="123">
        <f>IFERROR(MIN('B4'!Y31,'B5'!Y31,'B6'!Y31),0)</f>
        <v>0</v>
      </c>
      <c r="Z91" s="123">
        <f>IFERROR(MIN('B4'!Z31,'B5'!Z31,'B6'!Z31),0)</f>
        <v>0</v>
      </c>
      <c r="AA91" s="123">
        <f>IFERROR(MIN('B4'!AA31,'B5'!AA31,'B6'!AA31),0)</f>
        <v>0</v>
      </c>
      <c r="AB91" s="123">
        <f>IFERROR(MIN('B4'!AB31,'B5'!AB31,'B6'!AB31),0)</f>
        <v>0</v>
      </c>
      <c r="AC91" s="123">
        <f>IFERROR(MIN('B4'!AC31,'B5'!AC31,'B6'!AC31),0)</f>
        <v>0</v>
      </c>
      <c r="AD91" s="123">
        <f>IFERROR(MIN('B4'!AD31,'B5'!AD31,'B6'!AD31),0)</f>
        <v>0</v>
      </c>
      <c r="AE91" s="123">
        <f>IFERROR(MIN('B4'!AE31,'B5'!AE31,'B6'!AE31),0)</f>
        <v>0</v>
      </c>
      <c r="AF91" s="123">
        <f>IFERROR(MIN('B4'!AF31,'B5'!AF31,'B6'!AF31),0)</f>
        <v>0</v>
      </c>
      <c r="AG91" s="123">
        <f>IFERROR(MIN('B4'!AG31,'B5'!AG31,'B6'!AG31),0)</f>
        <v>1</v>
      </c>
      <c r="AH91" s="123">
        <f>IFERROR(MIN('B4'!AH31,'B5'!AH31,'B6'!AH31),0)</f>
        <v>0</v>
      </c>
      <c r="AI91" s="123">
        <f>IFERROR(MIN('B4'!AI31,'B5'!AI31,'B6'!AI31),0)</f>
        <v>0</v>
      </c>
      <c r="AJ91" s="123">
        <f>IFERROR(MIN('B4'!AJ31,'B5'!AJ31,'B6'!AJ31),0)</f>
        <v>0</v>
      </c>
      <c r="AK91" s="123">
        <f>IFERROR(MIN('B4'!AK31,'B5'!AK31,'B6'!AK31),0)</f>
        <v>0</v>
      </c>
      <c r="AL91" s="123">
        <f>IFERROR(MIN('B4'!AL31,'B5'!AL31,'B6'!AL31),0)</f>
        <v>0</v>
      </c>
      <c r="AM91" s="123">
        <f>IFERROR(MIN('B4'!AM31,'B5'!AM31,'B6'!AM31),0)</f>
        <v>0</v>
      </c>
      <c r="AN91" s="123">
        <f>IFERROR(MIN('B4'!AN31,'B5'!AN31,'B6'!AN31),0)</f>
        <v>0</v>
      </c>
      <c r="AO91" s="123">
        <f>IFERROR(MIN('B4'!AO31,'B5'!AO31,'B6'!AO31),0)</f>
        <v>0</v>
      </c>
      <c r="AP91" s="123">
        <f>IFERROR(MIN('B4'!AP31,'B5'!AP31,'B6'!AP31),0)</f>
        <v>0</v>
      </c>
      <c r="AQ91" s="123">
        <f>IFERROR(MIN('B4'!AQ31,'B5'!AQ31,'B6'!AQ31),0)</f>
        <v>0</v>
      </c>
      <c r="AR91" s="123">
        <f>IFERROR(MIN('B4'!AR31,'B5'!AR31,'B6'!AR31),0)</f>
        <v>0</v>
      </c>
      <c r="AS91" s="123">
        <f>IFERROR(MIN('B4'!AS31,'B5'!AS31,'B6'!AS31),0)</f>
        <v>0</v>
      </c>
      <c r="AT91" s="123">
        <f>IFERROR(MIN('B4'!AT31,'B5'!AT31,'B6'!AT31),0)</f>
        <v>0</v>
      </c>
      <c r="AU91" s="123">
        <f>IFERROR(MIN('B4'!AU31,'B5'!AU31,'B6'!AU31),0)</f>
        <v>0</v>
      </c>
      <c r="AV91" s="123">
        <f>IFERROR(MIN('B4'!AV31,'B5'!AV31,'B6'!AV31),0)</f>
        <v>0</v>
      </c>
      <c r="AW91" s="123">
        <f>IFERROR(MIN('B4'!AW31,'B5'!AW31,'B6'!AW31),0)</f>
        <v>0</v>
      </c>
      <c r="AX91" s="123">
        <f>IFERROR(MIN('B4'!AX31,'B5'!AX31,'B6'!AX31),0)</f>
        <v>0</v>
      </c>
      <c r="AY91" s="123">
        <f>IFERROR(MIN('B4'!AY31,'B5'!AY31,'B6'!AY31),0)</f>
        <v>0</v>
      </c>
      <c r="AZ91" s="123">
        <f>IFERROR(MIN('B4'!AZ31,'B5'!AZ31,'B6'!AZ31),0)</f>
        <v>0</v>
      </c>
      <c r="BA91" s="123">
        <f>IFERROR(MIN('B4'!BA31,'B5'!BA31,'B6'!BA31),0)</f>
        <v>0</v>
      </c>
      <c r="BB91" s="123">
        <f>IFERROR(MIN('B4'!BB31,'B5'!BB31,'B6'!BB31),0)</f>
        <v>0</v>
      </c>
      <c r="BC91" s="123">
        <f>IFERROR(MIN('B4'!BC31,'B5'!BC31,'B6'!BC31),0)</f>
        <v>0</v>
      </c>
      <c r="BD91" s="123">
        <f>IFERROR(MIN('B4'!BD31,'B5'!BD31,'B6'!BD31),0)</f>
        <v>0</v>
      </c>
      <c r="BE91" s="123">
        <f>IFERROR(MIN('B4'!BE31,'B5'!BE31,'B6'!BE31),0)</f>
        <v>0</v>
      </c>
      <c r="BF91" s="123">
        <f>IFERROR(MIN('B4'!BF31,'B5'!BF31,'B6'!BF31),0)</f>
        <v>0</v>
      </c>
      <c r="BG91" s="123">
        <f>IFERROR(MIN('B4'!BG31,'B5'!BG31,'B6'!BG31),0)</f>
        <v>0</v>
      </c>
      <c r="BH91" s="123">
        <f>IFERROR(MIN('B4'!BH31,'B5'!BH31,'B6'!BH31),0)</f>
        <v>0</v>
      </c>
      <c r="BI91" s="123">
        <f>IFERROR(MIN('B4'!BI31,'B5'!BI31,'B6'!BI31),0)</f>
        <v>0</v>
      </c>
      <c r="BJ91" s="123">
        <f>IFERROR(MIN('B4'!BJ31,'B5'!BJ31,'B6'!BJ31),0)</f>
        <v>0</v>
      </c>
      <c r="BK91" s="123">
        <f>IFERROR(MIN('B4'!BK31,'B5'!BK31,'B6'!BK31),0)</f>
        <v>0</v>
      </c>
      <c r="BL91" s="123">
        <f>IFERROR(MIN('B4'!BL31,'B5'!BL31,'B6'!BL31),0)</f>
        <v>0</v>
      </c>
      <c r="BM91" s="123">
        <f>IFERROR(MIN('B4'!BM31,'B5'!BM31,'B6'!BM31),0)</f>
        <v>0</v>
      </c>
      <c r="BN91" s="123">
        <f>IFERROR(MIN('B4'!BN31,'B5'!BN31,'B6'!BN31),0)</f>
        <v>0</v>
      </c>
      <c r="BO91" s="123">
        <f>IFERROR(MIN('B4'!BO31,'B5'!BO31,'B6'!BO31),0)</f>
        <v>0</v>
      </c>
      <c r="BP91" s="123">
        <f>IFERROR(MIN('B4'!BP31,'B5'!BP31,'B6'!BP31),0)</f>
        <v>0</v>
      </c>
      <c r="BQ91" s="123">
        <f>IFERROR(MIN('B4'!BQ31,'B5'!BQ31,'B6'!BQ31),0)</f>
        <v>0</v>
      </c>
      <c r="BR91" s="123">
        <f>IFERROR(MIN('B4'!BR31,'B5'!BR31,'B6'!BR31),0)</f>
        <v>0</v>
      </c>
      <c r="BS91" s="123">
        <f>IFERROR(MIN('B4'!BS31,'B5'!BS31,'B6'!BS31),0)</f>
        <v>0</v>
      </c>
      <c r="BT91" s="123">
        <f>IFERROR(MIN('B4'!BT31,'B5'!BT31,'B6'!BT31),0)</f>
        <v>0</v>
      </c>
      <c r="BU91" s="123">
        <f>IFERROR(MIN('B4'!BU31,'B5'!BU31,'B6'!BU31),0)</f>
        <v>0</v>
      </c>
      <c r="BV91" s="123">
        <f>IFERROR(MIN('B4'!BV31,'B5'!BV31,'B6'!BV31),0)</f>
        <v>0</v>
      </c>
    </row>
    <row r="92" spans="1:74" ht="16" thickBot="1" x14ac:dyDescent="0.4">
      <c r="A92" s="63">
        <f t="shared" si="8"/>
        <v>0</v>
      </c>
      <c r="B92" s="129">
        <f t="shared" si="9"/>
        <v>0</v>
      </c>
      <c r="C92" s="83"/>
      <c r="D92" s="123">
        <f>IFERROR(MIN('B4'!D32,'B5'!D32,'B6'!D32),0)</f>
        <v>0</v>
      </c>
      <c r="E92" s="123">
        <f>IFERROR(MIN('B4'!E32,'B5'!E32,'B6'!E32),0)</f>
        <v>0</v>
      </c>
      <c r="F92" s="123">
        <f>IFERROR(MIN('B4'!F32,'B5'!F32,'B6'!F32),0)</f>
        <v>0</v>
      </c>
      <c r="G92" s="123">
        <f>IFERROR(MIN('B4'!G32,'B5'!G32,'B6'!G32),0)</f>
        <v>0</v>
      </c>
      <c r="H92" s="123">
        <f>IFERROR(MIN('B4'!H32,'B5'!H32,'B6'!H32),0)</f>
        <v>0</v>
      </c>
      <c r="I92" s="123">
        <f>IFERROR(MIN('B4'!I32,'B5'!I32,'B6'!I32),0)</f>
        <v>0</v>
      </c>
      <c r="J92" s="123">
        <f>IFERROR(MIN('B4'!J32,'B5'!J32,'B6'!J32),0)</f>
        <v>0</v>
      </c>
      <c r="K92" s="123">
        <f>IFERROR(MIN('B4'!K32,'B5'!K32,'B6'!K32),0)</f>
        <v>0</v>
      </c>
      <c r="L92" s="123">
        <f>IFERROR(MIN('B4'!L32,'B5'!L32,'B6'!L32),0)</f>
        <v>0</v>
      </c>
      <c r="M92" s="123">
        <f>IFERROR(MIN('B4'!M32,'B5'!M32,'B6'!M32),0)</f>
        <v>0</v>
      </c>
      <c r="N92" s="123">
        <f>IFERROR(MIN('B4'!N32,'B5'!N32,'B6'!N32),0)</f>
        <v>0</v>
      </c>
      <c r="O92" s="123">
        <f>IFERROR(MIN('B4'!O32,'B5'!O32,'B6'!O32),0)</f>
        <v>0</v>
      </c>
      <c r="P92" s="123">
        <f>IFERROR(MIN('B4'!P32,'B5'!P32,'B6'!P32),0)</f>
        <v>0</v>
      </c>
      <c r="Q92" s="123">
        <f>IFERROR(MIN('B4'!Q32,'B5'!Q32,'B6'!Q32),0)</f>
        <v>0</v>
      </c>
      <c r="R92" s="123">
        <f>IFERROR(MIN('B4'!R32,'B5'!R32,'B6'!R32),0)</f>
        <v>0</v>
      </c>
      <c r="S92" s="123">
        <f>IFERROR(MIN('B4'!S32,'B5'!S32,'B6'!S32),0)</f>
        <v>0</v>
      </c>
      <c r="T92" s="123">
        <f>IFERROR(MIN('B4'!T32,'B5'!T32,'B6'!T32),0)</f>
        <v>0</v>
      </c>
      <c r="U92" s="123">
        <f>IFERROR(MIN('B4'!U32,'B5'!U32,'B6'!U32),0)</f>
        <v>0</v>
      </c>
      <c r="V92" s="123">
        <f>IFERROR(MIN('B4'!V32,'B5'!V32,'B6'!V32),0)</f>
        <v>0</v>
      </c>
      <c r="W92" s="123">
        <f>IFERROR(MIN('B4'!W32,'B5'!W32,'B6'!W32),0)</f>
        <v>0</v>
      </c>
      <c r="X92" s="123">
        <f>IFERROR(MIN('B4'!X32,'B5'!X32,'B6'!X32),0)</f>
        <v>0</v>
      </c>
      <c r="Y92" s="123">
        <f>IFERROR(MIN('B4'!Y32,'B5'!Y32,'B6'!Y32),0)</f>
        <v>0</v>
      </c>
      <c r="Z92" s="123">
        <f>IFERROR(MIN('B4'!Z32,'B5'!Z32,'B6'!Z32),0)</f>
        <v>0</v>
      </c>
      <c r="AA92" s="123">
        <f>IFERROR(MIN('B4'!AA32,'B5'!AA32,'B6'!AA32),0)</f>
        <v>0</v>
      </c>
      <c r="AB92" s="123">
        <f>IFERROR(MIN('B4'!AB32,'B5'!AB32,'B6'!AB32),0)</f>
        <v>0</v>
      </c>
      <c r="AC92" s="123">
        <f>IFERROR(MIN('B4'!AC32,'B5'!AC32,'B6'!AC32),0)</f>
        <v>0</v>
      </c>
      <c r="AD92" s="123">
        <f>IFERROR(MIN('B4'!AD32,'B5'!AD32,'B6'!AD32),0)</f>
        <v>0</v>
      </c>
      <c r="AE92" s="123">
        <f>IFERROR(MIN('B4'!AE32,'B5'!AE32,'B6'!AE32),0)</f>
        <v>0</v>
      </c>
      <c r="AF92" s="123">
        <f>IFERROR(MIN('B4'!AF32,'B5'!AF32,'B6'!AF32),0)</f>
        <v>0</v>
      </c>
      <c r="AG92" s="123">
        <f>IFERROR(MIN('B4'!AG32,'B5'!AG32,'B6'!AG32),0)</f>
        <v>0</v>
      </c>
      <c r="AH92" s="123">
        <f>IFERROR(MIN('B4'!AH32,'B5'!AH32,'B6'!AH32),0)</f>
        <v>0</v>
      </c>
      <c r="AI92" s="123">
        <f>IFERROR(MIN('B4'!AI32,'B5'!AI32,'B6'!AI32),0)</f>
        <v>0</v>
      </c>
      <c r="AJ92" s="123">
        <f>IFERROR(MIN('B4'!AJ32,'B5'!AJ32,'B6'!AJ32),0)</f>
        <v>0</v>
      </c>
      <c r="AK92" s="123">
        <f>IFERROR(MIN('B4'!AK32,'B5'!AK32,'B6'!AK32),0)</f>
        <v>0</v>
      </c>
      <c r="AL92" s="123">
        <f>IFERROR(MIN('B4'!AL32,'B5'!AL32,'B6'!AL32),0)</f>
        <v>0</v>
      </c>
      <c r="AM92" s="123">
        <f>IFERROR(MIN('B4'!AM32,'B5'!AM32,'B6'!AM32),0)</f>
        <v>0</v>
      </c>
      <c r="AN92" s="123">
        <f>IFERROR(MIN('B4'!AN32,'B5'!AN32,'B6'!AN32),0)</f>
        <v>0</v>
      </c>
      <c r="AO92" s="123">
        <f>IFERROR(MIN('B4'!AO32,'B5'!AO32,'B6'!AO32),0)</f>
        <v>0</v>
      </c>
      <c r="AP92" s="123">
        <f>IFERROR(MIN('B4'!AP32,'B5'!AP32,'B6'!AP32),0)</f>
        <v>0</v>
      </c>
      <c r="AQ92" s="123">
        <f>IFERROR(MIN('B4'!AQ32,'B5'!AQ32,'B6'!AQ32),0)</f>
        <v>0</v>
      </c>
      <c r="AR92" s="123">
        <f>IFERROR(MIN('B4'!AR32,'B5'!AR32,'B6'!AR32),0)</f>
        <v>0</v>
      </c>
      <c r="AS92" s="123">
        <f>IFERROR(MIN('B4'!AS32,'B5'!AS32,'B6'!AS32),0)</f>
        <v>0</v>
      </c>
      <c r="AT92" s="123">
        <f>IFERROR(MIN('B4'!AT32,'B5'!AT32,'B6'!AT32),0)</f>
        <v>0</v>
      </c>
      <c r="AU92" s="123">
        <f>IFERROR(MIN('B4'!AU32,'B5'!AU32,'B6'!AU32),0)</f>
        <v>0</v>
      </c>
      <c r="AV92" s="123">
        <f>IFERROR(MIN('B4'!AV32,'B5'!AV32,'B6'!AV32),0)</f>
        <v>0</v>
      </c>
      <c r="AW92" s="123">
        <f>IFERROR(MIN('B4'!AW32,'B5'!AW32,'B6'!AW32),0)</f>
        <v>0</v>
      </c>
      <c r="AX92" s="123">
        <f>IFERROR(MIN('B4'!AX32,'B5'!AX32,'B6'!AX32),0)</f>
        <v>0</v>
      </c>
      <c r="AY92" s="123">
        <f>IFERROR(MIN('B4'!AY32,'B5'!AY32,'B6'!AY32),0)</f>
        <v>0</v>
      </c>
      <c r="AZ92" s="123">
        <f>IFERROR(MIN('B4'!AZ32,'B5'!AZ32,'B6'!AZ32),0)</f>
        <v>0</v>
      </c>
      <c r="BA92" s="123">
        <f>IFERROR(MIN('B4'!BA32,'B5'!BA32,'B6'!BA32),0)</f>
        <v>0</v>
      </c>
      <c r="BB92" s="123">
        <f>IFERROR(MIN('B4'!BB32,'B5'!BB32,'B6'!BB32),0)</f>
        <v>0</v>
      </c>
      <c r="BC92" s="123">
        <f>IFERROR(MIN('B4'!BC32,'B5'!BC32,'B6'!BC32),0)</f>
        <v>0</v>
      </c>
      <c r="BD92" s="123">
        <f>IFERROR(MIN('B4'!BD32,'B5'!BD32,'B6'!BD32),0)</f>
        <v>0</v>
      </c>
      <c r="BE92" s="123">
        <f>IFERROR(MIN('B4'!BE32,'B5'!BE32,'B6'!BE32),0)</f>
        <v>0</v>
      </c>
      <c r="BF92" s="123">
        <f>IFERROR(MIN('B4'!BF32,'B5'!BF32,'B6'!BF32),0)</f>
        <v>0</v>
      </c>
      <c r="BG92" s="123">
        <f>IFERROR(MIN('B4'!BG32,'B5'!BG32,'B6'!BG32),0)</f>
        <v>0</v>
      </c>
      <c r="BH92" s="123">
        <f>IFERROR(MIN('B4'!BH32,'B5'!BH32,'B6'!BH32),0)</f>
        <v>0</v>
      </c>
      <c r="BI92" s="123">
        <f>IFERROR(MIN('B4'!BI32,'B5'!BI32,'B6'!BI32),0)</f>
        <v>0</v>
      </c>
      <c r="BJ92" s="123">
        <f>IFERROR(MIN('B4'!BJ32,'B5'!BJ32,'B6'!BJ32),0)</f>
        <v>0</v>
      </c>
      <c r="BK92" s="123">
        <f>IFERROR(MIN('B4'!BK32,'B5'!BK32,'B6'!BK32),0)</f>
        <v>0</v>
      </c>
      <c r="BL92" s="123">
        <f>IFERROR(MIN('B4'!BL32,'B5'!BL32,'B6'!BL32),0)</f>
        <v>0</v>
      </c>
      <c r="BM92" s="123">
        <f>IFERROR(MIN('B4'!BM32,'B5'!BM32,'B6'!BM32),0)</f>
        <v>0</v>
      </c>
      <c r="BN92" s="123">
        <f>IFERROR(MIN('B4'!BN32,'B5'!BN32,'B6'!BN32),0)</f>
        <v>0</v>
      </c>
      <c r="BO92" s="123">
        <f>IFERROR(MIN('B4'!BO32,'B5'!BO32,'B6'!BO32),0)</f>
        <v>0</v>
      </c>
      <c r="BP92" s="123">
        <f>IFERROR(MIN('B4'!BP32,'B5'!BP32,'B6'!BP32),0)</f>
        <v>0</v>
      </c>
      <c r="BQ92" s="123">
        <f>IFERROR(MIN('B4'!BQ32,'B5'!BQ32,'B6'!BQ32),0)</f>
        <v>0</v>
      </c>
      <c r="BR92" s="123">
        <f>IFERROR(MIN('B4'!BR32,'B5'!BR32,'B6'!BR32),0)</f>
        <v>0</v>
      </c>
      <c r="BS92" s="123">
        <f>IFERROR(MIN('B4'!BS32,'B5'!BS32,'B6'!BS32),0)</f>
        <v>0</v>
      </c>
      <c r="BT92" s="123">
        <f>IFERROR(MIN('B4'!BT32,'B5'!BT32,'B6'!BT32),0)</f>
        <v>0</v>
      </c>
      <c r="BU92" s="123">
        <f>IFERROR(MIN('B4'!BU32,'B5'!BU32,'B6'!BU32),0)</f>
        <v>0</v>
      </c>
      <c r="BV92" s="123">
        <f>IFERROR(MIN('B4'!BV32,'B5'!BV32,'B6'!BV32),0)</f>
        <v>0</v>
      </c>
    </row>
    <row r="95" spans="1:74" ht="15" thickBot="1" x14ac:dyDescent="0.4">
      <c r="A95" t="s">
        <v>155</v>
      </c>
    </row>
    <row r="96" spans="1:74" x14ac:dyDescent="0.35">
      <c r="C96" s="5" t="s">
        <v>3</v>
      </c>
      <c r="D96" s="6" t="s">
        <v>4</v>
      </c>
      <c r="E96" s="6" t="s">
        <v>90</v>
      </c>
      <c r="F96" s="6" t="s">
        <v>91</v>
      </c>
      <c r="G96" s="6" t="s">
        <v>92</v>
      </c>
      <c r="H96" s="6" t="s">
        <v>93</v>
      </c>
      <c r="I96" s="6" t="s">
        <v>94</v>
      </c>
      <c r="J96" s="6" t="s">
        <v>95</v>
      </c>
      <c r="K96" s="6" t="s">
        <v>96</v>
      </c>
      <c r="L96" s="6" t="s">
        <v>97</v>
      </c>
      <c r="M96" s="6" t="s">
        <v>98</v>
      </c>
      <c r="N96" s="6" t="s">
        <v>99</v>
      </c>
      <c r="O96" s="6" t="s">
        <v>100</v>
      </c>
      <c r="P96" s="6" t="s">
        <v>101</v>
      </c>
      <c r="Q96" s="6" t="s">
        <v>102</v>
      </c>
      <c r="R96" s="6" t="s">
        <v>103</v>
      </c>
      <c r="S96" s="7" t="s">
        <v>104</v>
      </c>
      <c r="T96" s="7" t="s">
        <v>105</v>
      </c>
      <c r="U96" s="7" t="s">
        <v>106</v>
      </c>
      <c r="V96" s="8" t="s">
        <v>107</v>
      </c>
      <c r="W96" s="36" t="s">
        <v>61</v>
      </c>
      <c r="X96" s="33" t="s">
        <v>108</v>
      </c>
      <c r="Y96" s="36" t="s">
        <v>62</v>
      </c>
      <c r="Z96" s="35" t="s">
        <v>109</v>
      </c>
      <c r="AA96" s="34" t="s">
        <v>110</v>
      </c>
      <c r="AB96" s="33" t="s">
        <v>111</v>
      </c>
      <c r="AC96" s="36" t="s">
        <v>112</v>
      </c>
      <c r="AD96" s="35" t="s">
        <v>113</v>
      </c>
      <c r="AE96" s="38" t="s">
        <v>68</v>
      </c>
      <c r="AF96" s="39" t="s">
        <v>70</v>
      </c>
      <c r="AG96" s="39" t="s">
        <v>71</v>
      </c>
      <c r="AH96" s="40" t="s">
        <v>32</v>
      </c>
      <c r="AI96" s="127" t="s">
        <v>136</v>
      </c>
      <c r="AJ96" s="69" t="s">
        <v>35</v>
      </c>
      <c r="AK96" s="70" t="s">
        <v>114</v>
      </c>
      <c r="AL96" s="70" t="s">
        <v>115</v>
      </c>
      <c r="AM96" s="70" t="s">
        <v>116</v>
      </c>
      <c r="AN96" s="70" t="s">
        <v>117</v>
      </c>
      <c r="AO96" s="70" t="s">
        <v>118</v>
      </c>
      <c r="AP96" s="70" t="s">
        <v>119</v>
      </c>
      <c r="AQ96" s="70" t="s">
        <v>120</v>
      </c>
      <c r="AR96" s="70" t="s">
        <v>121</v>
      </c>
      <c r="AS96" s="70" t="s">
        <v>122</v>
      </c>
      <c r="AT96" s="70" t="s">
        <v>123</v>
      </c>
      <c r="AU96" s="70" t="s">
        <v>124</v>
      </c>
      <c r="AV96" s="70" t="s">
        <v>125</v>
      </c>
      <c r="AW96" s="70" t="s">
        <v>126</v>
      </c>
      <c r="AX96" s="70" t="s">
        <v>127</v>
      </c>
      <c r="AY96" s="71" t="s">
        <v>128</v>
      </c>
      <c r="AZ96" s="72" t="s">
        <v>129</v>
      </c>
      <c r="BA96" s="85" t="s">
        <v>134</v>
      </c>
      <c r="BB96" s="88" t="s">
        <v>135</v>
      </c>
      <c r="BC96" s="69" t="s">
        <v>35</v>
      </c>
      <c r="BD96" s="70" t="s">
        <v>114</v>
      </c>
      <c r="BE96" s="70" t="s">
        <v>115</v>
      </c>
      <c r="BF96" s="70" t="s">
        <v>116</v>
      </c>
      <c r="BG96" s="70" t="s">
        <v>117</v>
      </c>
      <c r="BH96" s="70" t="s">
        <v>118</v>
      </c>
      <c r="BI96" s="70" t="s">
        <v>119</v>
      </c>
      <c r="BJ96" s="70" t="s">
        <v>120</v>
      </c>
      <c r="BK96" s="70" t="s">
        <v>121</v>
      </c>
      <c r="BL96" s="70" t="s">
        <v>122</v>
      </c>
      <c r="BM96" s="70" t="s">
        <v>123</v>
      </c>
      <c r="BN96" s="70" t="s">
        <v>124</v>
      </c>
      <c r="BO96" s="70" t="s">
        <v>125</v>
      </c>
      <c r="BP96" s="70" t="s">
        <v>126</v>
      </c>
      <c r="BQ96" s="70" t="s">
        <v>127</v>
      </c>
      <c r="BR96" s="71" t="s">
        <v>128</v>
      </c>
      <c r="BS96" s="72" t="s">
        <v>129</v>
      </c>
      <c r="BT96" s="85" t="s">
        <v>130</v>
      </c>
      <c r="BU96" s="85" t="s">
        <v>132</v>
      </c>
      <c r="BV96" s="85" t="s">
        <v>140</v>
      </c>
    </row>
    <row r="97" spans="1:74" x14ac:dyDescent="0.35">
      <c r="C97" s="9" t="s">
        <v>5</v>
      </c>
      <c r="D97" s="10" t="s">
        <v>7</v>
      </c>
      <c r="E97" s="10" t="s">
        <v>7</v>
      </c>
      <c r="F97" s="10" t="s">
        <v>7</v>
      </c>
      <c r="G97" s="10" t="s">
        <v>7</v>
      </c>
      <c r="H97" s="10" t="s">
        <v>7</v>
      </c>
      <c r="I97" s="10" t="s">
        <v>7</v>
      </c>
      <c r="J97" s="10" t="s">
        <v>7</v>
      </c>
      <c r="K97" s="10" t="s">
        <v>7</v>
      </c>
      <c r="L97" s="10" t="s">
        <v>7</v>
      </c>
      <c r="M97" s="10" t="s">
        <v>7</v>
      </c>
      <c r="N97" s="10" t="s">
        <v>7</v>
      </c>
      <c r="O97" s="10" t="s">
        <v>7</v>
      </c>
      <c r="P97" s="10" t="s">
        <v>7</v>
      </c>
      <c r="Q97" s="10" t="s">
        <v>7</v>
      </c>
      <c r="R97" s="10" t="s">
        <v>7</v>
      </c>
      <c r="S97" s="11" t="s">
        <v>7</v>
      </c>
      <c r="T97" s="11" t="s">
        <v>6</v>
      </c>
      <c r="U97" s="11" t="s">
        <v>6</v>
      </c>
      <c r="V97" s="12" t="s">
        <v>6</v>
      </c>
      <c r="W97" s="36" t="s">
        <v>63</v>
      </c>
      <c r="X97" s="33" t="s">
        <v>64</v>
      </c>
      <c r="Y97" s="36" t="s">
        <v>63</v>
      </c>
      <c r="Z97" s="35" t="s">
        <v>64</v>
      </c>
      <c r="AA97" s="34" t="s">
        <v>63</v>
      </c>
      <c r="AB97" s="33" t="s">
        <v>64</v>
      </c>
      <c r="AC97" s="36" t="s">
        <v>63</v>
      </c>
      <c r="AD97" s="35" t="s">
        <v>64</v>
      </c>
      <c r="AE97" s="38"/>
      <c r="AF97" s="39" t="s">
        <v>5</v>
      </c>
      <c r="AG97" s="39" t="s">
        <v>72</v>
      </c>
      <c r="AH97" s="40" t="s">
        <v>7</v>
      </c>
      <c r="AI97" s="39" t="s">
        <v>137</v>
      </c>
      <c r="AJ97" s="9" t="s">
        <v>36</v>
      </c>
      <c r="AK97" s="10" t="s">
        <v>36</v>
      </c>
      <c r="AL97" s="10" t="s">
        <v>36</v>
      </c>
      <c r="AM97" s="10" t="s">
        <v>36</v>
      </c>
      <c r="AN97" s="10" t="s">
        <v>36</v>
      </c>
      <c r="AO97" s="10" t="s">
        <v>36</v>
      </c>
      <c r="AP97" s="10" t="s">
        <v>36</v>
      </c>
      <c r="AQ97" s="10" t="s">
        <v>36</v>
      </c>
      <c r="AR97" s="10" t="s">
        <v>36</v>
      </c>
      <c r="AS97" s="10" t="s">
        <v>36</v>
      </c>
      <c r="AT97" s="10" t="s">
        <v>36</v>
      </c>
      <c r="AU97" s="10" t="s">
        <v>36</v>
      </c>
      <c r="AV97" s="10" t="s">
        <v>36</v>
      </c>
      <c r="AW97" s="10" t="s">
        <v>36</v>
      </c>
      <c r="AX97" s="10" t="s">
        <v>36</v>
      </c>
      <c r="AY97" s="12" t="s">
        <v>36</v>
      </c>
      <c r="AZ97" s="58" t="s">
        <v>36</v>
      </c>
      <c r="BA97" s="86" t="s">
        <v>152</v>
      </c>
      <c r="BB97" s="86" t="s">
        <v>36</v>
      </c>
      <c r="BC97" s="9" t="s">
        <v>89</v>
      </c>
      <c r="BD97" s="9" t="s">
        <v>89</v>
      </c>
      <c r="BE97" s="9" t="s">
        <v>89</v>
      </c>
      <c r="BF97" s="9" t="s">
        <v>89</v>
      </c>
      <c r="BG97" s="9" t="s">
        <v>89</v>
      </c>
      <c r="BH97" s="9" t="s">
        <v>89</v>
      </c>
      <c r="BI97" s="9" t="s">
        <v>139</v>
      </c>
      <c r="BJ97" s="9" t="s">
        <v>139</v>
      </c>
      <c r="BK97" s="9" t="s">
        <v>139</v>
      </c>
      <c r="BL97" s="9" t="s">
        <v>139</v>
      </c>
      <c r="BM97" s="9" t="s">
        <v>139</v>
      </c>
      <c r="BN97" s="9" t="s">
        <v>139</v>
      </c>
      <c r="BO97" s="9" t="s">
        <v>139</v>
      </c>
      <c r="BP97" s="9" t="s">
        <v>139</v>
      </c>
      <c r="BQ97" s="9" t="s">
        <v>139</v>
      </c>
      <c r="BR97" s="9" t="s">
        <v>139</v>
      </c>
      <c r="BS97" s="9" t="s">
        <v>89</v>
      </c>
      <c r="BT97" s="9" t="s">
        <v>89</v>
      </c>
      <c r="BU97" s="9" t="s">
        <v>89</v>
      </c>
      <c r="BV97" t="s">
        <v>142</v>
      </c>
    </row>
    <row r="98" spans="1:74" ht="16" thickBot="1" x14ac:dyDescent="0.4">
      <c r="A98" s="22" t="s">
        <v>0</v>
      </c>
      <c r="B98" s="128" t="s">
        <v>1</v>
      </c>
      <c r="C98" s="13" t="s">
        <v>6</v>
      </c>
      <c r="D98" s="14" t="s">
        <v>8</v>
      </c>
      <c r="E98" s="14" t="s">
        <v>9</v>
      </c>
      <c r="F98" s="14" t="s">
        <v>10</v>
      </c>
      <c r="G98" s="14" t="s">
        <v>11</v>
      </c>
      <c r="H98" s="14" t="s">
        <v>12</v>
      </c>
      <c r="I98" s="14" t="s">
        <v>13</v>
      </c>
      <c r="J98" s="14" t="s">
        <v>14</v>
      </c>
      <c r="K98" s="14" t="s">
        <v>15</v>
      </c>
      <c r="L98" s="14" t="s">
        <v>16</v>
      </c>
      <c r="M98" s="14" t="s">
        <v>17</v>
      </c>
      <c r="N98" s="14" t="s">
        <v>18</v>
      </c>
      <c r="O98" s="14" t="s">
        <v>19</v>
      </c>
      <c r="P98" s="14" t="s">
        <v>20</v>
      </c>
      <c r="Q98" s="14" t="s">
        <v>21</v>
      </c>
      <c r="R98" s="14" t="s">
        <v>22</v>
      </c>
      <c r="S98" s="15" t="s">
        <v>23</v>
      </c>
      <c r="T98" s="15" t="s">
        <v>24</v>
      </c>
      <c r="U98" s="15" t="s">
        <v>25</v>
      </c>
      <c r="V98" s="16" t="s">
        <v>26</v>
      </c>
      <c r="W98" s="36" t="s">
        <v>65</v>
      </c>
      <c r="X98" s="33" t="s">
        <v>65</v>
      </c>
      <c r="Y98" s="36" t="s">
        <v>66</v>
      </c>
      <c r="Z98" s="35" t="s">
        <v>66</v>
      </c>
      <c r="AA98" s="34" t="s">
        <v>55</v>
      </c>
      <c r="AB98" s="33" t="s">
        <v>55</v>
      </c>
      <c r="AC98" s="36" t="s">
        <v>67</v>
      </c>
      <c r="AD98" s="35" t="s">
        <v>67</v>
      </c>
      <c r="AE98" s="38"/>
      <c r="AF98" s="39"/>
      <c r="AG98" s="39" t="s">
        <v>63</v>
      </c>
      <c r="AH98" s="40" t="s">
        <v>73</v>
      </c>
      <c r="AI98" s="39" t="s">
        <v>145</v>
      </c>
      <c r="AJ98" s="13" t="s">
        <v>8</v>
      </c>
      <c r="AK98" s="14" t="s">
        <v>9</v>
      </c>
      <c r="AL98" s="14" t="s">
        <v>10</v>
      </c>
      <c r="AM98" s="14" t="s">
        <v>11</v>
      </c>
      <c r="AN98" s="14" t="s">
        <v>12</v>
      </c>
      <c r="AO98" s="14" t="s">
        <v>13</v>
      </c>
      <c r="AP98" s="14" t="s">
        <v>14</v>
      </c>
      <c r="AQ98" s="14" t="s">
        <v>15</v>
      </c>
      <c r="AR98" s="14" t="s">
        <v>16</v>
      </c>
      <c r="AS98" s="14" t="s">
        <v>17</v>
      </c>
      <c r="AT98" s="14" t="s">
        <v>18</v>
      </c>
      <c r="AU98" s="14" t="s">
        <v>19</v>
      </c>
      <c r="AV98" s="14" t="s">
        <v>20</v>
      </c>
      <c r="AW98" s="14" t="s">
        <v>21</v>
      </c>
      <c r="AX98" s="14" t="s">
        <v>22</v>
      </c>
      <c r="AY98" s="16" t="s">
        <v>23</v>
      </c>
      <c r="AZ98" s="59" t="s">
        <v>78</v>
      </c>
      <c r="BA98" s="87" t="s">
        <v>78</v>
      </c>
      <c r="BB98" s="87" t="s">
        <v>131</v>
      </c>
      <c r="BC98" s="13" t="s">
        <v>8</v>
      </c>
      <c r="BD98" s="14" t="s">
        <v>9</v>
      </c>
      <c r="BE98" s="14" t="s">
        <v>10</v>
      </c>
      <c r="BF98" s="14" t="s">
        <v>11</v>
      </c>
      <c r="BG98" s="14" t="s">
        <v>12</v>
      </c>
      <c r="BH98" s="14" t="s">
        <v>13</v>
      </c>
      <c r="BI98" s="14" t="s">
        <v>14</v>
      </c>
      <c r="BJ98" s="14" t="s">
        <v>15</v>
      </c>
      <c r="BK98" s="14" t="s">
        <v>16</v>
      </c>
      <c r="BL98" s="14" t="s">
        <v>17</v>
      </c>
      <c r="BM98" s="14" t="s">
        <v>18</v>
      </c>
      <c r="BN98" s="14" t="s">
        <v>19</v>
      </c>
      <c r="BO98" s="14" t="s">
        <v>20</v>
      </c>
      <c r="BP98" s="14" t="s">
        <v>21</v>
      </c>
      <c r="BQ98" s="14" t="s">
        <v>22</v>
      </c>
      <c r="BR98" s="16" t="s">
        <v>23</v>
      </c>
      <c r="BS98" s="59" t="s">
        <v>78</v>
      </c>
      <c r="BT98" t="s">
        <v>131</v>
      </c>
      <c r="BU98" t="s">
        <v>133</v>
      </c>
      <c r="BV98" t="s">
        <v>143</v>
      </c>
    </row>
    <row r="99" spans="1:74" ht="16" thickBot="1" x14ac:dyDescent="0.4">
      <c r="A99" s="63" t="str">
        <f t="shared" ref="A99:B122" si="10">A9</f>
        <v>20-03-18</v>
      </c>
      <c r="B99" s="129">
        <f>B9</f>
        <v>0</v>
      </c>
      <c r="C99" s="41">
        <v>0</v>
      </c>
      <c r="D99" s="123">
        <f>IFERROR(MAX('B4'!D9,'B5'!D9,'B6'!D9),0)</f>
        <v>0</v>
      </c>
      <c r="E99" s="123">
        <f>IFERROR(MAX('B4'!E9,'B5'!E9,'B6'!E9),0)</f>
        <v>0</v>
      </c>
      <c r="F99" s="123">
        <f>IFERROR(MAX('B4'!F9,'B5'!F9,'B6'!F9),0)</f>
        <v>0</v>
      </c>
      <c r="G99" s="123">
        <f>IFERROR(MAX('B4'!G9,'B5'!G9,'B6'!G9),0)</f>
        <v>0</v>
      </c>
      <c r="H99" s="123">
        <f>IFERROR(MAX('B4'!H9,'B5'!H9,'B6'!H9),0)</f>
        <v>0</v>
      </c>
      <c r="I99" s="123">
        <f>IFERROR(MAX('B4'!I9,'B5'!I9,'B6'!I9),0)</f>
        <v>0</v>
      </c>
      <c r="J99" s="123">
        <f>IFERROR(MAX('B4'!J9,'B5'!J9,'B6'!J9),0)</f>
        <v>0</v>
      </c>
      <c r="K99" s="123">
        <f>IFERROR(MAX('B4'!K9,'B5'!K9,'B6'!K9),0)</f>
        <v>0</v>
      </c>
      <c r="L99" s="123">
        <f>IFERROR(MAX('B4'!L9,'B5'!L9,'B6'!L9),0)</f>
        <v>0</v>
      </c>
      <c r="M99" s="123">
        <f>IFERROR(MAX('B4'!M9,'B5'!M9,'B6'!M9),0)</f>
        <v>0</v>
      </c>
      <c r="N99" s="123">
        <f>IFERROR(MAX('B4'!N9,'B5'!N9,'B6'!N9),0)</f>
        <v>0</v>
      </c>
      <c r="O99" s="123">
        <f>IFERROR(MAX('B4'!O9,'B5'!O9,'B6'!O9),0)</f>
        <v>0</v>
      </c>
      <c r="P99" s="123">
        <f>IFERROR(MAX('B4'!P9,'B5'!P9,'B6'!P9),0)</f>
        <v>0</v>
      </c>
      <c r="Q99" s="123">
        <f>IFERROR(MAX('B4'!Q9,'B5'!Q9,'B6'!Q9),0)</f>
        <v>0</v>
      </c>
      <c r="R99" s="123">
        <f>IFERROR(MAX('B4'!R9,'B5'!R9,'B6'!R9),0)</f>
        <v>0</v>
      </c>
      <c r="S99" s="123">
        <f>IFERROR(MAX('B4'!S9,'B5'!S9,'B6'!S9),0)</f>
        <v>0</v>
      </c>
      <c r="T99" s="123">
        <f>IFERROR(MAX('B4'!T9,'B5'!T9,'B6'!T9),0)</f>
        <v>0</v>
      </c>
      <c r="U99" s="123">
        <f>IFERROR(MAX('B4'!U9,'B5'!U9,'B6'!U9),0)</f>
        <v>0</v>
      </c>
      <c r="V99" s="123">
        <f>IFERROR(MAX('B4'!V9,'B5'!V9,'B6'!V9),0)</f>
        <v>0</v>
      </c>
      <c r="W99" s="123">
        <f>IFERROR(MAX('B4'!W9,'B5'!W9,'B6'!W9),0)</f>
        <v>0</v>
      </c>
      <c r="X99" s="123">
        <f>IFERROR(MAX('B4'!X9,'B5'!X9,'B6'!X9),0)</f>
        <v>0</v>
      </c>
      <c r="Y99" s="123">
        <f>IFERROR(MAX('B4'!Y9,'B5'!Y9,'B6'!Y9),0)</f>
        <v>0</v>
      </c>
      <c r="Z99" s="123">
        <f>IFERROR(MAX('B4'!Z9,'B5'!Z9,'B6'!Z9),0)</f>
        <v>0</v>
      </c>
      <c r="AA99" s="123">
        <f>IFERROR(MAX('B4'!AA9,'B5'!AA9,'B6'!AA9),0)</f>
        <v>0</v>
      </c>
      <c r="AB99" s="123">
        <f>IFERROR(MAX('B4'!AB9,'B5'!AB9,'B6'!AB9),0)</f>
        <v>0</v>
      </c>
      <c r="AC99" s="123">
        <f>IFERROR(MAX('B4'!AC9,'B5'!AC9,'B6'!AC9),0)</f>
        <v>0</v>
      </c>
      <c r="AD99" s="123">
        <f>IFERROR(MAX('B4'!AD9,'B5'!AD9,'B6'!AD9),0)</f>
        <v>0</v>
      </c>
      <c r="AE99" s="123">
        <f>IFERROR(MAX('B4'!AE9,'B5'!AE9,'B6'!AE9),0)</f>
        <v>7</v>
      </c>
      <c r="AF99" s="123">
        <f>IFERROR(MAX('B4'!AF9,'B5'!AF9,'B6'!AF9),0)</f>
        <v>0</v>
      </c>
      <c r="AG99" s="123">
        <f>IFERROR(MAX('B4'!AG9,'B5'!AG9,'B6'!AG9),0)</f>
        <v>1</v>
      </c>
      <c r="AH99" s="123">
        <f>IFERROR(MAX('B4'!AH9,'B5'!AH9,'B6'!AH9),0)</f>
        <v>0</v>
      </c>
      <c r="AI99" s="123">
        <f>IFERROR(MAX('B4'!AI9,'B5'!AI9,'B6'!AI9),0)</f>
        <v>0</v>
      </c>
      <c r="AJ99" s="123">
        <f>IFERROR(MAX('B4'!AJ9,'B5'!AJ9,'B6'!AJ9),0)</f>
        <v>0</v>
      </c>
      <c r="AK99" s="123">
        <f>IFERROR(MAX('B4'!AK9,'B5'!AK9,'B6'!AK9),0)</f>
        <v>0</v>
      </c>
      <c r="AL99" s="123">
        <f>IFERROR(MAX('B4'!AL9,'B5'!AL9,'B6'!AL9),0)</f>
        <v>0</v>
      </c>
      <c r="AM99" s="123">
        <f>IFERROR(MAX('B4'!AM9,'B5'!AM9,'B6'!AM9),0)</f>
        <v>0</v>
      </c>
      <c r="AN99" s="123">
        <f>IFERROR(MAX('B4'!AN9,'B5'!AN9,'B6'!AN9),0)</f>
        <v>0</v>
      </c>
      <c r="AO99" s="123">
        <f>IFERROR(MAX('B4'!AO9,'B5'!AO9,'B6'!AO9),0)</f>
        <v>0</v>
      </c>
      <c r="AP99" s="123">
        <f>IFERROR(MAX('B4'!AP9,'B5'!AP9,'B6'!AP9),0)</f>
        <v>0</v>
      </c>
      <c r="AQ99" s="123">
        <f>IFERROR(MAX('B4'!AQ9,'B5'!AQ9,'B6'!AQ9),0)</f>
        <v>0</v>
      </c>
      <c r="AR99" s="123">
        <f>IFERROR(MAX('B4'!AR9,'B5'!AR9,'B6'!AR9),0)</f>
        <v>0</v>
      </c>
      <c r="AS99" s="123">
        <f>IFERROR(MAX('B4'!AS9,'B5'!AS9,'B6'!AS9),0)</f>
        <v>0</v>
      </c>
      <c r="AT99" s="123">
        <f>IFERROR(MAX('B4'!AT9,'B5'!AT9,'B6'!AT9),0)</f>
        <v>0</v>
      </c>
      <c r="AU99" s="123">
        <f>IFERROR(MAX('B4'!AU9,'B5'!AU9,'B6'!AU9),0)</f>
        <v>0</v>
      </c>
      <c r="AV99" s="123">
        <f>IFERROR(MAX('B4'!AV9,'B5'!AV9,'B6'!AV9),0)</f>
        <v>0</v>
      </c>
      <c r="AW99" s="123">
        <f>IFERROR(MAX('B4'!AW9,'B5'!AW9,'B6'!AW9),0)</f>
        <v>0</v>
      </c>
      <c r="AX99" s="123">
        <f>IFERROR(MAX('B4'!AX9,'B5'!AX9,'B6'!AX9),0)</f>
        <v>0</v>
      </c>
      <c r="AY99" s="123">
        <f>IFERROR(MAX('B4'!AY9,'B5'!AY9,'B6'!AY9),0)</f>
        <v>0</v>
      </c>
      <c r="AZ99" s="123">
        <f>IFERROR(MAX('B4'!AZ9,'B5'!AZ9,'B6'!AZ9),0)</f>
        <v>0</v>
      </c>
      <c r="BA99" s="123">
        <f>IFERROR(MAX('B4'!BA9,'B5'!BA9,'B6'!BA9),0)</f>
        <v>0</v>
      </c>
      <c r="BB99" s="123">
        <f>IFERROR(MAX('B4'!BB9,'B5'!BB9,'B6'!BB9),0)</f>
        <v>0</v>
      </c>
      <c r="BC99" s="123">
        <f>IFERROR(MAX('B4'!BC9,'B5'!BC9,'B6'!BC9),0)</f>
        <v>0</v>
      </c>
      <c r="BD99" s="123">
        <f>IFERROR(MAX('B4'!BD9,'B5'!BD9,'B6'!BD9),0)</f>
        <v>0</v>
      </c>
      <c r="BE99" s="123">
        <f>IFERROR(MAX('B4'!BE9,'B5'!BE9,'B6'!BE9),0)</f>
        <v>0</v>
      </c>
      <c r="BF99" s="123">
        <f>IFERROR(MAX('B4'!BF9,'B5'!BF9,'B6'!BF9),0)</f>
        <v>0</v>
      </c>
      <c r="BG99" s="123">
        <f>IFERROR(MAX('B4'!BG9,'B5'!BG9,'B6'!BG9),0)</f>
        <v>0</v>
      </c>
      <c r="BH99" s="123">
        <f>IFERROR(MAX('B4'!BH9,'B5'!BH9,'B6'!BH9),0)</f>
        <v>0</v>
      </c>
      <c r="BI99" s="123">
        <f>IFERROR(MAX('B4'!BI9,'B5'!BI9,'B6'!BI9),0)</f>
        <v>0</v>
      </c>
      <c r="BJ99" s="123">
        <f>IFERROR(MAX('B4'!BJ9,'B5'!BJ9,'B6'!BJ9),0)</f>
        <v>0</v>
      </c>
      <c r="BK99" s="123">
        <f>IFERROR(MAX('B4'!BK9,'B5'!BK9,'B6'!BK9),0)</f>
        <v>0</v>
      </c>
      <c r="BL99" s="123">
        <f>IFERROR(MAX('B4'!BL9,'B5'!BL9,'B6'!BL9),0)</f>
        <v>0</v>
      </c>
      <c r="BM99" s="123">
        <f>IFERROR(MAX('B4'!BM9,'B5'!BM9,'B6'!BM9),0)</f>
        <v>0</v>
      </c>
      <c r="BN99" s="123">
        <f>IFERROR(MAX('B4'!BN9,'B5'!BN9,'B6'!BN9),0)</f>
        <v>0</v>
      </c>
      <c r="BO99" s="123">
        <f>IFERROR(MAX('B4'!BO9,'B5'!BO9,'B6'!BO9),0)</f>
        <v>0</v>
      </c>
      <c r="BP99" s="123">
        <f>IFERROR(MAX('B4'!BP9,'B5'!BP9,'B6'!BP9),0)</f>
        <v>0</v>
      </c>
      <c r="BQ99" s="123">
        <f>IFERROR(MAX('B4'!BQ9,'B5'!BQ9,'B6'!BQ9),0)</f>
        <v>0</v>
      </c>
      <c r="BR99" s="123">
        <f>IFERROR(MAX('B4'!BR9,'B5'!BR9,'B6'!BR9),0)</f>
        <v>0</v>
      </c>
      <c r="BS99" s="123">
        <f>IFERROR(MAX('B4'!BS9,'B5'!BS9,'B6'!BS9),0)</f>
        <v>0</v>
      </c>
      <c r="BT99" s="123">
        <f>IFERROR(MAX('B4'!BT9,'B5'!BT9,'B6'!BT9),0)</f>
        <v>0</v>
      </c>
      <c r="BU99" s="123">
        <f>IFERROR(MAX('B4'!BU9,'B5'!BU9,'B6'!BU9),0)</f>
        <v>0</v>
      </c>
      <c r="BV99" s="123">
        <f>IFERROR(MAX('B4'!BV9,'B5'!BV9,'B6'!BV9),0)</f>
        <v>0</v>
      </c>
    </row>
    <row r="100" spans="1:74" ht="16" thickBot="1" x14ac:dyDescent="0.4">
      <c r="A100" s="63" t="str">
        <f t="shared" si="10"/>
        <v>22-03-18</v>
      </c>
      <c r="B100" s="129">
        <f t="shared" si="10"/>
        <v>2</v>
      </c>
      <c r="C100" s="77">
        <v>0</v>
      </c>
      <c r="D100" s="123">
        <f>IFERROR(MAX('B4'!D10,'B5'!D10,'B6'!D10),0)</f>
        <v>0</v>
      </c>
      <c r="E100" s="123">
        <f>IFERROR(MAX('B4'!E10,'B5'!E10,'B6'!E10),0)</f>
        <v>0</v>
      </c>
      <c r="F100" s="123">
        <f>IFERROR(MAX('B4'!F10,'B5'!F10,'B6'!F10),0)</f>
        <v>0</v>
      </c>
      <c r="G100" s="123">
        <f>IFERROR(MAX('B4'!G10,'B5'!G10,'B6'!G10),0)</f>
        <v>0</v>
      </c>
      <c r="H100" s="123">
        <f>IFERROR(MAX('B4'!H10,'B5'!H10,'B6'!H10),0)</f>
        <v>0</v>
      </c>
      <c r="I100" s="123">
        <f>IFERROR(MAX('B4'!I10,'B5'!I10,'B6'!I10),0)</f>
        <v>0</v>
      </c>
      <c r="J100" s="123">
        <f>IFERROR(MAX('B4'!J10,'B5'!J10,'B6'!J10),0)</f>
        <v>0</v>
      </c>
      <c r="K100" s="123">
        <f>IFERROR(MAX('B4'!K10,'B5'!K10,'B6'!K10),0)</f>
        <v>0</v>
      </c>
      <c r="L100" s="123">
        <f>IFERROR(MAX('B4'!L10,'B5'!L10,'B6'!L10),0)</f>
        <v>0</v>
      </c>
      <c r="M100" s="123">
        <f>IFERROR(MAX('B4'!M10,'B5'!M10,'B6'!M10),0)</f>
        <v>0</v>
      </c>
      <c r="N100" s="123">
        <f>IFERROR(MAX('B4'!N10,'B5'!N10,'B6'!N10),0)</f>
        <v>0</v>
      </c>
      <c r="O100" s="123">
        <f>IFERROR(MAX('B4'!O10,'B5'!O10,'B6'!O10),0)</f>
        <v>0</v>
      </c>
      <c r="P100" s="123">
        <f>IFERROR(MAX('B4'!P10,'B5'!P10,'B6'!P10),0)</f>
        <v>0</v>
      </c>
      <c r="Q100" s="123">
        <f>IFERROR(MAX('B4'!Q10,'B5'!Q10,'B6'!Q10),0)</f>
        <v>0</v>
      </c>
      <c r="R100" s="123">
        <f>IFERROR(MAX('B4'!R10,'B5'!R10,'B6'!R10),0)</f>
        <v>0</v>
      </c>
      <c r="S100" s="123">
        <f>IFERROR(MAX('B4'!S10,'B5'!S10,'B6'!S10),0)</f>
        <v>0</v>
      </c>
      <c r="T100" s="123">
        <f>IFERROR(MAX('B4'!T10,'B5'!T10,'B6'!T10),0)</f>
        <v>0</v>
      </c>
      <c r="U100" s="123">
        <f>IFERROR(MAX('B4'!U10,'B5'!U10,'B6'!U10),0)</f>
        <v>0</v>
      </c>
      <c r="V100" s="123">
        <f>IFERROR(MAX('B4'!V10,'B5'!V10,'B6'!V10),0)</f>
        <v>0</v>
      </c>
      <c r="W100" s="123">
        <f>IFERROR(MAX('B4'!W10,'B5'!W10,'B6'!W10),0)</f>
        <v>0</v>
      </c>
      <c r="X100" s="123">
        <f>IFERROR(MAX('B4'!X10,'B5'!X10,'B6'!X10),0)</f>
        <v>0</v>
      </c>
      <c r="Y100" s="123">
        <f>IFERROR(MAX('B4'!Y10,'B5'!Y10,'B6'!Y10),0)</f>
        <v>0</v>
      </c>
      <c r="Z100" s="123">
        <f>IFERROR(MAX('B4'!Z10,'B5'!Z10,'B6'!Z10),0)</f>
        <v>0</v>
      </c>
      <c r="AA100" s="123">
        <f>IFERROR(MAX('B4'!AA10,'B5'!AA10,'B6'!AA10),0)</f>
        <v>0</v>
      </c>
      <c r="AB100" s="123">
        <f>IFERROR(MAX('B4'!AB10,'B5'!AB10,'B6'!AB10),0)</f>
        <v>0</v>
      </c>
      <c r="AC100" s="123">
        <f>IFERROR(MAX('B4'!AC10,'B5'!AC10,'B6'!AC10),0)</f>
        <v>0</v>
      </c>
      <c r="AD100" s="123">
        <f>IFERROR(MAX('B4'!AD10,'B5'!AD10,'B6'!AD10),0)</f>
        <v>0</v>
      </c>
      <c r="AE100" s="123">
        <f>IFERROR(MAX('B4'!AE10,'B5'!AE10,'B6'!AE10),0)</f>
        <v>6.78</v>
      </c>
      <c r="AF100" s="123">
        <f>IFERROR(MAX('B4'!AF10,'B5'!AF10,'B6'!AF10),0)</f>
        <v>10</v>
      </c>
      <c r="AG100" s="123">
        <f>IFERROR(MAX('B4'!AG10,'B5'!AG10,'B6'!AG10),0)</f>
        <v>1</v>
      </c>
      <c r="AH100" s="123">
        <f>IFERROR(MAX('B4'!AH10,'B5'!AH10,'B6'!AH10),0)</f>
        <v>11.5</v>
      </c>
      <c r="AI100" s="123">
        <f>IFERROR(MAX('B4'!AI10,'B5'!AI10,'B6'!AI10),0)</f>
        <v>0</v>
      </c>
      <c r="AJ100" s="123">
        <f>IFERROR(MAX('B4'!AJ10,'B5'!AJ10,'B6'!AJ10),0)</f>
        <v>0</v>
      </c>
      <c r="AK100" s="123">
        <f>IFERROR(MAX('B4'!AK10,'B5'!AK10,'B6'!AK10),0)</f>
        <v>0</v>
      </c>
      <c r="AL100" s="123">
        <f>IFERROR(MAX('B4'!AL10,'B5'!AL10,'B6'!AL10),0)</f>
        <v>0</v>
      </c>
      <c r="AM100" s="123">
        <f>IFERROR(MAX('B4'!AM10,'B5'!AM10,'B6'!AM10),0)</f>
        <v>0</v>
      </c>
      <c r="AN100" s="123">
        <f>IFERROR(MAX('B4'!AN10,'B5'!AN10,'B6'!AN10),0)</f>
        <v>0</v>
      </c>
      <c r="AO100" s="123">
        <f>IFERROR(MAX('B4'!AO10,'B5'!AO10,'B6'!AO10),0)</f>
        <v>0</v>
      </c>
      <c r="AP100" s="123">
        <f>IFERROR(MAX('B4'!AP10,'B5'!AP10,'B6'!AP10),0)</f>
        <v>0</v>
      </c>
      <c r="AQ100" s="123">
        <f>IFERROR(MAX('B4'!AQ10,'B5'!AQ10,'B6'!AQ10),0)</f>
        <v>0</v>
      </c>
      <c r="AR100" s="123">
        <f>IFERROR(MAX('B4'!AR10,'B5'!AR10,'B6'!AR10),0)</f>
        <v>0</v>
      </c>
      <c r="AS100" s="123">
        <f>IFERROR(MAX('B4'!AS10,'B5'!AS10,'B6'!AS10),0)</f>
        <v>0</v>
      </c>
      <c r="AT100" s="123">
        <f>IFERROR(MAX('B4'!AT10,'B5'!AT10,'B6'!AT10),0)</f>
        <v>0</v>
      </c>
      <c r="AU100" s="123">
        <f>IFERROR(MAX('B4'!AU10,'B5'!AU10,'B6'!AU10),0)</f>
        <v>0</v>
      </c>
      <c r="AV100" s="123">
        <f>IFERROR(MAX('B4'!AV10,'B5'!AV10,'B6'!AV10),0)</f>
        <v>0</v>
      </c>
      <c r="AW100" s="123">
        <f>IFERROR(MAX('B4'!AW10,'B5'!AW10,'B6'!AW10),0)</f>
        <v>0</v>
      </c>
      <c r="AX100" s="123">
        <f>IFERROR(MAX('B4'!AX10,'B5'!AX10,'B6'!AX10),0)</f>
        <v>0</v>
      </c>
      <c r="AY100" s="123">
        <f>IFERROR(MAX('B4'!AY10,'B5'!AY10,'B6'!AY10),0)</f>
        <v>0</v>
      </c>
      <c r="AZ100" s="123">
        <f>IFERROR(MAX('B4'!AZ10,'B5'!AZ10,'B6'!AZ10),0)</f>
        <v>1.2766429840142097</v>
      </c>
      <c r="BA100" s="123">
        <f>IFERROR(MAX('B4'!BA10,'B5'!BA10,'B6'!BA10),0)</f>
        <v>0.115</v>
      </c>
      <c r="BB100" s="123">
        <f>IFERROR(MAX('B4'!BB10,'B5'!BB10,'B6'!BB10),0)</f>
        <v>0</v>
      </c>
      <c r="BC100" s="123">
        <f>IFERROR(MAX('B4'!BC10,'B5'!BC10,'B6'!BC10),0)</f>
        <v>0</v>
      </c>
      <c r="BD100" s="123">
        <f>IFERROR(MAX('B4'!BD10,'B5'!BD10,'B6'!BD10),0)</f>
        <v>0</v>
      </c>
      <c r="BE100" s="123">
        <f>IFERROR(MAX('B4'!BE10,'B5'!BE10,'B6'!BE10),0)</f>
        <v>0</v>
      </c>
      <c r="BF100" s="123">
        <f>IFERROR(MAX('B4'!BF10,'B5'!BF10,'B6'!BF10),0)</f>
        <v>0</v>
      </c>
      <c r="BG100" s="123">
        <f>IFERROR(MAX('B4'!BG10,'B5'!BG10,'B6'!BG10),0)</f>
        <v>0</v>
      </c>
      <c r="BH100" s="123">
        <f>IFERROR(MAX('B4'!BH10,'B5'!BH10,'B6'!BH10),0)</f>
        <v>0</v>
      </c>
      <c r="BI100" s="123">
        <f>IFERROR(MAX('B4'!BI10,'B5'!BI10,'B6'!BI10),0)</f>
        <v>0</v>
      </c>
      <c r="BJ100" s="123">
        <f>IFERROR(MAX('B4'!BJ10,'B5'!BJ10,'B6'!BJ10),0)</f>
        <v>0</v>
      </c>
      <c r="BK100" s="123">
        <f>IFERROR(MAX('B4'!BK10,'B5'!BK10,'B6'!BK10),0)</f>
        <v>0</v>
      </c>
      <c r="BL100" s="123">
        <f>IFERROR(MAX('B4'!BL10,'B5'!BL10,'B6'!BL10),0)</f>
        <v>0</v>
      </c>
      <c r="BM100" s="123">
        <f>IFERROR(MAX('B4'!BM10,'B5'!BM10,'B6'!BM10),0)</f>
        <v>0</v>
      </c>
      <c r="BN100" s="123">
        <f>IFERROR(MAX('B4'!BN10,'B5'!BN10,'B6'!BN10),0)</f>
        <v>0</v>
      </c>
      <c r="BO100" s="123">
        <f>IFERROR(MAX('B4'!BO10,'B5'!BO10,'B6'!BO10),0)</f>
        <v>0</v>
      </c>
      <c r="BP100" s="123">
        <f>IFERROR(MAX('B4'!BP10,'B5'!BP10,'B6'!BP10),0)</f>
        <v>0</v>
      </c>
      <c r="BQ100" s="123">
        <f>IFERROR(MAX('B4'!BQ10,'B5'!BQ10,'B6'!BQ10),0)</f>
        <v>0</v>
      </c>
      <c r="BR100" s="123">
        <f>IFERROR(MAX('B4'!BR10,'B5'!BR10,'B6'!BR10),0)</f>
        <v>0</v>
      </c>
      <c r="BS100" s="123">
        <f>IFERROR(MAX('B4'!BS10,'B5'!BS10,'B6'!BS10),0)</f>
        <v>0</v>
      </c>
      <c r="BT100" s="123">
        <f>IFERROR(MAX('B4'!BT10,'B5'!BT10,'B6'!BT10),0)</f>
        <v>3.8299289520426294E-3</v>
      </c>
      <c r="BU100" s="123">
        <f>IFERROR(MAX('B4'!BU10,'B5'!BU10,'B6'!BU10),0)</f>
        <v>0</v>
      </c>
      <c r="BV100" s="123">
        <f>IFERROR(MAX('B4'!BV10,'B5'!BV10,'B6'!BV10),0)</f>
        <v>0</v>
      </c>
    </row>
    <row r="101" spans="1:74" ht="16" thickBot="1" x14ac:dyDescent="0.4">
      <c r="A101" s="63" t="str">
        <f t="shared" si="10"/>
        <v>23-03-18</v>
      </c>
      <c r="B101" s="129">
        <f t="shared" si="10"/>
        <v>3</v>
      </c>
      <c r="C101" s="41">
        <v>0</v>
      </c>
      <c r="D101" s="123">
        <f>IFERROR(MAX('B4'!D11,'B5'!D11,'B6'!D11),0)</f>
        <v>0</v>
      </c>
      <c r="E101" s="123">
        <f>IFERROR(MAX('B4'!E11,'B5'!E11,'B6'!E11),0)</f>
        <v>0</v>
      </c>
      <c r="F101" s="123">
        <f>IFERROR(MAX('B4'!F11,'B5'!F11,'B6'!F11),0)</f>
        <v>0</v>
      </c>
      <c r="G101" s="123">
        <f>IFERROR(MAX('B4'!G11,'B5'!G11,'B6'!G11),0)</f>
        <v>0</v>
      </c>
      <c r="H101" s="123">
        <f>IFERROR(MAX('B4'!H11,'B5'!H11,'B6'!H11),0)</f>
        <v>0</v>
      </c>
      <c r="I101" s="123">
        <f>IFERROR(MAX('B4'!I11,'B5'!I11,'B6'!I11),0)</f>
        <v>0</v>
      </c>
      <c r="J101" s="123">
        <f>IFERROR(MAX('B4'!J11,'B5'!J11,'B6'!J11),0)</f>
        <v>0</v>
      </c>
      <c r="K101" s="123">
        <f>IFERROR(MAX('B4'!K11,'B5'!K11,'B6'!K11),0)</f>
        <v>0</v>
      </c>
      <c r="L101" s="123">
        <f>IFERROR(MAX('B4'!L11,'B5'!L11,'B6'!L11),0)</f>
        <v>0</v>
      </c>
      <c r="M101" s="123">
        <f>IFERROR(MAX('B4'!M11,'B5'!M11,'B6'!M11),0)</f>
        <v>0</v>
      </c>
      <c r="N101" s="123">
        <f>IFERROR(MAX('B4'!N11,'B5'!N11,'B6'!N11),0)</f>
        <v>0</v>
      </c>
      <c r="O101" s="123">
        <f>IFERROR(MAX('B4'!O11,'B5'!O11,'B6'!O11),0)</f>
        <v>0</v>
      </c>
      <c r="P101" s="123">
        <f>IFERROR(MAX('B4'!P11,'B5'!P11,'B6'!P11),0)</f>
        <v>0</v>
      </c>
      <c r="Q101" s="123">
        <f>IFERROR(MAX('B4'!Q11,'B5'!Q11,'B6'!Q11),0)</f>
        <v>0</v>
      </c>
      <c r="R101" s="123">
        <f>IFERROR(MAX('B4'!R11,'B5'!R11,'B6'!R11),0)</f>
        <v>0</v>
      </c>
      <c r="S101" s="123">
        <f>IFERROR(MAX('B4'!S11,'B5'!S11,'B6'!S11),0)</f>
        <v>0</v>
      </c>
      <c r="T101" s="123">
        <f>IFERROR(MAX('B4'!T11,'B5'!T11,'B6'!T11),0)</f>
        <v>0</v>
      </c>
      <c r="U101" s="123">
        <f>IFERROR(MAX('B4'!U11,'B5'!U11,'B6'!U11),0)</f>
        <v>0</v>
      </c>
      <c r="V101" s="123">
        <f>IFERROR(MAX('B4'!V11,'B5'!V11,'B6'!V11),0)</f>
        <v>0</v>
      </c>
      <c r="W101" s="123">
        <f>IFERROR(MAX('B4'!W11,'B5'!W11,'B6'!W11),0)</f>
        <v>0</v>
      </c>
      <c r="X101" s="123">
        <f>IFERROR(MAX('B4'!X11,'B5'!X11,'B6'!X11),0)</f>
        <v>0</v>
      </c>
      <c r="Y101" s="123">
        <f>IFERROR(MAX('B4'!Y11,'B5'!Y11,'B6'!Y11),0)</f>
        <v>0</v>
      </c>
      <c r="Z101" s="123">
        <f>IFERROR(MAX('B4'!Z11,'B5'!Z11,'B6'!Z11),0)</f>
        <v>0</v>
      </c>
      <c r="AA101" s="123">
        <f>IFERROR(MAX('B4'!AA11,'B5'!AA11,'B6'!AA11),0)</f>
        <v>0</v>
      </c>
      <c r="AB101" s="123">
        <f>IFERROR(MAX('B4'!AB11,'B5'!AB11,'B6'!AB11),0)</f>
        <v>0</v>
      </c>
      <c r="AC101" s="123">
        <f>IFERROR(MAX('B4'!AC11,'B5'!AC11,'B6'!AC11),0)</f>
        <v>0</v>
      </c>
      <c r="AD101" s="123">
        <f>IFERROR(MAX('B4'!AD11,'B5'!AD11,'B6'!AD11),0)</f>
        <v>0</v>
      </c>
      <c r="AE101" s="123">
        <f>IFERROR(MAX('B4'!AE11,'B5'!AE11,'B6'!AE11),0)</f>
        <v>6.31</v>
      </c>
      <c r="AF101" s="123">
        <f>IFERROR(MAX('B4'!AF11,'B5'!AF11,'B6'!AF11),0)</f>
        <v>10</v>
      </c>
      <c r="AG101" s="123">
        <f>IFERROR(MAX('B4'!AG11,'B5'!AG11,'B6'!AG11),0)</f>
        <v>1</v>
      </c>
      <c r="AH101" s="123">
        <f>IFERROR(MAX('B4'!AH11,'B5'!AH11,'B6'!AH11),0)</f>
        <v>29.701000000000001</v>
      </c>
      <c r="AI101" s="123">
        <f>IFERROR(MAX('B4'!AI11,'B5'!AI11,'B6'!AI11),0)</f>
        <v>0</v>
      </c>
      <c r="AJ101" s="123">
        <f>IFERROR(MAX('B4'!AJ11,'B5'!AJ11,'B6'!AJ11),0)</f>
        <v>0</v>
      </c>
      <c r="AK101" s="123">
        <f>IFERROR(MAX('B4'!AK11,'B5'!AK11,'B6'!AK11),0)</f>
        <v>0</v>
      </c>
      <c r="AL101" s="123">
        <f>IFERROR(MAX('B4'!AL11,'B5'!AL11,'B6'!AL11),0)</f>
        <v>0</v>
      </c>
      <c r="AM101" s="123">
        <f>IFERROR(MAX('B4'!AM11,'B5'!AM11,'B6'!AM11),0)</f>
        <v>0</v>
      </c>
      <c r="AN101" s="123">
        <f>IFERROR(MAX('B4'!AN11,'B5'!AN11,'B6'!AN11),0)</f>
        <v>0</v>
      </c>
      <c r="AO101" s="123">
        <f>IFERROR(MAX('B4'!AO11,'B5'!AO11,'B6'!AO11),0)</f>
        <v>0</v>
      </c>
      <c r="AP101" s="123">
        <f>IFERROR(MAX('B4'!AP11,'B5'!AP11,'B6'!AP11),0)</f>
        <v>0</v>
      </c>
      <c r="AQ101" s="123">
        <f>IFERROR(MAX('B4'!AQ11,'B5'!AQ11,'B6'!AQ11),0)</f>
        <v>0</v>
      </c>
      <c r="AR101" s="123">
        <f>IFERROR(MAX('B4'!AR11,'B5'!AR11,'B6'!AR11),0)</f>
        <v>0</v>
      </c>
      <c r="AS101" s="123">
        <f>IFERROR(MAX('B4'!AS11,'B5'!AS11,'B6'!AS11),0)</f>
        <v>0</v>
      </c>
      <c r="AT101" s="123">
        <f>IFERROR(MAX('B4'!AT11,'B5'!AT11,'B6'!AT11),0)</f>
        <v>0</v>
      </c>
      <c r="AU101" s="123">
        <f>IFERROR(MAX('B4'!AU11,'B5'!AU11,'B6'!AU11),0)</f>
        <v>0</v>
      </c>
      <c r="AV101" s="123">
        <f>IFERROR(MAX('B4'!AV11,'B5'!AV11,'B6'!AV11),0)</f>
        <v>0</v>
      </c>
      <c r="AW101" s="123">
        <f>IFERROR(MAX('B4'!AW11,'B5'!AW11,'B6'!AW11),0)</f>
        <v>0</v>
      </c>
      <c r="AX101" s="123">
        <f>IFERROR(MAX('B4'!AX11,'B5'!AX11,'B6'!AX11),0)</f>
        <v>0</v>
      </c>
      <c r="AY101" s="123">
        <f>IFERROR(MAX('B4'!AY11,'B5'!AY11,'B6'!AY11),0)</f>
        <v>0</v>
      </c>
      <c r="AZ101" s="123">
        <f>IFERROR(MAX('B4'!AZ11,'B5'!AZ11,'B6'!AZ11),0)</f>
        <v>3.2971802841918296</v>
      </c>
      <c r="BA101" s="123">
        <f>IFERROR(MAX('B4'!BA11,'B5'!BA11,'B6'!BA11),0)</f>
        <v>0.29701</v>
      </c>
      <c r="BB101" s="123">
        <f>IFERROR(MAX('B4'!BB11,'B5'!BB11,'B6'!BB11),0)</f>
        <v>0</v>
      </c>
      <c r="BC101" s="123">
        <f>IFERROR(MAX('B4'!BC11,'B5'!BC11,'B6'!BC11),0)</f>
        <v>0</v>
      </c>
      <c r="BD101" s="123">
        <f>IFERROR(MAX('B4'!BD11,'B5'!BD11,'B6'!BD11),0)</f>
        <v>0</v>
      </c>
      <c r="BE101" s="123">
        <f>IFERROR(MAX('B4'!BE11,'B5'!BE11,'B6'!BE11),0)</f>
        <v>0</v>
      </c>
      <c r="BF101" s="123">
        <f>IFERROR(MAX('B4'!BF11,'B5'!BF11,'B6'!BF11),0)</f>
        <v>0</v>
      </c>
      <c r="BG101" s="123">
        <f>IFERROR(MAX('B4'!BG11,'B5'!BG11,'B6'!BG11),0)</f>
        <v>0</v>
      </c>
      <c r="BH101" s="123">
        <f>IFERROR(MAX('B4'!BH11,'B5'!BH11,'B6'!BH11),0)</f>
        <v>0</v>
      </c>
      <c r="BI101" s="123">
        <f>IFERROR(MAX('B4'!BI11,'B5'!BI11,'B6'!BI11),0)</f>
        <v>0</v>
      </c>
      <c r="BJ101" s="123">
        <f>IFERROR(MAX('B4'!BJ11,'B5'!BJ11,'B6'!BJ11),0)</f>
        <v>0</v>
      </c>
      <c r="BK101" s="123">
        <f>IFERROR(MAX('B4'!BK11,'B5'!BK11,'B6'!BK11),0)</f>
        <v>0</v>
      </c>
      <c r="BL101" s="123">
        <f>IFERROR(MAX('B4'!BL11,'B5'!BL11,'B6'!BL11),0)</f>
        <v>0</v>
      </c>
      <c r="BM101" s="123">
        <f>IFERROR(MAX('B4'!BM11,'B5'!BM11,'B6'!BM11),0)</f>
        <v>0</v>
      </c>
      <c r="BN101" s="123">
        <f>IFERROR(MAX('B4'!BN11,'B5'!BN11,'B6'!BN11),0)</f>
        <v>0</v>
      </c>
      <c r="BO101" s="123">
        <f>IFERROR(MAX('B4'!BO11,'B5'!BO11,'B6'!BO11),0)</f>
        <v>0</v>
      </c>
      <c r="BP101" s="123">
        <f>IFERROR(MAX('B4'!BP11,'B5'!BP11,'B6'!BP11),0)</f>
        <v>0</v>
      </c>
      <c r="BQ101" s="123">
        <f>IFERROR(MAX('B4'!BQ11,'B5'!BQ11,'B6'!BQ11),0)</f>
        <v>0</v>
      </c>
      <c r="BR101" s="123">
        <f>IFERROR(MAX('B4'!BR11,'B5'!BR11,'B6'!BR11),0)</f>
        <v>0</v>
      </c>
      <c r="BS101" s="123">
        <f>IFERROR(MAX('B4'!BS11,'B5'!BS11,'B6'!BS11),0)</f>
        <v>0</v>
      </c>
      <c r="BT101" s="123">
        <f>IFERROR(MAX('B4'!BT11,'B5'!BT11,'B6'!BT11),0)</f>
        <v>9.8915408525754884E-3</v>
      </c>
      <c r="BU101" s="123">
        <f>IFERROR(MAX('B4'!BU11,'B5'!BU11,'B6'!BU11),0)</f>
        <v>0</v>
      </c>
      <c r="BV101" s="123">
        <f>IFERROR(MAX('B4'!BV11,'B5'!BV11,'B6'!BV11),0)</f>
        <v>0</v>
      </c>
    </row>
    <row r="102" spans="1:74" ht="16" thickBot="1" x14ac:dyDescent="0.4">
      <c r="A102" s="63" t="str">
        <f t="shared" si="10"/>
        <v>26-03-18</v>
      </c>
      <c r="B102" s="129">
        <f t="shared" si="10"/>
        <v>6</v>
      </c>
      <c r="C102" s="77">
        <v>0</v>
      </c>
      <c r="D102" s="123">
        <f>IFERROR(MAX('B4'!D12,'B5'!D12,'B6'!D12),0)</f>
        <v>0</v>
      </c>
      <c r="E102" s="123">
        <f>IFERROR(MAX('B4'!E12,'B5'!E12,'B6'!E12),0)</f>
        <v>0</v>
      </c>
      <c r="F102" s="123">
        <f>IFERROR(MAX('B4'!F12,'B5'!F12,'B6'!F12),0)</f>
        <v>0</v>
      </c>
      <c r="G102" s="123">
        <f>IFERROR(MAX('B4'!G12,'B5'!G12,'B6'!G12),0)</f>
        <v>0</v>
      </c>
      <c r="H102" s="123">
        <f>IFERROR(MAX('B4'!H12,'B5'!H12,'B6'!H12),0)</f>
        <v>0</v>
      </c>
      <c r="I102" s="123">
        <f>IFERROR(MAX('B4'!I12,'B5'!I12,'B6'!I12),0)</f>
        <v>0</v>
      </c>
      <c r="J102" s="123">
        <f>IFERROR(MAX('B4'!J12,'B5'!J12,'B6'!J12),0)</f>
        <v>0</v>
      </c>
      <c r="K102" s="123">
        <f>IFERROR(MAX('B4'!K12,'B5'!K12,'B6'!K12),0)</f>
        <v>0</v>
      </c>
      <c r="L102" s="123">
        <f>IFERROR(MAX('B4'!L12,'B5'!L12,'B6'!L12),0)</f>
        <v>0</v>
      </c>
      <c r="M102" s="123">
        <f>IFERROR(MAX('B4'!M12,'B5'!M12,'B6'!M12),0)</f>
        <v>0</v>
      </c>
      <c r="N102" s="123">
        <f>IFERROR(MAX('B4'!N12,'B5'!N12,'B6'!N12),0)</f>
        <v>0</v>
      </c>
      <c r="O102" s="123">
        <f>IFERROR(MAX('B4'!O12,'B5'!O12,'B6'!O12),0)</f>
        <v>0</v>
      </c>
      <c r="P102" s="123">
        <f>IFERROR(MAX('B4'!P12,'B5'!P12,'B6'!P12),0)</f>
        <v>0</v>
      </c>
      <c r="Q102" s="123">
        <f>IFERROR(MAX('B4'!Q12,'B5'!Q12,'B6'!Q12),0)</f>
        <v>0</v>
      </c>
      <c r="R102" s="123">
        <f>IFERROR(MAX('B4'!R12,'B5'!R12,'B6'!R12),0)</f>
        <v>0</v>
      </c>
      <c r="S102" s="123">
        <f>IFERROR(MAX('B4'!S12,'B5'!S12,'B6'!S12),0)</f>
        <v>0</v>
      </c>
      <c r="T102" s="123">
        <f>IFERROR(MAX('B4'!T12,'B5'!T12,'B6'!T12),0)</f>
        <v>0</v>
      </c>
      <c r="U102" s="123">
        <f>IFERROR(MAX('B4'!U12,'B5'!U12,'B6'!U12),0)</f>
        <v>0</v>
      </c>
      <c r="V102" s="123">
        <f>IFERROR(MAX('B4'!V12,'B5'!V12,'B6'!V12),0)</f>
        <v>0</v>
      </c>
      <c r="W102" s="123">
        <f>IFERROR(MAX('B4'!W12,'B5'!W12,'B6'!W12),0)</f>
        <v>0</v>
      </c>
      <c r="X102" s="123">
        <f>IFERROR(MAX('B4'!X12,'B5'!X12,'B6'!X12),0)</f>
        <v>0</v>
      </c>
      <c r="Y102" s="123">
        <f>IFERROR(MAX('B4'!Y12,'B5'!Y12,'B6'!Y12),0)</f>
        <v>0</v>
      </c>
      <c r="Z102" s="123">
        <f>IFERROR(MAX('B4'!Z12,'B5'!Z12,'B6'!Z12),0)</f>
        <v>0</v>
      </c>
      <c r="AA102" s="123">
        <f>IFERROR(MAX('B4'!AA12,'B5'!AA12,'B6'!AA12),0)</f>
        <v>0</v>
      </c>
      <c r="AB102" s="123">
        <f>IFERROR(MAX('B4'!AB12,'B5'!AB12,'B6'!AB12),0)</f>
        <v>0</v>
      </c>
      <c r="AC102" s="123">
        <f>IFERROR(MAX('B4'!AC12,'B5'!AC12,'B6'!AC12),0)</f>
        <v>0</v>
      </c>
      <c r="AD102" s="123">
        <f>IFERROR(MAX('B4'!AD12,'B5'!AD12,'B6'!AD12),0)</f>
        <v>0</v>
      </c>
      <c r="AE102" s="123">
        <f>IFERROR(MAX('B4'!AE12,'B5'!AE12,'B6'!AE12),0)</f>
        <v>3.69</v>
      </c>
      <c r="AF102" s="123">
        <f>IFERROR(MAX('B4'!AF12,'B5'!AF12,'B6'!AF12),0)</f>
        <v>100</v>
      </c>
      <c r="AG102" s="123">
        <f>IFERROR(MAX('B4'!AG12,'B5'!AG12,'B6'!AG12),0)</f>
        <v>1</v>
      </c>
      <c r="AH102" s="123">
        <f>IFERROR(MAX('B4'!AH12,'B5'!AH12,'B6'!AH12),0)</f>
        <v>15.044700000000001</v>
      </c>
      <c r="AI102" s="123">
        <f>IFERROR(MAX('B4'!AI12,'B5'!AI12,'B6'!AI12),0)</f>
        <v>0</v>
      </c>
      <c r="AJ102" s="123">
        <f>IFERROR(MAX('B4'!AJ12,'B5'!AJ12,'B6'!AJ12),0)</f>
        <v>0</v>
      </c>
      <c r="AK102" s="123">
        <f>IFERROR(MAX('B4'!AK12,'B5'!AK12,'B6'!AK12),0)</f>
        <v>0</v>
      </c>
      <c r="AL102" s="123">
        <f>IFERROR(MAX('B4'!AL12,'B5'!AL12,'B6'!AL12),0)</f>
        <v>0</v>
      </c>
      <c r="AM102" s="123">
        <f>IFERROR(MAX('B4'!AM12,'B5'!AM12,'B6'!AM12),0)</f>
        <v>0</v>
      </c>
      <c r="AN102" s="123">
        <f>IFERROR(MAX('B4'!AN12,'B5'!AN12,'B6'!AN12),0)</f>
        <v>0</v>
      </c>
      <c r="AO102" s="123">
        <f>IFERROR(MAX('B4'!AO12,'B5'!AO12,'B6'!AO12),0)</f>
        <v>0</v>
      </c>
      <c r="AP102" s="123">
        <f>IFERROR(MAX('B4'!AP12,'B5'!AP12,'B6'!AP12),0)</f>
        <v>0</v>
      </c>
      <c r="AQ102" s="123">
        <f>IFERROR(MAX('B4'!AQ12,'B5'!AQ12,'B6'!AQ12),0)</f>
        <v>0</v>
      </c>
      <c r="AR102" s="123">
        <f>IFERROR(MAX('B4'!AR12,'B5'!AR12,'B6'!AR12),0)</f>
        <v>0</v>
      </c>
      <c r="AS102" s="123">
        <f>IFERROR(MAX('B4'!AS12,'B5'!AS12,'B6'!AS12),0)</f>
        <v>0</v>
      </c>
      <c r="AT102" s="123">
        <f>IFERROR(MAX('B4'!AT12,'B5'!AT12,'B6'!AT12),0)</f>
        <v>0</v>
      </c>
      <c r="AU102" s="123">
        <f>IFERROR(MAX('B4'!AU12,'B5'!AU12,'B6'!AU12),0)</f>
        <v>0</v>
      </c>
      <c r="AV102" s="123">
        <f>IFERROR(MAX('B4'!AV12,'B5'!AV12,'B6'!AV12),0)</f>
        <v>0</v>
      </c>
      <c r="AW102" s="123">
        <f>IFERROR(MAX('B4'!AW12,'B5'!AW12,'B6'!AW12),0)</f>
        <v>0</v>
      </c>
      <c r="AX102" s="123">
        <f>IFERROR(MAX('B4'!AX12,'B5'!AX12,'B6'!AX12),0)</f>
        <v>0</v>
      </c>
      <c r="AY102" s="123">
        <f>IFERROR(MAX('B4'!AY12,'B5'!AY12,'B6'!AY12),0)</f>
        <v>0</v>
      </c>
      <c r="AZ102" s="123">
        <f>IFERROR(MAX('B4'!AZ12,'B5'!AZ12,'B6'!AZ12),0)</f>
        <v>16.701487566607462</v>
      </c>
      <c r="BA102" s="123">
        <f>IFERROR(MAX('B4'!BA12,'B5'!BA12,'B6'!BA12),0)</f>
        <v>1.50447</v>
      </c>
      <c r="BB102" s="123">
        <f>IFERROR(MAX('B4'!BB12,'B5'!BB12,'B6'!BB12),0)</f>
        <v>0</v>
      </c>
      <c r="BC102" s="123">
        <f>IFERROR(MAX('B4'!BC12,'B5'!BC12,'B6'!BC12),0)</f>
        <v>0</v>
      </c>
      <c r="BD102" s="123">
        <f>IFERROR(MAX('B4'!BD12,'B5'!BD12,'B6'!BD12),0)</f>
        <v>0</v>
      </c>
      <c r="BE102" s="123">
        <f>IFERROR(MAX('B4'!BE12,'B5'!BE12,'B6'!BE12),0)</f>
        <v>0</v>
      </c>
      <c r="BF102" s="123">
        <f>IFERROR(MAX('B4'!BF12,'B5'!BF12,'B6'!BF12),0)</f>
        <v>0</v>
      </c>
      <c r="BG102" s="123">
        <f>IFERROR(MAX('B4'!BG12,'B5'!BG12,'B6'!BG12),0)</f>
        <v>0</v>
      </c>
      <c r="BH102" s="123">
        <f>IFERROR(MAX('B4'!BH12,'B5'!BH12,'B6'!BH12),0)</f>
        <v>0</v>
      </c>
      <c r="BI102" s="123">
        <f>IFERROR(MAX('B4'!BI12,'B5'!BI12,'B6'!BI12),0)</f>
        <v>0</v>
      </c>
      <c r="BJ102" s="123">
        <f>IFERROR(MAX('B4'!BJ12,'B5'!BJ12,'B6'!BJ12),0)</f>
        <v>0</v>
      </c>
      <c r="BK102" s="123">
        <f>IFERROR(MAX('B4'!BK12,'B5'!BK12,'B6'!BK12),0)</f>
        <v>0</v>
      </c>
      <c r="BL102" s="123">
        <f>IFERROR(MAX('B4'!BL12,'B5'!BL12,'B6'!BL12),0)</f>
        <v>0</v>
      </c>
      <c r="BM102" s="123">
        <f>IFERROR(MAX('B4'!BM12,'B5'!BM12,'B6'!BM12),0)</f>
        <v>0</v>
      </c>
      <c r="BN102" s="123">
        <f>IFERROR(MAX('B4'!BN12,'B5'!BN12,'B6'!BN12),0)</f>
        <v>0</v>
      </c>
      <c r="BO102" s="123">
        <f>IFERROR(MAX('B4'!BO12,'B5'!BO12,'B6'!BO12),0)</f>
        <v>0</v>
      </c>
      <c r="BP102" s="123">
        <f>IFERROR(MAX('B4'!BP12,'B5'!BP12,'B6'!BP12),0)</f>
        <v>0</v>
      </c>
      <c r="BQ102" s="123">
        <f>IFERROR(MAX('B4'!BQ12,'B5'!BQ12,'B6'!BQ12),0)</f>
        <v>0</v>
      </c>
      <c r="BR102" s="123">
        <f>IFERROR(MAX('B4'!BR12,'B5'!BR12,'B6'!BR12),0)</f>
        <v>0</v>
      </c>
      <c r="BS102" s="123">
        <f>IFERROR(MAX('B4'!BS12,'B5'!BS12,'B6'!BS12),0)</f>
        <v>0</v>
      </c>
      <c r="BT102" s="123">
        <f>IFERROR(MAX('B4'!BT12,'B5'!BT12,'B6'!BT12),0)</f>
        <v>5.0104462699822383E-2</v>
      </c>
      <c r="BU102" s="123">
        <f>IFERROR(MAX('B4'!BU12,'B5'!BU12,'B6'!BU12),0)</f>
        <v>0</v>
      </c>
      <c r="BV102" s="123">
        <f>IFERROR(MAX('B4'!BV12,'B5'!BV12,'B6'!BV12),0)</f>
        <v>0</v>
      </c>
    </row>
    <row r="103" spans="1:74" ht="16" thickBot="1" x14ac:dyDescent="0.4">
      <c r="A103" s="63" t="str">
        <f t="shared" si="10"/>
        <v>29-03-18</v>
      </c>
      <c r="B103" s="129">
        <f t="shared" si="10"/>
        <v>9</v>
      </c>
      <c r="C103" s="41">
        <v>0</v>
      </c>
      <c r="D103" s="123">
        <f>IFERROR(MAX('B4'!D13,'B5'!D13,'B6'!D13),0)</f>
        <v>0</v>
      </c>
      <c r="E103" s="123">
        <f>IFERROR(MAX('B4'!E13,'B5'!E13,'B6'!E13),0)</f>
        <v>0</v>
      </c>
      <c r="F103" s="123">
        <f>IFERROR(MAX('B4'!F13,'B5'!F13,'B6'!F13),0)</f>
        <v>0</v>
      </c>
      <c r="G103" s="123">
        <f>IFERROR(MAX('B4'!G13,'B5'!G13,'B6'!G13),0)</f>
        <v>0</v>
      </c>
      <c r="H103" s="123">
        <f>IFERROR(MAX('B4'!H13,'B5'!H13,'B6'!H13),0)</f>
        <v>0</v>
      </c>
      <c r="I103" s="123">
        <f>IFERROR(MAX('B4'!I13,'B5'!I13,'B6'!I13),0)</f>
        <v>0</v>
      </c>
      <c r="J103" s="123">
        <f>IFERROR(MAX('B4'!J13,'B5'!J13,'B6'!J13),0)</f>
        <v>0</v>
      </c>
      <c r="K103" s="123">
        <f>IFERROR(MAX('B4'!K13,'B5'!K13,'B6'!K13),0)</f>
        <v>0</v>
      </c>
      <c r="L103" s="123">
        <f>IFERROR(MAX('B4'!L13,'B5'!L13,'B6'!L13),0)</f>
        <v>0</v>
      </c>
      <c r="M103" s="123">
        <f>IFERROR(MAX('B4'!M13,'B5'!M13,'B6'!M13),0)</f>
        <v>0</v>
      </c>
      <c r="N103" s="123">
        <f>IFERROR(MAX('B4'!N13,'B5'!N13,'B6'!N13),0)</f>
        <v>0</v>
      </c>
      <c r="O103" s="123">
        <f>IFERROR(MAX('B4'!O13,'B5'!O13,'B6'!O13),0)</f>
        <v>0</v>
      </c>
      <c r="P103" s="123">
        <f>IFERROR(MAX('B4'!P13,'B5'!P13,'B6'!P13),0)</f>
        <v>0</v>
      </c>
      <c r="Q103" s="123">
        <f>IFERROR(MAX('B4'!Q13,'B5'!Q13,'B6'!Q13),0)</f>
        <v>0</v>
      </c>
      <c r="R103" s="123">
        <f>IFERROR(MAX('B4'!R13,'B5'!R13,'B6'!R13),0)</f>
        <v>0</v>
      </c>
      <c r="S103" s="123">
        <f>IFERROR(MAX('B4'!S13,'B5'!S13,'B6'!S13),0)</f>
        <v>0</v>
      </c>
      <c r="T103" s="123">
        <f>IFERROR(MAX('B4'!T13,'B5'!T13,'B6'!T13),0)</f>
        <v>0</v>
      </c>
      <c r="U103" s="123">
        <f>IFERROR(MAX('B4'!U13,'B5'!U13,'B6'!U13),0)</f>
        <v>0</v>
      </c>
      <c r="V103" s="123">
        <f>IFERROR(MAX('B4'!V13,'B5'!V13,'B6'!V13),0)</f>
        <v>0</v>
      </c>
      <c r="W103" s="123">
        <f>IFERROR(MAX('B4'!W13,'B5'!W13,'B6'!W13),0)</f>
        <v>0</v>
      </c>
      <c r="X103" s="123">
        <f>IFERROR(MAX('B4'!X13,'B5'!X13,'B6'!X13),0)</f>
        <v>0</v>
      </c>
      <c r="Y103" s="123">
        <f>IFERROR(MAX('B4'!Y13,'B5'!Y13,'B6'!Y13),0)</f>
        <v>0</v>
      </c>
      <c r="Z103" s="123">
        <f>IFERROR(MAX('B4'!Z13,'B5'!Z13,'B6'!Z13),0)</f>
        <v>0</v>
      </c>
      <c r="AA103" s="123">
        <f>IFERROR(MAX('B4'!AA13,'B5'!AA13,'B6'!AA13),0)</f>
        <v>0</v>
      </c>
      <c r="AB103" s="123">
        <f>IFERROR(MAX('B4'!AB13,'B5'!AB13,'B6'!AB13),0)</f>
        <v>0</v>
      </c>
      <c r="AC103" s="123">
        <f>IFERROR(MAX('B4'!AC13,'B5'!AC13,'B6'!AC13),0)</f>
        <v>0</v>
      </c>
      <c r="AD103" s="123">
        <f>IFERROR(MAX('B4'!AD13,'B5'!AD13,'B6'!AD13),0)</f>
        <v>0</v>
      </c>
      <c r="AE103" s="123">
        <f>IFERROR(MAX('B4'!AE13,'B5'!AE13,'B6'!AE13),0)</f>
        <v>2.99</v>
      </c>
      <c r="AF103" s="123">
        <f>IFERROR(MAX('B4'!AF13,'B5'!AF13,'B6'!AF13),0)</f>
        <v>100</v>
      </c>
      <c r="AG103" s="123">
        <f>IFERROR(MAX('B4'!AG13,'B5'!AG13,'B6'!AG13),0)</f>
        <v>1</v>
      </c>
      <c r="AH103" s="123">
        <f>IFERROR(MAX('B4'!AH13,'B5'!AH13,'B6'!AH13),0)</f>
        <v>36.334299999999999</v>
      </c>
      <c r="AI103" s="123">
        <f>IFERROR(MAX('B4'!AI13,'B5'!AI13,'B6'!AI13),0)</f>
        <v>0</v>
      </c>
      <c r="AJ103" s="123">
        <f>IFERROR(MAX('B4'!AJ13,'B5'!AJ13,'B6'!AJ13),0)</f>
        <v>0</v>
      </c>
      <c r="AK103" s="123">
        <f>IFERROR(MAX('B4'!AK13,'B5'!AK13,'B6'!AK13),0)</f>
        <v>0</v>
      </c>
      <c r="AL103" s="123">
        <f>IFERROR(MAX('B4'!AL13,'B5'!AL13,'B6'!AL13),0)</f>
        <v>0</v>
      </c>
      <c r="AM103" s="123">
        <f>IFERROR(MAX('B4'!AM13,'B5'!AM13,'B6'!AM13),0)</f>
        <v>0</v>
      </c>
      <c r="AN103" s="123">
        <f>IFERROR(MAX('B4'!AN13,'B5'!AN13,'B6'!AN13),0)</f>
        <v>0</v>
      </c>
      <c r="AO103" s="123">
        <f>IFERROR(MAX('B4'!AO13,'B5'!AO13,'B6'!AO13),0)</f>
        <v>0</v>
      </c>
      <c r="AP103" s="123">
        <f>IFERROR(MAX('B4'!AP13,'B5'!AP13,'B6'!AP13),0)</f>
        <v>0</v>
      </c>
      <c r="AQ103" s="123">
        <f>IFERROR(MAX('B4'!AQ13,'B5'!AQ13,'B6'!AQ13),0)</f>
        <v>0</v>
      </c>
      <c r="AR103" s="123">
        <f>IFERROR(MAX('B4'!AR13,'B5'!AR13,'B6'!AR13),0)</f>
        <v>0</v>
      </c>
      <c r="AS103" s="123">
        <f>IFERROR(MAX('B4'!AS13,'B5'!AS13,'B6'!AS13),0)</f>
        <v>0</v>
      </c>
      <c r="AT103" s="123">
        <f>IFERROR(MAX('B4'!AT13,'B5'!AT13,'B6'!AT13),0)</f>
        <v>0</v>
      </c>
      <c r="AU103" s="123">
        <f>IFERROR(MAX('B4'!AU13,'B5'!AU13,'B6'!AU13),0)</f>
        <v>0</v>
      </c>
      <c r="AV103" s="123">
        <f>IFERROR(MAX('B4'!AV13,'B5'!AV13,'B6'!AV13),0)</f>
        <v>0</v>
      </c>
      <c r="AW103" s="123">
        <f>IFERROR(MAX('B4'!AW13,'B5'!AW13,'B6'!AW13),0)</f>
        <v>0</v>
      </c>
      <c r="AX103" s="123">
        <f>IFERROR(MAX('B4'!AX13,'B5'!AX13,'B6'!AX13),0)</f>
        <v>0</v>
      </c>
      <c r="AY103" s="123">
        <f>IFERROR(MAX('B4'!AY13,'B5'!AY13,'B6'!AY13),0)</f>
        <v>0</v>
      </c>
      <c r="AZ103" s="123">
        <f>IFERROR(MAX('B4'!AZ13,'B5'!AZ13,'B6'!AZ13),0)</f>
        <v>40.335590586145649</v>
      </c>
      <c r="BA103" s="123">
        <f>IFERROR(MAX('B4'!BA13,'B5'!BA13,'B6'!BA13),0)</f>
        <v>3.6334299999999997</v>
      </c>
      <c r="BB103" s="123">
        <f>IFERROR(MAX('B4'!BB13,'B5'!BB13,'B6'!BB13),0)</f>
        <v>0</v>
      </c>
      <c r="BC103" s="123">
        <f>IFERROR(MAX('B4'!BC13,'B5'!BC13,'B6'!BC13),0)</f>
        <v>0</v>
      </c>
      <c r="BD103" s="123">
        <f>IFERROR(MAX('B4'!BD13,'B5'!BD13,'B6'!BD13),0)</f>
        <v>0</v>
      </c>
      <c r="BE103" s="123">
        <f>IFERROR(MAX('B4'!BE13,'B5'!BE13,'B6'!BE13),0)</f>
        <v>0</v>
      </c>
      <c r="BF103" s="123">
        <f>IFERROR(MAX('B4'!BF13,'B5'!BF13,'B6'!BF13),0)</f>
        <v>0</v>
      </c>
      <c r="BG103" s="123">
        <f>IFERROR(MAX('B4'!BG13,'B5'!BG13,'B6'!BG13),0)</f>
        <v>0</v>
      </c>
      <c r="BH103" s="123">
        <f>IFERROR(MAX('B4'!BH13,'B5'!BH13,'B6'!BH13),0)</f>
        <v>0</v>
      </c>
      <c r="BI103" s="123">
        <f>IFERROR(MAX('B4'!BI13,'B5'!BI13,'B6'!BI13),0)</f>
        <v>0</v>
      </c>
      <c r="BJ103" s="123">
        <f>IFERROR(MAX('B4'!BJ13,'B5'!BJ13,'B6'!BJ13),0)</f>
        <v>0</v>
      </c>
      <c r="BK103" s="123">
        <f>IFERROR(MAX('B4'!BK13,'B5'!BK13,'B6'!BK13),0)</f>
        <v>0</v>
      </c>
      <c r="BL103" s="123">
        <f>IFERROR(MAX('B4'!BL13,'B5'!BL13,'B6'!BL13),0)</f>
        <v>0</v>
      </c>
      <c r="BM103" s="123">
        <f>IFERROR(MAX('B4'!BM13,'B5'!BM13,'B6'!BM13),0)</f>
        <v>0</v>
      </c>
      <c r="BN103" s="123">
        <f>IFERROR(MAX('B4'!BN13,'B5'!BN13,'B6'!BN13),0)</f>
        <v>0</v>
      </c>
      <c r="BO103" s="123">
        <f>IFERROR(MAX('B4'!BO13,'B5'!BO13,'B6'!BO13),0)</f>
        <v>0</v>
      </c>
      <c r="BP103" s="123">
        <f>IFERROR(MAX('B4'!BP13,'B5'!BP13,'B6'!BP13),0)</f>
        <v>0</v>
      </c>
      <c r="BQ103" s="123">
        <f>IFERROR(MAX('B4'!BQ13,'B5'!BQ13,'B6'!BQ13),0)</f>
        <v>0</v>
      </c>
      <c r="BR103" s="123">
        <f>IFERROR(MAX('B4'!BR13,'B5'!BR13,'B6'!BR13),0)</f>
        <v>0</v>
      </c>
      <c r="BS103" s="123">
        <f>IFERROR(MAX('B4'!BS13,'B5'!BS13,'B6'!BS13),0)</f>
        <v>0</v>
      </c>
      <c r="BT103" s="123">
        <f>IFERROR(MAX('B4'!BT13,'B5'!BT13,'B6'!BT13),0)</f>
        <v>0.12100677175843694</v>
      </c>
      <c r="BU103" s="123">
        <f>IFERROR(MAX('B4'!BU13,'B5'!BU13,'B6'!BU13),0)</f>
        <v>0</v>
      </c>
      <c r="BV103" s="123">
        <f>IFERROR(MAX('B4'!BV13,'B5'!BV13,'B6'!BV13),0)</f>
        <v>0</v>
      </c>
    </row>
    <row r="104" spans="1:74" ht="16" thickBot="1" x14ac:dyDescent="0.4">
      <c r="A104" s="63">
        <f t="shared" si="10"/>
        <v>43163</v>
      </c>
      <c r="B104" s="129">
        <f t="shared" si="10"/>
        <v>15</v>
      </c>
      <c r="C104" s="77">
        <v>0</v>
      </c>
      <c r="D104" s="123">
        <f>IFERROR(MAX('B4'!D14,'B5'!D14,'B6'!D14),0)</f>
        <v>0</v>
      </c>
      <c r="E104" s="123">
        <f>IFERROR(MAX('B4'!E14,'B5'!E14,'B6'!E14),0)</f>
        <v>0</v>
      </c>
      <c r="F104" s="123">
        <f>IFERROR(MAX('B4'!F14,'B5'!F14,'B6'!F14),0)</f>
        <v>0</v>
      </c>
      <c r="G104" s="123">
        <f>IFERROR(MAX('B4'!G14,'B5'!G14,'B6'!G14),0)</f>
        <v>0</v>
      </c>
      <c r="H104" s="123">
        <f>IFERROR(MAX('B4'!H14,'B5'!H14,'B6'!H14),0)</f>
        <v>0</v>
      </c>
      <c r="I104" s="123">
        <f>IFERROR(MAX('B4'!I14,'B5'!I14,'B6'!I14),0)</f>
        <v>0</v>
      </c>
      <c r="J104" s="123">
        <f>IFERROR(MAX('B4'!J14,'B5'!J14,'B6'!J14),0)</f>
        <v>0</v>
      </c>
      <c r="K104" s="123">
        <f>IFERROR(MAX('B4'!K14,'B5'!K14,'B6'!K14),0)</f>
        <v>0</v>
      </c>
      <c r="L104" s="123">
        <f>IFERROR(MAX('B4'!L14,'B5'!L14,'B6'!L14),0)</f>
        <v>0</v>
      </c>
      <c r="M104" s="123">
        <f>IFERROR(MAX('B4'!M14,'B5'!M14,'B6'!M14),0)</f>
        <v>0</v>
      </c>
      <c r="N104" s="123">
        <f>IFERROR(MAX('B4'!N14,'B5'!N14,'B6'!N14),0)</f>
        <v>0</v>
      </c>
      <c r="O104" s="123">
        <f>IFERROR(MAX('B4'!O14,'B5'!O14,'B6'!O14),0)</f>
        <v>0</v>
      </c>
      <c r="P104" s="123">
        <f>IFERROR(MAX('B4'!P14,'B5'!P14,'B6'!P14),0)</f>
        <v>0</v>
      </c>
      <c r="Q104" s="123">
        <f>IFERROR(MAX('B4'!Q14,'B5'!Q14,'B6'!Q14),0)</f>
        <v>0</v>
      </c>
      <c r="R104" s="123">
        <f>IFERROR(MAX('B4'!R14,'B5'!R14,'B6'!R14),0)</f>
        <v>0</v>
      </c>
      <c r="S104" s="123">
        <f>IFERROR(MAX('B4'!S14,'B5'!S14,'B6'!S14),0)</f>
        <v>0</v>
      </c>
      <c r="T104" s="123">
        <f>IFERROR(MAX('B4'!T14,'B5'!T14,'B6'!T14),0)</f>
        <v>0</v>
      </c>
      <c r="U104" s="123">
        <f>IFERROR(MAX('B4'!U14,'B5'!U14,'B6'!U14),0)</f>
        <v>0</v>
      </c>
      <c r="V104" s="123">
        <f>IFERROR(MAX('B4'!V14,'B5'!V14,'B6'!V14),0)</f>
        <v>0</v>
      </c>
      <c r="W104" s="123">
        <f>IFERROR(MAX('B4'!W14,'B5'!W14,'B6'!W14),0)</f>
        <v>0</v>
      </c>
      <c r="X104" s="123">
        <f>IFERROR(MAX('B4'!X14,'B5'!X14,'B6'!X14),0)</f>
        <v>0</v>
      </c>
      <c r="Y104" s="123">
        <f>IFERROR(MAX('B4'!Y14,'B5'!Y14,'B6'!Y14),0)</f>
        <v>0</v>
      </c>
      <c r="Z104" s="123">
        <f>IFERROR(MAX('B4'!Z14,'B5'!Z14,'B6'!Z14),0)</f>
        <v>0</v>
      </c>
      <c r="AA104" s="123">
        <f>IFERROR(MAX('B4'!AA14,'B5'!AA14,'B6'!AA14),0)</f>
        <v>0</v>
      </c>
      <c r="AB104" s="123">
        <f>IFERROR(MAX('B4'!AB14,'B5'!AB14,'B6'!AB14),0)</f>
        <v>0</v>
      </c>
      <c r="AC104" s="123">
        <f>IFERROR(MAX('B4'!AC14,'B5'!AC14,'B6'!AC14),0)</f>
        <v>0</v>
      </c>
      <c r="AD104" s="123">
        <f>IFERROR(MAX('B4'!AD14,'B5'!AD14,'B6'!AD14),0)</f>
        <v>0</v>
      </c>
      <c r="AE104" s="123">
        <f>IFERROR(MAX('B4'!AE14,'B5'!AE14,'B6'!AE14),0)</f>
        <v>2.68</v>
      </c>
      <c r="AF104" s="123">
        <f>IFERROR(MAX('B4'!AF14,'B5'!AF14,'B6'!AF14),0)</f>
        <v>100</v>
      </c>
      <c r="AG104" s="123">
        <f>IFERROR(MAX('B4'!AG14,'B5'!AG14,'B6'!AG14),0)</f>
        <v>1</v>
      </c>
      <c r="AH104" s="123">
        <f>IFERROR(MAX('B4'!AH14,'B5'!AH14,'B6'!AH14),0)</f>
        <v>115.7196</v>
      </c>
      <c r="AI104" s="123">
        <f>IFERROR(MAX('B4'!AI14,'B5'!AI14,'B6'!AI14),0)</f>
        <v>0</v>
      </c>
      <c r="AJ104" s="123">
        <f>IFERROR(MAX('B4'!AJ14,'B5'!AJ14,'B6'!AJ14),0)</f>
        <v>0</v>
      </c>
      <c r="AK104" s="123">
        <f>IFERROR(MAX('B4'!AK14,'B5'!AK14,'B6'!AK14),0)</f>
        <v>0</v>
      </c>
      <c r="AL104" s="123">
        <f>IFERROR(MAX('B4'!AL14,'B5'!AL14,'B6'!AL14),0)</f>
        <v>0</v>
      </c>
      <c r="AM104" s="123">
        <f>IFERROR(MAX('B4'!AM14,'B5'!AM14,'B6'!AM14),0)</f>
        <v>0</v>
      </c>
      <c r="AN104" s="123">
        <f>IFERROR(MAX('B4'!AN14,'B5'!AN14,'B6'!AN14),0)</f>
        <v>0</v>
      </c>
      <c r="AO104" s="123">
        <f>IFERROR(MAX('B4'!AO14,'B5'!AO14,'B6'!AO14),0)</f>
        <v>0</v>
      </c>
      <c r="AP104" s="123">
        <f>IFERROR(MAX('B4'!AP14,'B5'!AP14,'B6'!AP14),0)</f>
        <v>0</v>
      </c>
      <c r="AQ104" s="123">
        <f>IFERROR(MAX('B4'!AQ14,'B5'!AQ14,'B6'!AQ14),0)</f>
        <v>0</v>
      </c>
      <c r="AR104" s="123">
        <f>IFERROR(MAX('B4'!AR14,'B5'!AR14,'B6'!AR14),0)</f>
        <v>0</v>
      </c>
      <c r="AS104" s="123">
        <f>IFERROR(MAX('B4'!AS14,'B5'!AS14,'B6'!AS14),0)</f>
        <v>0</v>
      </c>
      <c r="AT104" s="123">
        <f>IFERROR(MAX('B4'!AT14,'B5'!AT14,'B6'!AT14),0)</f>
        <v>0</v>
      </c>
      <c r="AU104" s="123">
        <f>IFERROR(MAX('B4'!AU14,'B5'!AU14,'B6'!AU14),0)</f>
        <v>0</v>
      </c>
      <c r="AV104" s="123">
        <f>IFERROR(MAX('B4'!AV14,'B5'!AV14,'B6'!AV14),0)</f>
        <v>0</v>
      </c>
      <c r="AW104" s="123">
        <f>IFERROR(MAX('B4'!AW14,'B5'!AW14,'B6'!AW14),0)</f>
        <v>0</v>
      </c>
      <c r="AX104" s="123">
        <f>IFERROR(MAX('B4'!AX14,'B5'!AX14,'B6'!AX14),0)</f>
        <v>0</v>
      </c>
      <c r="AY104" s="123">
        <f>IFERROR(MAX('B4'!AY14,'B5'!AY14,'B6'!AY14),0)</f>
        <v>0</v>
      </c>
      <c r="AZ104" s="123">
        <f>IFERROR(MAX('B4'!AZ14,'B5'!AZ14,'B6'!AZ14),0)</f>
        <v>128.46314387211368</v>
      </c>
      <c r="BA104" s="123">
        <f>IFERROR(MAX('B4'!BA14,'B5'!BA14,'B6'!BA14),0)</f>
        <v>11.571959999999999</v>
      </c>
      <c r="BB104" s="123">
        <f>IFERROR(MAX('B4'!BB14,'B5'!BB14,'B6'!BB14),0)</f>
        <v>0</v>
      </c>
      <c r="BC104" s="123">
        <f>IFERROR(MAX('B4'!BC14,'B5'!BC14,'B6'!BC14),0)</f>
        <v>0</v>
      </c>
      <c r="BD104" s="123">
        <f>IFERROR(MAX('B4'!BD14,'B5'!BD14,'B6'!BD14),0)</f>
        <v>0</v>
      </c>
      <c r="BE104" s="123">
        <f>IFERROR(MAX('B4'!BE14,'B5'!BE14,'B6'!BE14),0)</f>
        <v>0</v>
      </c>
      <c r="BF104" s="123">
        <f>IFERROR(MAX('B4'!BF14,'B5'!BF14,'B6'!BF14),0)</f>
        <v>0</v>
      </c>
      <c r="BG104" s="123">
        <f>IFERROR(MAX('B4'!BG14,'B5'!BG14,'B6'!BG14),0)</f>
        <v>0</v>
      </c>
      <c r="BH104" s="123">
        <f>IFERROR(MAX('B4'!BH14,'B5'!BH14,'B6'!BH14),0)</f>
        <v>0</v>
      </c>
      <c r="BI104" s="123">
        <f>IFERROR(MAX('B4'!BI14,'B5'!BI14,'B6'!BI14),0)</f>
        <v>0</v>
      </c>
      <c r="BJ104" s="123">
        <f>IFERROR(MAX('B4'!BJ14,'B5'!BJ14,'B6'!BJ14),0)</f>
        <v>0</v>
      </c>
      <c r="BK104" s="123">
        <f>IFERROR(MAX('B4'!BK14,'B5'!BK14,'B6'!BK14),0)</f>
        <v>0</v>
      </c>
      <c r="BL104" s="123">
        <f>IFERROR(MAX('B4'!BL14,'B5'!BL14,'B6'!BL14),0)</f>
        <v>0</v>
      </c>
      <c r="BM104" s="123">
        <f>IFERROR(MAX('B4'!BM14,'B5'!BM14,'B6'!BM14),0)</f>
        <v>0</v>
      </c>
      <c r="BN104" s="123">
        <f>IFERROR(MAX('B4'!BN14,'B5'!BN14,'B6'!BN14),0)</f>
        <v>0</v>
      </c>
      <c r="BO104" s="123">
        <f>IFERROR(MAX('B4'!BO14,'B5'!BO14,'B6'!BO14),0)</f>
        <v>0</v>
      </c>
      <c r="BP104" s="123">
        <f>IFERROR(MAX('B4'!BP14,'B5'!BP14,'B6'!BP14),0)</f>
        <v>0</v>
      </c>
      <c r="BQ104" s="123">
        <f>IFERROR(MAX('B4'!BQ14,'B5'!BQ14,'B6'!BQ14),0)</f>
        <v>0</v>
      </c>
      <c r="BR104" s="123">
        <f>IFERROR(MAX('B4'!BR14,'B5'!BR14,'B6'!BR14),0)</f>
        <v>0</v>
      </c>
      <c r="BS104" s="123">
        <f>IFERROR(MAX('B4'!BS14,'B5'!BS14,'B6'!BS14),0)</f>
        <v>0</v>
      </c>
      <c r="BT104" s="123">
        <f>IFERROR(MAX('B4'!BT14,'B5'!BT14,'B6'!BT14),0)</f>
        <v>0.38538943161634104</v>
      </c>
      <c r="BU104" s="123">
        <f>IFERROR(MAX('B4'!BU14,'B5'!BU14,'B6'!BU14),0)</f>
        <v>0</v>
      </c>
      <c r="BV104" s="123">
        <f>IFERROR(MAX('B4'!BV14,'B5'!BV14,'B6'!BV14),0)</f>
        <v>0</v>
      </c>
    </row>
    <row r="105" spans="1:74" ht="16" thickBot="1" x14ac:dyDescent="0.4">
      <c r="A105" s="63">
        <f t="shared" si="10"/>
        <v>43347</v>
      </c>
      <c r="B105" s="129">
        <f t="shared" si="10"/>
        <v>21</v>
      </c>
      <c r="C105" s="41">
        <v>0</v>
      </c>
      <c r="D105" s="123">
        <f>IFERROR(MAX('B4'!D15,'B5'!D15,'B6'!D15),0)</f>
        <v>0</v>
      </c>
      <c r="E105" s="123">
        <f>IFERROR(MAX('B4'!E15,'B5'!E15,'B6'!E15),0)</f>
        <v>0</v>
      </c>
      <c r="F105" s="123">
        <f>IFERROR(MAX('B4'!F15,'B5'!F15,'B6'!F15),0)</f>
        <v>0</v>
      </c>
      <c r="G105" s="123">
        <f>IFERROR(MAX('B4'!G15,'B5'!G15,'B6'!G15),0)</f>
        <v>0</v>
      </c>
      <c r="H105" s="123">
        <f>IFERROR(MAX('B4'!H15,'B5'!H15,'B6'!H15),0)</f>
        <v>0</v>
      </c>
      <c r="I105" s="123">
        <f>IFERROR(MAX('B4'!I15,'B5'!I15,'B6'!I15),0)</f>
        <v>0</v>
      </c>
      <c r="J105" s="123">
        <f>IFERROR(MAX('B4'!J15,'B5'!J15,'B6'!J15),0)</f>
        <v>0</v>
      </c>
      <c r="K105" s="123">
        <f>IFERROR(MAX('B4'!K15,'B5'!K15,'B6'!K15),0)</f>
        <v>0</v>
      </c>
      <c r="L105" s="123">
        <f>IFERROR(MAX('B4'!L15,'B5'!L15,'B6'!L15),0)</f>
        <v>0</v>
      </c>
      <c r="M105" s="123">
        <f>IFERROR(MAX('B4'!M15,'B5'!M15,'B6'!M15),0)</f>
        <v>0</v>
      </c>
      <c r="N105" s="123">
        <f>IFERROR(MAX('B4'!N15,'B5'!N15,'B6'!N15),0)</f>
        <v>0</v>
      </c>
      <c r="O105" s="123">
        <f>IFERROR(MAX('B4'!O15,'B5'!O15,'B6'!O15),0)</f>
        <v>0</v>
      </c>
      <c r="P105" s="123">
        <f>IFERROR(MAX('B4'!P15,'B5'!P15,'B6'!P15),0)</f>
        <v>0</v>
      </c>
      <c r="Q105" s="123">
        <f>IFERROR(MAX('B4'!Q15,'B5'!Q15,'B6'!Q15),0)</f>
        <v>0</v>
      </c>
      <c r="R105" s="123">
        <f>IFERROR(MAX('B4'!R15,'B5'!R15,'B6'!R15),0)</f>
        <v>0</v>
      </c>
      <c r="S105" s="123">
        <f>IFERROR(MAX('B4'!S15,'B5'!S15,'B6'!S15),0)</f>
        <v>0</v>
      </c>
      <c r="T105" s="123">
        <f>IFERROR(MAX('B4'!T15,'B5'!T15,'B6'!T15),0)</f>
        <v>0</v>
      </c>
      <c r="U105" s="123">
        <f>IFERROR(MAX('B4'!U15,'B5'!U15,'B6'!U15),0)</f>
        <v>0</v>
      </c>
      <c r="V105" s="123">
        <f>IFERROR(MAX('B4'!V15,'B5'!V15,'B6'!V15),0)</f>
        <v>0</v>
      </c>
      <c r="W105" s="123">
        <f>IFERROR(MAX('B4'!W15,'B5'!W15,'B6'!W15),0)</f>
        <v>0</v>
      </c>
      <c r="X105" s="123">
        <f>IFERROR(MAX('B4'!X15,'B5'!X15,'B6'!X15),0)</f>
        <v>0</v>
      </c>
      <c r="Y105" s="123">
        <f>IFERROR(MAX('B4'!Y15,'B5'!Y15,'B6'!Y15),0)</f>
        <v>0</v>
      </c>
      <c r="Z105" s="123">
        <f>IFERROR(MAX('B4'!Z15,'B5'!Z15,'B6'!Z15),0)</f>
        <v>0</v>
      </c>
      <c r="AA105" s="123">
        <f>IFERROR(MAX('B4'!AA15,'B5'!AA15,'B6'!AA15),0)</f>
        <v>0</v>
      </c>
      <c r="AB105" s="123">
        <f>IFERROR(MAX('B4'!AB15,'B5'!AB15,'B6'!AB15),0)</f>
        <v>0</v>
      </c>
      <c r="AC105" s="123">
        <f>IFERROR(MAX('B4'!AC15,'B5'!AC15,'B6'!AC15),0)</f>
        <v>0</v>
      </c>
      <c r="AD105" s="123">
        <f>IFERROR(MAX('B4'!AD15,'B5'!AD15,'B6'!AD15),0)</f>
        <v>0</v>
      </c>
      <c r="AE105" s="123">
        <f>IFERROR(MAX('B4'!AE15,'B5'!AE15,'B6'!AE15),0)</f>
        <v>2.63</v>
      </c>
      <c r="AF105" s="123">
        <f>IFERROR(MAX('B4'!AF15,'B5'!AF15,'B6'!AF15),0)</f>
        <v>100</v>
      </c>
      <c r="AG105" s="123">
        <f>IFERROR(MAX('B4'!AG15,'B5'!AG15,'B6'!AG15),0)</f>
        <v>1</v>
      </c>
      <c r="AH105" s="123">
        <f>IFERROR(MAX('B4'!AH15,'B5'!AH15,'B6'!AH15),0)</f>
        <v>143.60069999999999</v>
      </c>
      <c r="AI105" s="123">
        <f>IFERROR(MAX('B4'!AI15,'B5'!AI15,'B6'!AI15),0)</f>
        <v>0</v>
      </c>
      <c r="AJ105" s="123">
        <f>IFERROR(MAX('B4'!AJ15,'B5'!AJ15,'B6'!AJ15),0)</f>
        <v>0</v>
      </c>
      <c r="AK105" s="123">
        <f>IFERROR(MAX('B4'!AK15,'B5'!AK15,'B6'!AK15),0)</f>
        <v>0</v>
      </c>
      <c r="AL105" s="123">
        <f>IFERROR(MAX('B4'!AL15,'B5'!AL15,'B6'!AL15),0)</f>
        <v>0</v>
      </c>
      <c r="AM105" s="123">
        <f>IFERROR(MAX('B4'!AM15,'B5'!AM15,'B6'!AM15),0)</f>
        <v>0</v>
      </c>
      <c r="AN105" s="123">
        <f>IFERROR(MAX('B4'!AN15,'B5'!AN15,'B6'!AN15),0)</f>
        <v>0</v>
      </c>
      <c r="AO105" s="123">
        <f>IFERROR(MAX('B4'!AO15,'B5'!AO15,'B6'!AO15),0)</f>
        <v>0</v>
      </c>
      <c r="AP105" s="123">
        <f>IFERROR(MAX('B4'!AP15,'B5'!AP15,'B6'!AP15),0)</f>
        <v>0</v>
      </c>
      <c r="AQ105" s="123">
        <f>IFERROR(MAX('B4'!AQ15,'B5'!AQ15,'B6'!AQ15),0)</f>
        <v>0</v>
      </c>
      <c r="AR105" s="123">
        <f>IFERROR(MAX('B4'!AR15,'B5'!AR15,'B6'!AR15),0)</f>
        <v>0</v>
      </c>
      <c r="AS105" s="123">
        <f>IFERROR(MAX('B4'!AS15,'B5'!AS15,'B6'!AS15),0)</f>
        <v>0</v>
      </c>
      <c r="AT105" s="123">
        <f>IFERROR(MAX('B4'!AT15,'B5'!AT15,'B6'!AT15),0)</f>
        <v>0</v>
      </c>
      <c r="AU105" s="123">
        <f>IFERROR(MAX('B4'!AU15,'B5'!AU15,'B6'!AU15),0)</f>
        <v>0</v>
      </c>
      <c r="AV105" s="123">
        <f>IFERROR(MAX('B4'!AV15,'B5'!AV15,'B6'!AV15),0)</f>
        <v>0</v>
      </c>
      <c r="AW105" s="123">
        <f>IFERROR(MAX('B4'!AW15,'B5'!AW15,'B6'!AW15),0)</f>
        <v>0</v>
      </c>
      <c r="AX105" s="123">
        <f>IFERROR(MAX('B4'!AX15,'B5'!AX15,'B6'!AX15),0)</f>
        <v>0</v>
      </c>
      <c r="AY105" s="123">
        <f>IFERROR(MAX('B4'!AY15,'B5'!AY15,'B6'!AY15),0)</f>
        <v>0</v>
      </c>
      <c r="AZ105" s="123">
        <f>IFERROR(MAX('B4'!AZ15,'B5'!AZ15,'B6'!AZ15),0)</f>
        <v>159.41463143872113</v>
      </c>
      <c r="BA105" s="123">
        <f>IFERROR(MAX('B4'!BA15,'B5'!BA15,'B6'!BA15),0)</f>
        <v>14.36007</v>
      </c>
      <c r="BB105" s="123">
        <f>IFERROR(MAX('B4'!BB15,'B5'!BB15,'B6'!BB15),0)</f>
        <v>0</v>
      </c>
      <c r="BC105" s="123">
        <f>IFERROR(MAX('B4'!BC15,'B5'!BC15,'B6'!BC15),0)</f>
        <v>0</v>
      </c>
      <c r="BD105" s="123">
        <f>IFERROR(MAX('B4'!BD15,'B5'!BD15,'B6'!BD15),0)</f>
        <v>0</v>
      </c>
      <c r="BE105" s="123">
        <f>IFERROR(MAX('B4'!BE15,'B5'!BE15,'B6'!BE15),0)</f>
        <v>0</v>
      </c>
      <c r="BF105" s="123">
        <f>IFERROR(MAX('B4'!BF15,'B5'!BF15,'B6'!BF15),0)</f>
        <v>0</v>
      </c>
      <c r="BG105" s="123">
        <f>IFERROR(MAX('B4'!BG15,'B5'!BG15,'B6'!BG15),0)</f>
        <v>0</v>
      </c>
      <c r="BH105" s="123">
        <f>IFERROR(MAX('B4'!BH15,'B5'!BH15,'B6'!BH15),0)</f>
        <v>0</v>
      </c>
      <c r="BI105" s="123">
        <f>IFERROR(MAX('B4'!BI15,'B5'!BI15,'B6'!BI15),0)</f>
        <v>0</v>
      </c>
      <c r="BJ105" s="123">
        <f>IFERROR(MAX('B4'!BJ15,'B5'!BJ15,'B6'!BJ15),0)</f>
        <v>0</v>
      </c>
      <c r="BK105" s="123">
        <f>IFERROR(MAX('B4'!BK15,'B5'!BK15,'B6'!BK15),0)</f>
        <v>0</v>
      </c>
      <c r="BL105" s="123">
        <f>IFERROR(MAX('B4'!BL15,'B5'!BL15,'B6'!BL15),0)</f>
        <v>0</v>
      </c>
      <c r="BM105" s="123">
        <f>IFERROR(MAX('B4'!BM15,'B5'!BM15,'B6'!BM15),0)</f>
        <v>0</v>
      </c>
      <c r="BN105" s="123">
        <f>IFERROR(MAX('B4'!BN15,'B5'!BN15,'B6'!BN15),0)</f>
        <v>0</v>
      </c>
      <c r="BO105" s="123">
        <f>IFERROR(MAX('B4'!BO15,'B5'!BO15,'B6'!BO15),0)</f>
        <v>0</v>
      </c>
      <c r="BP105" s="123">
        <f>IFERROR(MAX('B4'!BP15,'B5'!BP15,'B6'!BP15),0)</f>
        <v>0</v>
      </c>
      <c r="BQ105" s="123">
        <f>IFERROR(MAX('B4'!BQ15,'B5'!BQ15,'B6'!BQ15),0)</f>
        <v>0</v>
      </c>
      <c r="BR105" s="123">
        <f>IFERROR(MAX('B4'!BR15,'B5'!BR15,'B6'!BR15),0)</f>
        <v>0</v>
      </c>
      <c r="BS105" s="123">
        <f>IFERROR(MAX('B4'!BS15,'B5'!BS15,'B6'!BS15),0)</f>
        <v>0</v>
      </c>
      <c r="BT105" s="123">
        <f>IFERROR(MAX('B4'!BT15,'B5'!BT15,'B6'!BT15),0)</f>
        <v>0.47824389431616338</v>
      </c>
      <c r="BU105" s="123">
        <f>IFERROR(MAX('B4'!BU15,'B5'!BU15,'B6'!BU15),0)</f>
        <v>0</v>
      </c>
      <c r="BV105" s="123">
        <f>IFERROR(MAX('B4'!BV15,'B5'!BV15,'B6'!BV15),0)</f>
        <v>0</v>
      </c>
    </row>
    <row r="106" spans="1:74" ht="16" thickBot="1" x14ac:dyDescent="0.4">
      <c r="A106" s="63">
        <f t="shared" si="10"/>
        <v>43347</v>
      </c>
      <c r="B106" s="129">
        <f t="shared" si="10"/>
        <v>21</v>
      </c>
      <c r="C106" s="77">
        <v>10</v>
      </c>
      <c r="D106" s="123">
        <f>IFERROR(MAX('B4'!D16,'B5'!D16,'B6'!D16),0)</f>
        <v>0</v>
      </c>
      <c r="E106" s="123">
        <f>IFERROR(MAX('B4'!E16,'B5'!E16,'B6'!E16),0)</f>
        <v>0</v>
      </c>
      <c r="F106" s="123">
        <f>IFERROR(MAX('B4'!F16,'B5'!F16,'B6'!F16),0)</f>
        <v>0</v>
      </c>
      <c r="G106" s="123">
        <f>IFERROR(MAX('B4'!G16,'B5'!G16,'B6'!G16),0)</f>
        <v>0</v>
      </c>
      <c r="H106" s="123">
        <f>IFERROR(MAX('B4'!H16,'B5'!H16,'B6'!H16),0)</f>
        <v>0</v>
      </c>
      <c r="I106" s="123">
        <f>IFERROR(MAX('B4'!I16,'B5'!I16,'B6'!I16),0)</f>
        <v>0</v>
      </c>
      <c r="J106" s="123">
        <f>IFERROR(MAX('B4'!J16,'B5'!J16,'B6'!J16),0)</f>
        <v>7.7603885766798122</v>
      </c>
      <c r="K106" s="123">
        <f>IFERROR(MAX('B4'!K16,'B5'!K16,'B6'!K16),0)</f>
        <v>39.724537254210524</v>
      </c>
      <c r="L106" s="123">
        <f>IFERROR(MAX('B4'!L16,'B5'!L16,'B6'!L16),0)</f>
        <v>9.1664699827184309E-2</v>
      </c>
      <c r="M106" s="123">
        <f>IFERROR(MAX('B4'!M16,'B5'!M16,'B6'!M16),0)</f>
        <v>0.89063820507227009</v>
      </c>
      <c r="N106" s="123">
        <f>IFERROR(MAX('B4'!N16,'B5'!N16,'B6'!N16),0)</f>
        <v>0.21947788256610096</v>
      </c>
      <c r="O106" s="123">
        <f>IFERROR(MAX('B4'!O16,'B5'!O16,'B6'!O16),0)</f>
        <v>0</v>
      </c>
      <c r="P106" s="123">
        <f>IFERROR(MAX('B4'!P16,'B5'!P16,'B6'!P16),0)</f>
        <v>0</v>
      </c>
      <c r="Q106" s="123">
        <f>IFERROR(MAX('B4'!Q16,'B5'!Q16,'B6'!Q16),0)</f>
        <v>2.807459313273116</v>
      </c>
      <c r="R106" s="123">
        <f>IFERROR(MAX('B4'!R16,'B5'!R16,'B6'!R16),0)</f>
        <v>0</v>
      </c>
      <c r="S106" s="123">
        <f>IFERROR(MAX('B4'!S16,'B5'!S16,'B6'!S16),0)</f>
        <v>7.0939641987200899</v>
      </c>
      <c r="T106" s="123">
        <f>IFERROR(MAX('B4'!T16,'B5'!T16,'B6'!T16),0)</f>
        <v>0</v>
      </c>
      <c r="U106" s="123">
        <f>IFERROR(MAX('B4'!U16,'B5'!U16,'B6'!U16),0)</f>
        <v>0</v>
      </c>
      <c r="V106" s="123">
        <f>IFERROR(MAX('B4'!V16,'B5'!V16,'B6'!V16),0)</f>
        <v>0</v>
      </c>
      <c r="W106" s="123">
        <f>IFERROR(MAX('B4'!W16,'B5'!W16,'B6'!W16),0)</f>
        <v>0</v>
      </c>
      <c r="X106" s="123">
        <f>IFERROR(MAX('B4'!X16,'B5'!X16,'B6'!X16),0)</f>
        <v>0</v>
      </c>
      <c r="Y106" s="123">
        <f>IFERROR(MAX('B4'!Y16,'B5'!Y16,'B6'!Y16),0)</f>
        <v>0</v>
      </c>
      <c r="Z106" s="123">
        <f>IFERROR(MAX('B4'!Z16,'B5'!Z16,'B6'!Z16),0)</f>
        <v>0</v>
      </c>
      <c r="AA106" s="123">
        <f>IFERROR(MAX('B4'!AA16,'B5'!AA16,'B6'!AA16),0)</f>
        <v>0</v>
      </c>
      <c r="AB106" s="123">
        <f>IFERROR(MAX('B4'!AB16,'B5'!AB16,'B6'!AB16),0)</f>
        <v>0</v>
      </c>
      <c r="AC106" s="123">
        <f>IFERROR(MAX('B4'!AC16,'B5'!AC16,'B6'!AC16),0)</f>
        <v>0</v>
      </c>
      <c r="AD106" s="123">
        <f>IFERROR(MAX('B4'!AD16,'B5'!AD16,'B6'!AD16),0)</f>
        <v>0</v>
      </c>
      <c r="AE106" s="123">
        <f>IFERROR(MAX('B4'!AE16,'B5'!AE16,'B6'!AE16),0)</f>
        <v>6.57</v>
      </c>
      <c r="AF106" s="123">
        <f>IFERROR(MAX('B4'!AF16,'B5'!AF16,'B6'!AF16),0)</f>
        <v>100</v>
      </c>
      <c r="AG106" s="123">
        <f>IFERROR(MAX('B4'!AG16,'B5'!AG16,'B6'!AG16),0)</f>
        <v>1</v>
      </c>
      <c r="AH106" s="123">
        <f>IFERROR(MAX('B4'!AH16,'B5'!AH16,'B6'!AH16),0)</f>
        <v>100.53</v>
      </c>
      <c r="AI106" s="123">
        <f>IFERROR(MAX('B4'!AI16,'B5'!AI16,'B6'!AI16),0)</f>
        <v>0</v>
      </c>
      <c r="AJ106" s="123">
        <f>IFERROR(MAX('B4'!AJ16,'B5'!AJ16,'B6'!AJ16),0)</f>
        <v>0</v>
      </c>
      <c r="AK106" s="123">
        <f>IFERROR(MAX('B4'!AK16,'B5'!AK16,'B6'!AK16),0)</f>
        <v>0</v>
      </c>
      <c r="AL106" s="123">
        <f>IFERROR(MAX('B4'!AL16,'B5'!AL16,'B6'!AL16),0)</f>
        <v>0</v>
      </c>
      <c r="AM106" s="123">
        <f>IFERROR(MAX('B4'!AM16,'B5'!AM16,'B6'!AM16),0)</f>
        <v>0</v>
      </c>
      <c r="AN106" s="123">
        <f>IFERROR(MAX('B4'!AN16,'B5'!AN16,'B6'!AN16),0)</f>
        <v>0</v>
      </c>
      <c r="AO106" s="123">
        <f>IFERROR(MAX('B4'!AO16,'B5'!AO16,'B6'!AO16),0)</f>
        <v>0</v>
      </c>
      <c r="AP106" s="123">
        <f>IFERROR(MAX('B4'!AP16,'B5'!AP16,'B6'!AP16),0)</f>
        <v>7.7603885766798122E-2</v>
      </c>
      <c r="AQ106" s="123">
        <f>IFERROR(MAX('B4'!AQ16,'B5'!AQ16,'B6'!AQ16),0)</f>
        <v>0.39724537254210524</v>
      </c>
      <c r="AR106" s="123">
        <f>IFERROR(MAX('B4'!AR16,'B5'!AR16,'B6'!AR16),0)</f>
        <v>0</v>
      </c>
      <c r="AS106" s="123">
        <f>IFERROR(MAX('B4'!AS16,'B5'!AS16,'B6'!AS16),0)</f>
        <v>0</v>
      </c>
      <c r="AT106" s="123">
        <f>IFERROR(MAX('B4'!AT16,'B5'!AT16,'B6'!AT16),0)</f>
        <v>0</v>
      </c>
      <c r="AU106" s="123">
        <f>IFERROR(MAX('B4'!AU16,'B5'!AU16,'B6'!AU16),0)</f>
        <v>0</v>
      </c>
      <c r="AV106" s="123">
        <f>IFERROR(MAX('B4'!AV16,'B5'!AV16,'B6'!AV16),0)</f>
        <v>0</v>
      </c>
      <c r="AW106" s="123">
        <f>IFERROR(MAX('B4'!AW16,'B5'!AW16,'B6'!AW16),0)</f>
        <v>2.8074593132731161E-2</v>
      </c>
      <c r="AX106" s="123">
        <f>IFERROR(MAX('B4'!AX16,'B5'!AX16,'B6'!AX16),0)</f>
        <v>0</v>
      </c>
      <c r="AY106" s="123">
        <f>IFERROR(MAX('B4'!AY16,'B5'!AY16,'B6'!AY16),0)</f>
        <v>0.49190537664305062</v>
      </c>
      <c r="AZ106" s="123">
        <f>IFERROR(MAX('B4'!AZ16,'B5'!AZ16,'B6'!AZ16),0)</f>
        <v>111.60079928952042</v>
      </c>
      <c r="BA106" s="123">
        <f>IFERROR(MAX('B4'!BA16,'B5'!BA16,'B6'!BA16),0)</f>
        <v>10.053000000000001</v>
      </c>
      <c r="BB106" s="123">
        <f>IFERROR(MAX('B4'!BB16,'B5'!BB16,'B6'!BB16),0)</f>
        <v>0</v>
      </c>
      <c r="BC106" s="123">
        <f>IFERROR(MAX('B4'!BC16,'B5'!BC16,'B6'!BC16),0)</f>
        <v>0</v>
      </c>
      <c r="BD106" s="123">
        <f>IFERROR(MAX('B4'!BD16,'B5'!BD16,'B6'!BD16),0)</f>
        <v>0</v>
      </c>
      <c r="BE106" s="123">
        <f>IFERROR(MAX('B4'!BE16,'B5'!BE16,'B6'!BE16),0)</f>
        <v>0</v>
      </c>
      <c r="BF106" s="123">
        <f>IFERROR(MAX('B4'!BF16,'B5'!BF16,'B6'!BF16),0)</f>
        <v>0</v>
      </c>
      <c r="BG106" s="123">
        <f>IFERROR(MAX('B4'!BG16,'B5'!BG16,'B6'!BG16),0)</f>
        <v>0</v>
      </c>
      <c r="BH106" s="123">
        <f>IFERROR(MAX('B4'!BH16,'B5'!BH16,'B6'!BH16),0)</f>
        <v>0</v>
      </c>
      <c r="BI106" s="123">
        <f>IFERROR(MAX('B4'!BI16,'B5'!BI16,'B6'!BI16),0)</f>
        <v>0</v>
      </c>
      <c r="BJ106" s="123">
        <f>IFERROR(MAX('B4'!BJ16,'B5'!BJ16,'B6'!BJ16),0)</f>
        <v>0.15520777153359624</v>
      </c>
      <c r="BK106" s="123">
        <f>IFERROR(MAX('B4'!BK16,'B5'!BK16,'B6'!BK16),0)</f>
        <v>1.1917361176263157</v>
      </c>
      <c r="BL106" s="123">
        <f>IFERROR(MAX('B4'!BL16,'B5'!BL16,'B6'!BL16),0)</f>
        <v>0</v>
      </c>
      <c r="BM106" s="123">
        <f>IFERROR(MAX('B4'!BM16,'B5'!BM16,'B6'!BM16),0)</f>
        <v>0</v>
      </c>
      <c r="BN106" s="123">
        <f>IFERROR(MAX('B4'!BN16,'B5'!BN16,'B6'!BN16),0)</f>
        <v>0</v>
      </c>
      <c r="BO106" s="123">
        <f>IFERROR(MAX('B4'!BO16,'B5'!BO16,'B6'!BO16),0)</f>
        <v>0</v>
      </c>
      <c r="BP106" s="123">
        <f>IFERROR(MAX('B4'!BP16,'B5'!BP16,'B6'!BP16),0)</f>
        <v>0</v>
      </c>
      <c r="BQ106" s="123">
        <f>IFERROR(MAX('B4'!BQ16,'B5'!BQ16,'B6'!BQ16),0)</f>
        <v>0.16844755879638695</v>
      </c>
      <c r="BR106" s="123">
        <f>IFERROR(MAX('B4'!BR16,'B5'!BR16,'B6'!BR16),0)</f>
        <v>0</v>
      </c>
      <c r="BS106" s="123">
        <f>IFERROR(MAX('B4'!BS16,'B5'!BS16,'B6'!BS16),0)</f>
        <v>3.9352430131444049</v>
      </c>
      <c r="BT106" s="123">
        <f>IFERROR(MAX('B4'!BT16,'B5'!BT16,'B6'!BT16),0)</f>
        <v>0.33480239786856131</v>
      </c>
      <c r="BU106" s="123">
        <f>IFERROR(MAX('B4'!BU16,'B5'!BU16,'B6'!BU16),0)</f>
        <v>0</v>
      </c>
      <c r="BV106" s="123">
        <f>IFERROR(MAX('B4'!BV16,'B5'!BV16,'B6'!BV16),0)</f>
        <v>0</v>
      </c>
    </row>
    <row r="107" spans="1:74" ht="16" thickBot="1" x14ac:dyDescent="0.4">
      <c r="A107" s="63" t="str">
        <f t="shared" si="10"/>
        <v>13-04</v>
      </c>
      <c r="B107" s="129">
        <f t="shared" si="10"/>
        <v>26</v>
      </c>
      <c r="C107" s="77">
        <v>10</v>
      </c>
      <c r="D107" s="123">
        <f>IFERROR(MAX('B4'!D17,'B5'!D17,'B6'!D17),0)</f>
        <v>0</v>
      </c>
      <c r="E107" s="123">
        <f>IFERROR(MAX('B4'!E17,'B5'!E17,'B6'!E17),0)</f>
        <v>0</v>
      </c>
      <c r="F107" s="123">
        <f>IFERROR(MAX('B4'!F17,'B5'!F17,'B6'!F17),0)</f>
        <v>0</v>
      </c>
      <c r="G107" s="123">
        <f>IFERROR(MAX('B4'!G17,'B5'!G17,'B6'!G17),0)</f>
        <v>0</v>
      </c>
      <c r="H107" s="123">
        <f>IFERROR(MAX('B4'!H17,'B5'!H17,'B6'!H17),0)</f>
        <v>0</v>
      </c>
      <c r="I107" s="123">
        <f>IFERROR(MAX('B4'!I17,'B5'!I17,'B6'!I17),0)</f>
        <v>1.0985562898925805</v>
      </c>
      <c r="J107" s="123">
        <f>IFERROR(MAX('B4'!J17,'B5'!J17,'B6'!J17),0)</f>
        <v>14.070921853070134</v>
      </c>
      <c r="K107" s="123">
        <f>IFERROR(MAX('B4'!K17,'B5'!K17,'B6'!K17),0)</f>
        <v>22.322584314230028</v>
      </c>
      <c r="L107" s="123">
        <f>IFERROR(MAX('B4'!L17,'B5'!L17,'B6'!L17),0)</f>
        <v>1.1316955198907472</v>
      </c>
      <c r="M107" s="123">
        <f>IFERROR(MAX('B4'!M17,'B5'!M17,'B6'!M17),0)</f>
        <v>15.70033942459694</v>
      </c>
      <c r="N107" s="123">
        <f>IFERROR(MAX('B4'!N17,'B5'!N17,'B6'!N17),0)</f>
        <v>0</v>
      </c>
      <c r="O107" s="123">
        <f>IFERROR(MAX('B4'!O17,'B5'!O17,'B6'!O17),0)</f>
        <v>0.86120629682230432</v>
      </c>
      <c r="P107" s="123">
        <f>IFERROR(MAX('B4'!P17,'B5'!P17,'B6'!P17),0)</f>
        <v>0</v>
      </c>
      <c r="Q107" s="123">
        <f>IFERROR(MAX('B4'!Q17,'B5'!Q17,'B6'!Q17),0)</f>
        <v>2.2561459030860078</v>
      </c>
      <c r="R107" s="123">
        <f>IFERROR(MAX('B4'!R17,'B5'!R17,'B6'!R17),0)</f>
        <v>0</v>
      </c>
      <c r="S107" s="123">
        <f>IFERROR(MAX('B4'!S17,'B5'!S17,'B6'!S17),0)</f>
        <v>3.6763574754535648</v>
      </c>
      <c r="T107" s="123">
        <f>IFERROR(MAX('B4'!T17,'B5'!T17,'B6'!T17),0)</f>
        <v>0</v>
      </c>
      <c r="U107" s="123">
        <f>IFERROR(MAX('B4'!U17,'B5'!U17,'B6'!U17),0)</f>
        <v>0</v>
      </c>
      <c r="V107" s="123">
        <f>IFERROR(MAX('B4'!V17,'B5'!V17,'B6'!V17),0)</f>
        <v>0</v>
      </c>
      <c r="W107" s="123">
        <f>IFERROR(MAX('B4'!W17,'B5'!W17,'B6'!W17),0)</f>
        <v>0</v>
      </c>
      <c r="X107" s="123">
        <f>IFERROR(MAX('B4'!X17,'B5'!X17,'B6'!X17),0)</f>
        <v>0</v>
      </c>
      <c r="Y107" s="123">
        <f>IFERROR(MAX('B4'!Y17,'B5'!Y17,'B6'!Y17),0)</f>
        <v>0</v>
      </c>
      <c r="Z107" s="123">
        <f>IFERROR(MAX('B4'!Z17,'B5'!Z17,'B6'!Z17),0)</f>
        <v>0</v>
      </c>
      <c r="AA107" s="123">
        <f>IFERROR(MAX('B4'!AA17,'B5'!AA17,'B6'!AA17),0)</f>
        <v>0</v>
      </c>
      <c r="AB107" s="123">
        <f>IFERROR(MAX('B4'!AB17,'B5'!AB17,'B6'!AB17),0)</f>
        <v>0</v>
      </c>
      <c r="AC107" s="123">
        <f>IFERROR(MAX('B4'!AC17,'B5'!AC17,'B6'!AC17),0)</f>
        <v>0</v>
      </c>
      <c r="AD107" s="123">
        <f>IFERROR(MAX('B4'!AD17,'B5'!AD17,'B6'!AD17),0)</f>
        <v>0</v>
      </c>
      <c r="AE107" s="123">
        <f>IFERROR(MAX('B4'!AE17,'B5'!AE17,'B6'!AE17),0)</f>
        <v>6.52</v>
      </c>
      <c r="AF107" s="123">
        <f>IFERROR(MAX('B4'!AF17,'B5'!AF17,'B6'!AF17),0)</f>
        <v>100</v>
      </c>
      <c r="AG107" s="123">
        <f>IFERROR(MAX('B4'!AG17,'B5'!AG17,'B6'!AG17),0)</f>
        <v>1</v>
      </c>
      <c r="AH107" s="123">
        <f>IFERROR(MAX('B4'!AH17,'B5'!AH17,'B6'!AH17),0)</f>
        <v>106.645</v>
      </c>
      <c r="AI107" s="123">
        <f>IFERROR(MAX('B4'!AI17,'B5'!AI17,'B6'!AI17),0)</f>
        <v>0</v>
      </c>
      <c r="AJ107" s="123">
        <f>IFERROR(MAX('B4'!AJ17,'B5'!AJ17,'B6'!AJ17),0)</f>
        <v>0</v>
      </c>
      <c r="AK107" s="123">
        <f>IFERROR(MAX('B4'!AK17,'B5'!AK17,'B6'!AK17),0)</f>
        <v>0</v>
      </c>
      <c r="AL107" s="123">
        <f>IFERROR(MAX('B4'!AL17,'B5'!AL17,'B6'!AL17),0)</f>
        <v>0</v>
      </c>
      <c r="AM107" s="123">
        <f>IFERROR(MAX('B4'!AM17,'B5'!AM17,'B6'!AM17),0)</f>
        <v>0</v>
      </c>
      <c r="AN107" s="123">
        <f>IFERROR(MAX('B4'!AN17,'B5'!AN17,'B6'!AN17),0)</f>
        <v>0</v>
      </c>
      <c r="AO107" s="123">
        <f>IFERROR(MAX('B4'!AO17,'B5'!AO17,'B6'!AO17),0)</f>
        <v>0</v>
      </c>
      <c r="AP107" s="123">
        <f>IFERROR(MAX('B4'!AP17,'B5'!AP17,'B6'!AP17),0)</f>
        <v>0.14070921853070134</v>
      </c>
      <c r="AQ107" s="123">
        <f>IFERROR(MAX('B4'!AQ17,'B5'!AQ17,'B6'!AQ17),0)</f>
        <v>0.22322584314230029</v>
      </c>
      <c r="AR107" s="123">
        <f>IFERROR(MAX('B4'!AR17,'B5'!AR17,'B6'!AR17),0)</f>
        <v>0</v>
      </c>
      <c r="AS107" s="123">
        <f>IFERROR(MAX('B4'!AS17,'B5'!AS17,'B6'!AS17),0)</f>
        <v>0.1570033942459694</v>
      </c>
      <c r="AT107" s="123">
        <f>IFERROR(MAX('B4'!AT17,'B5'!AT17,'B6'!AT17),0)</f>
        <v>0</v>
      </c>
      <c r="AU107" s="123">
        <f>IFERROR(MAX('B4'!AU17,'B5'!AU17,'B6'!AU17),0)</f>
        <v>0</v>
      </c>
      <c r="AV107" s="123">
        <f>IFERROR(MAX('B4'!AV17,'B5'!AV17,'B6'!AV17),0)</f>
        <v>0</v>
      </c>
      <c r="AW107" s="123">
        <f>IFERROR(MAX('B4'!AW17,'B5'!AW17,'B6'!AW17),0)</f>
        <v>2.2561459030860077E-2</v>
      </c>
      <c r="AX107" s="123">
        <f>IFERROR(MAX('B4'!AX17,'B5'!AX17,'B6'!AX17),0)</f>
        <v>0</v>
      </c>
      <c r="AY107" s="123">
        <f>IFERROR(MAX('B4'!AY17,'B5'!AY17,'B6'!AY17),0)</f>
        <v>0.25492375743364476</v>
      </c>
      <c r="AZ107" s="123">
        <f>IFERROR(MAX('B4'!AZ17,'B5'!AZ17,'B6'!AZ17),0)</f>
        <v>118.38920959147424</v>
      </c>
      <c r="BA107" s="123">
        <f>IFERROR(MAX('B4'!BA17,'B5'!BA17,'B6'!BA17),0)</f>
        <v>10.6645</v>
      </c>
      <c r="BB107" s="123">
        <f>IFERROR(MAX('B4'!BB17,'B5'!BB17,'B6'!BB17),0)</f>
        <v>0</v>
      </c>
      <c r="BC107" s="123">
        <f>IFERROR(MAX('B4'!BC17,'B5'!BC17,'B6'!BC17),0)</f>
        <v>0</v>
      </c>
      <c r="BD107" s="123">
        <f>IFERROR(MAX('B4'!BD17,'B5'!BD17,'B6'!BD17),0)</f>
        <v>0</v>
      </c>
      <c r="BE107" s="123">
        <f>IFERROR(MAX('B4'!BE17,'B5'!BE17,'B6'!BE17),0)</f>
        <v>0</v>
      </c>
      <c r="BF107" s="123">
        <f>IFERROR(MAX('B4'!BF17,'B5'!BF17,'B6'!BF17),0)</f>
        <v>0</v>
      </c>
      <c r="BG107" s="123">
        <f>IFERROR(MAX('B4'!BG17,'B5'!BG17,'B6'!BG17),0)</f>
        <v>0</v>
      </c>
      <c r="BH107" s="123">
        <f>IFERROR(MAX('B4'!BH17,'B5'!BH17,'B6'!BH17),0)</f>
        <v>0</v>
      </c>
      <c r="BI107" s="123">
        <f>IFERROR(MAX('B4'!BI17,'B5'!BI17,'B6'!BI17),0)</f>
        <v>0</v>
      </c>
      <c r="BJ107" s="123">
        <f>IFERROR(MAX('B4'!BJ17,'B5'!BJ17,'B6'!BJ17),0)</f>
        <v>0.28141843706140268</v>
      </c>
      <c r="BK107" s="123">
        <f>IFERROR(MAX('B4'!BK17,'B5'!BK17,'B6'!BK17),0)</f>
        <v>0.66967752942690084</v>
      </c>
      <c r="BL107" s="123">
        <f>IFERROR(MAX('B4'!BL17,'B5'!BL17,'B6'!BL17),0)</f>
        <v>0</v>
      </c>
      <c r="BM107" s="123">
        <f>IFERROR(MAX('B4'!BM17,'B5'!BM17,'B6'!BM17),0)</f>
        <v>0.62801357698387761</v>
      </c>
      <c r="BN107" s="123">
        <f>IFERROR(MAX('B4'!BN17,'B5'!BN17,'B6'!BN17),0)</f>
        <v>0</v>
      </c>
      <c r="BO107" s="123">
        <f>IFERROR(MAX('B4'!BO17,'B5'!BO17,'B6'!BO17),0)</f>
        <v>0</v>
      </c>
      <c r="BP107" s="123">
        <f>IFERROR(MAX('B4'!BP17,'B5'!BP17,'B6'!BP17),0)</f>
        <v>0</v>
      </c>
      <c r="BQ107" s="123">
        <f>IFERROR(MAX('B4'!BQ17,'B5'!BQ17,'B6'!BQ17),0)</f>
        <v>0.13536875418516048</v>
      </c>
      <c r="BR107" s="123">
        <f>IFERROR(MAX('B4'!BR17,'B5'!BR17,'B6'!BR17),0)</f>
        <v>0</v>
      </c>
      <c r="BS107" s="123">
        <f>IFERROR(MAX('B4'!BS17,'B5'!BS17,'B6'!BS17),0)</f>
        <v>2.0393900594691581</v>
      </c>
      <c r="BT107" s="123">
        <f>IFERROR(MAX('B4'!BT17,'B5'!BT17,'B6'!BT17),0)</f>
        <v>0.35516762877442271</v>
      </c>
      <c r="BU107" s="123">
        <f>IFERROR(MAX('B4'!BU17,'B5'!BU17,'B6'!BU17),0)</f>
        <v>0</v>
      </c>
      <c r="BV107" s="123">
        <f>IFERROR(MAX('B4'!BV17,'B5'!BV17,'B6'!BV17),0)</f>
        <v>0</v>
      </c>
    </row>
    <row r="108" spans="1:74" ht="16" thickBot="1" x14ac:dyDescent="0.4">
      <c r="A108" s="63" t="str">
        <f t="shared" si="10"/>
        <v>16-04</v>
      </c>
      <c r="B108" s="129">
        <f t="shared" si="10"/>
        <v>29</v>
      </c>
      <c r="C108" s="77">
        <v>10</v>
      </c>
      <c r="D108" s="123">
        <f>IFERROR(MAX('B4'!D18,'B5'!D18,'B6'!D18),0)</f>
        <v>0</v>
      </c>
      <c r="E108" s="123">
        <f>IFERROR(MAX('B4'!E18,'B5'!E18,'B6'!E18),0)</f>
        <v>0</v>
      </c>
      <c r="F108" s="123">
        <f>IFERROR(MAX('B4'!F18,'B5'!F18,'B6'!F18),0)</f>
        <v>0</v>
      </c>
      <c r="G108" s="123">
        <f>IFERROR(MAX('B4'!G18,'B5'!G18,'B6'!G18),0)</f>
        <v>0</v>
      </c>
      <c r="H108" s="123">
        <f>IFERROR(MAX('B4'!H18,'B5'!H18,'B6'!H18),0)</f>
        <v>0</v>
      </c>
      <c r="I108" s="123">
        <f>IFERROR(MAX('B4'!I18,'B5'!I18,'B6'!I18),0)</f>
        <v>6.010427517361111E-3</v>
      </c>
      <c r="J108" s="123">
        <f>IFERROR(MAX('B4'!J18,'B5'!J18,'B6'!J18),0)</f>
        <v>3.0054752604166665E-2</v>
      </c>
      <c r="K108" s="123">
        <f>IFERROR(MAX('B4'!K18,'B5'!K18,'B6'!K18),0)</f>
        <v>0.23512865668402774</v>
      </c>
      <c r="L108" s="123">
        <f>IFERROR(MAX('B4'!L18,'B5'!L18,'B6'!L18),0)</f>
        <v>0</v>
      </c>
      <c r="M108" s="123">
        <f>IFERROR(MAX('B4'!M18,'B5'!M18,'B6'!M18),0)</f>
        <v>0.13552745225694443</v>
      </c>
      <c r="N108" s="123">
        <f>IFERROR(MAX('B4'!N18,'B5'!N18,'B6'!N18),0)</f>
        <v>0</v>
      </c>
      <c r="O108" s="123">
        <f>IFERROR(MAX('B4'!O18,'B5'!O18,'B6'!O18),0)</f>
        <v>0</v>
      </c>
      <c r="P108" s="123">
        <f>IFERROR(MAX('B4'!P18,'B5'!P18,'B6'!P18),0)</f>
        <v>0</v>
      </c>
      <c r="Q108" s="123">
        <f>IFERROR(MAX('B4'!Q18,'B5'!Q18,'B6'!Q18),0)</f>
        <v>2.1656119791666668E-2</v>
      </c>
      <c r="R108" s="123">
        <f>IFERROR(MAX('B4'!R18,'B5'!R18,'B6'!R18),0)</f>
        <v>9.4847873263888879E-3</v>
      </c>
      <c r="S108" s="123">
        <f>IFERROR(MAX('B4'!S18,'B5'!S18,'B6'!S18),0)</f>
        <v>2.2517154947916666E-2</v>
      </c>
      <c r="T108" s="123">
        <f>IFERROR(MAX('B4'!T18,'B5'!T18,'B6'!T18),0)</f>
        <v>0</v>
      </c>
      <c r="U108" s="123">
        <f>IFERROR(MAX('B4'!U18,'B5'!U18,'B6'!U18),0)</f>
        <v>0</v>
      </c>
      <c r="V108" s="123">
        <f>IFERROR(MAX('B4'!V18,'B5'!V18,'B6'!V18),0)</f>
        <v>0</v>
      </c>
      <c r="W108" s="123">
        <f>IFERROR(MAX('B4'!W18,'B5'!W18,'B6'!W18),0)</f>
        <v>0</v>
      </c>
      <c r="X108" s="123">
        <f>IFERROR(MAX('B4'!X18,'B5'!X18,'B6'!X18),0)</f>
        <v>0</v>
      </c>
      <c r="Y108" s="123">
        <f>IFERROR(MAX('B4'!Y18,'B5'!Y18,'B6'!Y18),0)</f>
        <v>0</v>
      </c>
      <c r="Z108" s="123">
        <f>IFERROR(MAX('B4'!Z18,'B5'!Z18,'B6'!Z18),0)</f>
        <v>0</v>
      </c>
      <c r="AA108" s="123">
        <f>IFERROR(MAX('B4'!AA18,'B5'!AA18,'B6'!AA18),0)</f>
        <v>0</v>
      </c>
      <c r="AB108" s="123">
        <f>IFERROR(MAX('B4'!AB18,'B5'!AB18,'B6'!AB18),0)</f>
        <v>0</v>
      </c>
      <c r="AC108" s="123">
        <f>IFERROR(MAX('B4'!AC18,'B5'!AC18,'B6'!AC18),0)</f>
        <v>0</v>
      </c>
      <c r="AD108" s="123">
        <f>IFERROR(MAX('B4'!AD18,'B5'!AD18,'B6'!AD18),0)</f>
        <v>0</v>
      </c>
      <c r="AE108" s="123">
        <f>IFERROR(MAX('B4'!AE18,'B5'!AE18,'B6'!AE18),0)</f>
        <v>6.35</v>
      </c>
      <c r="AF108" s="123">
        <f>IFERROR(MAX('B4'!AF18,'B5'!AF18,'B6'!AF18),0)</f>
        <v>110</v>
      </c>
      <c r="AG108" s="123">
        <f>IFERROR(MAX('B4'!AG18,'B5'!AG18,'B6'!AG18),0)</f>
        <v>1</v>
      </c>
      <c r="AH108" s="123">
        <f>IFERROR(MAX('B4'!AH18,'B5'!AH18,'B6'!AH18),0)</f>
        <v>131.65600000000001</v>
      </c>
      <c r="AI108" s="123">
        <f>IFERROR(MAX('B4'!AI18,'B5'!AI18,'B6'!AI18),0)</f>
        <v>0</v>
      </c>
      <c r="AJ108" s="123">
        <f>IFERROR(MAX('B4'!AJ18,'B5'!AJ18,'B6'!AJ18),0)</f>
        <v>0</v>
      </c>
      <c r="AK108" s="123">
        <f>IFERROR(MAX('B4'!AK18,'B5'!AK18,'B6'!AK18),0)</f>
        <v>0</v>
      </c>
      <c r="AL108" s="123">
        <f>IFERROR(MAX('B4'!AL18,'B5'!AL18,'B6'!AL18),0)</f>
        <v>0</v>
      </c>
      <c r="AM108" s="123">
        <f>IFERROR(MAX('B4'!AM18,'B5'!AM18,'B6'!AM18),0)</f>
        <v>0</v>
      </c>
      <c r="AN108" s="123">
        <f>IFERROR(MAX('B4'!AN18,'B5'!AN18,'B6'!AN18),0)</f>
        <v>0</v>
      </c>
      <c r="AO108" s="123">
        <f>IFERROR(MAX('B4'!AO18,'B5'!AO18,'B6'!AO18),0)</f>
        <v>5.8823683582030306E-4</v>
      </c>
      <c r="AP108" s="123">
        <f>IFERROR(MAX('B4'!AP18,'B5'!AP18,'B6'!AP18),0)</f>
        <v>0</v>
      </c>
      <c r="AQ108" s="123">
        <f>IFERROR(MAX('B4'!AQ18,'B5'!AQ18,'B6'!AQ18),0)</f>
        <v>0</v>
      </c>
      <c r="AR108" s="123">
        <f>IFERROR(MAX('B4'!AR18,'B5'!AR18,'B6'!AR18),0)</f>
        <v>0</v>
      </c>
      <c r="AS108" s="123">
        <f>IFERROR(MAX('B4'!AS18,'B5'!AS18,'B6'!AS18),0)</f>
        <v>0</v>
      </c>
      <c r="AT108" s="123">
        <f>IFERROR(MAX('B4'!AT18,'B5'!AT18,'B6'!AT18),0)</f>
        <v>0</v>
      </c>
      <c r="AU108" s="123">
        <f>IFERROR(MAX('B4'!AU18,'B5'!AU18,'B6'!AU18),0)</f>
        <v>0</v>
      </c>
      <c r="AV108" s="123">
        <f>IFERROR(MAX('B4'!AV18,'B5'!AV18,'B6'!AV18),0)</f>
        <v>0</v>
      </c>
      <c r="AW108" s="123">
        <f>IFERROR(MAX('B4'!AW18,'B5'!AW18,'B6'!AW18),0)</f>
        <v>0</v>
      </c>
      <c r="AX108" s="123">
        <f>IFERROR(MAX('B4'!AX18,'B5'!AX18,'B6'!AX18),0)</f>
        <v>0</v>
      </c>
      <c r="AY108" s="123">
        <f>IFERROR(MAX('B4'!AY18,'B5'!AY18,'B6'!AY18),0)</f>
        <v>0</v>
      </c>
      <c r="AZ108" s="123">
        <f>IFERROR(MAX('B4'!AZ18,'B5'!AZ18,'B6'!AZ18),0)</f>
        <v>160.76998223801067</v>
      </c>
      <c r="BA108" s="123">
        <f>IFERROR(MAX('B4'!BA18,'B5'!BA18,'B6'!BA18),0)</f>
        <v>14.48216</v>
      </c>
      <c r="BB108" s="123">
        <f>IFERROR(MAX('B4'!BB18,'B5'!BB18,'B6'!BB18),0)</f>
        <v>0</v>
      </c>
      <c r="BC108" s="123">
        <f>IFERROR(MAX('B4'!BC18,'B5'!BC18,'B6'!BC18),0)</f>
        <v>0</v>
      </c>
      <c r="BD108" s="123">
        <f>IFERROR(MAX('B4'!BD18,'B5'!BD18,'B6'!BD18),0)</f>
        <v>0</v>
      </c>
      <c r="BE108" s="123">
        <f>IFERROR(MAX('B4'!BE18,'B5'!BE18,'B6'!BE18),0)</f>
        <v>0</v>
      </c>
      <c r="BF108" s="123">
        <f>IFERROR(MAX('B4'!BF18,'B5'!BF18,'B6'!BF18),0)</f>
        <v>0</v>
      </c>
      <c r="BG108" s="123">
        <f>IFERROR(MAX('B4'!BG18,'B5'!BG18,'B6'!BG18),0)</f>
        <v>0</v>
      </c>
      <c r="BH108" s="123">
        <f>IFERROR(MAX('B4'!BH18,'B5'!BH18,'B6'!BH18),0)</f>
        <v>0</v>
      </c>
      <c r="BI108" s="123">
        <f>IFERROR(MAX('B4'!BI18,'B5'!BI18,'B6'!BI18),0)</f>
        <v>3.5294210149218186E-6</v>
      </c>
      <c r="BJ108" s="123">
        <f>IFERROR(MAX('B4'!BJ18,'B5'!BJ18,'B6'!BJ18),0)</f>
        <v>0</v>
      </c>
      <c r="BK108" s="123">
        <f>IFERROR(MAX('B4'!BK18,'B5'!BK18,'B6'!BK18),0)</f>
        <v>0</v>
      </c>
      <c r="BL108" s="123">
        <f>IFERROR(MAX('B4'!BL18,'B5'!BL18,'B6'!BL18),0)</f>
        <v>0</v>
      </c>
      <c r="BM108" s="123">
        <f>IFERROR(MAX('B4'!BM18,'B5'!BM18,'B6'!BM18),0)</f>
        <v>0</v>
      </c>
      <c r="BN108" s="123">
        <f>IFERROR(MAX('B4'!BN18,'B5'!BN18,'B6'!BN18),0)</f>
        <v>0</v>
      </c>
      <c r="BO108" s="123">
        <f>IFERROR(MAX('B4'!BO18,'B5'!BO18,'B6'!BO18),0)</f>
        <v>0</v>
      </c>
      <c r="BP108" s="123">
        <f>IFERROR(MAX('B4'!BP18,'B5'!BP18,'B6'!BP18),0)</f>
        <v>0</v>
      </c>
      <c r="BQ108" s="123">
        <f>IFERROR(MAX('B4'!BQ18,'B5'!BQ18,'B6'!BQ18),0)</f>
        <v>0</v>
      </c>
      <c r="BR108" s="123">
        <f>IFERROR(MAX('B4'!BR18,'B5'!BR18,'B6'!BR18),0)</f>
        <v>0</v>
      </c>
      <c r="BS108" s="123">
        <f>IFERROR(MAX('B4'!BS18,'B5'!BS18,'B6'!BS18),0)</f>
        <v>0</v>
      </c>
      <c r="BT108" s="123">
        <f>IFERROR(MAX('B4'!BT18,'B5'!BT18,'B6'!BT18),0)</f>
        <v>0.48230994671403199</v>
      </c>
      <c r="BU108" s="123">
        <f>IFERROR(MAX('B4'!BU18,'B5'!BU18,'B6'!BU18),0)</f>
        <v>0</v>
      </c>
      <c r="BV108" s="123">
        <f>IFERROR(MAX('B4'!BV18,'B5'!BV18,'B6'!BV18),0)</f>
        <v>0</v>
      </c>
    </row>
    <row r="109" spans="1:74" ht="16" thickBot="1" x14ac:dyDescent="0.4">
      <c r="A109" s="63" t="str">
        <f t="shared" si="10"/>
        <v>19-04</v>
      </c>
      <c r="B109" s="129">
        <f t="shared" si="10"/>
        <v>32</v>
      </c>
      <c r="C109" s="77">
        <v>10</v>
      </c>
      <c r="D109" s="123">
        <f>IFERROR(MAX('B4'!D19,'B5'!D19,'B6'!D19),0)</f>
        <v>0</v>
      </c>
      <c r="E109" s="123">
        <f>IFERROR(MAX('B4'!E19,'B5'!E19,'B6'!E19),0)</f>
        <v>0</v>
      </c>
      <c r="F109" s="123">
        <f>IFERROR(MAX('B4'!F19,'B5'!F19,'B6'!F19),0)</f>
        <v>0</v>
      </c>
      <c r="G109" s="123">
        <f>IFERROR(MAX('B4'!G19,'B5'!G19,'B6'!G19),0)</f>
        <v>0</v>
      </c>
      <c r="H109" s="123">
        <f>IFERROR(MAX('B4'!H19,'B5'!H19,'B6'!H19),0)</f>
        <v>0</v>
      </c>
      <c r="I109" s="123">
        <f>IFERROR(MAX('B4'!I19,'B5'!I19,'B6'!I19),0)</f>
        <v>0.75550098400115906</v>
      </c>
      <c r="J109" s="123">
        <f>IFERROR(MAX('B4'!J19,'B5'!J19,'B6'!J19),0)</f>
        <v>10.907818398065052</v>
      </c>
      <c r="K109" s="123">
        <f>IFERROR(MAX('B4'!K19,'B5'!K19,'B6'!K19),0)</f>
        <v>40.746396057003203</v>
      </c>
      <c r="L109" s="123">
        <f>IFERROR(MAX('B4'!L19,'B5'!L19,'B6'!L19),0)</f>
        <v>0.77740134288663376</v>
      </c>
      <c r="M109" s="123">
        <f>IFERROR(MAX('B4'!M19,'B5'!M19,'B6'!M19),0)</f>
        <v>30.661770546389345</v>
      </c>
      <c r="N109" s="123">
        <f>IFERROR(MAX('B4'!N19,'B5'!N19,'B6'!N19),0)</f>
        <v>0</v>
      </c>
      <c r="O109" s="123">
        <f>IFERROR(MAX('B4'!O19,'B5'!O19,'B6'!O19),0)</f>
        <v>2.1020638445697646</v>
      </c>
      <c r="P109" s="123">
        <f>IFERROR(MAX('B4'!P19,'B5'!P19,'B6'!P19),0)</f>
        <v>0</v>
      </c>
      <c r="Q109" s="123">
        <f>IFERROR(MAX('B4'!Q19,'B5'!Q19,'B6'!Q19),0)</f>
        <v>9.8121829403458243</v>
      </c>
      <c r="R109" s="123">
        <f>IFERROR(MAX('B4'!R19,'B5'!R19,'B6'!R19),0)</f>
        <v>1.7927931311240881</v>
      </c>
      <c r="S109" s="123">
        <f>IFERROR(MAX('B4'!S19,'B5'!S19,'B6'!S19),0)</f>
        <v>2.3759428552598143</v>
      </c>
      <c r="T109" s="123">
        <f>IFERROR(MAX('B4'!T19,'B5'!T19,'B6'!T19),0)</f>
        <v>0</v>
      </c>
      <c r="U109" s="123">
        <f>IFERROR(MAX('B4'!U19,'B5'!U19,'B6'!U19),0)</f>
        <v>0</v>
      </c>
      <c r="V109" s="123">
        <f>IFERROR(MAX('B4'!V19,'B5'!V19,'B6'!V19),0)</f>
        <v>0</v>
      </c>
      <c r="W109" s="123">
        <f>IFERROR(MAX('B4'!W19,'B5'!W19,'B6'!W19),0)</f>
        <v>0</v>
      </c>
      <c r="X109" s="123">
        <f>IFERROR(MAX('B4'!X19,'B5'!X19,'B6'!X19),0)</f>
        <v>0</v>
      </c>
      <c r="Y109" s="123">
        <f>IFERROR(MAX('B4'!Y19,'B5'!Y19,'B6'!Y19),0)</f>
        <v>0</v>
      </c>
      <c r="Z109" s="123">
        <f>IFERROR(MAX('B4'!Z19,'B5'!Z19,'B6'!Z19),0)</f>
        <v>0</v>
      </c>
      <c r="AA109" s="123">
        <f>IFERROR(MAX('B4'!AA19,'B5'!AA19,'B6'!AA19),0)</f>
        <v>0</v>
      </c>
      <c r="AB109" s="123">
        <f>IFERROR(MAX('B4'!AB19,'B5'!AB19,'B6'!AB19),0)</f>
        <v>0</v>
      </c>
      <c r="AC109" s="123">
        <f>IFERROR(MAX('B4'!AC19,'B5'!AC19,'B6'!AC19),0)</f>
        <v>0</v>
      </c>
      <c r="AD109" s="123">
        <f>IFERROR(MAX('B4'!AD19,'B5'!AD19,'B6'!AD19),0)</f>
        <v>0</v>
      </c>
      <c r="AE109" s="123">
        <f>IFERROR(MAX('B4'!AE19,'B5'!AE19,'B6'!AE19),0)</f>
        <v>6.36</v>
      </c>
      <c r="AF109" s="123">
        <f>IFERROR(MAX('B4'!AF19,'B5'!AF19,'B6'!AF19),0)</f>
        <v>100</v>
      </c>
      <c r="AG109" s="123">
        <f>IFERROR(MAX('B4'!AG19,'B5'!AG19,'B6'!AG19),0)</f>
        <v>1</v>
      </c>
      <c r="AH109" s="123">
        <f>IFERROR(MAX('B4'!AH19,'B5'!AH19,'B6'!AH19),0)</f>
        <v>86.2</v>
      </c>
      <c r="AI109" s="123">
        <f>IFERROR(MAX('B4'!AI19,'B5'!AI19,'B6'!AI19),0)</f>
        <v>0</v>
      </c>
      <c r="AJ109" s="123">
        <f>IFERROR(MAX('B4'!AJ19,'B5'!AJ19,'B6'!AJ19),0)</f>
        <v>0</v>
      </c>
      <c r="AK109" s="123">
        <f>IFERROR(MAX('B4'!AK19,'B5'!AK19,'B6'!AK19),0)</f>
        <v>0</v>
      </c>
      <c r="AL109" s="123">
        <f>IFERROR(MAX('B4'!AL19,'B5'!AL19,'B6'!AL19),0)</f>
        <v>0</v>
      </c>
      <c r="AM109" s="123">
        <f>IFERROR(MAX('B4'!AM19,'B5'!AM19,'B6'!AM19),0)</f>
        <v>0</v>
      </c>
      <c r="AN109" s="123">
        <f>IFERROR(MAX('B4'!AN19,'B5'!AN19,'B6'!AN19),0)</f>
        <v>0</v>
      </c>
      <c r="AO109" s="123">
        <f>IFERROR(MAX('B4'!AO19,'B5'!AO19,'B6'!AO19),0)</f>
        <v>0</v>
      </c>
      <c r="AP109" s="123">
        <f>IFERROR(MAX('B4'!AP19,'B5'!AP19,'B6'!AP19),0)</f>
        <v>0.10907818398065053</v>
      </c>
      <c r="AQ109" s="123">
        <f>IFERROR(MAX('B4'!AQ19,'B5'!AQ19,'B6'!AQ19),0)</f>
        <v>0.40746396057003204</v>
      </c>
      <c r="AR109" s="123">
        <f>IFERROR(MAX('B4'!AR19,'B5'!AR19,'B6'!AR19),0)</f>
        <v>0</v>
      </c>
      <c r="AS109" s="123">
        <f>IFERROR(MAX('B4'!AS19,'B5'!AS19,'B6'!AS19),0)</f>
        <v>0.30661770546389344</v>
      </c>
      <c r="AT109" s="123">
        <f>IFERROR(MAX('B4'!AT19,'B5'!AT19,'B6'!AT19),0)</f>
        <v>0</v>
      </c>
      <c r="AU109" s="123">
        <f>IFERROR(MAX('B4'!AU19,'B5'!AU19,'B6'!AU19),0)</f>
        <v>0</v>
      </c>
      <c r="AV109" s="123">
        <f>IFERROR(MAX('B4'!AV19,'B5'!AV19,'B6'!AV19),0)</f>
        <v>0</v>
      </c>
      <c r="AW109" s="123">
        <f>IFERROR(MAX('B4'!AW19,'B5'!AW19,'B6'!AW19),0)</f>
        <v>9.8121829403458233E-2</v>
      </c>
      <c r="AX109" s="123">
        <f>IFERROR(MAX('B4'!AX19,'B5'!AX19,'B6'!AX19),0)</f>
        <v>0</v>
      </c>
      <c r="AY109" s="123">
        <f>IFERROR(MAX('B4'!AY19,'B5'!AY19,'B6'!AY19),0)</f>
        <v>0.1647511930367242</v>
      </c>
      <c r="AZ109" s="123">
        <f>IFERROR(MAX('B4'!AZ19,'B5'!AZ19,'B6'!AZ19),0)</f>
        <v>95.692717584369447</v>
      </c>
      <c r="BA109" s="123">
        <f>IFERROR(MAX('B4'!BA19,'B5'!BA19,'B6'!BA19),0)</f>
        <v>8.6199999999999992</v>
      </c>
      <c r="BB109" s="123">
        <f>IFERROR(MAX('B4'!BB19,'B5'!BB19,'B6'!BB19),0)</f>
        <v>0</v>
      </c>
      <c r="BC109" s="123">
        <f>IFERROR(MAX('B4'!BC19,'B5'!BC19,'B6'!BC19),0)</f>
        <v>0</v>
      </c>
      <c r="BD109" s="123">
        <f>IFERROR(MAX('B4'!BD19,'B5'!BD19,'B6'!BD19),0)</f>
        <v>0</v>
      </c>
      <c r="BE109" s="123">
        <f>IFERROR(MAX('B4'!BE19,'B5'!BE19,'B6'!BE19),0)</f>
        <v>0</v>
      </c>
      <c r="BF109" s="123">
        <f>IFERROR(MAX('B4'!BF19,'B5'!BF19,'B6'!BF19),0)</f>
        <v>0</v>
      </c>
      <c r="BG109" s="123">
        <f>IFERROR(MAX('B4'!BG19,'B5'!BG19,'B6'!BG19),0)</f>
        <v>0</v>
      </c>
      <c r="BH109" s="123">
        <f>IFERROR(MAX('B4'!BH19,'B5'!BH19,'B6'!BH19),0)</f>
        <v>0</v>
      </c>
      <c r="BI109" s="123">
        <f>IFERROR(MAX('B4'!BI19,'B5'!BI19,'B6'!BI19),0)</f>
        <v>0</v>
      </c>
      <c r="BJ109" s="123">
        <f>IFERROR(MAX('B4'!BJ19,'B5'!BJ19,'B6'!BJ19),0)</f>
        <v>0.21815636796130106</v>
      </c>
      <c r="BK109" s="123">
        <f>IFERROR(MAX('B4'!BK19,'B5'!BK19,'B6'!BK19),0)</f>
        <v>1.2223918817100961</v>
      </c>
      <c r="BL109" s="123">
        <f>IFERROR(MAX('B4'!BL19,'B5'!BL19,'B6'!BL19),0)</f>
        <v>0</v>
      </c>
      <c r="BM109" s="123">
        <f>IFERROR(MAX('B4'!BM19,'B5'!BM19,'B6'!BM19),0)</f>
        <v>1.2264708218555738</v>
      </c>
      <c r="BN109" s="123">
        <f>IFERROR(MAX('B4'!BN19,'B5'!BN19,'B6'!BN19),0)</f>
        <v>0</v>
      </c>
      <c r="BO109" s="123">
        <f>IFERROR(MAX('B4'!BO19,'B5'!BO19,'B6'!BO19),0)</f>
        <v>0</v>
      </c>
      <c r="BP109" s="123">
        <f>IFERROR(MAX('B4'!BP19,'B5'!BP19,'B6'!BP19),0)</f>
        <v>0</v>
      </c>
      <c r="BQ109" s="123">
        <f>IFERROR(MAX('B4'!BQ19,'B5'!BQ19,'B6'!BQ19),0)</f>
        <v>0.58873097642074934</v>
      </c>
      <c r="BR109" s="123">
        <f>IFERROR(MAX('B4'!BR19,'B5'!BR19,'B6'!BR19),0)</f>
        <v>0</v>
      </c>
      <c r="BS109" s="123">
        <f>IFERROR(MAX('B4'!BS19,'B5'!BS19,'B6'!BS19),0)</f>
        <v>1.3180095442937936</v>
      </c>
      <c r="BT109" s="123">
        <f>IFERROR(MAX('B4'!BT19,'B5'!BT19,'B6'!BT19),0)</f>
        <v>0.28707815275310833</v>
      </c>
      <c r="BU109" s="123">
        <f>IFERROR(MAX('B4'!BU19,'B5'!BU19,'B6'!BU19),0)</f>
        <v>0</v>
      </c>
      <c r="BV109" s="123">
        <f>IFERROR(MAX('B4'!BV19,'B5'!BV19,'B6'!BV19),0)</f>
        <v>0</v>
      </c>
    </row>
    <row r="110" spans="1:74" ht="16" thickBot="1" x14ac:dyDescent="0.4">
      <c r="A110" s="63" t="str">
        <f t="shared" si="10"/>
        <v>26-04</v>
      </c>
      <c r="B110" s="129">
        <f t="shared" si="10"/>
        <v>38</v>
      </c>
      <c r="C110" s="77">
        <v>10</v>
      </c>
      <c r="D110" s="123">
        <f>IFERROR(MAX('B4'!D20,'B5'!D20,'B6'!D20),0)</f>
        <v>0.38370819109665799</v>
      </c>
      <c r="E110" s="123">
        <f>IFERROR(MAX('B4'!E20,'B5'!E20,'B6'!E20),0)</f>
        <v>0</v>
      </c>
      <c r="F110" s="123">
        <f>IFERROR(MAX('B4'!F20,'B5'!F20,'B6'!F20),0)</f>
        <v>0</v>
      </c>
      <c r="G110" s="123">
        <f>IFERROR(MAX('B4'!G20,'B5'!G20,'B6'!G20),0)</f>
        <v>0</v>
      </c>
      <c r="H110" s="123">
        <f>IFERROR(MAX('B4'!H20,'B5'!H20,'B6'!H20),0)</f>
        <v>0</v>
      </c>
      <c r="I110" s="123">
        <f>IFERROR(MAX('B4'!I20,'B5'!I20,'B6'!I20),0)</f>
        <v>0</v>
      </c>
      <c r="J110" s="123">
        <f>IFERROR(MAX('B4'!J20,'B5'!J20,'B6'!J20),0)</f>
        <v>29.670126702757013</v>
      </c>
      <c r="K110" s="123">
        <f>IFERROR(MAX('B4'!K20,'B5'!K20,'B6'!K20),0)</f>
        <v>24.107839424620991</v>
      </c>
      <c r="L110" s="123">
        <f>IFERROR(MAX('B4'!L20,'B5'!L20,'B6'!L20),0)</f>
        <v>17.154677919323838</v>
      </c>
      <c r="M110" s="123">
        <f>IFERROR(MAX('B4'!M20,'B5'!M20,'B6'!M20),0)</f>
        <v>187.49288207270689</v>
      </c>
      <c r="N110" s="123">
        <f>IFERROR(MAX('B4'!N20,'B5'!N20,'B6'!N20),0)</f>
        <v>0.67340290689569815</v>
      </c>
      <c r="O110" s="123">
        <f>IFERROR(MAX('B4'!O20,'B5'!O20,'B6'!O20),0)</f>
        <v>4.7591205633211988</v>
      </c>
      <c r="P110" s="123">
        <f>IFERROR(MAX('B4'!P20,'B5'!P20,'B6'!P20),0)</f>
        <v>0</v>
      </c>
      <c r="Q110" s="123">
        <f>IFERROR(MAX('B4'!Q20,'B5'!Q20,'B6'!Q20),0)</f>
        <v>18.936738530287958</v>
      </c>
      <c r="R110" s="123">
        <f>IFERROR(MAX('B4'!R20,'B5'!R20,'B6'!R20),0)</f>
        <v>0</v>
      </c>
      <c r="S110" s="123">
        <f>IFERROR(MAX('B4'!S20,'B5'!S20,'B6'!S20),0)</f>
        <v>2.0512574392156484</v>
      </c>
      <c r="T110" s="123">
        <f>IFERROR(MAX('B4'!T20,'B5'!T20,'B6'!T20),0)</f>
        <v>0</v>
      </c>
      <c r="U110" s="123">
        <f>IFERROR(MAX('B4'!U20,'B5'!U20,'B6'!U20),0)</f>
        <v>0</v>
      </c>
      <c r="V110" s="123">
        <f>IFERROR(MAX('B4'!V20,'B5'!V20,'B6'!V20),0)</f>
        <v>0</v>
      </c>
      <c r="W110" s="123">
        <f>IFERROR(MAX('B4'!W20,'B5'!W20,'B6'!W20),0)</f>
        <v>0.97866666666666668</v>
      </c>
      <c r="X110" s="123">
        <f>IFERROR(MAX('B4'!X20,'B5'!X20,'B6'!X20),0)</f>
        <v>0.16783627835828449</v>
      </c>
      <c r="Y110" s="123">
        <f>IFERROR(MAX('B4'!Y20,'B5'!Y20,'B6'!Y20),0)</f>
        <v>1.3501666666666665</v>
      </c>
      <c r="Z110" s="123">
        <f>IFERROR(MAX('B4'!Z20,'B5'!Z20,'B6'!Z20),0)</f>
        <v>89.292600635323893</v>
      </c>
      <c r="AA110" s="123">
        <f>IFERROR(MAX('B4'!AA20,'B5'!AA20,'B6'!AA20),0)</f>
        <v>0</v>
      </c>
      <c r="AB110" s="123">
        <f>IFERROR(MAX('B4'!AB20,'B5'!AB20,'B6'!AB20),0)</f>
        <v>0</v>
      </c>
      <c r="AC110" s="123">
        <f>IFERROR(MAX('B4'!AC20,'B5'!AC20,'B6'!AC20),0)</f>
        <v>2.5233333333333334</v>
      </c>
      <c r="AD110" s="123">
        <f>IFERROR(MAX('B4'!AD20,'B5'!AD20,'B6'!AD20),0)</f>
        <v>11.49320191679465</v>
      </c>
      <c r="AE110" s="123">
        <f>IFERROR(MAX('B4'!AE20,'B5'!AE20,'B6'!AE20),0)</f>
        <v>0</v>
      </c>
      <c r="AF110" s="123">
        <f>IFERROR(MAX('B4'!AF20,'B5'!AF20,'B6'!AF20),0)</f>
        <v>40</v>
      </c>
      <c r="AG110" s="123">
        <f>IFERROR(MAX('B4'!AG20,'B5'!AG20,'B6'!AG20),0)</f>
        <v>1</v>
      </c>
      <c r="AH110" s="123">
        <f>IFERROR(MAX('B4'!AH20,'B5'!AH20,'B6'!AH20),0)</f>
        <v>267.3</v>
      </c>
      <c r="AI110" s="123">
        <f>IFERROR(MAX('B4'!AI20,'B5'!AI20,'B6'!AI20),0)</f>
        <v>0</v>
      </c>
      <c r="AJ110" s="123">
        <f>IFERROR(MAX('B4'!AJ20,'B5'!AJ20,'B6'!AJ20),0)</f>
        <v>0</v>
      </c>
      <c r="AK110" s="123">
        <f>IFERROR(MAX('B4'!AK20,'B5'!AK20,'B6'!AK20),0)</f>
        <v>0</v>
      </c>
      <c r="AL110" s="123">
        <f>IFERROR(MAX('B4'!AL20,'B5'!AL20,'B6'!AL20),0)</f>
        <v>0</v>
      </c>
      <c r="AM110" s="123">
        <f>IFERROR(MAX('B4'!AM20,'B5'!AM20,'B6'!AM20),0)</f>
        <v>0</v>
      </c>
      <c r="AN110" s="123">
        <f>IFERROR(MAX('B4'!AN20,'B5'!AN20,'B6'!AN20),0)</f>
        <v>0</v>
      </c>
      <c r="AO110" s="123">
        <f>IFERROR(MAX('B4'!AO20,'B5'!AO20,'B6'!AO20),0)</f>
        <v>0</v>
      </c>
      <c r="AP110" s="123">
        <f>IFERROR(MAX('B4'!AP20,'B5'!AP20,'B6'!AP20),0)</f>
        <v>0.2967012670275701</v>
      </c>
      <c r="AQ110" s="123">
        <f>IFERROR(MAX('B4'!AQ20,'B5'!AQ20,'B6'!AQ20),0)</f>
        <v>0.24107839424620991</v>
      </c>
      <c r="AR110" s="123">
        <f>IFERROR(MAX('B4'!AR20,'B5'!AR20,'B6'!AR20),0)</f>
        <v>0.17154677919323835</v>
      </c>
      <c r="AS110" s="123">
        <f>IFERROR(MAX('B4'!AS20,'B5'!AS20,'B6'!AS20),0)</f>
        <v>1.8749288207270689</v>
      </c>
      <c r="AT110" s="123">
        <f>IFERROR(MAX('B4'!AT20,'B5'!AT20,'B6'!AT20),0)</f>
        <v>0</v>
      </c>
      <c r="AU110" s="123">
        <f>IFERROR(MAX('B4'!AU20,'B5'!AU20,'B6'!AU20),0)</f>
        <v>4.7591205633211987E-2</v>
      </c>
      <c r="AV110" s="123">
        <f>IFERROR(MAX('B4'!AV20,'B5'!AV20,'B6'!AV20),0)</f>
        <v>0</v>
      </c>
      <c r="AW110" s="123">
        <f>IFERROR(MAX('B4'!AW20,'B5'!AW20,'B6'!AW20),0)</f>
        <v>0.18936738530287958</v>
      </c>
      <c r="AX110" s="123">
        <f>IFERROR(MAX('B4'!AX20,'B5'!AX20,'B6'!AX20),0)</f>
        <v>0</v>
      </c>
      <c r="AY110" s="123">
        <f>IFERROR(MAX('B4'!AY20,'B5'!AY20,'B6'!AY20),0)</f>
        <v>0.13187279576098024</v>
      </c>
      <c r="AZ110" s="123">
        <f>IFERROR(MAX('B4'!AZ20,'B5'!AZ20,'B6'!AZ20),0)</f>
        <v>102.04262877442274</v>
      </c>
      <c r="BA110" s="123">
        <f>IFERROR(MAX('B4'!BA20,'B5'!BA20,'B6'!BA20),0)</f>
        <v>9.1920000000000002</v>
      </c>
      <c r="BB110" s="123">
        <f>IFERROR(MAX('B4'!BB20,'B5'!BB20,'B6'!BB20),0)</f>
        <v>0</v>
      </c>
      <c r="BC110" s="123">
        <f>IFERROR(MAX('B4'!BC20,'B5'!BC20,'B6'!BC20),0)</f>
        <v>0</v>
      </c>
      <c r="BD110" s="123">
        <f>IFERROR(MAX('B4'!BD20,'B5'!BD20,'B6'!BD20),0)</f>
        <v>0</v>
      </c>
      <c r="BE110" s="123">
        <f>IFERROR(MAX('B4'!BE20,'B5'!BE20,'B6'!BE20),0)</f>
        <v>0</v>
      </c>
      <c r="BF110" s="123">
        <f>IFERROR(MAX('B4'!BF20,'B5'!BF20,'B6'!BF20),0)</f>
        <v>0</v>
      </c>
      <c r="BG110" s="123">
        <f>IFERROR(MAX('B4'!BG20,'B5'!BG20,'B6'!BG20),0)</f>
        <v>0</v>
      </c>
      <c r="BH110" s="123">
        <f>IFERROR(MAX('B4'!BH20,'B5'!BH20,'B6'!BH20),0)</f>
        <v>0</v>
      </c>
      <c r="BI110" s="123">
        <f>IFERROR(MAX('B4'!BI20,'B5'!BI20,'B6'!BI20),0)</f>
        <v>0</v>
      </c>
      <c r="BJ110" s="123">
        <f>IFERROR(MAX('B4'!BJ20,'B5'!BJ20,'B6'!BJ20),0)</f>
        <v>0.59340253405514021</v>
      </c>
      <c r="BK110" s="123">
        <f>IFERROR(MAX('B4'!BK20,'B5'!BK20,'B6'!BK20),0)</f>
        <v>0.72323518273862974</v>
      </c>
      <c r="BL110" s="123">
        <f>IFERROR(MAX('B4'!BL20,'B5'!BL20,'B6'!BL20),0)</f>
        <v>0.68618711677295341</v>
      </c>
      <c r="BM110" s="123">
        <f>IFERROR(MAX('B4'!BM20,'B5'!BM20,'B6'!BM20),0)</f>
        <v>7.4997152829082756</v>
      </c>
      <c r="BN110" s="123">
        <f>IFERROR(MAX('B4'!BN20,'B5'!BN20,'B6'!BN20),0)</f>
        <v>0</v>
      </c>
      <c r="BO110" s="123">
        <f>IFERROR(MAX('B4'!BO20,'B5'!BO20,'B6'!BO20),0)</f>
        <v>0.23795602816605993</v>
      </c>
      <c r="BP110" s="123">
        <f>IFERROR(MAX('B4'!BP20,'B5'!BP20,'B6'!BP20),0)</f>
        <v>0</v>
      </c>
      <c r="BQ110" s="123">
        <f>IFERROR(MAX('B4'!BQ20,'B5'!BQ20,'B6'!BQ20),0)</f>
        <v>1.1362043118172775</v>
      </c>
      <c r="BR110" s="123">
        <f>IFERROR(MAX('B4'!BR20,'B5'!BR20,'B6'!BR20),0)</f>
        <v>0</v>
      </c>
      <c r="BS110" s="123">
        <f>IFERROR(MAX('B4'!BS20,'B5'!BS20,'B6'!BS20),0)</f>
        <v>1.0549823660878419</v>
      </c>
      <c r="BT110" s="123">
        <f>IFERROR(MAX('B4'!BT20,'B5'!BT20,'B6'!BT20),0)</f>
        <v>0.30612788632326821</v>
      </c>
      <c r="BU110" s="123">
        <f>IFERROR(MAX('B4'!BU20,'B5'!BU20,'B6'!BU20),0)</f>
        <v>0</v>
      </c>
      <c r="BV110" s="123">
        <f>IFERROR(MAX('B4'!BV20,'B5'!BV20,'B6'!BV20),0)</f>
        <v>0</v>
      </c>
    </row>
    <row r="111" spans="1:74" ht="16" thickBot="1" x14ac:dyDescent="0.4">
      <c r="A111" s="63">
        <f t="shared" si="10"/>
        <v>43105</v>
      </c>
      <c r="B111" s="129">
        <f t="shared" si="10"/>
        <v>43</v>
      </c>
      <c r="C111" s="54"/>
      <c r="D111" s="123">
        <f>IFERROR(MAX('B4'!D21,'B5'!D21,'B6'!D21),0)</f>
        <v>0</v>
      </c>
      <c r="E111" s="123">
        <f>IFERROR(MAX('B4'!E21,'B5'!E21,'B6'!E21),0)</f>
        <v>0</v>
      </c>
      <c r="F111" s="123">
        <f>IFERROR(MAX('B4'!F21,'B5'!F21,'B6'!F21),0)</f>
        <v>0</v>
      </c>
      <c r="G111" s="123">
        <f>IFERROR(MAX('B4'!G21,'B5'!G21,'B6'!G21),0)</f>
        <v>0</v>
      </c>
      <c r="H111" s="123">
        <f>IFERROR(MAX('B4'!H21,'B5'!H21,'B6'!H21),0)</f>
        <v>0</v>
      </c>
      <c r="I111" s="123">
        <f>IFERROR(MAX('B4'!I21,'B5'!I21,'B6'!I21),0)</f>
        <v>0</v>
      </c>
      <c r="J111" s="123">
        <f>IFERROR(MAX('B4'!J21,'B5'!J21,'B6'!J21),0)</f>
        <v>24.079062975502648</v>
      </c>
      <c r="K111" s="123">
        <f>IFERROR(MAX('B4'!K21,'B5'!K21,'B6'!K21),0)</f>
        <v>15.536739572554488</v>
      </c>
      <c r="L111" s="123">
        <f>IFERROR(MAX('B4'!L21,'B5'!L21,'B6'!L21),0)</f>
        <v>13.477912499881098</v>
      </c>
      <c r="M111" s="123">
        <f>IFERROR(MAX('B4'!M21,'B5'!M21,'B6'!M21),0)</f>
        <v>91.387469488695544</v>
      </c>
      <c r="N111" s="123">
        <f>IFERROR(MAX('B4'!N21,'B5'!N21,'B6'!N21),0)</f>
        <v>0</v>
      </c>
      <c r="O111" s="123">
        <f>IFERROR(MAX('B4'!O21,'B5'!O21,'B6'!O21),0)</f>
        <v>3.1504213995888488</v>
      </c>
      <c r="P111" s="123">
        <f>IFERROR(MAX('B4'!P21,'B5'!P21,'B6'!P21),0)</f>
        <v>0</v>
      </c>
      <c r="Q111" s="123">
        <f>IFERROR(MAX('B4'!Q21,'B5'!Q21,'B6'!Q21),0)</f>
        <v>7.6446152610001565</v>
      </c>
      <c r="R111" s="123">
        <f>IFERROR(MAX('B4'!R21,'B5'!R21,'B6'!R21),0)</f>
        <v>0</v>
      </c>
      <c r="S111" s="123">
        <f>IFERROR(MAX('B4'!S21,'B5'!S21,'B6'!S21),0)</f>
        <v>0</v>
      </c>
      <c r="T111" s="123">
        <f>IFERROR(MAX('B4'!T21,'B5'!T21,'B6'!T21),0)</f>
        <v>0</v>
      </c>
      <c r="U111" s="123">
        <f>IFERROR(MAX('B4'!U21,'B5'!U21,'B6'!U21),0)</f>
        <v>0</v>
      </c>
      <c r="V111" s="123">
        <f>IFERROR(MAX('B4'!V21,'B5'!V21,'B6'!V21),0)</f>
        <v>0</v>
      </c>
      <c r="W111" s="123">
        <f>IFERROR(MAX('B4'!W21,'B5'!W21,'B6'!W21),0)</f>
        <v>0</v>
      </c>
      <c r="X111" s="123">
        <f>IFERROR(MAX('B4'!X21,'B5'!X21,'B6'!X21),0)</f>
        <v>0</v>
      </c>
      <c r="Y111" s="123">
        <f>IFERROR(MAX('B4'!Y21,'B5'!Y21,'B6'!Y21),0)</f>
        <v>0</v>
      </c>
      <c r="Z111" s="123">
        <f>IFERROR(MAX('B4'!Z21,'B5'!Z21,'B6'!Z21),0)</f>
        <v>0</v>
      </c>
      <c r="AA111" s="123">
        <f>IFERROR(MAX('B4'!AA21,'B5'!AA21,'B6'!AA21),0)</f>
        <v>0</v>
      </c>
      <c r="AB111" s="123">
        <f>IFERROR(MAX('B4'!AB21,'B5'!AB21,'B6'!AB21),0)</f>
        <v>0</v>
      </c>
      <c r="AC111" s="123">
        <f>IFERROR(MAX('B4'!AC21,'B5'!AC21,'B6'!AC21),0)</f>
        <v>0</v>
      </c>
      <c r="AD111" s="123">
        <f>IFERROR(MAX('B4'!AD21,'B5'!AD21,'B6'!AD21),0)</f>
        <v>0</v>
      </c>
      <c r="AE111" s="123">
        <f>IFERROR(MAX('B4'!AE21,'B5'!AE21,'B6'!AE21),0)</f>
        <v>7.47</v>
      </c>
      <c r="AF111" s="123">
        <f>IFERROR(MAX('B4'!AF21,'B5'!AF21,'B6'!AF21),0)</f>
        <v>20</v>
      </c>
      <c r="AG111" s="123">
        <f>IFERROR(MAX('B4'!AG21,'B5'!AG21,'B6'!AG21),0)</f>
        <v>1</v>
      </c>
      <c r="AH111" s="123">
        <f>IFERROR(MAX('B4'!AH21,'B5'!AH21,'B6'!AH21),0)</f>
        <v>449</v>
      </c>
      <c r="AI111" s="123">
        <f>IFERROR(MAX('B4'!AI21,'B5'!AI21,'B6'!AI21),0)</f>
        <v>0</v>
      </c>
      <c r="AJ111" s="123">
        <f>IFERROR(MAX('B4'!AJ21,'B5'!AJ21,'B6'!AJ21),0)</f>
        <v>0</v>
      </c>
      <c r="AK111" s="123">
        <f>IFERROR(MAX('B4'!AK21,'B5'!AK21,'B6'!AK21),0)</f>
        <v>0</v>
      </c>
      <c r="AL111" s="123">
        <f>IFERROR(MAX('B4'!AL21,'B5'!AL21,'B6'!AL21),0)</f>
        <v>0</v>
      </c>
      <c r="AM111" s="123">
        <f>IFERROR(MAX('B4'!AM21,'B5'!AM21,'B6'!AM21),0)</f>
        <v>0</v>
      </c>
      <c r="AN111" s="123">
        <f>IFERROR(MAX('B4'!AN21,'B5'!AN21,'B6'!AN21),0)</f>
        <v>0</v>
      </c>
      <c r="AO111" s="123">
        <f>IFERROR(MAX('B4'!AO21,'B5'!AO21,'B6'!AO21),0)</f>
        <v>0</v>
      </c>
      <c r="AP111" s="123">
        <f>IFERROR(MAX('B4'!AP21,'B5'!AP21,'B6'!AP21),0)</f>
        <v>0.48158125951005298</v>
      </c>
      <c r="AQ111" s="123">
        <f>IFERROR(MAX('B4'!AQ21,'B5'!AQ21,'B6'!AQ21),0)</f>
        <v>0.31073479145108979</v>
      </c>
      <c r="AR111" s="123">
        <f>IFERROR(MAX('B4'!AR21,'B5'!AR21,'B6'!AR21),0)</f>
        <v>0.26955824999762196</v>
      </c>
      <c r="AS111" s="123">
        <f>IFERROR(MAX('B4'!AS21,'B5'!AS21,'B6'!AS21),0)</f>
        <v>1.827749389773911</v>
      </c>
      <c r="AT111" s="123">
        <f>IFERROR(MAX('B4'!AT21,'B5'!AT21,'B6'!AT21),0)</f>
        <v>0</v>
      </c>
      <c r="AU111" s="123">
        <f>IFERROR(MAX('B4'!AU21,'B5'!AU21,'B6'!AU21),0)</f>
        <v>6.3008427991776972E-2</v>
      </c>
      <c r="AV111" s="123">
        <f>IFERROR(MAX('B4'!AV21,'B5'!AV21,'B6'!AV21),0)</f>
        <v>0</v>
      </c>
      <c r="AW111" s="123">
        <f>IFERROR(MAX('B4'!AW21,'B5'!AW21,'B6'!AW21),0)</f>
        <v>0.15289230522000313</v>
      </c>
      <c r="AX111" s="123">
        <f>IFERROR(MAX('B4'!AX21,'B5'!AX21,'B6'!AX21),0)</f>
        <v>0</v>
      </c>
      <c r="AY111" s="123">
        <f>IFERROR(MAX('B4'!AY21,'B5'!AY21,'B6'!AY21),0)</f>
        <v>0</v>
      </c>
      <c r="AZ111" s="123">
        <f>IFERROR(MAX('B4'!AZ21,'B5'!AZ21,'B6'!AZ21),0)</f>
        <v>99.689165186500887</v>
      </c>
      <c r="BA111" s="123">
        <f>IFERROR(MAX('B4'!BA21,'B5'!BA21,'B6'!BA21),0)</f>
        <v>8.98</v>
      </c>
      <c r="BB111" s="123">
        <f>IFERROR(MAX('B4'!BB21,'B5'!BB21,'B6'!BB21),0)</f>
        <v>0</v>
      </c>
      <c r="BC111" s="123">
        <f>IFERROR(MAX('B4'!BC21,'B5'!BC21,'B6'!BC21),0)</f>
        <v>0</v>
      </c>
      <c r="BD111" s="123">
        <f>IFERROR(MAX('B4'!BD21,'B5'!BD21,'B6'!BD21),0)</f>
        <v>0</v>
      </c>
      <c r="BE111" s="123">
        <f>IFERROR(MAX('B4'!BE21,'B5'!BE21,'B6'!BE21),0)</f>
        <v>0</v>
      </c>
      <c r="BF111" s="123">
        <f>IFERROR(MAX('B4'!BF21,'B5'!BF21,'B6'!BF21),0)</f>
        <v>0</v>
      </c>
      <c r="BG111" s="123">
        <f>IFERROR(MAX('B4'!BG21,'B5'!BG21,'B6'!BG21),0)</f>
        <v>0</v>
      </c>
      <c r="BH111" s="123">
        <f>IFERROR(MAX('B4'!BH21,'B5'!BH21,'B6'!BH21),0)</f>
        <v>0</v>
      </c>
      <c r="BI111" s="123">
        <f>IFERROR(MAX('B4'!BI21,'B5'!BI21,'B6'!BI21),0)</f>
        <v>0</v>
      </c>
      <c r="BJ111" s="123">
        <f>IFERROR(MAX('B4'!BJ21,'B5'!BJ21,'B6'!BJ21),0)</f>
        <v>0.96316251902010597</v>
      </c>
      <c r="BK111" s="123">
        <f>IFERROR(MAX('B4'!BK21,'B5'!BK21,'B6'!BK21),0)</f>
        <v>0.9322043743532693</v>
      </c>
      <c r="BL111" s="123">
        <f>IFERROR(MAX('B4'!BL21,'B5'!BL21,'B6'!BL21),0)</f>
        <v>1.0782329999904878</v>
      </c>
      <c r="BM111" s="123">
        <f>IFERROR(MAX('B4'!BM21,'B5'!BM21,'B6'!BM21),0)</f>
        <v>7.310997559095644</v>
      </c>
      <c r="BN111" s="123">
        <f>IFERROR(MAX('B4'!BN21,'B5'!BN21,'B6'!BN21),0)</f>
        <v>0</v>
      </c>
      <c r="BO111" s="123">
        <f>IFERROR(MAX('B4'!BO21,'B5'!BO21,'B6'!BO21),0)</f>
        <v>0.31504213995888486</v>
      </c>
      <c r="BP111" s="123">
        <f>IFERROR(MAX('B4'!BP21,'B5'!BP21,'B6'!BP21),0)</f>
        <v>0</v>
      </c>
      <c r="BQ111" s="123">
        <f>IFERROR(MAX('B4'!BQ21,'B5'!BQ21,'B6'!BQ21),0)</f>
        <v>0.9173538313200188</v>
      </c>
      <c r="BR111" s="123">
        <f>IFERROR(MAX('B4'!BR21,'B5'!BR21,'B6'!BR21),0)</f>
        <v>0</v>
      </c>
      <c r="BS111" s="123">
        <f>IFERROR(MAX('B4'!BS21,'B5'!BS21,'B6'!BS21),0)</f>
        <v>0</v>
      </c>
      <c r="BT111" s="123">
        <f>IFERROR(MAX('B4'!BT21,'B5'!BT21,'B6'!BT21),0)</f>
        <v>0.29906749555950268</v>
      </c>
      <c r="BU111" s="123">
        <f>IFERROR(MAX('B4'!BU21,'B5'!BU21,'B6'!BU21),0)</f>
        <v>0</v>
      </c>
      <c r="BV111" s="123">
        <f>IFERROR(MAX('B4'!BV21,'B5'!BV21,'B6'!BV21),0)</f>
        <v>0</v>
      </c>
    </row>
    <row r="112" spans="1:74" ht="16" thickBot="1" x14ac:dyDescent="0.4">
      <c r="A112" s="63">
        <f t="shared" si="10"/>
        <v>43195</v>
      </c>
      <c r="B112" s="129">
        <f t="shared" si="10"/>
        <v>46</v>
      </c>
      <c r="C112" s="79"/>
      <c r="D112" s="123">
        <f>IFERROR(MAX('B4'!D22,'B5'!D22,'B6'!D22),0)</f>
        <v>0</v>
      </c>
      <c r="E112" s="123">
        <f>IFERROR(MAX('B4'!E22,'B5'!E22,'B6'!E22),0)</f>
        <v>0</v>
      </c>
      <c r="F112" s="123">
        <f>IFERROR(MAX('B4'!F22,'B5'!F22,'B6'!F22),0)</f>
        <v>0</v>
      </c>
      <c r="G112" s="123">
        <f>IFERROR(MAX('B4'!G22,'B5'!G22,'B6'!G22),0)</f>
        <v>0</v>
      </c>
      <c r="H112" s="123">
        <f>IFERROR(MAX('B4'!H22,'B5'!H22,'B6'!H22),0)</f>
        <v>0</v>
      </c>
      <c r="I112" s="123">
        <f>IFERROR(MAX('B4'!I22,'B5'!I22,'B6'!I22),0)</f>
        <v>0.5532639880509117</v>
      </c>
      <c r="J112" s="123">
        <f>IFERROR(MAX('B4'!J22,'B5'!J22,'B6'!J22),0)</f>
        <v>37.456458573857596</v>
      </c>
      <c r="K112" s="123">
        <f>IFERROR(MAX('B4'!K22,'B5'!K22,'B6'!K22),0)</f>
        <v>29.336004038665678</v>
      </c>
      <c r="L112" s="123">
        <f>IFERROR(MAX('B4'!L22,'B5'!L22,'B6'!L22),0)</f>
        <v>26.604604575219213</v>
      </c>
      <c r="M112" s="123">
        <f>IFERROR(MAX('B4'!M22,'B5'!M22,'B6'!M22),0)</f>
        <v>179.41620909600329</v>
      </c>
      <c r="N112" s="123">
        <f>IFERROR(MAX('B4'!N22,'B5'!N22,'B6'!N22),0)</f>
        <v>0.98096804647374636</v>
      </c>
      <c r="O112" s="123">
        <f>IFERROR(MAX('B4'!O22,'B5'!O22,'B6'!O22),0)</f>
        <v>6.4822168681108066</v>
      </c>
      <c r="P112" s="123">
        <f>IFERROR(MAX('B4'!P22,'B5'!P22,'B6'!P22),0)</f>
        <v>0</v>
      </c>
      <c r="Q112" s="123">
        <f>IFERROR(MAX('B4'!Q22,'B5'!Q22,'B6'!Q22),0)</f>
        <v>15.275173402651426</v>
      </c>
      <c r="R112" s="123">
        <f>IFERROR(MAX('B4'!R22,'B5'!R22,'B6'!R22),0)</f>
        <v>0</v>
      </c>
      <c r="S112" s="123">
        <f>IFERROR(MAX('B4'!S22,'B5'!S22,'B6'!S22),0)</f>
        <v>0.21950403831404311</v>
      </c>
      <c r="T112" s="123">
        <f>IFERROR(MAX('B4'!T22,'B5'!T22,'B6'!T22),0)</f>
        <v>0</v>
      </c>
      <c r="U112" s="123">
        <f>IFERROR(MAX('B4'!U22,'B5'!U22,'B6'!U22),0)</f>
        <v>0</v>
      </c>
      <c r="V112" s="123">
        <f>IFERROR(MAX('B4'!V22,'B5'!V22,'B6'!V22),0)</f>
        <v>0</v>
      </c>
      <c r="W112" s="123">
        <f>IFERROR(MAX('B4'!W22,'B5'!W22,'B6'!W22),0)</f>
        <v>0</v>
      </c>
      <c r="X112" s="123">
        <f>IFERROR(MAX('B4'!X22,'B5'!X22,'B6'!X22),0)</f>
        <v>0</v>
      </c>
      <c r="Y112" s="123">
        <f>IFERROR(MAX('B4'!Y22,'B5'!Y22,'B6'!Y22),0)</f>
        <v>0</v>
      </c>
      <c r="Z112" s="123">
        <f>IFERROR(MAX('B4'!Z22,'B5'!Z22,'B6'!Z22),0)</f>
        <v>0</v>
      </c>
      <c r="AA112" s="123">
        <f>IFERROR(MAX('B4'!AA22,'B5'!AA22,'B6'!AA22),0)</f>
        <v>0</v>
      </c>
      <c r="AB112" s="123">
        <f>IFERROR(MAX('B4'!AB22,'B5'!AB22,'B6'!AB22),0)</f>
        <v>0</v>
      </c>
      <c r="AC112" s="123">
        <f>IFERROR(MAX('B4'!AC22,'B5'!AC22,'B6'!AC22),0)</f>
        <v>0</v>
      </c>
      <c r="AD112" s="123">
        <f>IFERROR(MAX('B4'!AD22,'B5'!AD22,'B6'!AD22),0)</f>
        <v>0</v>
      </c>
      <c r="AE112" s="123">
        <f>IFERROR(MAX('B4'!AE22,'B5'!AE22,'B6'!AE22),0)</f>
        <v>7.31</v>
      </c>
      <c r="AF112" s="123">
        <f>IFERROR(MAX('B4'!AF22,'B5'!AF22,'B6'!AF22),0)</f>
        <v>20</v>
      </c>
      <c r="AG112" s="123">
        <f>IFERROR(MAX('B4'!AG22,'B5'!AG22,'B6'!AG22),0)</f>
        <v>1</v>
      </c>
      <c r="AH112" s="123">
        <f>IFERROR(MAX('B4'!AH22,'B5'!AH22,'B6'!AH22),0)</f>
        <v>416.4</v>
      </c>
      <c r="AI112" s="123">
        <f>IFERROR(MAX('B4'!AI22,'B5'!AI22,'B6'!AI22),0)</f>
        <v>0</v>
      </c>
      <c r="AJ112" s="123">
        <f>IFERROR(MAX('B4'!AJ22,'B5'!AJ22,'B6'!AJ22),0)</f>
        <v>0</v>
      </c>
      <c r="AK112" s="123">
        <f>IFERROR(MAX('B4'!AK22,'B5'!AK22,'B6'!AK22),0)</f>
        <v>0</v>
      </c>
      <c r="AL112" s="123">
        <f>IFERROR(MAX('B4'!AL22,'B5'!AL22,'B6'!AL22),0)</f>
        <v>0</v>
      </c>
      <c r="AM112" s="123">
        <f>IFERROR(MAX('B4'!AM22,'B5'!AM22,'B6'!AM22),0)</f>
        <v>0</v>
      </c>
      <c r="AN112" s="123">
        <f>IFERROR(MAX('B4'!AN22,'B5'!AN22,'B6'!AN22),0)</f>
        <v>0</v>
      </c>
      <c r="AO112" s="123">
        <f>IFERROR(MAX('B4'!AO22,'B5'!AO22,'B6'!AO22),0)</f>
        <v>0</v>
      </c>
      <c r="AP112" s="123">
        <f>IFERROR(MAX('B4'!AP22,'B5'!AP22,'B6'!AP22),0)</f>
        <v>0.74912917147715186</v>
      </c>
      <c r="AQ112" s="123">
        <f>IFERROR(MAX('B4'!AQ22,'B5'!AQ22,'B6'!AQ22),0)</f>
        <v>0.58672008077331361</v>
      </c>
      <c r="AR112" s="123">
        <f>IFERROR(MAX('B4'!AR22,'B5'!AR22,'B6'!AR22),0)</f>
        <v>0.5320920915043843</v>
      </c>
      <c r="AS112" s="123">
        <f>IFERROR(MAX('B4'!AS22,'B5'!AS22,'B6'!AS22),0)</f>
        <v>3.5883241819200657</v>
      </c>
      <c r="AT112" s="123">
        <f>IFERROR(MAX('B4'!AT22,'B5'!AT22,'B6'!AT22),0)</f>
        <v>0</v>
      </c>
      <c r="AU112" s="123">
        <f>IFERROR(MAX('B4'!AU22,'B5'!AU22,'B6'!AU22),0)</f>
        <v>0.12964433736221614</v>
      </c>
      <c r="AV112" s="123">
        <f>IFERROR(MAX('B4'!AV22,'B5'!AV22,'B6'!AV22),0)</f>
        <v>0</v>
      </c>
      <c r="AW112" s="123">
        <f>IFERROR(MAX('B4'!AW22,'B5'!AW22,'B6'!AW22),0)</f>
        <v>0.30550346805302853</v>
      </c>
      <c r="AX112" s="123">
        <f>IFERROR(MAX('B4'!AX22,'B5'!AX22,'B6'!AX22),0)</f>
        <v>0</v>
      </c>
      <c r="AY112" s="123">
        <f>IFERROR(MAX('B4'!AY22,'B5'!AY22,'B6'!AY22),0)</f>
        <v>0</v>
      </c>
      <c r="AZ112" s="123">
        <f>IFERROR(MAX('B4'!AZ22,'B5'!AZ22,'B6'!AZ22),0)</f>
        <v>92.451154529307288</v>
      </c>
      <c r="BA112" s="123">
        <f>IFERROR(MAX('B4'!BA22,'B5'!BA22,'B6'!BA22),0)</f>
        <v>8.3279999999999994</v>
      </c>
      <c r="BB112" s="123">
        <f>IFERROR(MAX('B4'!BB22,'B5'!BB22,'B6'!BB22),0)</f>
        <v>0</v>
      </c>
      <c r="BC112" s="123">
        <f>IFERROR(MAX('B4'!BC22,'B5'!BC22,'B6'!BC22),0)</f>
        <v>0</v>
      </c>
      <c r="BD112" s="123">
        <f>IFERROR(MAX('B4'!BD22,'B5'!BD22,'B6'!BD22),0)</f>
        <v>0</v>
      </c>
      <c r="BE112" s="123">
        <f>IFERROR(MAX('B4'!BE22,'B5'!BE22,'B6'!BE22),0)</f>
        <v>0</v>
      </c>
      <c r="BF112" s="123">
        <f>IFERROR(MAX('B4'!BF22,'B5'!BF22,'B6'!BF22),0)</f>
        <v>0</v>
      </c>
      <c r="BG112" s="123">
        <f>IFERROR(MAX('B4'!BG22,'B5'!BG22,'B6'!BG22),0)</f>
        <v>0</v>
      </c>
      <c r="BH112" s="123">
        <f>IFERROR(MAX('B4'!BH22,'B5'!BH22,'B6'!BH22),0)</f>
        <v>0</v>
      </c>
      <c r="BI112" s="123">
        <f>IFERROR(MAX('B4'!BI22,'B5'!BI22,'B6'!BI22),0)</f>
        <v>0</v>
      </c>
      <c r="BJ112" s="123">
        <f>IFERROR(MAX('B4'!BJ22,'B5'!BJ22,'B6'!BJ22),0)</f>
        <v>1.4982583429543037</v>
      </c>
      <c r="BK112" s="123">
        <f>IFERROR(MAX('B4'!BK22,'B5'!BK22,'B6'!BK22),0)</f>
        <v>1.7601602423199409</v>
      </c>
      <c r="BL112" s="123">
        <f>IFERROR(MAX('B4'!BL22,'B5'!BL22,'B6'!BL22),0)</f>
        <v>2.1283683660175372</v>
      </c>
      <c r="BM112" s="123">
        <f>IFERROR(MAX('B4'!BM22,'B5'!BM22,'B6'!BM22),0)</f>
        <v>14.353296727680263</v>
      </c>
      <c r="BN112" s="123">
        <f>IFERROR(MAX('B4'!BN22,'B5'!BN22,'B6'!BN22),0)</f>
        <v>0</v>
      </c>
      <c r="BO112" s="123">
        <f>IFERROR(MAX('B4'!BO22,'B5'!BO22,'B6'!BO22),0)</f>
        <v>0.64822168681108072</v>
      </c>
      <c r="BP112" s="123">
        <f>IFERROR(MAX('B4'!BP22,'B5'!BP22,'B6'!BP22),0)</f>
        <v>0</v>
      </c>
      <c r="BQ112" s="123">
        <f>IFERROR(MAX('B4'!BQ22,'B5'!BQ22,'B6'!BQ22),0)</f>
        <v>1.8330208083181712</v>
      </c>
      <c r="BR112" s="123">
        <f>IFERROR(MAX('B4'!BR22,'B5'!BR22,'B6'!BR22),0)</f>
        <v>0</v>
      </c>
      <c r="BS112" s="123">
        <f>IFERROR(MAX('B4'!BS22,'B5'!BS22,'B6'!BS22),0)</f>
        <v>0</v>
      </c>
      <c r="BT112" s="123">
        <f>IFERROR(MAX('B4'!BT22,'B5'!BT22,'B6'!BT22),0)</f>
        <v>0.27735346358792184</v>
      </c>
      <c r="BU112" s="123">
        <f>IFERROR(MAX('B4'!BU22,'B5'!BU22,'B6'!BU22),0)</f>
        <v>0</v>
      </c>
      <c r="BV112" s="123">
        <f>IFERROR(MAX('B4'!BV22,'B5'!BV22,'B6'!BV22),0)</f>
        <v>0</v>
      </c>
    </row>
    <row r="113" spans="1:74" ht="16" thickBot="1" x14ac:dyDescent="0.4">
      <c r="A113" s="63">
        <f t="shared" si="10"/>
        <v>43317</v>
      </c>
      <c r="B113" s="129">
        <f t="shared" si="10"/>
        <v>50</v>
      </c>
      <c r="C113" s="54"/>
      <c r="D113" s="123">
        <f>IFERROR(MAX('B4'!D23,'B5'!D23,'B6'!D23),0)</f>
        <v>1.1548369332099033</v>
      </c>
      <c r="E113" s="123">
        <f>IFERROR(MAX('B4'!E23,'B5'!E23,'B6'!E23),0)</f>
        <v>0</v>
      </c>
      <c r="F113" s="123">
        <f>IFERROR(MAX('B4'!F23,'B5'!F23,'B6'!F23),0)</f>
        <v>3.0612884218881944</v>
      </c>
      <c r="G113" s="123">
        <f>IFERROR(MAX('B4'!G23,'B5'!G23,'B6'!G23),0)</f>
        <v>1.5893246711346265</v>
      </c>
      <c r="H113" s="123">
        <f>IFERROR(MAX('B4'!H23,'B5'!H23,'B6'!H23),0)</f>
        <v>0.56908285103823175</v>
      </c>
      <c r="I113" s="123">
        <f>IFERROR(MAX('B4'!I23,'B5'!I23,'B6'!I23),0)</f>
        <v>0</v>
      </c>
      <c r="J113" s="123">
        <f>IFERROR(MAX('B4'!J23,'B5'!J23,'B6'!J23),0)</f>
        <v>18.932541818209941</v>
      </c>
      <c r="K113" s="123">
        <f>IFERROR(MAX('B4'!K23,'B5'!K23,'B6'!K23),0)</f>
        <v>12.788493223437762</v>
      </c>
      <c r="L113" s="123">
        <f>IFERROR(MAX('B4'!L23,'B5'!L23,'B6'!L23),0)</f>
        <v>10.545717198577911</v>
      </c>
      <c r="M113" s="123">
        <f>IFERROR(MAX('B4'!M23,'B5'!M23,'B6'!M23),0)</f>
        <v>70.742233304923985</v>
      </c>
      <c r="N113" s="123">
        <f>IFERROR(MAX('B4'!N23,'B5'!N23,'B6'!N23),0)</f>
        <v>0.71946750588330133</v>
      </c>
      <c r="O113" s="123">
        <f>IFERROR(MAX('B4'!O23,'B5'!O23,'B6'!O23),0)</f>
        <v>2.4505885473037314</v>
      </c>
      <c r="P113" s="123">
        <f>IFERROR(MAX('B4'!P23,'B5'!P23,'B6'!P23),0)</f>
        <v>0</v>
      </c>
      <c r="Q113" s="123">
        <f>IFERROR(MAX('B4'!Q23,'B5'!Q23,'B6'!Q23),0)</f>
        <v>5.6530912593272475</v>
      </c>
      <c r="R113" s="123">
        <f>IFERROR(MAX('B4'!R23,'B5'!R23,'B6'!R23),0)</f>
        <v>0</v>
      </c>
      <c r="S113" s="123">
        <f>IFERROR(MAX('B4'!S23,'B5'!S23,'B6'!S23),0)</f>
        <v>3.1857333547582994E-2</v>
      </c>
      <c r="T113" s="123">
        <f>IFERROR(MAX('B4'!T23,'B5'!T23,'B6'!T23),0)</f>
        <v>0</v>
      </c>
      <c r="U113" s="123">
        <f>IFERROR(MAX('B4'!U23,'B5'!U23,'B6'!U23),0)</f>
        <v>0</v>
      </c>
      <c r="V113" s="123">
        <f>IFERROR(MAX('B4'!V23,'B5'!V23,'B6'!V23),0)</f>
        <v>0</v>
      </c>
      <c r="W113" s="123">
        <f>IFERROR(MAX('B4'!W23,'B5'!W23,'B6'!W23),0)</f>
        <v>0</v>
      </c>
      <c r="X113" s="123">
        <f>IFERROR(MAX('B4'!X23,'B5'!X23,'B6'!X23),0)</f>
        <v>0</v>
      </c>
      <c r="Y113" s="123">
        <f>IFERROR(MAX('B4'!Y23,'B5'!Y23,'B6'!Y23),0)</f>
        <v>0</v>
      </c>
      <c r="Z113" s="123">
        <f>IFERROR(MAX('B4'!Z23,'B5'!Z23,'B6'!Z23),0)</f>
        <v>0</v>
      </c>
      <c r="AA113" s="123">
        <f>IFERROR(MAX('B4'!AA23,'B5'!AA23,'B6'!AA23),0)</f>
        <v>0</v>
      </c>
      <c r="AB113" s="123">
        <f>IFERROR(MAX('B4'!AB23,'B5'!AB23,'B6'!AB23),0)</f>
        <v>0</v>
      </c>
      <c r="AC113" s="123">
        <f>IFERROR(MAX('B4'!AC23,'B5'!AC23,'B6'!AC23),0)</f>
        <v>0</v>
      </c>
      <c r="AD113" s="123">
        <f>IFERROR(MAX('B4'!AD23,'B5'!AD23,'B6'!AD23),0)</f>
        <v>0</v>
      </c>
      <c r="AE113" s="123">
        <f>IFERROR(MAX('B4'!AE23,'B5'!AE23,'B6'!AE23),0)</f>
        <v>0</v>
      </c>
      <c r="AF113" s="123">
        <f>IFERROR(MAX('B4'!AF23,'B5'!AF23,'B6'!AF23),0)</f>
        <v>50</v>
      </c>
      <c r="AG113" s="123">
        <f>IFERROR(MAX('B4'!AG23,'B5'!AG23,'B6'!AG23),0)</f>
        <v>1</v>
      </c>
      <c r="AH113" s="123">
        <f>IFERROR(MAX('B4'!AH23,'B5'!AH23,'B6'!AH23),0)</f>
        <v>107.2</v>
      </c>
      <c r="AI113" s="123">
        <f>IFERROR(MAX('B4'!AI23,'B5'!AI23,'B6'!AI23),0)</f>
        <v>0</v>
      </c>
      <c r="AJ113" s="123">
        <f>IFERROR(MAX('B4'!AJ23,'B5'!AJ23,'B6'!AJ23),0)</f>
        <v>0</v>
      </c>
      <c r="AK113" s="123">
        <f>IFERROR(MAX('B4'!AK23,'B5'!AK23,'B6'!AK23),0)</f>
        <v>0</v>
      </c>
      <c r="AL113" s="123">
        <f>IFERROR(MAX('B4'!AL23,'B5'!AL23,'B6'!AL23),0)</f>
        <v>0</v>
      </c>
      <c r="AM113" s="123">
        <f>IFERROR(MAX('B4'!AM23,'B5'!AM23,'B6'!AM23),0)</f>
        <v>0</v>
      </c>
      <c r="AN113" s="123">
        <f>IFERROR(MAX('B4'!AN23,'B5'!AN23,'B6'!AN23),0)</f>
        <v>0</v>
      </c>
      <c r="AO113" s="123">
        <f>IFERROR(MAX('B4'!AO23,'B5'!AO23,'B6'!AO23),0)</f>
        <v>0</v>
      </c>
      <c r="AP113" s="123">
        <f>IFERROR(MAX('B4'!AP23,'B5'!AP23,'B6'!AP23),0)</f>
        <v>0.94662709091049702</v>
      </c>
      <c r="AQ113" s="123">
        <f>IFERROR(MAX('B4'!AQ23,'B5'!AQ23,'B6'!AQ23),0)</f>
        <v>0.63942466117188801</v>
      </c>
      <c r="AR113" s="123">
        <f>IFERROR(MAX('B4'!AR23,'B5'!AR23,'B6'!AR23),0)</f>
        <v>0.52728585992889554</v>
      </c>
      <c r="AS113" s="123">
        <f>IFERROR(MAX('B4'!AS23,'B5'!AS23,'B6'!AS23),0)</f>
        <v>3.5371116652461994</v>
      </c>
      <c r="AT113" s="123">
        <f>IFERROR(MAX('B4'!AT23,'B5'!AT23,'B6'!AT23),0)</f>
        <v>0</v>
      </c>
      <c r="AU113" s="123">
        <f>IFERROR(MAX('B4'!AU23,'B5'!AU23,'B6'!AU23),0)</f>
        <v>0</v>
      </c>
      <c r="AV113" s="123">
        <f>IFERROR(MAX('B4'!AV23,'B5'!AV23,'B6'!AV23),0)</f>
        <v>0</v>
      </c>
      <c r="AW113" s="123">
        <f>IFERROR(MAX('B4'!AW23,'B5'!AW23,'B6'!AW23),0)</f>
        <v>0.28265456296636238</v>
      </c>
      <c r="AX113" s="123">
        <f>IFERROR(MAX('B4'!AX23,'B5'!AX23,'B6'!AX23),0)</f>
        <v>0</v>
      </c>
      <c r="AY113" s="123">
        <f>IFERROR(MAX('B4'!AY23,'B5'!AY23,'B6'!AY23),0)</f>
        <v>0</v>
      </c>
      <c r="AZ113" s="123">
        <f>IFERROR(MAX('B4'!AZ23,'B5'!AZ23,'B6'!AZ23),0)</f>
        <v>59.50266429840142</v>
      </c>
      <c r="BA113" s="123">
        <f>IFERROR(MAX('B4'!BA23,'B5'!BA23,'B6'!BA23),0)</f>
        <v>5.36</v>
      </c>
      <c r="BB113" s="123">
        <f>IFERROR(MAX('B4'!BB23,'B5'!BB23,'B6'!BB23),0)</f>
        <v>0</v>
      </c>
      <c r="BC113" s="123">
        <f>IFERROR(MAX('B4'!BC23,'B5'!BC23,'B6'!BC23),0)</f>
        <v>0</v>
      </c>
      <c r="BD113" s="123">
        <f>IFERROR(MAX('B4'!BD23,'B5'!BD23,'B6'!BD23),0)</f>
        <v>0</v>
      </c>
      <c r="BE113" s="123">
        <f>IFERROR(MAX('B4'!BE23,'B5'!BE23,'B6'!BE23),0)</f>
        <v>0</v>
      </c>
      <c r="BF113" s="123">
        <f>IFERROR(MAX('B4'!BF23,'B5'!BF23,'B6'!BF23),0)</f>
        <v>0</v>
      </c>
      <c r="BG113" s="123">
        <f>IFERROR(MAX('B4'!BG23,'B5'!BG23,'B6'!BG23),0)</f>
        <v>0</v>
      </c>
      <c r="BH113" s="123">
        <f>IFERROR(MAX('B4'!BH23,'B5'!BH23,'B6'!BH23),0)</f>
        <v>0</v>
      </c>
      <c r="BI113" s="123">
        <f>IFERROR(MAX('B4'!BI23,'B5'!BI23,'B6'!BI23),0)</f>
        <v>0</v>
      </c>
      <c r="BJ113" s="123">
        <f>IFERROR(MAX('B4'!BJ23,'B5'!BJ23,'B6'!BJ23),0)</f>
        <v>1.893254181820994</v>
      </c>
      <c r="BK113" s="123">
        <f>IFERROR(MAX('B4'!BK23,'B5'!BK23,'B6'!BK23),0)</f>
        <v>1.9182739835156641</v>
      </c>
      <c r="BL113" s="123">
        <f>IFERROR(MAX('B4'!BL23,'B5'!BL23,'B6'!BL23),0)</f>
        <v>2.1091434397155822</v>
      </c>
      <c r="BM113" s="123">
        <f>IFERROR(MAX('B4'!BM23,'B5'!BM23,'B6'!BM23),0)</f>
        <v>14.148446660984797</v>
      </c>
      <c r="BN113" s="123">
        <f>IFERROR(MAX('B4'!BN23,'B5'!BN23,'B6'!BN23),0)</f>
        <v>0</v>
      </c>
      <c r="BO113" s="123">
        <f>IFERROR(MAX('B4'!BO23,'B5'!BO23,'B6'!BO23),0)</f>
        <v>0</v>
      </c>
      <c r="BP113" s="123">
        <f>IFERROR(MAX('B4'!BP23,'B5'!BP23,'B6'!BP23),0)</f>
        <v>0</v>
      </c>
      <c r="BQ113" s="123">
        <f>IFERROR(MAX('B4'!BQ23,'B5'!BQ23,'B6'!BQ23),0)</f>
        <v>1.6959273777981743</v>
      </c>
      <c r="BR113" s="123">
        <f>IFERROR(MAX('B4'!BR23,'B5'!BR23,'B6'!BR23),0)</f>
        <v>0</v>
      </c>
      <c r="BS113" s="123">
        <f>IFERROR(MAX('B4'!BS23,'B5'!BS23,'B6'!BS23),0)</f>
        <v>0</v>
      </c>
      <c r="BT113" s="123">
        <f>IFERROR(MAX('B4'!BT23,'B5'!BT23,'B6'!BT23),0)</f>
        <v>0.17850799289520428</v>
      </c>
      <c r="BU113" s="123">
        <f>IFERROR(MAX('B4'!BU23,'B5'!BU23,'B6'!BU23),0)</f>
        <v>0</v>
      </c>
      <c r="BV113" s="123">
        <f>IFERROR(MAX('B4'!BV23,'B5'!BV23,'B6'!BV23),0)</f>
        <v>0</v>
      </c>
    </row>
    <row r="114" spans="1:74" ht="16" thickBot="1" x14ac:dyDescent="0.4">
      <c r="A114" s="63" t="str">
        <f t="shared" si="10"/>
        <v>16-05-2018</v>
      </c>
      <c r="B114" s="129">
        <f t="shared" si="10"/>
        <v>58</v>
      </c>
      <c r="C114" s="79"/>
      <c r="D114" s="123">
        <f>IFERROR(MAX('B4'!D24,'B5'!D24,'B6'!D24),0)</f>
        <v>0</v>
      </c>
      <c r="E114" s="123">
        <f>IFERROR(MAX('B4'!E24,'B5'!E24,'B6'!E24),0)</f>
        <v>0.41496728432452656</v>
      </c>
      <c r="F114" s="123">
        <f>IFERROR(MAX('B4'!F24,'B5'!F24,'B6'!F24),0)</f>
        <v>0</v>
      </c>
      <c r="G114" s="123">
        <f>IFERROR(MAX('B4'!G24,'B5'!G24,'B6'!G24),0)</f>
        <v>0</v>
      </c>
      <c r="H114" s="123">
        <f>IFERROR(MAX('B4'!H24,'B5'!H24,'B6'!H24),0)</f>
        <v>0</v>
      </c>
      <c r="I114" s="123">
        <f>IFERROR(MAX('B4'!I24,'B5'!I24,'B6'!I24),0)</f>
        <v>0</v>
      </c>
      <c r="J114" s="123">
        <f>IFERROR(MAX('B4'!J24,'B5'!J24,'B6'!J24),0)</f>
        <v>48.533070486768445</v>
      </c>
      <c r="K114" s="123">
        <f>IFERROR(MAX('B4'!K24,'B5'!K24,'B6'!K24),0)</f>
        <v>53.33857115660367</v>
      </c>
      <c r="L114" s="123">
        <f>IFERROR(MAX('B4'!L24,'B5'!L24,'B6'!L24),0)</f>
        <v>47.919874954136873</v>
      </c>
      <c r="M114" s="123">
        <f>IFERROR(MAX('B4'!M24,'B5'!M24,'B6'!M24),0)</f>
        <v>251.60147623792548</v>
      </c>
      <c r="N114" s="123">
        <f>IFERROR(MAX('B4'!N24,'B5'!N24,'B6'!N24),0)</f>
        <v>1.4115195940965153</v>
      </c>
      <c r="O114" s="123">
        <f>IFERROR(MAX('B4'!O24,'B5'!O24,'B6'!O24),0)</f>
        <v>17.217609943188968</v>
      </c>
      <c r="P114" s="123">
        <f>IFERROR(MAX('B4'!P24,'B5'!P24,'B6'!P24),0)</f>
        <v>0</v>
      </c>
      <c r="Q114" s="123">
        <f>IFERROR(MAX('B4'!Q24,'B5'!Q24,'B6'!Q24),0)</f>
        <v>18.69752317861504</v>
      </c>
      <c r="R114" s="123">
        <f>IFERROR(MAX('B4'!R24,'B5'!R24,'B6'!R24),0)</f>
        <v>0</v>
      </c>
      <c r="S114" s="123">
        <f>IFERROR(MAX('B4'!S24,'B5'!S24,'B6'!S24),0)</f>
        <v>0.71018459161011149</v>
      </c>
      <c r="T114" s="123">
        <f>IFERROR(MAX('B4'!T24,'B5'!T24,'B6'!T24),0)</f>
        <v>0</v>
      </c>
      <c r="U114" s="123">
        <f>IFERROR(MAX('B4'!U24,'B5'!U24,'B6'!U24),0)</f>
        <v>0</v>
      </c>
      <c r="V114" s="123">
        <f>IFERROR(MAX('B4'!V24,'B5'!V24,'B6'!V24),0)</f>
        <v>0</v>
      </c>
      <c r="W114" s="123">
        <f>IFERROR(MAX('B4'!W24,'B5'!W24,'B6'!W24),0)</f>
        <v>0</v>
      </c>
      <c r="X114" s="123">
        <f>IFERROR(MAX('B4'!X24,'B5'!X24,'B6'!X24),0)</f>
        <v>0</v>
      </c>
      <c r="Y114" s="123">
        <f>IFERROR(MAX('B4'!Y24,'B5'!Y24,'B6'!Y24),0)</f>
        <v>0</v>
      </c>
      <c r="Z114" s="123">
        <f>IFERROR(MAX('B4'!Z24,'B5'!Z24,'B6'!Z24),0)</f>
        <v>0</v>
      </c>
      <c r="AA114" s="123">
        <f>IFERROR(MAX('B4'!AA24,'B5'!AA24,'B6'!AA24),0)</f>
        <v>0</v>
      </c>
      <c r="AB114" s="123">
        <f>IFERROR(MAX('B4'!AB24,'B5'!AB24,'B6'!AB24),0)</f>
        <v>0</v>
      </c>
      <c r="AC114" s="123">
        <f>IFERROR(MAX('B4'!AC24,'B5'!AC24,'B6'!AC24),0)</f>
        <v>0</v>
      </c>
      <c r="AD114" s="123">
        <f>IFERROR(MAX('B4'!AD24,'B5'!AD24,'B6'!AD24),0)</f>
        <v>0</v>
      </c>
      <c r="AE114" s="123">
        <f>IFERROR(MAX('B4'!AE24,'B5'!AE24,'B6'!AE24),0)</f>
        <v>7.81</v>
      </c>
      <c r="AF114" s="123">
        <f>IFERROR(MAX('B4'!AF24,'B5'!AF24,'B6'!AF24),0)</f>
        <v>0</v>
      </c>
      <c r="AG114" s="123">
        <f>IFERROR(MAX('B4'!AG24,'B5'!AG24,'B6'!AG24),0)</f>
        <v>1</v>
      </c>
      <c r="AH114" s="123">
        <f>IFERROR(MAX('B4'!AH24,'B5'!AH24,'B6'!AH24),0)</f>
        <v>0</v>
      </c>
      <c r="AI114" s="123">
        <f>IFERROR(MAX('B4'!AI24,'B5'!AI24,'B6'!AI24),0)</f>
        <v>0</v>
      </c>
      <c r="AJ114" s="123">
        <f>IFERROR(MAX('B4'!AJ24,'B5'!AJ24,'B6'!AJ24),0)</f>
        <v>0</v>
      </c>
      <c r="AK114" s="123">
        <f>IFERROR(MAX('B4'!AK24,'B5'!AK24,'B6'!AK24),0)</f>
        <v>0</v>
      </c>
      <c r="AL114" s="123">
        <f>IFERROR(MAX('B4'!AL24,'B5'!AL24,'B6'!AL24),0)</f>
        <v>0</v>
      </c>
      <c r="AM114" s="123">
        <f>IFERROR(MAX('B4'!AM24,'B5'!AM24,'B6'!AM24),0)</f>
        <v>0</v>
      </c>
      <c r="AN114" s="123">
        <f>IFERROR(MAX('B4'!AN24,'B5'!AN24,'B6'!AN24),0)</f>
        <v>0</v>
      </c>
      <c r="AO114" s="123">
        <f>IFERROR(MAX('B4'!AO24,'B5'!AO24,'B6'!AO24),0)</f>
        <v>0</v>
      </c>
      <c r="AP114" s="123">
        <f>IFERROR(MAX('B4'!AP24,'B5'!AP24,'B6'!AP24),0)</f>
        <v>0.97066140973536896</v>
      </c>
      <c r="AQ114" s="123">
        <f>IFERROR(MAX('B4'!AQ24,'B5'!AQ24,'B6'!AQ24),0)</f>
        <v>1.0667714231320733</v>
      </c>
      <c r="AR114" s="123">
        <f>IFERROR(MAX('B4'!AR24,'B5'!AR24,'B6'!AR24),0)</f>
        <v>0.95839749908273741</v>
      </c>
      <c r="AS114" s="123">
        <f>IFERROR(MAX('B4'!AS24,'B5'!AS24,'B6'!AS24),0)</f>
        <v>5.0320295247585101</v>
      </c>
      <c r="AT114" s="123">
        <f>IFERROR(MAX('B4'!AT24,'B5'!AT24,'B6'!AT24),0)</f>
        <v>0</v>
      </c>
      <c r="AU114" s="123">
        <f>IFERROR(MAX('B4'!AU24,'B5'!AU24,'B6'!AU24),0)</f>
        <v>0.34435219886377932</v>
      </c>
      <c r="AV114" s="123">
        <f>IFERROR(MAX('B4'!AV24,'B5'!AV24,'B6'!AV24),0)</f>
        <v>0</v>
      </c>
      <c r="AW114" s="123">
        <f>IFERROR(MAX('B4'!AW24,'B5'!AW24,'B6'!AW24),0)</f>
        <v>0.37395046357230083</v>
      </c>
      <c r="AX114" s="123">
        <f>IFERROR(MAX('B4'!AX24,'B5'!AX24,'B6'!AX24),0)</f>
        <v>0</v>
      </c>
      <c r="AY114" s="123">
        <f>IFERROR(MAX('B4'!AY24,'B5'!AY24,'B6'!AY24),0)</f>
        <v>1.420369183220223E-2</v>
      </c>
      <c r="AZ114" s="123">
        <f>IFERROR(MAX('B4'!AZ24,'B5'!AZ24,'B6'!AZ24),0)</f>
        <v>0</v>
      </c>
      <c r="BA114" s="123">
        <f>IFERROR(MAX('B4'!BA24,'B5'!BA24,'B6'!BA24),0)</f>
        <v>0</v>
      </c>
      <c r="BB114" s="123">
        <f>IFERROR(MAX('B4'!BB24,'B5'!BB24,'B6'!BB24),0)</f>
        <v>0</v>
      </c>
      <c r="BC114" s="123">
        <f>IFERROR(MAX('B4'!BC24,'B5'!BC24,'B6'!BC24),0)</f>
        <v>0</v>
      </c>
      <c r="BD114" s="123">
        <f>IFERROR(MAX('B4'!BD24,'B5'!BD24,'B6'!BD24),0)</f>
        <v>0</v>
      </c>
      <c r="BE114" s="123">
        <f>IFERROR(MAX('B4'!BE24,'B5'!BE24,'B6'!BE24),0)</f>
        <v>0</v>
      </c>
      <c r="BF114" s="123">
        <f>IFERROR(MAX('B4'!BF24,'B5'!BF24,'B6'!BF24),0)</f>
        <v>0</v>
      </c>
      <c r="BG114" s="123">
        <f>IFERROR(MAX('B4'!BG24,'B5'!BG24,'B6'!BG24),0)</f>
        <v>0</v>
      </c>
      <c r="BH114" s="123">
        <f>IFERROR(MAX('B4'!BH24,'B5'!BH24,'B6'!BH24),0)</f>
        <v>0</v>
      </c>
      <c r="BI114" s="123">
        <f>IFERROR(MAX('B4'!BI24,'B5'!BI24,'B6'!BI24),0)</f>
        <v>0</v>
      </c>
      <c r="BJ114" s="123">
        <f>IFERROR(MAX('B4'!BJ24,'B5'!BJ24,'B6'!BJ24),0)</f>
        <v>1.9413228194707379</v>
      </c>
      <c r="BK114" s="123">
        <f>IFERROR(MAX('B4'!BK24,'B5'!BK24,'B6'!BK24),0)</f>
        <v>3.2003142693962197</v>
      </c>
      <c r="BL114" s="123">
        <f>IFERROR(MAX('B4'!BL24,'B5'!BL24,'B6'!BL24),0)</f>
        <v>3.8335899963309497</v>
      </c>
      <c r="BM114" s="123">
        <f>IFERROR(MAX('B4'!BM24,'B5'!BM24,'B6'!BM24),0)</f>
        <v>20.12811809903404</v>
      </c>
      <c r="BN114" s="123">
        <f>IFERROR(MAX('B4'!BN24,'B5'!BN24,'B6'!BN24),0)</f>
        <v>0</v>
      </c>
      <c r="BO114" s="123">
        <f>IFERROR(MAX('B4'!BO24,'B5'!BO24,'B6'!BO24),0)</f>
        <v>1.7217609943188967</v>
      </c>
      <c r="BP114" s="123">
        <f>IFERROR(MAX('B4'!BP24,'B5'!BP24,'B6'!BP24),0)</f>
        <v>0</v>
      </c>
      <c r="BQ114" s="123">
        <f>IFERROR(MAX('B4'!BQ24,'B5'!BQ24,'B6'!BQ24),0)</f>
        <v>2.2437027814338051</v>
      </c>
      <c r="BR114" s="123">
        <f>IFERROR(MAX('B4'!BR24,'B5'!BR24,'B6'!BR24),0)</f>
        <v>0</v>
      </c>
      <c r="BS114" s="123">
        <f>IFERROR(MAX('B4'!BS24,'B5'!BS24,'B6'!BS24),0)</f>
        <v>0.11362953465761784</v>
      </c>
      <c r="BT114" s="123">
        <f>IFERROR(MAX('B4'!BT24,'B5'!BT24,'B6'!BT24),0)</f>
        <v>0</v>
      </c>
      <c r="BU114" s="123">
        <f>IFERROR(MAX('B4'!BU24,'B5'!BU24,'B6'!BU24),0)</f>
        <v>0</v>
      </c>
      <c r="BV114" s="123">
        <f>IFERROR(MAX('B4'!BV24,'B5'!BV24,'B6'!BV24),0)</f>
        <v>0</v>
      </c>
    </row>
    <row r="115" spans="1:74" ht="16" thickBot="1" x14ac:dyDescent="0.4">
      <c r="A115" s="63">
        <f t="shared" si="10"/>
        <v>0</v>
      </c>
      <c r="B115" s="129">
        <f t="shared" si="10"/>
        <v>0</v>
      </c>
      <c r="C115" s="54"/>
      <c r="D115" s="123">
        <f>IFERROR(MAX('B4'!D25,'B5'!D25,'B6'!D25),0)</f>
        <v>0</v>
      </c>
      <c r="E115" s="123">
        <f>IFERROR(MAX('B4'!E25,'B5'!E25,'B6'!E25),0)</f>
        <v>0</v>
      </c>
      <c r="F115" s="123">
        <f>IFERROR(MAX('B4'!F25,'B5'!F25,'B6'!F25),0)</f>
        <v>0</v>
      </c>
      <c r="G115" s="123">
        <f>IFERROR(MAX('B4'!G25,'B5'!G25,'B6'!G25),0)</f>
        <v>0</v>
      </c>
      <c r="H115" s="123">
        <f>IFERROR(MAX('B4'!H25,'B5'!H25,'B6'!H25),0)</f>
        <v>0</v>
      </c>
      <c r="I115" s="123">
        <f>IFERROR(MAX('B4'!I25,'B5'!I25,'B6'!I25),0)</f>
        <v>0</v>
      </c>
      <c r="J115" s="123">
        <f>IFERROR(MAX('B4'!J25,'B5'!J25,'B6'!J25),0)</f>
        <v>36.664769454411022</v>
      </c>
      <c r="K115" s="123">
        <f>IFERROR(MAX('B4'!K25,'B5'!K25,'B6'!K25),0)</f>
        <v>40.258608857185415</v>
      </c>
      <c r="L115" s="123">
        <f>IFERROR(MAX('B4'!L25,'B5'!L25,'B6'!L25),0)</f>
        <v>36.943643984512761</v>
      </c>
      <c r="M115" s="123">
        <f>IFERROR(MAX('B4'!M25,'B5'!M25,'B6'!M25),0)</f>
        <v>225.18904204947171</v>
      </c>
      <c r="N115" s="123">
        <f>IFERROR(MAX('B4'!N25,'B5'!N25,'B6'!N25),0)</f>
        <v>1.0018748424402986</v>
      </c>
      <c r="O115" s="123">
        <f>IFERROR(MAX('B4'!O25,'B5'!O25,'B6'!O25),0)</f>
        <v>6.9695196535907895</v>
      </c>
      <c r="P115" s="123">
        <f>IFERROR(MAX('B4'!P25,'B5'!P25,'B6'!P25),0)</f>
        <v>0</v>
      </c>
      <c r="Q115" s="123">
        <f>IFERROR(MAX('B4'!Q25,'B5'!Q25,'B6'!Q25),0)</f>
        <v>0</v>
      </c>
      <c r="R115" s="123">
        <f>IFERROR(MAX('B4'!R25,'B5'!R25,'B6'!R25),0)</f>
        <v>0.69759677015442012</v>
      </c>
      <c r="S115" s="123">
        <f>IFERROR(MAX('B4'!S25,'B5'!S25,'B6'!S25),0)</f>
        <v>0</v>
      </c>
      <c r="T115" s="123">
        <f>IFERROR(MAX('B4'!T25,'B5'!T25,'B6'!T25),0)</f>
        <v>0</v>
      </c>
      <c r="U115" s="123">
        <f>IFERROR(MAX('B4'!U25,'B5'!U25,'B6'!U25),0)</f>
        <v>0</v>
      </c>
      <c r="V115" s="123">
        <f>IFERROR(MAX('B4'!V25,'B5'!V25,'B6'!V25),0)</f>
        <v>0</v>
      </c>
      <c r="W115" s="123">
        <f>IFERROR(MAX('B4'!W25,'B5'!W25,'B6'!W25),0)</f>
        <v>0</v>
      </c>
      <c r="X115" s="123">
        <f>IFERROR(MAX('B4'!X25,'B5'!X25,'B6'!X25),0)</f>
        <v>0</v>
      </c>
      <c r="Y115" s="123">
        <f>IFERROR(MAX('B4'!Y25,'B5'!Y25,'B6'!Y25),0)</f>
        <v>0</v>
      </c>
      <c r="Z115" s="123">
        <f>IFERROR(MAX('B4'!Z25,'B5'!Z25,'B6'!Z25),0)</f>
        <v>0</v>
      </c>
      <c r="AA115" s="123">
        <f>IFERROR(MAX('B4'!AA25,'B5'!AA25,'B6'!AA25),0)</f>
        <v>0</v>
      </c>
      <c r="AB115" s="123">
        <f>IFERROR(MAX('B4'!AB25,'B5'!AB25,'B6'!AB25),0)</f>
        <v>0</v>
      </c>
      <c r="AC115" s="123">
        <f>IFERROR(MAX('B4'!AC25,'B5'!AC25,'B6'!AC25),0)</f>
        <v>0</v>
      </c>
      <c r="AD115" s="123">
        <f>IFERROR(MAX('B4'!AD25,'B5'!AD25,'B6'!AD25),0)</f>
        <v>0</v>
      </c>
      <c r="AE115" s="123">
        <f>IFERROR(MAX('B4'!AE25,'B5'!AE25,'B6'!AE25),0)</f>
        <v>8.8699999999999992</v>
      </c>
      <c r="AF115" s="123">
        <f>IFERROR(MAX('B4'!AF25,'B5'!AF25,'B6'!AF25),0)</f>
        <v>0</v>
      </c>
      <c r="AG115" s="123">
        <f>IFERROR(MAX('B4'!AG25,'B5'!AG25,'B6'!AG25),0)</f>
        <v>1</v>
      </c>
      <c r="AH115" s="123">
        <f>IFERROR(MAX('B4'!AH25,'B5'!AH25,'B6'!AH25),0)</f>
        <v>0</v>
      </c>
      <c r="AI115" s="123">
        <f>IFERROR(MAX('B4'!AI25,'B5'!AI25,'B6'!AI25),0)</f>
        <v>0</v>
      </c>
      <c r="AJ115" s="123">
        <f>IFERROR(MAX('B4'!AJ25,'B5'!AJ25,'B6'!AJ25),0)</f>
        <v>0</v>
      </c>
      <c r="AK115" s="123">
        <f>IFERROR(MAX('B4'!AK25,'B5'!AK25,'B6'!AK25),0)</f>
        <v>0</v>
      </c>
      <c r="AL115" s="123">
        <f>IFERROR(MAX('B4'!AL25,'B5'!AL25,'B6'!AL25),0)</f>
        <v>0</v>
      </c>
      <c r="AM115" s="123">
        <f>IFERROR(MAX('B4'!AM25,'B5'!AM25,'B6'!AM25),0)</f>
        <v>0</v>
      </c>
      <c r="AN115" s="123">
        <f>IFERROR(MAX('B4'!AN25,'B5'!AN25,'B6'!AN25),0)</f>
        <v>0</v>
      </c>
      <c r="AO115" s="123">
        <f>IFERROR(MAX('B4'!AO25,'B5'!AO25,'B6'!AO25),0)</f>
        <v>0</v>
      </c>
      <c r="AP115" s="123">
        <f>IFERROR(MAX('B4'!AP25,'B5'!AP25,'B6'!AP25),0)</f>
        <v>0.73329538908822045</v>
      </c>
      <c r="AQ115" s="123">
        <f>IFERROR(MAX('B4'!AQ25,'B5'!AQ25,'B6'!AQ25),0)</f>
        <v>0.80517217714370826</v>
      </c>
      <c r="AR115" s="123">
        <f>IFERROR(MAX('B4'!AR25,'B5'!AR25,'B6'!AR25),0)</f>
        <v>0.73887287969025517</v>
      </c>
      <c r="AS115" s="123">
        <f>IFERROR(MAX('B4'!AS25,'B5'!AS25,'B6'!AS25),0)</f>
        <v>4.5037808409894344</v>
      </c>
      <c r="AT115" s="123">
        <f>IFERROR(MAX('B4'!AT25,'B5'!AT25,'B6'!AT25),0)</f>
        <v>0</v>
      </c>
      <c r="AU115" s="123">
        <f>IFERROR(MAX('B4'!AU25,'B5'!AU25,'B6'!AU25),0)</f>
        <v>0.1393903930718158</v>
      </c>
      <c r="AV115" s="123">
        <f>IFERROR(MAX('B4'!AV25,'B5'!AV25,'B6'!AV25),0)</f>
        <v>0</v>
      </c>
      <c r="AW115" s="123">
        <f>IFERROR(MAX('B4'!AW25,'B5'!AW25,'B6'!AW25),0)</f>
        <v>0</v>
      </c>
      <c r="AX115" s="123">
        <f>IFERROR(MAX('B4'!AX25,'B5'!AX25,'B6'!AX25),0)</f>
        <v>0</v>
      </c>
      <c r="AY115" s="123">
        <f>IFERROR(MAX('B4'!AY25,'B5'!AY25,'B6'!AY25),0)</f>
        <v>0</v>
      </c>
      <c r="AZ115" s="123">
        <f>IFERROR(MAX('B4'!AZ25,'B5'!AZ25,'B6'!AZ25),0)</f>
        <v>0</v>
      </c>
      <c r="BA115" s="123">
        <f>IFERROR(MAX('B4'!BA25,'B5'!BA25,'B6'!BA25),0)</f>
        <v>0</v>
      </c>
      <c r="BB115" s="123">
        <f>IFERROR(MAX('B4'!BB25,'B5'!BB25,'B6'!BB25),0)</f>
        <v>0</v>
      </c>
      <c r="BC115" s="123">
        <f>IFERROR(MAX('B4'!BC25,'B5'!BC25,'B6'!BC25),0)</f>
        <v>0</v>
      </c>
      <c r="BD115" s="123">
        <f>IFERROR(MAX('B4'!BD25,'B5'!BD25,'B6'!BD25),0)</f>
        <v>0</v>
      </c>
      <c r="BE115" s="123">
        <f>IFERROR(MAX('B4'!BE25,'B5'!BE25,'B6'!BE25),0)</f>
        <v>0</v>
      </c>
      <c r="BF115" s="123">
        <f>IFERROR(MAX('B4'!BF25,'B5'!BF25,'B6'!BF25),0)</f>
        <v>0</v>
      </c>
      <c r="BG115" s="123">
        <f>IFERROR(MAX('B4'!BG25,'B5'!BG25,'B6'!BG25),0)</f>
        <v>0</v>
      </c>
      <c r="BH115" s="123">
        <f>IFERROR(MAX('B4'!BH25,'B5'!BH25,'B6'!BH25),0)</f>
        <v>0</v>
      </c>
      <c r="BI115" s="123">
        <f>IFERROR(MAX('B4'!BI25,'B5'!BI25,'B6'!BI25),0)</f>
        <v>0</v>
      </c>
      <c r="BJ115" s="123">
        <f>IFERROR(MAX('B4'!BJ25,'B5'!BJ25,'B6'!BJ25),0)</f>
        <v>1.4665907781764409</v>
      </c>
      <c r="BK115" s="123">
        <f>IFERROR(MAX('B4'!BK25,'B5'!BK25,'B6'!BK25),0)</f>
        <v>2.4155165314311247</v>
      </c>
      <c r="BL115" s="123">
        <f>IFERROR(MAX('B4'!BL25,'B5'!BL25,'B6'!BL25),0)</f>
        <v>2.9554915187610207</v>
      </c>
      <c r="BM115" s="123">
        <f>IFERROR(MAX('B4'!BM25,'B5'!BM25,'B6'!BM25),0)</f>
        <v>18.015123363957738</v>
      </c>
      <c r="BN115" s="123">
        <f>IFERROR(MAX('B4'!BN25,'B5'!BN25,'B6'!BN25),0)</f>
        <v>0</v>
      </c>
      <c r="BO115" s="123">
        <f>IFERROR(MAX('B4'!BO25,'B5'!BO25,'B6'!BO25),0)</f>
        <v>0.696951965359079</v>
      </c>
      <c r="BP115" s="123">
        <f>IFERROR(MAX('B4'!BP25,'B5'!BP25,'B6'!BP25),0)</f>
        <v>0</v>
      </c>
      <c r="BQ115" s="123">
        <f>IFERROR(MAX('B4'!BQ25,'B5'!BQ25,'B6'!BQ25),0)</f>
        <v>0</v>
      </c>
      <c r="BR115" s="123">
        <f>IFERROR(MAX('B4'!BR25,'B5'!BR25,'B6'!BR25),0)</f>
        <v>0</v>
      </c>
      <c r="BS115" s="123">
        <f>IFERROR(MAX('B4'!BS25,'B5'!BS25,'B6'!BS25),0)</f>
        <v>0</v>
      </c>
      <c r="BT115" s="123">
        <f>IFERROR(MAX('B4'!BT25,'B5'!BT25,'B6'!BT25),0)</f>
        <v>0</v>
      </c>
      <c r="BU115" s="123">
        <f>IFERROR(MAX('B4'!BU25,'B5'!BU25,'B6'!BU25),0)</f>
        <v>0</v>
      </c>
      <c r="BV115" s="123">
        <f>IFERROR(MAX('B4'!BV25,'B5'!BV25,'B6'!BV25),0)</f>
        <v>0</v>
      </c>
    </row>
    <row r="116" spans="1:74" ht="16" thickBot="1" x14ac:dyDescent="0.4">
      <c r="A116" s="63">
        <f t="shared" si="10"/>
        <v>0</v>
      </c>
      <c r="B116" s="129">
        <f t="shared" si="10"/>
        <v>0</v>
      </c>
      <c r="C116" s="79"/>
      <c r="D116" s="123">
        <f>IFERROR(MAX('B4'!D26,'B5'!D26,'B6'!D26),0)</f>
        <v>0</v>
      </c>
      <c r="E116" s="123">
        <f>IFERROR(MAX('B4'!E26,'B5'!E26,'B6'!E26),0)</f>
        <v>0</v>
      </c>
      <c r="F116" s="123">
        <f>IFERROR(MAX('B4'!F26,'B5'!F26,'B6'!F26),0)</f>
        <v>0</v>
      </c>
      <c r="G116" s="123">
        <f>IFERROR(MAX('B4'!G26,'B5'!G26,'B6'!G26),0)</f>
        <v>0</v>
      </c>
      <c r="H116" s="123">
        <f>IFERROR(MAX('B4'!H26,'B5'!H26,'B6'!H26),0)</f>
        <v>0</v>
      </c>
      <c r="I116" s="123">
        <f>IFERROR(MAX('B4'!I26,'B5'!I26,'B6'!I26),0)</f>
        <v>0</v>
      </c>
      <c r="J116" s="123">
        <f>IFERROR(MAX('B4'!J26,'B5'!J26,'B6'!J26),0)</f>
        <v>0</v>
      </c>
      <c r="K116" s="123">
        <f>IFERROR(MAX('B4'!K26,'B5'!K26,'B6'!K26),0)</f>
        <v>0</v>
      </c>
      <c r="L116" s="123">
        <f>IFERROR(MAX('B4'!L26,'B5'!L26,'B6'!L26),0)</f>
        <v>0</v>
      </c>
      <c r="M116" s="123">
        <f>IFERROR(MAX('B4'!M26,'B5'!M26,'B6'!M26),0)</f>
        <v>0</v>
      </c>
      <c r="N116" s="123">
        <f>IFERROR(MAX('B4'!N26,'B5'!N26,'B6'!N26),0)</f>
        <v>0</v>
      </c>
      <c r="O116" s="123">
        <f>IFERROR(MAX('B4'!O26,'B5'!O26,'B6'!O26),0)</f>
        <v>0</v>
      </c>
      <c r="P116" s="123">
        <f>IFERROR(MAX('B4'!P26,'B5'!P26,'B6'!P26),0)</f>
        <v>0</v>
      </c>
      <c r="Q116" s="123">
        <f>IFERROR(MAX('B4'!Q26,'B5'!Q26,'B6'!Q26),0)</f>
        <v>0</v>
      </c>
      <c r="R116" s="123">
        <f>IFERROR(MAX('B4'!R26,'B5'!R26,'B6'!R26),0)</f>
        <v>0</v>
      </c>
      <c r="S116" s="123">
        <f>IFERROR(MAX('B4'!S26,'B5'!S26,'B6'!S26),0)</f>
        <v>0</v>
      </c>
      <c r="T116" s="123">
        <f>IFERROR(MAX('B4'!T26,'B5'!T26,'B6'!T26),0)</f>
        <v>0</v>
      </c>
      <c r="U116" s="123">
        <f>IFERROR(MAX('B4'!U26,'B5'!U26,'B6'!U26),0)</f>
        <v>0</v>
      </c>
      <c r="V116" s="123">
        <f>IFERROR(MAX('B4'!V26,'B5'!V26,'B6'!V26),0)</f>
        <v>0</v>
      </c>
      <c r="W116" s="123">
        <f>IFERROR(MAX('B4'!W26,'B5'!W26,'B6'!W26),0)</f>
        <v>0</v>
      </c>
      <c r="X116" s="123">
        <f>IFERROR(MAX('B4'!X26,'B5'!X26,'B6'!X26),0)</f>
        <v>0</v>
      </c>
      <c r="Y116" s="123">
        <f>IFERROR(MAX('B4'!Y26,'B5'!Y26,'B6'!Y26),0)</f>
        <v>0</v>
      </c>
      <c r="Z116" s="123">
        <f>IFERROR(MAX('B4'!Z26,'B5'!Z26,'B6'!Z26),0)</f>
        <v>0</v>
      </c>
      <c r="AA116" s="123">
        <f>IFERROR(MAX('B4'!AA26,'B5'!AA26,'B6'!AA26),0)</f>
        <v>0</v>
      </c>
      <c r="AB116" s="123">
        <f>IFERROR(MAX('B4'!AB26,'B5'!AB26,'B6'!AB26),0)</f>
        <v>0</v>
      </c>
      <c r="AC116" s="123">
        <f>IFERROR(MAX('B4'!AC26,'B5'!AC26,'B6'!AC26),0)</f>
        <v>0</v>
      </c>
      <c r="AD116" s="123">
        <f>IFERROR(MAX('B4'!AD26,'B5'!AD26,'B6'!AD26),0)</f>
        <v>0</v>
      </c>
      <c r="AE116" s="123">
        <f>IFERROR(MAX('B4'!AE26,'B5'!AE26,'B6'!AE26),0)</f>
        <v>0</v>
      </c>
      <c r="AF116" s="123">
        <f>IFERROR(MAX('B4'!AF26,'B5'!AF26,'B6'!AF26),0)</f>
        <v>0</v>
      </c>
      <c r="AG116" s="123">
        <f>IFERROR(MAX('B4'!AG26,'B5'!AG26,'B6'!AG26),0)</f>
        <v>1</v>
      </c>
      <c r="AH116" s="123">
        <f>IFERROR(MAX('B4'!AH26,'B5'!AH26,'B6'!AH26),0)</f>
        <v>0</v>
      </c>
      <c r="AI116" s="123">
        <f>IFERROR(MAX('B4'!AI26,'B5'!AI26,'B6'!AI26),0)</f>
        <v>0</v>
      </c>
      <c r="AJ116" s="123">
        <f>IFERROR(MAX('B4'!AJ26,'B5'!AJ26,'B6'!AJ26),0)</f>
        <v>0</v>
      </c>
      <c r="AK116" s="123">
        <f>IFERROR(MAX('B4'!AK26,'B5'!AK26,'B6'!AK26),0)</f>
        <v>0</v>
      </c>
      <c r="AL116" s="123">
        <f>IFERROR(MAX('B4'!AL26,'B5'!AL26,'B6'!AL26),0)</f>
        <v>0</v>
      </c>
      <c r="AM116" s="123">
        <f>IFERROR(MAX('B4'!AM26,'B5'!AM26,'B6'!AM26),0)</f>
        <v>0</v>
      </c>
      <c r="AN116" s="123">
        <f>IFERROR(MAX('B4'!AN26,'B5'!AN26,'B6'!AN26),0)</f>
        <v>0</v>
      </c>
      <c r="AO116" s="123">
        <f>IFERROR(MAX('B4'!AO26,'B5'!AO26,'B6'!AO26),0)</f>
        <v>0</v>
      </c>
      <c r="AP116" s="123">
        <f>IFERROR(MAX('B4'!AP26,'B5'!AP26,'B6'!AP26),0)</f>
        <v>0.18967381761926472</v>
      </c>
      <c r="AQ116" s="123">
        <f>IFERROR(MAX('B4'!AQ26,'B5'!AQ26,'B6'!AQ26),0)</f>
        <v>8.9870456923196229E-2</v>
      </c>
      <c r="AR116" s="123">
        <f>IFERROR(MAX('B4'!AR26,'B5'!AR26,'B6'!AR26),0)</f>
        <v>0.15865293594631857</v>
      </c>
      <c r="AS116" s="123">
        <f>IFERROR(MAX('B4'!AS26,'B5'!AS26,'B6'!AS26),0)</f>
        <v>1.1753475348259479</v>
      </c>
      <c r="AT116" s="123">
        <f>IFERROR(MAX('B4'!AT26,'B5'!AT26,'B6'!AT26),0)</f>
        <v>0</v>
      </c>
      <c r="AU116" s="123">
        <f>IFERROR(MAX('B4'!AU26,'B5'!AU26,'B6'!AU26),0)</f>
        <v>0.15714314635007684</v>
      </c>
      <c r="AV116" s="123">
        <f>IFERROR(MAX('B4'!AV26,'B5'!AV26,'B6'!AV26),0)</f>
        <v>0</v>
      </c>
      <c r="AW116" s="123">
        <f>IFERROR(MAX('B4'!AW26,'B5'!AW26,'B6'!AW26),0)</f>
        <v>3.2</v>
      </c>
      <c r="AX116" s="123">
        <f>IFERROR(MAX('B4'!AX26,'B5'!AX26,'B6'!AX26),0)</f>
        <v>0</v>
      </c>
      <c r="AY116" s="123">
        <f>IFERROR(MAX('B4'!AY26,'B5'!AY26,'B6'!AY26),0)</f>
        <v>1.420369183220223E-2</v>
      </c>
      <c r="AZ116" s="123">
        <f>IFERROR(MAX('B4'!AZ26,'B5'!AZ26,'B6'!AZ26),0)</f>
        <v>0</v>
      </c>
      <c r="BA116" s="123">
        <f>IFERROR(MAX('B4'!BA26,'B5'!BA26,'B6'!BA26),0)</f>
        <v>0</v>
      </c>
      <c r="BB116" s="123">
        <f>IFERROR(MAX('B4'!BB26,'B5'!BB26,'B6'!BB26),0)</f>
        <v>0</v>
      </c>
      <c r="BC116" s="123">
        <f>IFERROR(MAX('B4'!BC26,'B5'!BC26,'B6'!BC26),0)</f>
        <v>0</v>
      </c>
      <c r="BD116" s="123">
        <f>IFERROR(MAX('B4'!BD26,'B5'!BD26,'B6'!BD26),0)</f>
        <v>0</v>
      </c>
      <c r="BE116" s="123">
        <f>IFERROR(MAX('B4'!BE26,'B5'!BE26,'B6'!BE26),0)</f>
        <v>0</v>
      </c>
      <c r="BF116" s="123">
        <f>IFERROR(MAX('B4'!BF26,'B5'!BF26,'B6'!BF26),0)</f>
        <v>0</v>
      </c>
      <c r="BG116" s="123">
        <f>IFERROR(MAX('B4'!BG26,'B5'!BG26,'B6'!BG26),0)</f>
        <v>0</v>
      </c>
      <c r="BH116" s="123">
        <f>IFERROR(MAX('B4'!BH26,'B5'!BH26,'B6'!BH26),0)</f>
        <v>0</v>
      </c>
      <c r="BI116" s="123">
        <f>IFERROR(MAX('B4'!BI26,'B5'!BI26,'B6'!BI26),0)</f>
        <v>0</v>
      </c>
      <c r="BJ116" s="123">
        <f>IFERROR(MAX('B4'!BJ26,'B5'!BJ26,'B6'!BJ26),0)</f>
        <v>0.37934763523852943</v>
      </c>
      <c r="BK116" s="123">
        <f>IFERROR(MAX('B4'!BK26,'B5'!BK26,'B6'!BK26),0)</f>
        <v>0.26961137076958869</v>
      </c>
      <c r="BL116" s="123">
        <f>IFERROR(MAX('B4'!BL26,'B5'!BL26,'B6'!BL26),0)</f>
        <v>0.6346117437852743</v>
      </c>
      <c r="BM116" s="123">
        <f>IFERROR(MAX('B4'!BM26,'B5'!BM26,'B6'!BM26),0)</f>
        <v>4.7013901393037916</v>
      </c>
      <c r="BN116" s="123">
        <f>IFERROR(MAX('B4'!BN26,'B5'!BN26,'B6'!BN26),0)</f>
        <v>0</v>
      </c>
      <c r="BO116" s="123">
        <f>IFERROR(MAX('B4'!BO26,'B5'!BO26,'B6'!BO26),0)</f>
        <v>0.78571573175038423</v>
      </c>
      <c r="BP116" s="123">
        <f>IFERROR(MAX('B4'!BP26,'B5'!BP26,'B6'!BP26),0)</f>
        <v>0</v>
      </c>
      <c r="BQ116" s="123">
        <f>IFERROR(MAX('B4'!BQ26,'B5'!BQ26,'B6'!BQ26),0)</f>
        <v>19.200000000000003</v>
      </c>
      <c r="BR116" s="123">
        <f>IFERROR(MAX('B4'!BR26,'B5'!BR26,'B6'!BR26),0)</f>
        <v>0</v>
      </c>
      <c r="BS116" s="123">
        <f>IFERROR(MAX('B4'!BS26,'B5'!BS26,'B6'!BS26),0)</f>
        <v>0.11362953465761784</v>
      </c>
      <c r="BT116" s="123">
        <f>IFERROR(MAX('B4'!BT26,'B5'!BT26,'B6'!BT26),0)</f>
        <v>0</v>
      </c>
      <c r="BU116" s="123">
        <f>IFERROR(MAX('B4'!BU26,'B5'!BU26,'B6'!BU26),0)</f>
        <v>0</v>
      </c>
      <c r="BV116" s="123">
        <f>IFERROR(MAX('B4'!BV26,'B5'!BV26,'B6'!BV26),0)</f>
        <v>0</v>
      </c>
    </row>
    <row r="117" spans="1:74" ht="16" thickBot="1" x14ac:dyDescent="0.4">
      <c r="A117" s="63">
        <f t="shared" si="10"/>
        <v>0</v>
      </c>
      <c r="B117" s="129">
        <f t="shared" si="10"/>
        <v>0</v>
      </c>
      <c r="C117" s="54"/>
      <c r="D117" s="123">
        <f>IFERROR(MAX('B4'!D27,'B5'!D27,'B6'!D27),0)</f>
        <v>0</v>
      </c>
      <c r="E117" s="123">
        <f>IFERROR(MAX('B4'!E27,'B5'!E27,'B6'!E27),0)</f>
        <v>0</v>
      </c>
      <c r="F117" s="123">
        <f>IFERROR(MAX('B4'!F27,'B5'!F27,'B6'!F27),0)</f>
        <v>0</v>
      </c>
      <c r="G117" s="123">
        <f>IFERROR(MAX('B4'!G27,'B5'!G27,'B6'!G27),0)</f>
        <v>0</v>
      </c>
      <c r="H117" s="123">
        <f>IFERROR(MAX('B4'!H27,'B5'!H27,'B6'!H27),0)</f>
        <v>0</v>
      </c>
      <c r="I117" s="123">
        <f>IFERROR(MAX('B4'!I27,'B5'!I27,'B6'!I27),0)</f>
        <v>0</v>
      </c>
      <c r="J117" s="123">
        <f>IFERROR(MAX('B4'!J27,'B5'!J27,'B6'!J27),0)</f>
        <v>0</v>
      </c>
      <c r="K117" s="123">
        <f>IFERROR(MAX('B4'!K27,'B5'!K27,'B6'!K27),0)</f>
        <v>0</v>
      </c>
      <c r="L117" s="123">
        <f>IFERROR(MAX('B4'!L27,'B5'!L27,'B6'!L27),0)</f>
        <v>0</v>
      </c>
      <c r="M117" s="123">
        <f>IFERROR(MAX('B4'!M27,'B5'!M27,'B6'!M27),0)</f>
        <v>0</v>
      </c>
      <c r="N117" s="123">
        <f>IFERROR(MAX('B4'!N27,'B5'!N27,'B6'!N27),0)</f>
        <v>0</v>
      </c>
      <c r="O117" s="123">
        <f>IFERROR(MAX('B4'!O27,'B5'!O27,'B6'!O27),0)</f>
        <v>0</v>
      </c>
      <c r="P117" s="123">
        <f>IFERROR(MAX('B4'!P27,'B5'!P27,'B6'!P27),0)</f>
        <v>0</v>
      </c>
      <c r="Q117" s="123">
        <f>IFERROR(MAX('B4'!Q27,'B5'!Q27,'B6'!Q27),0)</f>
        <v>0</v>
      </c>
      <c r="R117" s="123">
        <f>IFERROR(MAX('B4'!R27,'B5'!R27,'B6'!R27),0)</f>
        <v>0</v>
      </c>
      <c r="S117" s="123">
        <f>IFERROR(MAX('B4'!S27,'B5'!S27,'B6'!S27),0)</f>
        <v>0</v>
      </c>
      <c r="T117" s="123">
        <f>IFERROR(MAX('B4'!T27,'B5'!T27,'B6'!T27),0)</f>
        <v>0</v>
      </c>
      <c r="U117" s="123">
        <f>IFERROR(MAX('B4'!U27,'B5'!U27,'B6'!U27),0)</f>
        <v>0</v>
      </c>
      <c r="V117" s="123">
        <f>IFERROR(MAX('B4'!V27,'B5'!V27,'B6'!V27),0)</f>
        <v>0</v>
      </c>
      <c r="W117" s="123">
        <f>IFERROR(MAX('B4'!W27,'B5'!W27,'B6'!W27),0)</f>
        <v>0</v>
      </c>
      <c r="X117" s="123">
        <f>IFERROR(MAX('B4'!X27,'B5'!X27,'B6'!X27),0)</f>
        <v>0</v>
      </c>
      <c r="Y117" s="123">
        <f>IFERROR(MAX('B4'!Y27,'B5'!Y27,'B6'!Y27),0)</f>
        <v>0</v>
      </c>
      <c r="Z117" s="123">
        <f>IFERROR(MAX('B4'!Z27,'B5'!Z27,'B6'!Z27),0)</f>
        <v>0</v>
      </c>
      <c r="AA117" s="123">
        <f>IFERROR(MAX('B4'!AA27,'B5'!AA27,'B6'!AA27),0)</f>
        <v>0</v>
      </c>
      <c r="AB117" s="123">
        <f>IFERROR(MAX('B4'!AB27,'B5'!AB27,'B6'!AB27),0)</f>
        <v>0</v>
      </c>
      <c r="AC117" s="123">
        <f>IFERROR(MAX('B4'!AC27,'B5'!AC27,'B6'!AC27),0)</f>
        <v>0</v>
      </c>
      <c r="AD117" s="123">
        <f>IFERROR(MAX('B4'!AD27,'B5'!AD27,'B6'!AD27),0)</f>
        <v>0</v>
      </c>
      <c r="AE117" s="123">
        <f>IFERROR(MAX('B4'!AE27,'B5'!AE27,'B6'!AE27),0)</f>
        <v>0</v>
      </c>
      <c r="AF117" s="123">
        <f>IFERROR(MAX('B4'!AF27,'B5'!AF27,'B6'!AF27),0)</f>
        <v>0</v>
      </c>
      <c r="AG117" s="123">
        <f>IFERROR(MAX('B4'!AG27,'B5'!AG27,'B6'!AG27),0)</f>
        <v>1</v>
      </c>
      <c r="AH117" s="123">
        <f>IFERROR(MAX('B4'!AH27,'B5'!AH27,'B6'!AH27),0)</f>
        <v>0</v>
      </c>
      <c r="AI117" s="123">
        <f>IFERROR(MAX('B4'!AI27,'B5'!AI27,'B6'!AI27),0)</f>
        <v>0</v>
      </c>
      <c r="AJ117" s="123">
        <f>IFERROR(MAX('B4'!AJ27,'B5'!AJ27,'B6'!AJ27),0)</f>
        <v>0</v>
      </c>
      <c r="AK117" s="123">
        <f>IFERROR(MAX('B4'!AK27,'B5'!AK27,'B6'!AK27),0)</f>
        <v>0</v>
      </c>
      <c r="AL117" s="123">
        <f>IFERROR(MAX('B4'!AL27,'B5'!AL27,'B6'!AL27),0)</f>
        <v>0</v>
      </c>
      <c r="AM117" s="123">
        <f>IFERROR(MAX('B4'!AM27,'B5'!AM27,'B6'!AM27),0)</f>
        <v>0</v>
      </c>
      <c r="AN117" s="123">
        <f>IFERROR(MAX('B4'!AN27,'B5'!AN27,'B6'!AN27),0)</f>
        <v>0</v>
      </c>
      <c r="AO117" s="123">
        <f>IFERROR(MAX('B4'!AO27,'B5'!AO27,'B6'!AO27),0)</f>
        <v>0</v>
      </c>
      <c r="AP117" s="123">
        <f>IFERROR(MAX('B4'!AP27,'B5'!AP27,'B6'!AP27),0)</f>
        <v>0</v>
      </c>
      <c r="AQ117" s="123">
        <f>IFERROR(MAX('B4'!AQ27,'B5'!AQ27,'B6'!AQ27),0)</f>
        <v>0</v>
      </c>
      <c r="AR117" s="123">
        <f>IFERROR(MAX('B4'!AR27,'B5'!AR27,'B6'!AR27),0)</f>
        <v>0</v>
      </c>
      <c r="AS117" s="123">
        <f>IFERROR(MAX('B4'!AS27,'B5'!AS27,'B6'!AS27),0)</f>
        <v>0</v>
      </c>
      <c r="AT117" s="123">
        <f>IFERROR(MAX('B4'!AT27,'B5'!AT27,'B6'!AT27),0)</f>
        <v>0</v>
      </c>
      <c r="AU117" s="123">
        <f>IFERROR(MAX('B4'!AU27,'B5'!AU27,'B6'!AU27),0)</f>
        <v>0</v>
      </c>
      <c r="AV117" s="123">
        <f>IFERROR(MAX('B4'!AV27,'B5'!AV27,'B6'!AV27),0)</f>
        <v>0</v>
      </c>
      <c r="AW117" s="123">
        <f>IFERROR(MAX('B4'!AW27,'B5'!AW27,'B6'!AW27),0)</f>
        <v>0</v>
      </c>
      <c r="AX117" s="123">
        <f>IFERROR(MAX('B4'!AX27,'B5'!AX27,'B6'!AX27),0)</f>
        <v>0</v>
      </c>
      <c r="AY117" s="123">
        <f>IFERROR(MAX('B4'!AY27,'B5'!AY27,'B6'!AY27),0)</f>
        <v>0</v>
      </c>
      <c r="AZ117" s="123">
        <f>IFERROR(MAX('B4'!AZ27,'B5'!AZ27,'B6'!AZ27),0)</f>
        <v>0</v>
      </c>
      <c r="BA117" s="123">
        <f>IFERROR(MAX('B4'!BA27,'B5'!BA27,'B6'!BA27),0)</f>
        <v>0</v>
      </c>
      <c r="BB117" s="123">
        <f>IFERROR(MAX('B4'!BB27,'B5'!BB27,'B6'!BB27),0)</f>
        <v>0</v>
      </c>
      <c r="BC117" s="123">
        <f>IFERROR(MAX('B4'!BC27,'B5'!BC27,'B6'!BC27),0)</f>
        <v>0</v>
      </c>
      <c r="BD117" s="123">
        <f>IFERROR(MAX('B4'!BD27,'B5'!BD27,'B6'!BD27),0)</f>
        <v>0</v>
      </c>
      <c r="BE117" s="123">
        <f>IFERROR(MAX('B4'!BE27,'B5'!BE27,'B6'!BE27),0)</f>
        <v>0</v>
      </c>
      <c r="BF117" s="123">
        <f>IFERROR(MAX('B4'!BF27,'B5'!BF27,'B6'!BF27),0)</f>
        <v>0</v>
      </c>
      <c r="BG117" s="123">
        <f>IFERROR(MAX('B4'!BG27,'B5'!BG27,'B6'!BG27),0)</f>
        <v>0</v>
      </c>
      <c r="BH117" s="123">
        <f>IFERROR(MAX('B4'!BH27,'B5'!BH27,'B6'!BH27),0)</f>
        <v>0</v>
      </c>
      <c r="BI117" s="123">
        <f>IFERROR(MAX('B4'!BI27,'B5'!BI27,'B6'!BI27),0)</f>
        <v>0</v>
      </c>
      <c r="BJ117" s="123">
        <f>IFERROR(MAX('B4'!BJ27,'B5'!BJ27,'B6'!BJ27),0)</f>
        <v>0</v>
      </c>
      <c r="BK117" s="123">
        <f>IFERROR(MAX('B4'!BK27,'B5'!BK27,'B6'!BK27),0)</f>
        <v>0</v>
      </c>
      <c r="BL117" s="123">
        <f>IFERROR(MAX('B4'!BL27,'B5'!BL27,'B6'!BL27),0)</f>
        <v>0</v>
      </c>
      <c r="BM117" s="123">
        <f>IFERROR(MAX('B4'!BM27,'B5'!BM27,'B6'!BM27),0)</f>
        <v>0</v>
      </c>
      <c r="BN117" s="123">
        <f>IFERROR(MAX('B4'!BN27,'B5'!BN27,'B6'!BN27),0)</f>
        <v>0</v>
      </c>
      <c r="BO117" s="123">
        <f>IFERROR(MAX('B4'!BO27,'B5'!BO27,'B6'!BO27),0)</f>
        <v>0</v>
      </c>
      <c r="BP117" s="123">
        <f>IFERROR(MAX('B4'!BP27,'B5'!BP27,'B6'!BP27),0)</f>
        <v>0</v>
      </c>
      <c r="BQ117" s="123">
        <f>IFERROR(MAX('B4'!BQ27,'B5'!BQ27,'B6'!BQ27),0)</f>
        <v>0</v>
      </c>
      <c r="BR117" s="123">
        <f>IFERROR(MAX('B4'!BR27,'B5'!BR27,'B6'!BR27),0)</f>
        <v>0</v>
      </c>
      <c r="BS117" s="123">
        <f>IFERROR(MAX('B4'!BS27,'B5'!BS27,'B6'!BS27),0)</f>
        <v>0</v>
      </c>
      <c r="BT117" s="123">
        <f>IFERROR(MAX('B4'!BT27,'B5'!BT27,'B6'!BT27),0)</f>
        <v>0</v>
      </c>
      <c r="BU117" s="123">
        <f>IFERROR(MAX('B4'!BU27,'B5'!BU27,'B6'!BU27),0)</f>
        <v>0</v>
      </c>
      <c r="BV117" s="123">
        <f>IFERROR(MAX('B4'!BV27,'B5'!BV27,'B6'!BV27),0)</f>
        <v>0</v>
      </c>
    </row>
    <row r="118" spans="1:74" ht="16" thickBot="1" x14ac:dyDescent="0.4">
      <c r="A118" s="63">
        <f t="shared" si="10"/>
        <v>0</v>
      </c>
      <c r="B118" s="129">
        <f t="shared" si="10"/>
        <v>0</v>
      </c>
      <c r="C118" s="79"/>
      <c r="D118" s="123">
        <f>IFERROR(MAX('B4'!D28,'B5'!D28,'B6'!D28),0)</f>
        <v>0</v>
      </c>
      <c r="E118" s="123">
        <f>IFERROR(MAX('B4'!E28,'B5'!E28,'B6'!E28),0)</f>
        <v>0</v>
      </c>
      <c r="F118" s="123">
        <f>IFERROR(MAX('B4'!F28,'B5'!F28,'B6'!F28),0)</f>
        <v>0</v>
      </c>
      <c r="G118" s="123">
        <f>IFERROR(MAX('B4'!G28,'B5'!G28,'B6'!G28),0)</f>
        <v>0</v>
      </c>
      <c r="H118" s="123">
        <f>IFERROR(MAX('B4'!H28,'B5'!H28,'B6'!H28),0)</f>
        <v>0</v>
      </c>
      <c r="I118" s="123">
        <f>IFERROR(MAX('B4'!I28,'B5'!I28,'B6'!I28),0)</f>
        <v>0</v>
      </c>
      <c r="J118" s="123">
        <f>IFERROR(MAX('B4'!J28,'B5'!J28,'B6'!J28),0)</f>
        <v>0</v>
      </c>
      <c r="K118" s="123">
        <f>IFERROR(MAX('B4'!K28,'B5'!K28,'B6'!K28),0)</f>
        <v>0</v>
      </c>
      <c r="L118" s="123">
        <f>IFERROR(MAX('B4'!L28,'B5'!L28,'B6'!L28),0)</f>
        <v>0</v>
      </c>
      <c r="M118" s="123">
        <f>IFERROR(MAX('B4'!M28,'B5'!M28,'B6'!M28),0)</f>
        <v>0</v>
      </c>
      <c r="N118" s="123">
        <f>IFERROR(MAX('B4'!N28,'B5'!N28,'B6'!N28),0)</f>
        <v>0</v>
      </c>
      <c r="O118" s="123">
        <f>IFERROR(MAX('B4'!O28,'B5'!O28,'B6'!O28),0)</f>
        <v>0</v>
      </c>
      <c r="P118" s="123">
        <f>IFERROR(MAX('B4'!P28,'B5'!P28,'B6'!P28),0)</f>
        <v>0</v>
      </c>
      <c r="Q118" s="123">
        <f>IFERROR(MAX('B4'!Q28,'B5'!Q28,'B6'!Q28),0)</f>
        <v>0</v>
      </c>
      <c r="R118" s="123">
        <f>IFERROR(MAX('B4'!R28,'B5'!R28,'B6'!R28),0)</f>
        <v>0</v>
      </c>
      <c r="S118" s="123">
        <f>IFERROR(MAX('B4'!S28,'B5'!S28,'B6'!S28),0)</f>
        <v>0</v>
      </c>
      <c r="T118" s="123">
        <f>IFERROR(MAX('B4'!T28,'B5'!T28,'B6'!T28),0)</f>
        <v>0</v>
      </c>
      <c r="U118" s="123">
        <f>IFERROR(MAX('B4'!U28,'B5'!U28,'B6'!U28),0)</f>
        <v>0</v>
      </c>
      <c r="V118" s="123">
        <f>IFERROR(MAX('B4'!V28,'B5'!V28,'B6'!V28),0)</f>
        <v>0</v>
      </c>
      <c r="W118" s="123">
        <f>IFERROR(MAX('B4'!W28,'B5'!W28,'B6'!W28),0)</f>
        <v>0</v>
      </c>
      <c r="X118" s="123">
        <f>IFERROR(MAX('B4'!X28,'B5'!X28,'B6'!X28),0)</f>
        <v>0</v>
      </c>
      <c r="Y118" s="123">
        <f>IFERROR(MAX('B4'!Y28,'B5'!Y28,'B6'!Y28),0)</f>
        <v>0</v>
      </c>
      <c r="Z118" s="123">
        <f>IFERROR(MAX('B4'!Z28,'B5'!Z28,'B6'!Z28),0)</f>
        <v>0</v>
      </c>
      <c r="AA118" s="123">
        <f>IFERROR(MAX('B4'!AA28,'B5'!AA28,'B6'!AA28),0)</f>
        <v>0</v>
      </c>
      <c r="AB118" s="123">
        <f>IFERROR(MAX('B4'!AB28,'B5'!AB28,'B6'!AB28),0)</f>
        <v>0</v>
      </c>
      <c r="AC118" s="123">
        <f>IFERROR(MAX('B4'!AC28,'B5'!AC28,'B6'!AC28),0)</f>
        <v>0</v>
      </c>
      <c r="AD118" s="123">
        <f>IFERROR(MAX('B4'!AD28,'B5'!AD28,'B6'!AD28),0)</f>
        <v>0</v>
      </c>
      <c r="AE118" s="123">
        <f>IFERROR(MAX('B4'!AE28,'B5'!AE28,'B6'!AE28),0)</f>
        <v>0</v>
      </c>
      <c r="AF118" s="123">
        <f>IFERROR(MAX('B4'!AF28,'B5'!AF28,'B6'!AF28),0)</f>
        <v>0</v>
      </c>
      <c r="AG118" s="123">
        <f>IFERROR(MAX('B4'!AG28,'B5'!AG28,'B6'!AG28),0)</f>
        <v>1</v>
      </c>
      <c r="AH118" s="123">
        <f>IFERROR(MAX('B4'!AH28,'B5'!AH28,'B6'!AH28),0)</f>
        <v>0</v>
      </c>
      <c r="AI118" s="123">
        <f>IFERROR(MAX('B4'!AI28,'B5'!AI28,'B6'!AI28),0)</f>
        <v>0</v>
      </c>
      <c r="AJ118" s="123">
        <f>IFERROR(MAX('B4'!AJ28,'B5'!AJ28,'B6'!AJ28),0)</f>
        <v>0</v>
      </c>
      <c r="AK118" s="123">
        <f>IFERROR(MAX('B4'!AK28,'B5'!AK28,'B6'!AK28),0)</f>
        <v>0</v>
      </c>
      <c r="AL118" s="123">
        <f>IFERROR(MAX('B4'!AL28,'B5'!AL28,'B6'!AL28),0)</f>
        <v>0</v>
      </c>
      <c r="AM118" s="123">
        <f>IFERROR(MAX('B4'!AM28,'B5'!AM28,'B6'!AM28),0)</f>
        <v>0</v>
      </c>
      <c r="AN118" s="123">
        <f>IFERROR(MAX('B4'!AN28,'B5'!AN28,'B6'!AN28),0)</f>
        <v>0</v>
      </c>
      <c r="AO118" s="123">
        <f>IFERROR(MAX('B4'!AO28,'B5'!AO28,'B6'!AO28),0)</f>
        <v>0</v>
      </c>
      <c r="AP118" s="123">
        <f>IFERROR(MAX('B4'!AP28,'B5'!AP28,'B6'!AP28),0)</f>
        <v>0</v>
      </c>
      <c r="AQ118" s="123">
        <f>IFERROR(MAX('B4'!AQ28,'B5'!AQ28,'B6'!AQ28),0)</f>
        <v>0</v>
      </c>
      <c r="AR118" s="123">
        <f>IFERROR(MAX('B4'!AR28,'B5'!AR28,'B6'!AR28),0)</f>
        <v>0</v>
      </c>
      <c r="AS118" s="123">
        <f>IFERROR(MAX('B4'!AS28,'B5'!AS28,'B6'!AS28),0)</f>
        <v>0</v>
      </c>
      <c r="AT118" s="123">
        <f>IFERROR(MAX('B4'!AT28,'B5'!AT28,'B6'!AT28),0)</f>
        <v>0</v>
      </c>
      <c r="AU118" s="123">
        <f>IFERROR(MAX('B4'!AU28,'B5'!AU28,'B6'!AU28),0)</f>
        <v>0</v>
      </c>
      <c r="AV118" s="123">
        <f>IFERROR(MAX('B4'!AV28,'B5'!AV28,'B6'!AV28),0)</f>
        <v>0</v>
      </c>
      <c r="AW118" s="123">
        <f>IFERROR(MAX('B4'!AW28,'B5'!AW28,'B6'!AW28),0)</f>
        <v>0</v>
      </c>
      <c r="AX118" s="123">
        <f>IFERROR(MAX('B4'!AX28,'B5'!AX28,'B6'!AX28),0)</f>
        <v>0</v>
      </c>
      <c r="AY118" s="123">
        <f>IFERROR(MAX('B4'!AY28,'B5'!AY28,'B6'!AY28),0)</f>
        <v>0</v>
      </c>
      <c r="AZ118" s="123">
        <f>IFERROR(MAX('B4'!AZ28,'B5'!AZ28,'B6'!AZ28),0)</f>
        <v>0</v>
      </c>
      <c r="BA118" s="123">
        <f>IFERROR(MAX('B4'!BA28,'B5'!BA28,'B6'!BA28),0)</f>
        <v>0</v>
      </c>
      <c r="BB118" s="123">
        <f>IFERROR(MAX('B4'!BB28,'B5'!BB28,'B6'!BB28),0)</f>
        <v>0</v>
      </c>
      <c r="BC118" s="123">
        <f>IFERROR(MAX('B4'!BC28,'B5'!BC28,'B6'!BC28),0)</f>
        <v>0</v>
      </c>
      <c r="BD118" s="123">
        <f>IFERROR(MAX('B4'!BD28,'B5'!BD28,'B6'!BD28),0)</f>
        <v>0</v>
      </c>
      <c r="BE118" s="123">
        <f>IFERROR(MAX('B4'!BE28,'B5'!BE28,'B6'!BE28),0)</f>
        <v>0</v>
      </c>
      <c r="BF118" s="123">
        <f>IFERROR(MAX('B4'!BF28,'B5'!BF28,'B6'!BF28),0)</f>
        <v>0</v>
      </c>
      <c r="BG118" s="123">
        <f>IFERROR(MAX('B4'!BG28,'B5'!BG28,'B6'!BG28),0)</f>
        <v>0</v>
      </c>
      <c r="BH118" s="123">
        <f>IFERROR(MAX('B4'!BH28,'B5'!BH28,'B6'!BH28),0)</f>
        <v>0</v>
      </c>
      <c r="BI118" s="123">
        <f>IFERROR(MAX('B4'!BI28,'B5'!BI28,'B6'!BI28),0)</f>
        <v>0</v>
      </c>
      <c r="BJ118" s="123">
        <f>IFERROR(MAX('B4'!BJ28,'B5'!BJ28,'B6'!BJ28),0)</f>
        <v>0</v>
      </c>
      <c r="BK118" s="123">
        <f>IFERROR(MAX('B4'!BK28,'B5'!BK28,'B6'!BK28),0)</f>
        <v>0</v>
      </c>
      <c r="BL118" s="123">
        <f>IFERROR(MAX('B4'!BL28,'B5'!BL28,'B6'!BL28),0)</f>
        <v>0</v>
      </c>
      <c r="BM118" s="123">
        <f>IFERROR(MAX('B4'!BM28,'B5'!BM28,'B6'!BM28),0)</f>
        <v>0</v>
      </c>
      <c r="BN118" s="123">
        <f>IFERROR(MAX('B4'!BN28,'B5'!BN28,'B6'!BN28),0)</f>
        <v>0</v>
      </c>
      <c r="BO118" s="123">
        <f>IFERROR(MAX('B4'!BO28,'B5'!BO28,'B6'!BO28),0)</f>
        <v>0</v>
      </c>
      <c r="BP118" s="123">
        <f>IFERROR(MAX('B4'!BP28,'B5'!BP28,'B6'!BP28),0)</f>
        <v>0</v>
      </c>
      <c r="BQ118" s="123">
        <f>IFERROR(MAX('B4'!BQ28,'B5'!BQ28,'B6'!BQ28),0)</f>
        <v>0</v>
      </c>
      <c r="BR118" s="123">
        <f>IFERROR(MAX('B4'!BR28,'B5'!BR28,'B6'!BR28),0)</f>
        <v>0</v>
      </c>
      <c r="BS118" s="123">
        <f>IFERROR(MAX('B4'!BS28,'B5'!BS28,'B6'!BS28),0)</f>
        <v>0</v>
      </c>
      <c r="BT118" s="123">
        <f>IFERROR(MAX('B4'!BT28,'B5'!BT28,'B6'!BT28),0)</f>
        <v>0</v>
      </c>
      <c r="BU118" s="123">
        <f>IFERROR(MAX('B4'!BU28,'B5'!BU28,'B6'!BU28),0)</f>
        <v>0</v>
      </c>
      <c r="BV118" s="123">
        <f>IFERROR(MAX('B4'!BV28,'B5'!BV28,'B6'!BV28),0)</f>
        <v>0</v>
      </c>
    </row>
    <row r="119" spans="1:74" ht="16" thickBot="1" x14ac:dyDescent="0.4">
      <c r="A119" s="63">
        <f t="shared" si="10"/>
        <v>0</v>
      </c>
      <c r="B119" s="129">
        <f t="shared" si="10"/>
        <v>0</v>
      </c>
      <c r="C119" s="54"/>
      <c r="D119" s="123">
        <f>IFERROR(MAX('B4'!D29,'B5'!D29,'B6'!D29),0)</f>
        <v>0</v>
      </c>
      <c r="E119" s="123">
        <f>IFERROR(MAX('B4'!E29,'B5'!E29,'B6'!E29),0)</f>
        <v>0</v>
      </c>
      <c r="F119" s="123">
        <f>IFERROR(MAX('B4'!F29,'B5'!F29,'B6'!F29),0)</f>
        <v>0</v>
      </c>
      <c r="G119" s="123">
        <f>IFERROR(MAX('B4'!G29,'B5'!G29,'B6'!G29),0)</f>
        <v>0</v>
      </c>
      <c r="H119" s="123">
        <f>IFERROR(MAX('B4'!H29,'B5'!H29,'B6'!H29),0)</f>
        <v>0</v>
      </c>
      <c r="I119" s="123">
        <f>IFERROR(MAX('B4'!I29,'B5'!I29,'B6'!I29),0)</f>
        <v>0</v>
      </c>
      <c r="J119" s="123">
        <f>IFERROR(MAX('B4'!J29,'B5'!J29,'B6'!J29),0)</f>
        <v>0</v>
      </c>
      <c r="K119" s="123">
        <f>IFERROR(MAX('B4'!K29,'B5'!K29,'B6'!K29),0)</f>
        <v>0</v>
      </c>
      <c r="L119" s="123">
        <f>IFERROR(MAX('B4'!L29,'B5'!L29,'B6'!L29),0)</f>
        <v>0</v>
      </c>
      <c r="M119" s="123">
        <f>IFERROR(MAX('B4'!M29,'B5'!M29,'B6'!M29),0)</f>
        <v>0</v>
      </c>
      <c r="N119" s="123">
        <f>IFERROR(MAX('B4'!N29,'B5'!N29,'B6'!N29),0)</f>
        <v>0</v>
      </c>
      <c r="O119" s="123">
        <f>IFERROR(MAX('B4'!O29,'B5'!O29,'B6'!O29),0)</f>
        <v>0</v>
      </c>
      <c r="P119" s="123">
        <f>IFERROR(MAX('B4'!P29,'B5'!P29,'B6'!P29),0)</f>
        <v>0</v>
      </c>
      <c r="Q119" s="123">
        <f>IFERROR(MAX('B4'!Q29,'B5'!Q29,'B6'!Q29),0)</f>
        <v>0</v>
      </c>
      <c r="R119" s="123">
        <f>IFERROR(MAX('B4'!R29,'B5'!R29,'B6'!R29),0)</f>
        <v>0</v>
      </c>
      <c r="S119" s="123">
        <f>IFERROR(MAX('B4'!S29,'B5'!S29,'B6'!S29),0)</f>
        <v>0</v>
      </c>
      <c r="T119" s="123">
        <f>IFERROR(MAX('B4'!T29,'B5'!T29,'B6'!T29),0)</f>
        <v>0</v>
      </c>
      <c r="U119" s="123">
        <f>IFERROR(MAX('B4'!U29,'B5'!U29,'B6'!U29),0)</f>
        <v>0</v>
      </c>
      <c r="V119" s="123">
        <f>IFERROR(MAX('B4'!V29,'B5'!V29,'B6'!V29),0)</f>
        <v>0</v>
      </c>
      <c r="W119" s="123">
        <f>IFERROR(MAX('B4'!W29,'B5'!W29,'B6'!W29),0)</f>
        <v>0</v>
      </c>
      <c r="X119" s="123">
        <f>IFERROR(MAX('B4'!X29,'B5'!X29,'B6'!X29),0)</f>
        <v>0</v>
      </c>
      <c r="Y119" s="123">
        <f>IFERROR(MAX('B4'!Y29,'B5'!Y29,'B6'!Y29),0)</f>
        <v>0</v>
      </c>
      <c r="Z119" s="123">
        <f>IFERROR(MAX('B4'!Z29,'B5'!Z29,'B6'!Z29),0)</f>
        <v>0</v>
      </c>
      <c r="AA119" s="123">
        <f>IFERROR(MAX('B4'!AA29,'B5'!AA29,'B6'!AA29),0)</f>
        <v>0</v>
      </c>
      <c r="AB119" s="123">
        <f>IFERROR(MAX('B4'!AB29,'B5'!AB29,'B6'!AB29),0)</f>
        <v>0</v>
      </c>
      <c r="AC119" s="123">
        <f>IFERROR(MAX('B4'!AC29,'B5'!AC29,'B6'!AC29),0)</f>
        <v>0</v>
      </c>
      <c r="AD119" s="123">
        <f>IFERROR(MAX('B4'!AD29,'B5'!AD29,'B6'!AD29),0)</f>
        <v>0</v>
      </c>
      <c r="AE119" s="123">
        <f>IFERROR(MAX('B4'!AE29,'B5'!AE29,'B6'!AE29),0)</f>
        <v>0</v>
      </c>
      <c r="AF119" s="123">
        <f>IFERROR(MAX('B4'!AF29,'B5'!AF29,'B6'!AF29),0)</f>
        <v>0</v>
      </c>
      <c r="AG119" s="123">
        <f>IFERROR(MAX('B4'!AG29,'B5'!AG29,'B6'!AG29),0)</f>
        <v>1</v>
      </c>
      <c r="AH119" s="123">
        <f>IFERROR(MAX('B4'!AH29,'B5'!AH29,'B6'!AH29),0)</f>
        <v>0</v>
      </c>
      <c r="AI119" s="123">
        <f>IFERROR(MAX('B4'!AI29,'B5'!AI29,'B6'!AI29),0)</f>
        <v>0</v>
      </c>
      <c r="AJ119" s="123">
        <f>IFERROR(MAX('B4'!AJ29,'B5'!AJ29,'B6'!AJ29),0)</f>
        <v>0</v>
      </c>
      <c r="AK119" s="123">
        <f>IFERROR(MAX('B4'!AK29,'B5'!AK29,'B6'!AK29),0)</f>
        <v>0</v>
      </c>
      <c r="AL119" s="123">
        <f>IFERROR(MAX('B4'!AL29,'B5'!AL29,'B6'!AL29),0)</f>
        <v>0</v>
      </c>
      <c r="AM119" s="123">
        <f>IFERROR(MAX('B4'!AM29,'B5'!AM29,'B6'!AM29),0)</f>
        <v>0</v>
      </c>
      <c r="AN119" s="123">
        <f>IFERROR(MAX('B4'!AN29,'B5'!AN29,'B6'!AN29),0)</f>
        <v>0</v>
      </c>
      <c r="AO119" s="123">
        <f>IFERROR(MAX('B4'!AO29,'B5'!AO29,'B6'!AO29),0)</f>
        <v>0</v>
      </c>
      <c r="AP119" s="123">
        <f>IFERROR(MAX('B4'!AP29,'B5'!AP29,'B6'!AP29),0)</f>
        <v>0</v>
      </c>
      <c r="AQ119" s="123">
        <f>IFERROR(MAX('B4'!AQ29,'B5'!AQ29,'B6'!AQ29),0)</f>
        <v>0</v>
      </c>
      <c r="AR119" s="123">
        <f>IFERROR(MAX('B4'!AR29,'B5'!AR29,'B6'!AR29),0)</f>
        <v>0</v>
      </c>
      <c r="AS119" s="123">
        <f>IFERROR(MAX('B4'!AS29,'B5'!AS29,'B6'!AS29),0)</f>
        <v>0</v>
      </c>
      <c r="AT119" s="123">
        <f>IFERROR(MAX('B4'!AT29,'B5'!AT29,'B6'!AT29),0)</f>
        <v>0</v>
      </c>
      <c r="AU119" s="123">
        <f>IFERROR(MAX('B4'!AU29,'B5'!AU29,'B6'!AU29),0)</f>
        <v>0</v>
      </c>
      <c r="AV119" s="123">
        <f>IFERROR(MAX('B4'!AV29,'B5'!AV29,'B6'!AV29),0)</f>
        <v>0</v>
      </c>
      <c r="AW119" s="123">
        <f>IFERROR(MAX('B4'!AW29,'B5'!AW29,'B6'!AW29),0)</f>
        <v>0</v>
      </c>
      <c r="AX119" s="123">
        <f>IFERROR(MAX('B4'!AX29,'B5'!AX29,'B6'!AX29),0)</f>
        <v>0</v>
      </c>
      <c r="AY119" s="123">
        <f>IFERROR(MAX('B4'!AY29,'B5'!AY29,'B6'!AY29),0)</f>
        <v>0</v>
      </c>
      <c r="AZ119" s="123">
        <f>IFERROR(MAX('B4'!AZ29,'B5'!AZ29,'B6'!AZ29),0)</f>
        <v>0</v>
      </c>
      <c r="BA119" s="123">
        <f>IFERROR(MAX('B4'!BA29,'B5'!BA29,'B6'!BA29),0)</f>
        <v>0</v>
      </c>
      <c r="BB119" s="123">
        <f>IFERROR(MAX('B4'!BB29,'B5'!BB29,'B6'!BB29),0)</f>
        <v>0</v>
      </c>
      <c r="BC119" s="123">
        <f>IFERROR(MAX('B4'!BC29,'B5'!BC29,'B6'!BC29),0)</f>
        <v>0</v>
      </c>
      <c r="BD119" s="123">
        <f>IFERROR(MAX('B4'!BD29,'B5'!BD29,'B6'!BD29),0)</f>
        <v>0</v>
      </c>
      <c r="BE119" s="123">
        <f>IFERROR(MAX('B4'!BE29,'B5'!BE29,'B6'!BE29),0)</f>
        <v>0</v>
      </c>
      <c r="BF119" s="123">
        <f>IFERROR(MAX('B4'!BF29,'B5'!BF29,'B6'!BF29),0)</f>
        <v>0</v>
      </c>
      <c r="BG119" s="123">
        <f>IFERROR(MAX('B4'!BG29,'B5'!BG29,'B6'!BG29),0)</f>
        <v>0</v>
      </c>
      <c r="BH119" s="123">
        <f>IFERROR(MAX('B4'!BH29,'B5'!BH29,'B6'!BH29),0)</f>
        <v>0</v>
      </c>
      <c r="BI119" s="123">
        <f>IFERROR(MAX('B4'!BI29,'B5'!BI29,'B6'!BI29),0)</f>
        <v>0</v>
      </c>
      <c r="BJ119" s="123">
        <f>IFERROR(MAX('B4'!BJ29,'B5'!BJ29,'B6'!BJ29),0)</f>
        <v>0</v>
      </c>
      <c r="BK119" s="123">
        <f>IFERROR(MAX('B4'!BK29,'B5'!BK29,'B6'!BK29),0)</f>
        <v>0</v>
      </c>
      <c r="BL119" s="123">
        <f>IFERROR(MAX('B4'!BL29,'B5'!BL29,'B6'!BL29),0)</f>
        <v>0</v>
      </c>
      <c r="BM119" s="123">
        <f>IFERROR(MAX('B4'!BM29,'B5'!BM29,'B6'!BM29),0)</f>
        <v>0</v>
      </c>
      <c r="BN119" s="123">
        <f>IFERROR(MAX('B4'!BN29,'B5'!BN29,'B6'!BN29),0)</f>
        <v>0</v>
      </c>
      <c r="BO119" s="123">
        <f>IFERROR(MAX('B4'!BO29,'B5'!BO29,'B6'!BO29),0)</f>
        <v>0</v>
      </c>
      <c r="BP119" s="123">
        <f>IFERROR(MAX('B4'!BP29,'B5'!BP29,'B6'!BP29),0)</f>
        <v>0</v>
      </c>
      <c r="BQ119" s="123">
        <f>IFERROR(MAX('B4'!BQ29,'B5'!BQ29,'B6'!BQ29),0)</f>
        <v>0</v>
      </c>
      <c r="BR119" s="123">
        <f>IFERROR(MAX('B4'!BR29,'B5'!BR29,'B6'!BR29),0)</f>
        <v>0</v>
      </c>
      <c r="BS119" s="123">
        <f>IFERROR(MAX('B4'!BS29,'B5'!BS29,'B6'!BS29),0)</f>
        <v>0</v>
      </c>
      <c r="BT119" s="123">
        <f>IFERROR(MAX('B4'!BT29,'B5'!BT29,'B6'!BT29),0)</f>
        <v>0</v>
      </c>
      <c r="BU119" s="123">
        <f>IFERROR(MAX('B4'!BU29,'B5'!BU29,'B6'!BU29),0)</f>
        <v>0</v>
      </c>
      <c r="BV119" s="123">
        <f>IFERROR(MAX('B4'!BV29,'B5'!BV29,'B6'!BV29),0)</f>
        <v>0</v>
      </c>
    </row>
    <row r="120" spans="1:74" ht="16" thickBot="1" x14ac:dyDescent="0.4">
      <c r="A120" s="63">
        <f t="shared" si="10"/>
        <v>0</v>
      </c>
      <c r="B120" s="129">
        <f t="shared" si="10"/>
        <v>0</v>
      </c>
      <c r="C120" s="79"/>
      <c r="D120" s="123">
        <f>IFERROR(MAX('B4'!D30,'B5'!D30,'B6'!D30),0)</f>
        <v>0</v>
      </c>
      <c r="E120" s="123">
        <f>IFERROR(MAX('B4'!E30,'B5'!E30,'B6'!E30),0)</f>
        <v>0</v>
      </c>
      <c r="F120" s="123">
        <f>IFERROR(MAX('B4'!F30,'B5'!F30,'B6'!F30),0)</f>
        <v>0</v>
      </c>
      <c r="G120" s="123">
        <f>IFERROR(MAX('B4'!G30,'B5'!G30,'B6'!G30),0)</f>
        <v>0</v>
      </c>
      <c r="H120" s="123">
        <f>IFERROR(MAX('B4'!H30,'B5'!H30,'B6'!H30),0)</f>
        <v>0</v>
      </c>
      <c r="I120" s="123">
        <f>IFERROR(MAX('B4'!I30,'B5'!I30,'B6'!I30),0)</f>
        <v>0</v>
      </c>
      <c r="J120" s="123">
        <f>IFERROR(MAX('B4'!J30,'B5'!J30,'B6'!J30),0)</f>
        <v>0</v>
      </c>
      <c r="K120" s="123">
        <f>IFERROR(MAX('B4'!K30,'B5'!K30,'B6'!K30),0)</f>
        <v>0</v>
      </c>
      <c r="L120" s="123">
        <f>IFERROR(MAX('B4'!L30,'B5'!L30,'B6'!L30),0)</f>
        <v>0</v>
      </c>
      <c r="M120" s="123">
        <f>IFERROR(MAX('B4'!M30,'B5'!M30,'B6'!M30),0)</f>
        <v>0</v>
      </c>
      <c r="N120" s="123">
        <f>IFERROR(MAX('B4'!N30,'B5'!N30,'B6'!N30),0)</f>
        <v>0</v>
      </c>
      <c r="O120" s="123">
        <f>IFERROR(MAX('B4'!O30,'B5'!O30,'B6'!O30),0)</f>
        <v>0</v>
      </c>
      <c r="P120" s="123">
        <f>IFERROR(MAX('B4'!P30,'B5'!P30,'B6'!P30),0)</f>
        <v>0</v>
      </c>
      <c r="Q120" s="123">
        <f>IFERROR(MAX('B4'!Q30,'B5'!Q30,'B6'!Q30),0)</f>
        <v>0</v>
      </c>
      <c r="R120" s="123">
        <f>IFERROR(MAX('B4'!R30,'B5'!R30,'B6'!R30),0)</f>
        <v>0</v>
      </c>
      <c r="S120" s="123">
        <f>IFERROR(MAX('B4'!S30,'B5'!S30,'B6'!S30),0)</f>
        <v>0</v>
      </c>
      <c r="T120" s="123">
        <f>IFERROR(MAX('B4'!T30,'B5'!T30,'B6'!T30),0)</f>
        <v>0</v>
      </c>
      <c r="U120" s="123">
        <f>IFERROR(MAX('B4'!U30,'B5'!U30,'B6'!U30),0)</f>
        <v>0</v>
      </c>
      <c r="V120" s="123">
        <f>IFERROR(MAX('B4'!V30,'B5'!V30,'B6'!V30),0)</f>
        <v>0</v>
      </c>
      <c r="W120" s="123">
        <f>IFERROR(MAX('B4'!W30,'B5'!W30,'B6'!W30),0)</f>
        <v>0</v>
      </c>
      <c r="X120" s="123">
        <f>IFERROR(MAX('B4'!X30,'B5'!X30,'B6'!X30),0)</f>
        <v>0</v>
      </c>
      <c r="Y120" s="123">
        <f>IFERROR(MAX('B4'!Y30,'B5'!Y30,'B6'!Y30),0)</f>
        <v>0</v>
      </c>
      <c r="Z120" s="123">
        <f>IFERROR(MAX('B4'!Z30,'B5'!Z30,'B6'!Z30),0)</f>
        <v>0</v>
      </c>
      <c r="AA120" s="123">
        <f>IFERROR(MAX('B4'!AA30,'B5'!AA30,'B6'!AA30),0)</f>
        <v>0</v>
      </c>
      <c r="AB120" s="123">
        <f>IFERROR(MAX('B4'!AB30,'B5'!AB30,'B6'!AB30),0)</f>
        <v>0</v>
      </c>
      <c r="AC120" s="123">
        <f>IFERROR(MAX('B4'!AC30,'B5'!AC30,'B6'!AC30),0)</f>
        <v>0</v>
      </c>
      <c r="AD120" s="123">
        <f>IFERROR(MAX('B4'!AD30,'B5'!AD30,'B6'!AD30),0)</f>
        <v>0</v>
      </c>
      <c r="AE120" s="123">
        <f>IFERROR(MAX('B4'!AE30,'B5'!AE30,'B6'!AE30),0)</f>
        <v>0</v>
      </c>
      <c r="AF120" s="123">
        <f>IFERROR(MAX('B4'!AF30,'B5'!AF30,'B6'!AF30),0)</f>
        <v>0</v>
      </c>
      <c r="AG120" s="123">
        <f>IFERROR(MAX('B4'!AG30,'B5'!AG30,'B6'!AG30),0)</f>
        <v>1</v>
      </c>
      <c r="AH120" s="123">
        <f>IFERROR(MAX('B4'!AH30,'B5'!AH30,'B6'!AH30),0)</f>
        <v>0</v>
      </c>
      <c r="AI120" s="123">
        <f>IFERROR(MAX('B4'!AI30,'B5'!AI30,'B6'!AI30),0)</f>
        <v>0</v>
      </c>
      <c r="AJ120" s="123">
        <f>IFERROR(MAX('B4'!AJ30,'B5'!AJ30,'B6'!AJ30),0)</f>
        <v>0</v>
      </c>
      <c r="AK120" s="123">
        <f>IFERROR(MAX('B4'!AK30,'B5'!AK30,'B6'!AK30),0)</f>
        <v>0</v>
      </c>
      <c r="AL120" s="123">
        <f>IFERROR(MAX('B4'!AL30,'B5'!AL30,'B6'!AL30),0)</f>
        <v>0</v>
      </c>
      <c r="AM120" s="123">
        <f>IFERROR(MAX('B4'!AM30,'B5'!AM30,'B6'!AM30),0)</f>
        <v>0</v>
      </c>
      <c r="AN120" s="123">
        <f>IFERROR(MAX('B4'!AN30,'B5'!AN30,'B6'!AN30),0)</f>
        <v>0</v>
      </c>
      <c r="AO120" s="123">
        <f>IFERROR(MAX('B4'!AO30,'B5'!AO30,'B6'!AO30),0)</f>
        <v>0</v>
      </c>
      <c r="AP120" s="123">
        <f>IFERROR(MAX('B4'!AP30,'B5'!AP30,'B6'!AP30),0)</f>
        <v>0</v>
      </c>
      <c r="AQ120" s="123">
        <f>IFERROR(MAX('B4'!AQ30,'B5'!AQ30,'B6'!AQ30),0)</f>
        <v>0</v>
      </c>
      <c r="AR120" s="123">
        <f>IFERROR(MAX('B4'!AR30,'B5'!AR30,'B6'!AR30),0)</f>
        <v>0</v>
      </c>
      <c r="AS120" s="123">
        <f>IFERROR(MAX('B4'!AS30,'B5'!AS30,'B6'!AS30),0)</f>
        <v>0</v>
      </c>
      <c r="AT120" s="123">
        <f>IFERROR(MAX('B4'!AT30,'B5'!AT30,'B6'!AT30),0)</f>
        <v>0</v>
      </c>
      <c r="AU120" s="123">
        <f>IFERROR(MAX('B4'!AU30,'B5'!AU30,'B6'!AU30),0)</f>
        <v>0</v>
      </c>
      <c r="AV120" s="123">
        <f>IFERROR(MAX('B4'!AV30,'B5'!AV30,'B6'!AV30),0)</f>
        <v>0</v>
      </c>
      <c r="AW120" s="123">
        <f>IFERROR(MAX('B4'!AW30,'B5'!AW30,'B6'!AW30),0)</f>
        <v>0</v>
      </c>
      <c r="AX120" s="123">
        <f>IFERROR(MAX('B4'!AX30,'B5'!AX30,'B6'!AX30),0)</f>
        <v>0</v>
      </c>
      <c r="AY120" s="123">
        <f>IFERROR(MAX('B4'!AY30,'B5'!AY30,'B6'!AY30),0)</f>
        <v>0</v>
      </c>
      <c r="AZ120" s="123">
        <f>IFERROR(MAX('B4'!AZ30,'B5'!AZ30,'B6'!AZ30),0)</f>
        <v>0</v>
      </c>
      <c r="BA120" s="123">
        <f>IFERROR(MAX('B4'!BA30,'B5'!BA30,'B6'!BA30),0)</f>
        <v>0</v>
      </c>
      <c r="BB120" s="123">
        <f>IFERROR(MAX('B4'!BB30,'B5'!BB30,'B6'!BB30),0)</f>
        <v>0</v>
      </c>
      <c r="BC120" s="123">
        <f>IFERROR(MAX('B4'!BC30,'B5'!BC30,'B6'!BC30),0)</f>
        <v>0</v>
      </c>
      <c r="BD120" s="123">
        <f>IFERROR(MAX('B4'!BD30,'B5'!BD30,'B6'!BD30),0)</f>
        <v>0</v>
      </c>
      <c r="BE120" s="123">
        <f>IFERROR(MAX('B4'!BE30,'B5'!BE30,'B6'!BE30),0)</f>
        <v>0</v>
      </c>
      <c r="BF120" s="123">
        <f>IFERROR(MAX('B4'!BF30,'B5'!BF30,'B6'!BF30),0)</f>
        <v>0</v>
      </c>
      <c r="BG120" s="123">
        <f>IFERROR(MAX('B4'!BG30,'B5'!BG30,'B6'!BG30),0)</f>
        <v>0</v>
      </c>
      <c r="BH120" s="123">
        <f>IFERROR(MAX('B4'!BH30,'B5'!BH30,'B6'!BH30),0)</f>
        <v>0</v>
      </c>
      <c r="BI120" s="123">
        <f>IFERROR(MAX('B4'!BI30,'B5'!BI30,'B6'!BI30),0)</f>
        <v>0</v>
      </c>
      <c r="BJ120" s="123">
        <f>IFERROR(MAX('B4'!BJ30,'B5'!BJ30,'B6'!BJ30),0)</f>
        <v>0</v>
      </c>
      <c r="BK120" s="123">
        <f>IFERROR(MAX('B4'!BK30,'B5'!BK30,'B6'!BK30),0)</f>
        <v>0</v>
      </c>
      <c r="BL120" s="123">
        <f>IFERROR(MAX('B4'!BL30,'B5'!BL30,'B6'!BL30),0)</f>
        <v>0</v>
      </c>
      <c r="BM120" s="123">
        <f>IFERROR(MAX('B4'!BM30,'B5'!BM30,'B6'!BM30),0)</f>
        <v>0</v>
      </c>
      <c r="BN120" s="123">
        <f>IFERROR(MAX('B4'!BN30,'B5'!BN30,'B6'!BN30),0)</f>
        <v>0</v>
      </c>
      <c r="BO120" s="123">
        <f>IFERROR(MAX('B4'!BO30,'B5'!BO30,'B6'!BO30),0)</f>
        <v>0</v>
      </c>
      <c r="BP120" s="123">
        <f>IFERROR(MAX('B4'!BP30,'B5'!BP30,'B6'!BP30),0)</f>
        <v>0</v>
      </c>
      <c r="BQ120" s="123">
        <f>IFERROR(MAX('B4'!BQ30,'B5'!BQ30,'B6'!BQ30),0)</f>
        <v>0</v>
      </c>
      <c r="BR120" s="123">
        <f>IFERROR(MAX('B4'!BR30,'B5'!BR30,'B6'!BR30),0)</f>
        <v>0</v>
      </c>
      <c r="BS120" s="123">
        <f>IFERROR(MAX('B4'!BS30,'B5'!BS30,'B6'!BS30),0)</f>
        <v>0</v>
      </c>
      <c r="BT120" s="123">
        <f>IFERROR(MAX('B4'!BT30,'B5'!BT30,'B6'!BT30),0)</f>
        <v>0</v>
      </c>
      <c r="BU120" s="123">
        <f>IFERROR(MAX('B4'!BU30,'B5'!BU30,'B6'!BU30),0)</f>
        <v>0</v>
      </c>
      <c r="BV120" s="123">
        <f>IFERROR(MAX('B4'!BV30,'B5'!BV30,'B6'!BV30),0)</f>
        <v>0</v>
      </c>
    </row>
    <row r="121" spans="1:74" ht="16" thickBot="1" x14ac:dyDescent="0.4">
      <c r="A121" s="63">
        <f t="shared" si="10"/>
        <v>0</v>
      </c>
      <c r="B121" s="129">
        <f t="shared" si="10"/>
        <v>0</v>
      </c>
      <c r="C121" s="54"/>
      <c r="D121" s="123">
        <f>IFERROR(MAX('B4'!D31,'B5'!D31,'B6'!D31),0)</f>
        <v>0</v>
      </c>
      <c r="E121" s="123">
        <f>IFERROR(MAX('B4'!E31,'B5'!E31,'B6'!E31),0)</f>
        <v>0</v>
      </c>
      <c r="F121" s="123">
        <f>IFERROR(MAX('B4'!F31,'B5'!F31,'B6'!F31),0)</f>
        <v>0</v>
      </c>
      <c r="G121" s="123">
        <f>IFERROR(MAX('B4'!G31,'B5'!G31,'B6'!G31),0)</f>
        <v>0</v>
      </c>
      <c r="H121" s="123">
        <f>IFERROR(MAX('B4'!H31,'B5'!H31,'B6'!H31),0)</f>
        <v>0</v>
      </c>
      <c r="I121" s="123">
        <f>IFERROR(MAX('B4'!I31,'B5'!I31,'B6'!I31),0)</f>
        <v>0</v>
      </c>
      <c r="J121" s="123">
        <f>IFERROR(MAX('B4'!J31,'B5'!J31,'B6'!J31),0)</f>
        <v>0</v>
      </c>
      <c r="K121" s="123">
        <f>IFERROR(MAX('B4'!K31,'B5'!K31,'B6'!K31),0)</f>
        <v>0</v>
      </c>
      <c r="L121" s="123">
        <f>IFERROR(MAX('B4'!L31,'B5'!L31,'B6'!L31),0)</f>
        <v>0</v>
      </c>
      <c r="M121" s="123">
        <f>IFERROR(MAX('B4'!M31,'B5'!M31,'B6'!M31),0)</f>
        <v>0</v>
      </c>
      <c r="N121" s="123">
        <f>IFERROR(MAX('B4'!N31,'B5'!N31,'B6'!N31),0)</f>
        <v>0</v>
      </c>
      <c r="O121" s="123">
        <f>IFERROR(MAX('B4'!O31,'B5'!O31,'B6'!O31),0)</f>
        <v>0</v>
      </c>
      <c r="P121" s="123">
        <f>IFERROR(MAX('B4'!P31,'B5'!P31,'B6'!P31),0)</f>
        <v>0</v>
      </c>
      <c r="Q121" s="123">
        <f>IFERROR(MAX('B4'!Q31,'B5'!Q31,'B6'!Q31),0)</f>
        <v>0</v>
      </c>
      <c r="R121" s="123">
        <f>IFERROR(MAX('B4'!R31,'B5'!R31,'B6'!R31),0)</f>
        <v>0</v>
      </c>
      <c r="S121" s="123">
        <f>IFERROR(MAX('B4'!S31,'B5'!S31,'B6'!S31),0)</f>
        <v>0</v>
      </c>
      <c r="T121" s="123">
        <f>IFERROR(MAX('B4'!T31,'B5'!T31,'B6'!T31),0)</f>
        <v>0</v>
      </c>
      <c r="U121" s="123">
        <f>IFERROR(MAX('B4'!U31,'B5'!U31,'B6'!U31),0)</f>
        <v>0</v>
      </c>
      <c r="V121" s="123">
        <f>IFERROR(MAX('B4'!V31,'B5'!V31,'B6'!V31),0)</f>
        <v>0</v>
      </c>
      <c r="W121" s="123">
        <f>IFERROR(MAX('B4'!W31,'B5'!W31,'B6'!W31),0)</f>
        <v>0</v>
      </c>
      <c r="X121" s="123">
        <f>IFERROR(MAX('B4'!X31,'B5'!X31,'B6'!X31),0)</f>
        <v>0</v>
      </c>
      <c r="Y121" s="123">
        <f>IFERROR(MAX('B4'!Y31,'B5'!Y31,'B6'!Y31),0)</f>
        <v>0</v>
      </c>
      <c r="Z121" s="123">
        <f>IFERROR(MAX('B4'!Z31,'B5'!Z31,'B6'!Z31),0)</f>
        <v>0</v>
      </c>
      <c r="AA121" s="123">
        <f>IFERROR(MAX('B4'!AA31,'B5'!AA31,'B6'!AA31),0)</f>
        <v>0</v>
      </c>
      <c r="AB121" s="123">
        <f>IFERROR(MAX('B4'!AB31,'B5'!AB31,'B6'!AB31),0)</f>
        <v>0</v>
      </c>
      <c r="AC121" s="123">
        <f>IFERROR(MAX('B4'!AC31,'B5'!AC31,'B6'!AC31),0)</f>
        <v>0</v>
      </c>
      <c r="AD121" s="123">
        <f>IFERROR(MAX('B4'!AD31,'B5'!AD31,'B6'!AD31),0)</f>
        <v>0</v>
      </c>
      <c r="AE121" s="123">
        <f>IFERROR(MAX('B4'!AE31,'B5'!AE31,'B6'!AE31),0)</f>
        <v>0</v>
      </c>
      <c r="AF121" s="123">
        <f>IFERROR(MAX('B4'!AF31,'B5'!AF31,'B6'!AF31),0)</f>
        <v>0</v>
      </c>
      <c r="AG121" s="123">
        <f>IFERROR(MAX('B4'!AG31,'B5'!AG31,'B6'!AG31),0)</f>
        <v>1</v>
      </c>
      <c r="AH121" s="123">
        <f>IFERROR(MAX('B4'!AH31,'B5'!AH31,'B6'!AH31),0)</f>
        <v>0</v>
      </c>
      <c r="AI121" s="123">
        <f>IFERROR(MAX('B4'!AI31,'B5'!AI31,'B6'!AI31),0)</f>
        <v>0</v>
      </c>
      <c r="AJ121" s="123">
        <f>IFERROR(MAX('B4'!AJ31,'B5'!AJ31,'B6'!AJ31),0)</f>
        <v>0</v>
      </c>
      <c r="AK121" s="123">
        <f>IFERROR(MAX('B4'!AK31,'B5'!AK31,'B6'!AK31),0)</f>
        <v>0</v>
      </c>
      <c r="AL121" s="123">
        <f>IFERROR(MAX('B4'!AL31,'B5'!AL31,'B6'!AL31),0)</f>
        <v>0</v>
      </c>
      <c r="AM121" s="123">
        <f>IFERROR(MAX('B4'!AM31,'B5'!AM31,'B6'!AM31),0)</f>
        <v>0</v>
      </c>
      <c r="AN121" s="123">
        <f>IFERROR(MAX('B4'!AN31,'B5'!AN31,'B6'!AN31),0)</f>
        <v>0</v>
      </c>
      <c r="AO121" s="123">
        <f>IFERROR(MAX('B4'!AO31,'B5'!AO31,'B6'!AO31),0)</f>
        <v>0</v>
      </c>
      <c r="AP121" s="123">
        <f>IFERROR(MAX('B4'!AP31,'B5'!AP31,'B6'!AP31),0)</f>
        <v>0</v>
      </c>
      <c r="AQ121" s="123">
        <f>IFERROR(MAX('B4'!AQ31,'B5'!AQ31,'B6'!AQ31),0)</f>
        <v>0</v>
      </c>
      <c r="AR121" s="123">
        <f>IFERROR(MAX('B4'!AR31,'B5'!AR31,'B6'!AR31),0)</f>
        <v>0</v>
      </c>
      <c r="AS121" s="123">
        <f>IFERROR(MAX('B4'!AS31,'B5'!AS31,'B6'!AS31),0)</f>
        <v>0</v>
      </c>
      <c r="AT121" s="123">
        <f>IFERROR(MAX('B4'!AT31,'B5'!AT31,'B6'!AT31),0)</f>
        <v>0</v>
      </c>
      <c r="AU121" s="123">
        <f>IFERROR(MAX('B4'!AU31,'B5'!AU31,'B6'!AU31),0)</f>
        <v>0</v>
      </c>
      <c r="AV121" s="123">
        <f>IFERROR(MAX('B4'!AV31,'B5'!AV31,'B6'!AV31),0)</f>
        <v>0</v>
      </c>
      <c r="AW121" s="123">
        <f>IFERROR(MAX('B4'!AW31,'B5'!AW31,'B6'!AW31),0)</f>
        <v>0</v>
      </c>
      <c r="AX121" s="123">
        <f>IFERROR(MAX('B4'!AX31,'B5'!AX31,'B6'!AX31),0)</f>
        <v>0</v>
      </c>
      <c r="AY121" s="123">
        <f>IFERROR(MAX('B4'!AY31,'B5'!AY31,'B6'!AY31),0)</f>
        <v>0</v>
      </c>
      <c r="AZ121" s="123">
        <f>IFERROR(MAX('B4'!AZ31,'B5'!AZ31,'B6'!AZ31),0)</f>
        <v>0</v>
      </c>
      <c r="BA121" s="123">
        <f>IFERROR(MAX('B4'!BA31,'B5'!BA31,'B6'!BA31),0)</f>
        <v>0</v>
      </c>
      <c r="BB121" s="123">
        <f>IFERROR(MAX('B4'!BB31,'B5'!BB31,'B6'!BB31),0)</f>
        <v>0</v>
      </c>
      <c r="BC121" s="123">
        <f>IFERROR(MAX('B4'!BC31,'B5'!BC31,'B6'!BC31),0)</f>
        <v>0</v>
      </c>
      <c r="BD121" s="123">
        <f>IFERROR(MAX('B4'!BD31,'B5'!BD31,'B6'!BD31),0)</f>
        <v>0</v>
      </c>
      <c r="BE121" s="123">
        <f>IFERROR(MAX('B4'!BE31,'B5'!BE31,'B6'!BE31),0)</f>
        <v>0</v>
      </c>
      <c r="BF121" s="123">
        <f>IFERROR(MAX('B4'!BF31,'B5'!BF31,'B6'!BF31),0)</f>
        <v>0</v>
      </c>
      <c r="BG121" s="123">
        <f>IFERROR(MAX('B4'!BG31,'B5'!BG31,'B6'!BG31),0)</f>
        <v>0</v>
      </c>
      <c r="BH121" s="123">
        <f>IFERROR(MAX('B4'!BH31,'B5'!BH31,'B6'!BH31),0)</f>
        <v>0</v>
      </c>
      <c r="BI121" s="123">
        <f>IFERROR(MAX('B4'!BI31,'B5'!BI31,'B6'!BI31),0)</f>
        <v>0</v>
      </c>
      <c r="BJ121" s="123">
        <f>IFERROR(MAX('B4'!BJ31,'B5'!BJ31,'B6'!BJ31),0)</f>
        <v>0</v>
      </c>
      <c r="BK121" s="123">
        <f>IFERROR(MAX('B4'!BK31,'B5'!BK31,'B6'!BK31),0)</f>
        <v>0</v>
      </c>
      <c r="BL121" s="123">
        <f>IFERROR(MAX('B4'!BL31,'B5'!BL31,'B6'!BL31),0)</f>
        <v>0</v>
      </c>
      <c r="BM121" s="123">
        <f>IFERROR(MAX('B4'!BM31,'B5'!BM31,'B6'!BM31),0)</f>
        <v>0</v>
      </c>
      <c r="BN121" s="123">
        <f>IFERROR(MAX('B4'!BN31,'B5'!BN31,'B6'!BN31),0)</f>
        <v>0</v>
      </c>
      <c r="BO121" s="123">
        <f>IFERROR(MAX('B4'!BO31,'B5'!BO31,'B6'!BO31),0)</f>
        <v>0</v>
      </c>
      <c r="BP121" s="123">
        <f>IFERROR(MAX('B4'!BP31,'B5'!BP31,'B6'!BP31),0)</f>
        <v>0</v>
      </c>
      <c r="BQ121" s="123">
        <f>IFERROR(MAX('B4'!BQ31,'B5'!BQ31,'B6'!BQ31),0)</f>
        <v>0</v>
      </c>
      <c r="BR121" s="123">
        <f>IFERROR(MAX('B4'!BR31,'B5'!BR31,'B6'!BR31),0)</f>
        <v>0</v>
      </c>
      <c r="BS121" s="123">
        <f>IFERROR(MAX('B4'!BS31,'B5'!BS31,'B6'!BS31),0)</f>
        <v>0</v>
      </c>
      <c r="BT121" s="123">
        <f>IFERROR(MAX('B4'!BT31,'B5'!BT31,'B6'!BT31),0)</f>
        <v>0</v>
      </c>
      <c r="BU121" s="123">
        <f>IFERROR(MAX('B4'!BU31,'B5'!BU31,'B6'!BU31),0)</f>
        <v>0</v>
      </c>
      <c r="BV121" s="123">
        <f>IFERROR(MAX('B4'!BV31,'B5'!BV31,'B6'!BV31),0)</f>
        <v>0</v>
      </c>
    </row>
    <row r="122" spans="1:74" ht="16" thickBot="1" x14ac:dyDescent="0.4">
      <c r="A122" s="63">
        <f t="shared" si="10"/>
        <v>0</v>
      </c>
      <c r="B122" s="129">
        <f t="shared" si="10"/>
        <v>0</v>
      </c>
      <c r="C122" s="83"/>
      <c r="D122" s="123">
        <f>IFERROR(MAX('B4'!D32,'B5'!D32,'B6'!D32),0)</f>
        <v>0</v>
      </c>
      <c r="E122" s="123">
        <f>IFERROR(MAX('B4'!E32,'B5'!E32,'B6'!E32),0)</f>
        <v>0</v>
      </c>
      <c r="F122" s="123">
        <f>IFERROR(MAX('B4'!F32,'B5'!F32,'B6'!F32),0)</f>
        <v>0</v>
      </c>
      <c r="G122" s="123">
        <f>IFERROR(MAX('B4'!G32,'B5'!G32,'B6'!G32),0)</f>
        <v>0</v>
      </c>
      <c r="H122" s="123">
        <f>IFERROR(MAX('B4'!H32,'B5'!H32,'B6'!H32),0)</f>
        <v>0</v>
      </c>
      <c r="I122" s="123">
        <f>IFERROR(MAX('B4'!I32,'B5'!I32,'B6'!I32),0)</f>
        <v>0</v>
      </c>
      <c r="J122" s="123">
        <f>IFERROR(MAX('B4'!J32,'B5'!J32,'B6'!J32),0)</f>
        <v>0</v>
      </c>
      <c r="K122" s="123">
        <f>IFERROR(MAX('B4'!K32,'B5'!K32,'B6'!K32),0)</f>
        <v>0</v>
      </c>
      <c r="L122" s="123">
        <f>IFERROR(MAX('B4'!L32,'B5'!L32,'B6'!L32),0)</f>
        <v>0</v>
      </c>
      <c r="M122" s="123">
        <f>IFERROR(MAX('B4'!M32,'B5'!M32,'B6'!M32),0)</f>
        <v>0</v>
      </c>
      <c r="N122" s="123">
        <f>IFERROR(MAX('B4'!N32,'B5'!N32,'B6'!N32),0)</f>
        <v>0</v>
      </c>
      <c r="O122" s="123">
        <f>IFERROR(MAX('B4'!O32,'B5'!O32,'B6'!O32),0)</f>
        <v>0</v>
      </c>
      <c r="P122" s="123">
        <f>IFERROR(MAX('B4'!P32,'B5'!P32,'B6'!P32),0)</f>
        <v>0</v>
      </c>
      <c r="Q122" s="123">
        <f>IFERROR(MAX('B4'!Q32,'B5'!Q32,'B6'!Q32),0)</f>
        <v>0</v>
      </c>
      <c r="R122" s="123">
        <f>IFERROR(MAX('B4'!R32,'B5'!R32,'B6'!R32),0)</f>
        <v>0</v>
      </c>
      <c r="S122" s="123">
        <f>IFERROR(MAX('B4'!S32,'B5'!S32,'B6'!S32),0)</f>
        <v>0</v>
      </c>
      <c r="T122" s="123">
        <f>IFERROR(MAX('B4'!T32,'B5'!T32,'B6'!T32),0)</f>
        <v>0</v>
      </c>
      <c r="U122" s="123">
        <f>IFERROR(MAX('B4'!U32,'B5'!U32,'B6'!U32),0)</f>
        <v>0</v>
      </c>
      <c r="V122" s="123">
        <f>IFERROR(MAX('B4'!V32,'B5'!V32,'B6'!V32),0)</f>
        <v>0</v>
      </c>
      <c r="W122" s="123">
        <f>IFERROR(MAX('B4'!W32,'B5'!W32,'B6'!W32),0)</f>
        <v>0</v>
      </c>
      <c r="X122" s="123">
        <f>IFERROR(MAX('B4'!X32,'B5'!X32,'B6'!X32),0)</f>
        <v>0</v>
      </c>
      <c r="Y122" s="123">
        <f>IFERROR(MAX('B4'!Y32,'B5'!Y32,'B6'!Y32),0)</f>
        <v>0</v>
      </c>
      <c r="Z122" s="123">
        <f>IFERROR(MAX('B4'!Z32,'B5'!Z32,'B6'!Z32),0)</f>
        <v>0</v>
      </c>
      <c r="AA122" s="123">
        <f>IFERROR(MAX('B4'!AA32,'B5'!AA32,'B6'!AA32),0)</f>
        <v>0</v>
      </c>
      <c r="AB122" s="123">
        <f>IFERROR(MAX('B4'!AB32,'B5'!AB32,'B6'!AB32),0)</f>
        <v>0</v>
      </c>
      <c r="AC122" s="123">
        <f>IFERROR(MAX('B4'!AC32,'B5'!AC32,'B6'!AC32),0)</f>
        <v>0</v>
      </c>
      <c r="AD122" s="123">
        <f>IFERROR(MAX('B4'!AD32,'B5'!AD32,'B6'!AD32),0)</f>
        <v>0</v>
      </c>
      <c r="AE122" s="123">
        <f>IFERROR(MAX('B4'!AE32,'B5'!AE32,'B6'!AE32),0)</f>
        <v>0</v>
      </c>
      <c r="AF122" s="123">
        <f>IFERROR(MAX('B4'!AF32,'B5'!AF32,'B6'!AF32),0)</f>
        <v>0</v>
      </c>
      <c r="AG122" s="123">
        <f>IFERROR(MAX('B4'!AG32,'B5'!AG32,'B6'!AG32),0)</f>
        <v>0</v>
      </c>
      <c r="AH122" s="123">
        <f>IFERROR(MAX('B4'!AH32,'B5'!AH32,'B6'!AH32),0)</f>
        <v>0</v>
      </c>
      <c r="AI122" s="123">
        <f>IFERROR(MAX('B4'!AI32,'B5'!AI32,'B6'!AI32),0)</f>
        <v>0</v>
      </c>
      <c r="AJ122" s="123">
        <f>IFERROR(MAX('B4'!AJ32,'B5'!AJ32,'B6'!AJ32),0)</f>
        <v>0</v>
      </c>
      <c r="AK122" s="123">
        <f>IFERROR(MAX('B4'!AK32,'B5'!AK32,'B6'!AK32),0)</f>
        <v>0</v>
      </c>
      <c r="AL122" s="123">
        <f>IFERROR(MAX('B4'!AL32,'B5'!AL32,'B6'!AL32),0)</f>
        <v>0</v>
      </c>
      <c r="AM122" s="123">
        <f>IFERROR(MAX('B4'!AM32,'B5'!AM32,'B6'!AM32),0)</f>
        <v>0</v>
      </c>
      <c r="AN122" s="123">
        <f>IFERROR(MAX('B4'!AN32,'B5'!AN32,'B6'!AN32),0)</f>
        <v>0</v>
      </c>
      <c r="AO122" s="123">
        <f>IFERROR(MAX('B4'!AO32,'B5'!AO32,'B6'!AO32),0)</f>
        <v>0</v>
      </c>
      <c r="AP122" s="123">
        <f>IFERROR(MAX('B4'!AP32,'B5'!AP32,'B6'!AP32),0)</f>
        <v>0</v>
      </c>
      <c r="AQ122" s="123">
        <f>IFERROR(MAX('B4'!AQ32,'B5'!AQ32,'B6'!AQ32),0)</f>
        <v>0</v>
      </c>
      <c r="AR122" s="123">
        <f>IFERROR(MAX('B4'!AR32,'B5'!AR32,'B6'!AR32),0)</f>
        <v>0</v>
      </c>
      <c r="AS122" s="123">
        <f>IFERROR(MAX('B4'!AS32,'B5'!AS32,'B6'!AS32),0)</f>
        <v>0</v>
      </c>
      <c r="AT122" s="123">
        <f>IFERROR(MAX('B4'!AT32,'B5'!AT32,'B6'!AT32),0)</f>
        <v>0</v>
      </c>
      <c r="AU122" s="123">
        <f>IFERROR(MAX('B4'!AU32,'B5'!AU32,'B6'!AU32),0)</f>
        <v>0</v>
      </c>
      <c r="AV122" s="123">
        <f>IFERROR(MAX('B4'!AV32,'B5'!AV32,'B6'!AV32),0)</f>
        <v>0</v>
      </c>
      <c r="AW122" s="123">
        <f>IFERROR(MAX('B4'!AW32,'B5'!AW32,'B6'!AW32),0)</f>
        <v>0</v>
      </c>
      <c r="AX122" s="123">
        <f>IFERROR(MAX('B4'!AX32,'B5'!AX32,'B6'!AX32),0)</f>
        <v>0</v>
      </c>
      <c r="AY122" s="123">
        <f>IFERROR(MAX('B4'!AY32,'B5'!AY32,'B6'!AY32),0)</f>
        <v>0</v>
      </c>
      <c r="AZ122" s="123">
        <f>IFERROR(MAX('B4'!AZ32,'B5'!AZ32,'B6'!AZ32),0)</f>
        <v>0</v>
      </c>
      <c r="BA122" s="123">
        <f>IFERROR(MAX('B4'!BA32,'B5'!BA32,'B6'!BA32),0)</f>
        <v>0</v>
      </c>
      <c r="BB122" s="123">
        <f>IFERROR(MAX('B4'!BB32,'B5'!BB32,'B6'!BB32),0)</f>
        <v>0</v>
      </c>
      <c r="BC122" s="123">
        <f>IFERROR(MAX('B4'!BC32,'B5'!BC32,'B6'!BC32),0)</f>
        <v>0</v>
      </c>
      <c r="BD122" s="123">
        <f>IFERROR(MAX('B4'!BD32,'B5'!BD32,'B6'!BD32),0)</f>
        <v>0</v>
      </c>
      <c r="BE122" s="123">
        <f>IFERROR(MAX('B4'!BE32,'B5'!BE32,'B6'!BE32),0)</f>
        <v>0</v>
      </c>
      <c r="BF122" s="123">
        <f>IFERROR(MAX('B4'!BF32,'B5'!BF32,'B6'!BF32),0)</f>
        <v>0</v>
      </c>
      <c r="BG122" s="123">
        <f>IFERROR(MAX('B4'!BG32,'B5'!BG32,'B6'!BG32),0)</f>
        <v>0</v>
      </c>
      <c r="BH122" s="123">
        <f>IFERROR(MAX('B4'!BH32,'B5'!BH32,'B6'!BH32),0)</f>
        <v>0</v>
      </c>
      <c r="BI122" s="123">
        <f>IFERROR(MAX('B4'!BI32,'B5'!BI32,'B6'!BI32),0)</f>
        <v>0</v>
      </c>
      <c r="BJ122" s="123">
        <f>IFERROR(MAX('B4'!BJ32,'B5'!BJ32,'B6'!BJ32),0)</f>
        <v>0</v>
      </c>
      <c r="BK122" s="123">
        <f>IFERROR(MAX('B4'!BK32,'B5'!BK32,'B6'!BK32),0)</f>
        <v>0</v>
      </c>
      <c r="BL122" s="123">
        <f>IFERROR(MAX('B4'!BL32,'B5'!BL32,'B6'!BL32),0)</f>
        <v>0</v>
      </c>
      <c r="BM122" s="123">
        <f>IFERROR(MAX('B4'!BM32,'B5'!BM32,'B6'!BM32),0)</f>
        <v>0</v>
      </c>
      <c r="BN122" s="123">
        <f>IFERROR(MAX('B4'!BN32,'B5'!BN32,'B6'!BN32),0)</f>
        <v>0</v>
      </c>
      <c r="BO122" s="123">
        <f>IFERROR(MAX('B4'!BO32,'B5'!BO32,'B6'!BO32),0)</f>
        <v>0</v>
      </c>
      <c r="BP122" s="123">
        <f>IFERROR(MAX('B4'!BP32,'B5'!BP32,'B6'!BP32),0)</f>
        <v>0</v>
      </c>
      <c r="BQ122" s="123">
        <f>IFERROR(MAX('B4'!BQ32,'B5'!BQ32,'B6'!BQ32),0)</f>
        <v>0</v>
      </c>
      <c r="BR122" s="123">
        <f>IFERROR(MAX('B4'!BR32,'B5'!BR32,'B6'!BR32),0)</f>
        <v>0</v>
      </c>
      <c r="BS122" s="123">
        <f>IFERROR(MAX('B4'!BS32,'B5'!BS32,'B6'!BS32),0)</f>
        <v>0</v>
      </c>
      <c r="BT122" s="123">
        <f>IFERROR(MAX('B4'!BT32,'B5'!BT32,'B6'!BT32),0)</f>
        <v>0</v>
      </c>
      <c r="BU122" s="123">
        <f>IFERROR(MAX('B4'!BU32,'B5'!BU32,'B6'!BU32),0)</f>
        <v>0</v>
      </c>
      <c r="BV122" s="123">
        <f>IFERROR(MAX('B4'!BV32,'B5'!BV32,'B6'!BV32),0)</f>
        <v>0</v>
      </c>
    </row>
  </sheetData>
  <pageMargins left="0.7" right="0.7" top="0.75" bottom="0.75" header="0.3" footer="0.3"/>
  <pageSetup paperSize="9" orientation="portrait" r:id="rId1"/>
  <tableParts count="17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BU36"/>
  <sheetViews>
    <sheetView zoomScale="80" zoomScaleNormal="80" workbookViewId="0">
      <pane xSplit="2" topLeftCell="S1" activePane="topRight" state="frozen"/>
      <selection pane="topRight"/>
    </sheetView>
  </sheetViews>
  <sheetFormatPr defaultRowHeight="14.5" x14ac:dyDescent="0.35"/>
  <cols>
    <col min="1" max="1" width="11.453125" customWidth="1"/>
    <col min="2" max="2" width="11" customWidth="1"/>
    <col min="3" max="3" width="10.453125" customWidth="1"/>
    <col min="4" max="4" width="10.7265625" customWidth="1"/>
    <col min="5" max="12" width="11.7265625" customWidth="1"/>
    <col min="13" max="22" width="12.7265625" customWidth="1"/>
    <col min="23" max="23" width="11.81640625" customWidth="1"/>
    <col min="24" max="24" width="12.7265625" customWidth="1"/>
    <col min="25" max="25" width="11.26953125" customWidth="1"/>
    <col min="26" max="26" width="12.7265625" customWidth="1"/>
    <col min="27" max="27" width="13.26953125" customWidth="1"/>
    <col min="28" max="28" width="12.7265625" customWidth="1"/>
    <col min="29" max="29" width="13.26953125" customWidth="1"/>
    <col min="30" max="30" width="12.7265625" customWidth="1"/>
    <col min="32" max="32" width="10.81640625" customWidth="1"/>
    <col min="33" max="33" width="11.26953125" customWidth="1"/>
    <col min="34" max="35" width="10.1796875" customWidth="1"/>
    <col min="36" max="36" width="15.81640625" customWidth="1"/>
    <col min="37" max="44" width="16.81640625" customWidth="1"/>
    <col min="45" max="54" width="17.81640625" customWidth="1"/>
    <col min="55" max="55" width="15.81640625" hidden="1" customWidth="1"/>
    <col min="56" max="60" width="16.81640625" hidden="1" customWidth="1"/>
    <col min="61" max="63" width="16.81640625" customWidth="1"/>
    <col min="64" max="71" width="17.81640625" customWidth="1"/>
  </cols>
  <sheetData>
    <row r="1" spans="1:73" x14ac:dyDescent="0.35">
      <c r="A1" s="24" t="s">
        <v>28</v>
      </c>
      <c r="B1" s="24" t="s">
        <v>212</v>
      </c>
      <c r="C1" s="24"/>
    </row>
    <row r="2" spans="1:73" x14ac:dyDescent="0.35">
      <c r="A2" s="25" t="s">
        <v>30</v>
      </c>
      <c r="B2" s="25" t="s">
        <v>213</v>
      </c>
      <c r="C2" s="24" t="s">
        <v>75</v>
      </c>
      <c r="AJ2" s="2" t="s">
        <v>2</v>
      </c>
      <c r="AP2" s="146" t="s">
        <v>169</v>
      </c>
      <c r="AQ2" s="146"/>
    </row>
    <row r="3" spans="1:73" x14ac:dyDescent="0.35">
      <c r="A3" s="25" t="s">
        <v>74</v>
      </c>
      <c r="B3" s="25">
        <v>0</v>
      </c>
      <c r="C3" s="24" t="s">
        <v>76</v>
      </c>
    </row>
    <row r="4" spans="1:73" x14ac:dyDescent="0.35">
      <c r="A4" s="24" t="s">
        <v>33</v>
      </c>
      <c r="B4" s="24">
        <f>(B3/50)*1000</f>
        <v>0</v>
      </c>
      <c r="C4" s="56" t="s">
        <v>77</v>
      </c>
      <c r="E4" s="1"/>
      <c r="F4" s="3"/>
      <c r="G4" s="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 t="s">
        <v>60</v>
      </c>
      <c r="X4" s="1"/>
      <c r="Y4" s="1"/>
      <c r="Z4" s="1"/>
      <c r="AA4" s="1"/>
      <c r="AC4" s="1"/>
      <c r="AD4" s="1"/>
      <c r="AE4" s="1"/>
      <c r="AF4" t="s">
        <v>69</v>
      </c>
      <c r="AJ4" s="37" t="s">
        <v>37</v>
      </c>
      <c r="AL4" s="3"/>
      <c r="AM4" s="2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H4" s="1"/>
      <c r="BI4" s="4"/>
    </row>
    <row r="5" spans="1:73" ht="15" thickBot="1" x14ac:dyDescent="0.4">
      <c r="A5" s="24"/>
      <c r="B5" s="24"/>
      <c r="C5" s="2" t="s">
        <v>2</v>
      </c>
      <c r="D5" s="2"/>
      <c r="E5" s="1"/>
      <c r="F5" s="3"/>
      <c r="G5" s="2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C5" s="1"/>
      <c r="AD5" s="1"/>
      <c r="AE5" s="1"/>
      <c r="AJ5" s="37"/>
      <c r="AL5" s="3"/>
      <c r="AM5" s="2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 t="s">
        <v>60</v>
      </c>
      <c r="BB5" s="1"/>
      <c r="BC5" s="56" t="s">
        <v>79</v>
      </c>
      <c r="BH5" s="1"/>
      <c r="BI5" s="113" t="s">
        <v>79</v>
      </c>
      <c r="BT5" t="s">
        <v>60</v>
      </c>
    </row>
    <row r="6" spans="1:73" x14ac:dyDescent="0.35">
      <c r="C6" s="5" t="s">
        <v>3</v>
      </c>
      <c r="D6" s="6" t="s">
        <v>4</v>
      </c>
      <c r="E6" s="6" t="s">
        <v>90</v>
      </c>
      <c r="F6" s="6" t="s">
        <v>91</v>
      </c>
      <c r="G6" s="6" t="s">
        <v>92</v>
      </c>
      <c r="H6" s="6" t="s">
        <v>93</v>
      </c>
      <c r="I6" s="6" t="s">
        <v>94</v>
      </c>
      <c r="J6" s="6" t="s">
        <v>95</v>
      </c>
      <c r="K6" s="6" t="s">
        <v>96</v>
      </c>
      <c r="L6" s="6" t="s">
        <v>97</v>
      </c>
      <c r="M6" s="6" t="s">
        <v>98</v>
      </c>
      <c r="N6" s="6" t="s">
        <v>99</v>
      </c>
      <c r="O6" s="6" t="s">
        <v>100</v>
      </c>
      <c r="P6" s="6" t="s">
        <v>101</v>
      </c>
      <c r="Q6" s="6" t="s">
        <v>102</v>
      </c>
      <c r="R6" s="6" t="s">
        <v>103</v>
      </c>
      <c r="S6" s="7" t="s">
        <v>104</v>
      </c>
      <c r="T6" s="7" t="s">
        <v>105</v>
      </c>
      <c r="U6" s="7" t="s">
        <v>106</v>
      </c>
      <c r="V6" s="8" t="s">
        <v>107</v>
      </c>
      <c r="W6" s="36" t="s">
        <v>61</v>
      </c>
      <c r="X6" s="33" t="s">
        <v>108</v>
      </c>
      <c r="Y6" s="36" t="s">
        <v>62</v>
      </c>
      <c r="Z6" s="35" t="s">
        <v>109</v>
      </c>
      <c r="AA6" s="34" t="s">
        <v>110</v>
      </c>
      <c r="AB6" s="33" t="s">
        <v>111</v>
      </c>
      <c r="AC6" s="36" t="s">
        <v>112</v>
      </c>
      <c r="AD6" s="35" t="s">
        <v>113</v>
      </c>
      <c r="AE6" s="38" t="s">
        <v>68</v>
      </c>
      <c r="AF6" s="39" t="s">
        <v>70</v>
      </c>
      <c r="AG6" s="39" t="s">
        <v>71</v>
      </c>
      <c r="AH6" s="40" t="s">
        <v>32</v>
      </c>
      <c r="AI6" s="127" t="s">
        <v>136</v>
      </c>
      <c r="AJ6" s="69" t="s">
        <v>35</v>
      </c>
      <c r="AK6" s="70" t="s">
        <v>114</v>
      </c>
      <c r="AL6" s="70" t="s">
        <v>115</v>
      </c>
      <c r="AM6" s="70" t="s">
        <v>116</v>
      </c>
      <c r="AN6" s="70" t="s">
        <v>117</v>
      </c>
      <c r="AO6" s="70" t="s">
        <v>118</v>
      </c>
      <c r="AP6" s="70" t="s">
        <v>119</v>
      </c>
      <c r="AQ6" s="70" t="s">
        <v>120</v>
      </c>
      <c r="AR6" s="70" t="s">
        <v>121</v>
      </c>
      <c r="AS6" s="70" t="s">
        <v>122</v>
      </c>
      <c r="AT6" s="70" t="s">
        <v>123</v>
      </c>
      <c r="AU6" s="70" t="s">
        <v>124</v>
      </c>
      <c r="AV6" s="70" t="s">
        <v>125</v>
      </c>
      <c r="AW6" s="70" t="s">
        <v>126</v>
      </c>
      <c r="AX6" s="70" t="s">
        <v>127</v>
      </c>
      <c r="AY6" s="71" t="s">
        <v>128</v>
      </c>
      <c r="AZ6" s="72" t="s">
        <v>129</v>
      </c>
      <c r="BA6" s="85" t="s">
        <v>134</v>
      </c>
      <c r="BB6" s="88" t="s">
        <v>135</v>
      </c>
      <c r="BC6" s="69" t="s">
        <v>35</v>
      </c>
      <c r="BD6" s="70" t="s">
        <v>114</v>
      </c>
      <c r="BE6" s="70" t="s">
        <v>115</v>
      </c>
      <c r="BF6" s="70" t="s">
        <v>116</v>
      </c>
      <c r="BG6" s="70" t="s">
        <v>117</v>
      </c>
      <c r="BH6" s="70" t="s">
        <v>118</v>
      </c>
      <c r="BI6" s="70" t="s">
        <v>119</v>
      </c>
      <c r="BJ6" s="70" t="s">
        <v>120</v>
      </c>
      <c r="BK6" s="70" t="s">
        <v>121</v>
      </c>
      <c r="BL6" s="70" t="s">
        <v>122</v>
      </c>
      <c r="BM6" s="70" t="s">
        <v>123</v>
      </c>
      <c r="BN6" s="70" t="s">
        <v>124</v>
      </c>
      <c r="BO6" s="70" t="s">
        <v>125</v>
      </c>
      <c r="BP6" s="70" t="s">
        <v>126</v>
      </c>
      <c r="BQ6" s="70" t="s">
        <v>127</v>
      </c>
      <c r="BR6" s="71" t="s">
        <v>128</v>
      </c>
      <c r="BS6" s="72" t="s">
        <v>129</v>
      </c>
      <c r="BT6" s="85" t="s">
        <v>130</v>
      </c>
      <c r="BU6" s="85" t="s">
        <v>132</v>
      </c>
    </row>
    <row r="7" spans="1:73" x14ac:dyDescent="0.35">
      <c r="C7" s="9" t="s">
        <v>5</v>
      </c>
      <c r="D7" s="10" t="s">
        <v>7</v>
      </c>
      <c r="E7" s="10" t="s">
        <v>7</v>
      </c>
      <c r="F7" s="10" t="s">
        <v>7</v>
      </c>
      <c r="G7" s="10" t="s">
        <v>7</v>
      </c>
      <c r="H7" s="10" t="s">
        <v>7</v>
      </c>
      <c r="I7" s="10" t="s">
        <v>7</v>
      </c>
      <c r="J7" s="10" t="s">
        <v>7</v>
      </c>
      <c r="K7" s="10" t="s">
        <v>7</v>
      </c>
      <c r="L7" s="10" t="s">
        <v>7</v>
      </c>
      <c r="M7" s="10" t="s">
        <v>7</v>
      </c>
      <c r="N7" s="10" t="s">
        <v>7</v>
      </c>
      <c r="O7" s="10" t="s">
        <v>7</v>
      </c>
      <c r="P7" s="10" t="s">
        <v>7</v>
      </c>
      <c r="Q7" s="10" t="s">
        <v>7</v>
      </c>
      <c r="R7" s="10" t="s">
        <v>7</v>
      </c>
      <c r="S7" s="11" t="s">
        <v>7</v>
      </c>
      <c r="T7" s="11" t="s">
        <v>6</v>
      </c>
      <c r="U7" s="11" t="s">
        <v>6</v>
      </c>
      <c r="V7" s="12" t="s">
        <v>6</v>
      </c>
      <c r="W7" s="36" t="s">
        <v>63</v>
      </c>
      <c r="X7" s="33" t="s">
        <v>64</v>
      </c>
      <c r="Y7" s="36" t="s">
        <v>63</v>
      </c>
      <c r="Z7" s="35" t="s">
        <v>64</v>
      </c>
      <c r="AA7" s="34" t="s">
        <v>63</v>
      </c>
      <c r="AB7" s="33" t="s">
        <v>64</v>
      </c>
      <c r="AC7" s="36" t="s">
        <v>63</v>
      </c>
      <c r="AD7" s="35" t="s">
        <v>64</v>
      </c>
      <c r="AE7" s="38"/>
      <c r="AF7" s="39" t="s">
        <v>5</v>
      </c>
      <c r="AG7" s="39" t="s">
        <v>72</v>
      </c>
      <c r="AH7" s="40" t="s">
        <v>7</v>
      </c>
      <c r="AI7" s="39" t="s">
        <v>137</v>
      </c>
      <c r="AJ7" s="9" t="s">
        <v>36</v>
      </c>
      <c r="AK7" s="10" t="s">
        <v>36</v>
      </c>
      <c r="AL7" s="10" t="s">
        <v>36</v>
      </c>
      <c r="AM7" s="10" t="s">
        <v>36</v>
      </c>
      <c r="AN7" s="10" t="s">
        <v>36</v>
      </c>
      <c r="AO7" s="10" t="s">
        <v>36</v>
      </c>
      <c r="AP7" s="163" t="s">
        <v>77</v>
      </c>
      <c r="AQ7" s="163" t="s">
        <v>77</v>
      </c>
      <c r="AR7" s="163" t="s">
        <v>77</v>
      </c>
      <c r="AS7" s="163" t="s">
        <v>77</v>
      </c>
      <c r="AT7" s="163" t="s">
        <v>77</v>
      </c>
      <c r="AU7" s="163" t="s">
        <v>77</v>
      </c>
      <c r="AV7" s="163" t="s">
        <v>77</v>
      </c>
      <c r="AW7" s="163" t="s">
        <v>77</v>
      </c>
      <c r="AX7" s="163" t="s">
        <v>77</v>
      </c>
      <c r="AY7" s="163" t="s">
        <v>77</v>
      </c>
      <c r="AZ7" s="58" t="s">
        <v>36</v>
      </c>
      <c r="BA7" s="86" t="s">
        <v>36</v>
      </c>
      <c r="BB7" s="86" t="s">
        <v>36</v>
      </c>
      <c r="BC7" s="9" t="s">
        <v>89</v>
      </c>
      <c r="BD7" s="9" t="s">
        <v>89</v>
      </c>
      <c r="BE7" s="9" t="s">
        <v>89</v>
      </c>
      <c r="BF7" s="9" t="s">
        <v>89</v>
      </c>
      <c r="BG7" s="9" t="s">
        <v>89</v>
      </c>
      <c r="BH7" s="9" t="s">
        <v>89</v>
      </c>
      <c r="BI7" s="9" t="s">
        <v>89</v>
      </c>
      <c r="BJ7" s="9" t="s">
        <v>89</v>
      </c>
      <c r="BK7" s="9" t="s">
        <v>89</v>
      </c>
      <c r="BL7" s="9" t="s">
        <v>89</v>
      </c>
      <c r="BM7" s="9" t="s">
        <v>89</v>
      </c>
      <c r="BN7" s="9" t="s">
        <v>89</v>
      </c>
      <c r="BO7" s="9" t="s">
        <v>89</v>
      </c>
      <c r="BP7" s="9" t="s">
        <v>89</v>
      </c>
      <c r="BQ7" s="9" t="s">
        <v>89</v>
      </c>
      <c r="BR7" s="9" t="s">
        <v>89</v>
      </c>
      <c r="BS7" s="9" t="s">
        <v>89</v>
      </c>
      <c r="BT7" s="9" t="s">
        <v>89</v>
      </c>
      <c r="BU7" s="9" t="s">
        <v>89</v>
      </c>
    </row>
    <row r="8" spans="1:73" ht="16" thickBot="1" x14ac:dyDescent="0.4">
      <c r="A8" s="22" t="s">
        <v>0</v>
      </c>
      <c r="B8" s="73" t="s">
        <v>1</v>
      </c>
      <c r="C8" s="13" t="s">
        <v>6</v>
      </c>
      <c r="D8" s="14" t="s">
        <v>8</v>
      </c>
      <c r="E8" s="14" t="s">
        <v>9</v>
      </c>
      <c r="F8" s="14" t="s">
        <v>10</v>
      </c>
      <c r="G8" s="14" t="s">
        <v>11</v>
      </c>
      <c r="H8" s="14" t="s">
        <v>12</v>
      </c>
      <c r="I8" s="14" t="s">
        <v>13</v>
      </c>
      <c r="J8" s="14" t="s">
        <v>14</v>
      </c>
      <c r="K8" s="14" t="s">
        <v>15</v>
      </c>
      <c r="L8" s="14" t="s">
        <v>16</v>
      </c>
      <c r="M8" s="14" t="s">
        <v>17</v>
      </c>
      <c r="N8" s="14" t="s">
        <v>18</v>
      </c>
      <c r="O8" s="14" t="s">
        <v>19</v>
      </c>
      <c r="P8" s="14" t="s">
        <v>20</v>
      </c>
      <c r="Q8" s="14" t="s">
        <v>21</v>
      </c>
      <c r="R8" s="14" t="s">
        <v>22</v>
      </c>
      <c r="S8" s="15" t="s">
        <v>23</v>
      </c>
      <c r="T8" s="15" t="s">
        <v>24</v>
      </c>
      <c r="U8" s="15" t="s">
        <v>25</v>
      </c>
      <c r="V8" s="16" t="s">
        <v>26</v>
      </c>
      <c r="W8" s="36" t="s">
        <v>65</v>
      </c>
      <c r="X8" s="33" t="s">
        <v>65</v>
      </c>
      <c r="Y8" s="36" t="s">
        <v>66</v>
      </c>
      <c r="Z8" s="35" t="s">
        <v>66</v>
      </c>
      <c r="AA8" s="34" t="s">
        <v>55</v>
      </c>
      <c r="AB8" s="33" t="s">
        <v>55</v>
      </c>
      <c r="AC8" s="36" t="s">
        <v>67</v>
      </c>
      <c r="AD8" s="35" t="s">
        <v>67</v>
      </c>
      <c r="AE8" s="38"/>
      <c r="AF8" s="39"/>
      <c r="AG8" s="39" t="s">
        <v>63</v>
      </c>
      <c r="AH8" s="40" t="s">
        <v>73</v>
      </c>
      <c r="AI8" s="39"/>
      <c r="AJ8" s="13" t="s">
        <v>8</v>
      </c>
      <c r="AK8" s="14" t="s">
        <v>9</v>
      </c>
      <c r="AL8" s="14" t="s">
        <v>10</v>
      </c>
      <c r="AM8" s="14" t="s">
        <v>11</v>
      </c>
      <c r="AN8" s="14" t="s">
        <v>12</v>
      </c>
      <c r="AO8" s="14" t="s">
        <v>13</v>
      </c>
      <c r="AP8" s="164" t="s">
        <v>14</v>
      </c>
      <c r="AQ8" s="164" t="s">
        <v>15</v>
      </c>
      <c r="AR8" s="164" t="s">
        <v>16</v>
      </c>
      <c r="AS8" s="164" t="s">
        <v>17</v>
      </c>
      <c r="AT8" s="164" t="s">
        <v>18</v>
      </c>
      <c r="AU8" s="164" t="s">
        <v>19</v>
      </c>
      <c r="AV8" s="164" t="s">
        <v>20</v>
      </c>
      <c r="AW8" s="164" t="s">
        <v>21</v>
      </c>
      <c r="AX8" s="164" t="s">
        <v>22</v>
      </c>
      <c r="AY8" s="165" t="s">
        <v>23</v>
      </c>
      <c r="AZ8" s="59" t="s">
        <v>78</v>
      </c>
      <c r="BA8" s="87" t="s">
        <v>131</v>
      </c>
      <c r="BB8" s="87" t="s">
        <v>133</v>
      </c>
      <c r="BC8" s="13" t="s">
        <v>8</v>
      </c>
      <c r="BD8" s="14" t="s">
        <v>9</v>
      </c>
      <c r="BE8" s="14" t="s">
        <v>10</v>
      </c>
      <c r="BF8" s="14" t="s">
        <v>11</v>
      </c>
      <c r="BG8" s="14" t="s">
        <v>12</v>
      </c>
      <c r="BH8" s="14" t="s">
        <v>13</v>
      </c>
      <c r="BI8" s="14" t="s">
        <v>14</v>
      </c>
      <c r="BJ8" s="14" t="s">
        <v>15</v>
      </c>
      <c r="BK8" s="14" t="s">
        <v>16</v>
      </c>
      <c r="BL8" s="14" t="s">
        <v>17</v>
      </c>
      <c r="BM8" s="14" t="s">
        <v>18</v>
      </c>
      <c r="BN8" s="14" t="s">
        <v>19</v>
      </c>
      <c r="BO8" s="14" t="s">
        <v>20</v>
      </c>
      <c r="BP8" s="14" t="s">
        <v>21</v>
      </c>
      <c r="BQ8" s="14" t="s">
        <v>22</v>
      </c>
      <c r="BR8" s="16" t="s">
        <v>23</v>
      </c>
      <c r="BS8" s="59" t="s">
        <v>78</v>
      </c>
      <c r="BT8" t="s">
        <v>131</v>
      </c>
      <c r="BU8" t="s">
        <v>133</v>
      </c>
    </row>
    <row r="9" spans="1:73" s="47" customFormat="1" ht="16" thickBot="1" x14ac:dyDescent="0.4">
      <c r="A9" s="63" t="str">
        <f>Table2[[#This Row],[Date]]</f>
        <v>20-03-18</v>
      </c>
      <c r="B9" s="74">
        <f>Table2[[#This Row],[Time]]</f>
        <v>0</v>
      </c>
      <c r="C9" s="41">
        <v>0</v>
      </c>
      <c r="D9" s="18">
        <f>IFERROR(AVERAGE(Table31520253035[[#This Row],[Amount ]],Table3152025303540[[#This Row],[Amount ]]),0)</f>
        <v>0</v>
      </c>
      <c r="E9" s="18">
        <f>IFERROR(AVERAGE(Table31520253035[[#This Row],[Amount 2]],Table3152025303540[[#This Row],[Amount 2]]),0)</f>
        <v>0</v>
      </c>
      <c r="F9" s="18">
        <f>IFERROR(AVERAGE(Table31520253035[[#This Row],[Amount 3]],Table3152025303540[[#This Row],[Amount 3]]),0)</f>
        <v>0</v>
      </c>
      <c r="G9" s="18">
        <f>IFERROR(AVERAGE(Table31520253035[[#This Row],[Amount 4]],Table3152025303540[[#This Row],[Amount 4]]),0)</f>
        <v>0</v>
      </c>
      <c r="H9" s="18">
        <f>IFERROR(AVERAGE(Table31520253035[[#This Row],[Amount 5]],Table3152025303540[[#This Row],[Amount 5]]),0)</f>
        <v>0</v>
      </c>
      <c r="I9" s="18">
        <f>IFERROR(AVERAGE(Table31520253035[[#This Row],[Amount 6]],Table3152025303540[[#This Row],[Amount 6]]),0)</f>
        <v>0</v>
      </c>
      <c r="J9" s="18">
        <f>IFERROR(AVERAGE(Table31520253035[[#This Row],[Amount 7]],Table3152025303540[[#This Row],[Amount 7]]),0)</f>
        <v>0</v>
      </c>
      <c r="K9" s="18">
        <f>IFERROR(AVERAGE(Table31520253035[[#This Row],[Amount 8]],Table3152025303540[[#This Row],[Amount 8]]),0)</f>
        <v>0</v>
      </c>
      <c r="L9" s="18">
        <f>IFERROR(AVERAGE(Table31520253035[[#This Row],[Amount 9]],Table3152025303540[[#This Row],[Amount 9]]),0)</f>
        <v>0</v>
      </c>
      <c r="M9" s="18">
        <f>IFERROR(AVERAGE(Table31520253035[[#This Row],[Amount 10]],Table3152025303540[[#This Row],[Amount 10]]),0)</f>
        <v>0</v>
      </c>
      <c r="N9" s="18">
        <f>IFERROR(AVERAGE(Table31520253035[[#This Row],[Amount 11]],Table3152025303540[[#This Row],[Amount 11]]),0)</f>
        <v>0</v>
      </c>
      <c r="O9" s="18">
        <f>IFERROR(AVERAGE(Table31520253035[[#This Row],[Amount 12]],Table3152025303540[[#This Row],[Amount 12]]),0)</f>
        <v>0</v>
      </c>
      <c r="P9" s="18">
        <f>IFERROR(AVERAGE(Table31520253035[[#This Row],[Amount 13]],Table3152025303540[[#This Row],[Amount 13]]),0)</f>
        <v>0</v>
      </c>
      <c r="Q9" s="18">
        <f>IFERROR(AVERAGE(Table31520253035[[#This Row],[Amount 14]],Table3152025303540[[#This Row],[Amount 14]]),0)</f>
        <v>0</v>
      </c>
      <c r="R9" s="18">
        <f>IFERROR(AVERAGE(Table31520253035[[#This Row],[Amount 15]],Table3152025303540[[#This Row],[Amount 15]]),0)</f>
        <v>0</v>
      </c>
      <c r="S9" s="18">
        <f>IFERROR(AVERAGE(Table31520253035[[#This Row],[Amount 16]],Table3152025303540[[#This Row],[Amount 16]]),0)</f>
        <v>0</v>
      </c>
      <c r="T9" s="18">
        <f>IFERROR(AVERAGE(Table31520253035[[#This Row],[Amount 17]],Table3152025303540[[#This Row],[Amount 17]]),0)</f>
        <v>0</v>
      </c>
      <c r="U9" s="18">
        <f>IFERROR(AVERAGE(Table31520253035[[#This Row],[Amount 18]],Table3152025303540[[#This Row],[Amount 18]]),0)</f>
        <v>0</v>
      </c>
      <c r="V9" s="18">
        <f>IFERROR(AVERAGE(Table31520253035[[#This Row],[Amount 19]],Table3152025303540[[#This Row],[Amount 19]]),0)</f>
        <v>0</v>
      </c>
      <c r="W9" s="18">
        <f>IFERROR(AVERAGE(Table31520253035[[#This Row],[Ret.Time ]],Table3152025303540[[#This Row],[Ret.Time ]]),0)</f>
        <v>0</v>
      </c>
      <c r="X9" s="18">
        <f>IFERROR(AVERAGE(Table31520253035[[#This Row],[Amount 20]],Table3152025303540[[#This Row],[Amount 20]]),0)</f>
        <v>0</v>
      </c>
      <c r="Y9" s="18">
        <f>IFERROR(AVERAGE(Table31520253035[[#This Row],[Ret.Time]],Table3152025303540[[#This Row],[Ret.Time]]),0)</f>
        <v>0</v>
      </c>
      <c r="Z9" s="18">
        <f>IFERROR(AVERAGE(Table31520253035[[#This Row],[Amount 21]],Table3152025303540[[#This Row],[Amount 21]]),0)</f>
        <v>0</v>
      </c>
      <c r="AA9" s="18">
        <f>IFERROR(AVERAGE(Table31520253035[[#This Row],[Ret.Time22]],Table3152025303540[[#This Row],[Ret.Time22]]),0)</f>
        <v>0</v>
      </c>
      <c r="AB9" s="18">
        <f>IFERROR(AVERAGE(Table31520253035[[#This Row],[Amount 23]],Table3152025303540[[#This Row],[Amount 23]]),0)</f>
        <v>0</v>
      </c>
      <c r="AC9" s="18">
        <f>IFERROR(AVERAGE(Table31520253035[[#This Row],[Ret.Time24]],Table3152025303540[[#This Row],[Ret.Time24]]),0)</f>
        <v>0</v>
      </c>
      <c r="AD9" s="18">
        <f>IFERROR(AVERAGE(Table31520253035[[#This Row],[Amount 25]],Table3152025303540[[#This Row],[Amount 25]]),0)</f>
        <v>0</v>
      </c>
      <c r="AE9" s="18">
        <f>IFERROR(AVERAGE(Table31520253035[[#This Row],[pH]],Table3152025303540[[#This Row],[pH]]),0)</f>
        <v>7</v>
      </c>
      <c r="AF9" s="18">
        <f>IFERROR(AVERAGE(Table31520253035[[#This Row],[dilution ]],Table3152025303540[[#This Row],[dilution ]]),0)</f>
        <v>0</v>
      </c>
      <c r="AG9" s="18">
        <f>IFERROR(AVERAGE(Table31520253035[[#This Row],[retention]],Table3152025303540[[#This Row],[retention]]),0)</f>
        <v>0</v>
      </c>
      <c r="AH9" s="18">
        <f>IFERROR(AVERAGE(Table31520253035[[#This Row],[amount]],Table3152025303540[[#This Row],[amount]]),0)</f>
        <v>0</v>
      </c>
      <c r="AI9" s="18">
        <f>IFERROR(AVERAGE(Table31520253035[[#This Row],[pressure]],Table3152025303540[[#This Row],[pressure]]),0)</f>
        <v>0</v>
      </c>
      <c r="AJ9" s="64">
        <f>IF(D9="nd","nd",D9*$C9/constants!$B$3)</f>
        <v>0</v>
      </c>
      <c r="AK9" s="64">
        <f>IF(E9="nd","nd",E9*$C9/constants!$B$6)</f>
        <v>0</v>
      </c>
      <c r="AL9" s="64">
        <f>IF(F9="nd","nd",F9*$C9/constants!$B$7)</f>
        <v>0</v>
      </c>
      <c r="AM9" s="64">
        <f>IF(G9="nd","nd",G9*$C9/constants!$B$8)</f>
        <v>0</v>
      </c>
      <c r="AN9" s="64">
        <f>IF(H9="nd","nd",H9*$C9/constants!$B$9)</f>
        <v>0</v>
      </c>
      <c r="AO9" s="64">
        <f>IF(I9="nd","nd",I9*$C9/constants!$B$10)</f>
        <v>0</v>
      </c>
      <c r="AP9" s="162">
        <f t="shared" ref="AP9:AY9" si="0">IF(J9="nd","nd",J9*$C9/1000)</f>
        <v>0</v>
      </c>
      <c r="AQ9" s="162">
        <f t="shared" si="0"/>
        <v>0</v>
      </c>
      <c r="AR9" s="162">
        <f t="shared" si="0"/>
        <v>0</v>
      </c>
      <c r="AS9" s="162">
        <f t="shared" si="0"/>
        <v>0</v>
      </c>
      <c r="AT9" s="162">
        <f t="shared" si="0"/>
        <v>0</v>
      </c>
      <c r="AU9" s="162">
        <f t="shared" si="0"/>
        <v>0</v>
      </c>
      <c r="AV9" s="162">
        <f t="shared" si="0"/>
        <v>0</v>
      </c>
      <c r="AW9" s="162">
        <f t="shared" si="0"/>
        <v>0</v>
      </c>
      <c r="AX9" s="162">
        <f t="shared" si="0"/>
        <v>0</v>
      </c>
      <c r="AY9" s="162">
        <f t="shared" si="0"/>
        <v>0</v>
      </c>
      <c r="AZ9" s="64">
        <f>IF(AH9="nd","nd",AH9*Table31520253035404550556074[[#This Row],[dilution ]]/constants!$B$3)</f>
        <v>0</v>
      </c>
      <c r="BA9" s="64"/>
      <c r="BB9" s="64"/>
      <c r="BC9" s="64">
        <f>(Table51621263136414651566175[[#This Row],[Concentration]]*constants!$C$3)/1000</f>
        <v>0</v>
      </c>
      <c r="BD9" s="64">
        <f>(Table51621263136414651566175[[#This Row],[Concentration2]]*constants!$C$6)/1000</f>
        <v>0</v>
      </c>
      <c r="BE9" s="64">
        <f>(Table51621263136414651566175[[#This Row],[Concentration3]]*constants!$C$7)/1000</f>
        <v>0</v>
      </c>
      <c r="BF9" s="64">
        <f>(Table51621263136414651566175[[#This Row],[Concentration4]]*constants!$C$8)/1000</f>
        <v>0</v>
      </c>
      <c r="BG9" s="64">
        <f>(Table51621263136414651566175[[#This Row],[Concentration5]]*constants!$C$9)/1000</f>
        <v>0</v>
      </c>
      <c r="BH9" s="64">
        <f>(Table51621263136414651566175[[#This Row],[Concentration6]]*constants!$C$10)/1000</f>
        <v>0</v>
      </c>
      <c r="BI9" s="64">
        <f>(Table51621263136414651566175[[#This Row],[Concentration7]]*constants!$C$5)</f>
        <v>0</v>
      </c>
      <c r="BJ9" s="64">
        <f>(Table51621263136414651566175[[#This Row],[Concentration8]]*3)</f>
        <v>0</v>
      </c>
      <c r="BK9" s="64">
        <f>(Table51621263136414651566175[[#This Row],[Concentration9]]*4)</f>
        <v>0</v>
      </c>
      <c r="BL9" s="64">
        <f>(Table51621263136414651566175[[#This Row],[Concentration10]]*4)</f>
        <v>0</v>
      </c>
      <c r="BM9" s="64">
        <f>(Table51621263136414651566175[[#This Row],[Concentration11]]*5)</f>
        <v>0</v>
      </c>
      <c r="BN9" s="64">
        <f>(Table51621263136414651566175[[#This Row],[Concentration12]]*5)</f>
        <v>0</v>
      </c>
      <c r="BO9" s="64">
        <f>(Table51621263136414651566175[[#This Row],[Concentration13]]*6)</f>
        <v>0</v>
      </c>
      <c r="BP9" s="64">
        <f>(Table51621263136414651566175[[#This Row],[Concentration14]]*6)</f>
        <v>0</v>
      </c>
      <c r="BQ9" s="64">
        <f>(Table51621263136414651566175[[#This Row],[Concentration15]]*7)</f>
        <v>0</v>
      </c>
      <c r="BR9" s="64">
        <f>(Table51621263136414651566175[[#This Row],[Concentration16]]*8)</f>
        <v>0</v>
      </c>
      <c r="BS9" s="64">
        <f>(Table51621263136414651566175[[#This Row],[Concentration17]]*3)/1000</f>
        <v>0</v>
      </c>
      <c r="BT9" s="47">
        <f>Table51621263136414651566175[[#This Row],[Concentration18]]/1000</f>
        <v>0</v>
      </c>
      <c r="BU9" s="47">
        <f>Table51621263136414651566175[[#This Row],[Concentration19]]/1000</f>
        <v>0</v>
      </c>
    </row>
    <row r="10" spans="1:73" s="66" customFormat="1" ht="16" thickBot="1" x14ac:dyDescent="0.4">
      <c r="A10" s="63" t="str">
        <f>Table2[[#This Row],[Date]]</f>
        <v>22-03-18</v>
      </c>
      <c r="B10" s="74">
        <f>Table2[[#This Row],[Time]]</f>
        <v>2</v>
      </c>
      <c r="C10" s="77">
        <v>0</v>
      </c>
      <c r="D10" s="18">
        <f>IFERROR(AVERAGE(Table31520253035[[#This Row],[Amount ]],Table3152025303540[[#This Row],[Amount ]]),0)</f>
        <v>0</v>
      </c>
      <c r="E10" s="18">
        <f>IFERROR(AVERAGE(Table31520253035[[#This Row],[Amount 2]],Table3152025303540[[#This Row],[Amount 2]]),0)</f>
        <v>0</v>
      </c>
      <c r="F10" s="18">
        <f>IFERROR(AVERAGE(Table31520253035[[#This Row],[Amount 3]],Table3152025303540[[#This Row],[Amount 3]]),0)</f>
        <v>0</v>
      </c>
      <c r="G10" s="18">
        <f>IFERROR(AVERAGE(Table31520253035[[#This Row],[Amount 4]],Table3152025303540[[#This Row],[Amount 4]]),0)</f>
        <v>0</v>
      </c>
      <c r="H10" s="18">
        <f>IFERROR(AVERAGE(Table31520253035[[#This Row],[Amount 5]],Table3152025303540[[#This Row],[Amount 5]]),0)</f>
        <v>0</v>
      </c>
      <c r="I10" s="18">
        <f>IFERROR(AVERAGE(Table31520253035[[#This Row],[Amount 6]],Table3152025303540[[#This Row],[Amount 6]]),0)</f>
        <v>0</v>
      </c>
      <c r="J10" s="18">
        <f>IFERROR(AVERAGE(Table31520253035[[#This Row],[Amount 7]],Table3152025303540[[#This Row],[Amount 7]]),0)</f>
        <v>0</v>
      </c>
      <c r="K10" s="18">
        <f>IFERROR(AVERAGE(Table31520253035[[#This Row],[Amount 8]],Table3152025303540[[#This Row],[Amount 8]]),0)</f>
        <v>0</v>
      </c>
      <c r="L10" s="18">
        <f>IFERROR(AVERAGE(Table31520253035[[#This Row],[Amount 9]],Table3152025303540[[#This Row],[Amount 9]]),0)</f>
        <v>0</v>
      </c>
      <c r="M10" s="18">
        <f>IFERROR(AVERAGE(Table31520253035[[#This Row],[Amount 10]],Table3152025303540[[#This Row],[Amount 10]]),0)</f>
        <v>0</v>
      </c>
      <c r="N10" s="18">
        <f>IFERROR(AVERAGE(Table31520253035[[#This Row],[Amount 11]],Table3152025303540[[#This Row],[Amount 11]]),0)</f>
        <v>0</v>
      </c>
      <c r="O10" s="18">
        <f>IFERROR(AVERAGE(Table31520253035[[#This Row],[Amount 12]],Table3152025303540[[#This Row],[Amount 12]]),0)</f>
        <v>0</v>
      </c>
      <c r="P10" s="18">
        <f>IFERROR(AVERAGE(Table31520253035[[#This Row],[Amount 13]],Table3152025303540[[#This Row],[Amount 13]]),0)</f>
        <v>0</v>
      </c>
      <c r="Q10" s="18">
        <f>IFERROR(AVERAGE(Table31520253035[[#This Row],[Amount 14]],Table3152025303540[[#This Row],[Amount 14]]),0)</f>
        <v>0</v>
      </c>
      <c r="R10" s="18">
        <f>IFERROR(AVERAGE(Table31520253035[[#This Row],[Amount 15]],Table3152025303540[[#This Row],[Amount 15]]),0)</f>
        <v>0</v>
      </c>
      <c r="S10" s="18">
        <f>IFERROR(AVERAGE(Table31520253035[[#This Row],[Amount 16]],Table3152025303540[[#This Row],[Amount 16]]),0)</f>
        <v>0</v>
      </c>
      <c r="T10" s="18">
        <f>IFERROR(AVERAGE(Table31520253035[[#This Row],[Amount 17]],Table3152025303540[[#This Row],[Amount 17]]),0)</f>
        <v>0</v>
      </c>
      <c r="U10" s="18">
        <f>IFERROR(AVERAGE(Table31520253035[[#This Row],[Amount 18]],Table3152025303540[[#This Row],[Amount 18]]),0)</f>
        <v>0</v>
      </c>
      <c r="V10" s="18">
        <f>IFERROR(AVERAGE(Table31520253035[[#This Row],[Amount 19]],Table3152025303540[[#This Row],[Amount 19]]),0)</f>
        <v>0</v>
      </c>
      <c r="W10" s="18">
        <f>IFERROR(AVERAGE(Table31520253035[[#This Row],[Ret.Time ]],Table3152025303540[[#This Row],[Ret.Time ]]),0)</f>
        <v>0</v>
      </c>
      <c r="X10" s="18">
        <f>IFERROR(AVERAGE(Table31520253035[[#This Row],[Amount 20]],Table3152025303540[[#This Row],[Amount 20]]),0)</f>
        <v>0</v>
      </c>
      <c r="Y10" s="18">
        <f>IFERROR(AVERAGE(Table31520253035[[#This Row],[Ret.Time]],Table3152025303540[[#This Row],[Ret.Time]]),0)</f>
        <v>0</v>
      </c>
      <c r="Z10" s="18">
        <f>IFERROR(AVERAGE(Table31520253035[[#This Row],[Amount 21]],Table3152025303540[[#This Row],[Amount 21]]),0)</f>
        <v>0</v>
      </c>
      <c r="AA10" s="18">
        <f>IFERROR(AVERAGE(Table31520253035[[#This Row],[Ret.Time22]],Table3152025303540[[#This Row],[Ret.Time22]]),0)</f>
        <v>0</v>
      </c>
      <c r="AB10" s="18">
        <f>IFERROR(AVERAGE(Table31520253035[[#This Row],[Amount 23]],Table3152025303540[[#This Row],[Amount 23]]),0)</f>
        <v>0</v>
      </c>
      <c r="AC10" s="18">
        <f>IFERROR(AVERAGE(Table31520253035[[#This Row],[Ret.Time24]],Table3152025303540[[#This Row],[Ret.Time24]]),0)</f>
        <v>0</v>
      </c>
      <c r="AD10" s="18">
        <f>IFERROR(AVERAGE(Table31520253035[[#This Row],[Amount 25]],Table3152025303540[[#This Row],[Amount 25]]),0)</f>
        <v>0</v>
      </c>
      <c r="AE10" s="18">
        <f>IFERROR(AVERAGE(Table31520253035[[#This Row],[pH]],Table3152025303540[[#This Row],[pH]]),0)</f>
        <v>7.05</v>
      </c>
      <c r="AF10" s="18">
        <f>IFERROR(AVERAGE(Table31520253035[[#This Row],[dilution ]],Table3152025303540[[#This Row],[dilution ]]),0)</f>
        <v>0</v>
      </c>
      <c r="AG10" s="18">
        <f>IFERROR(AVERAGE(Table31520253035[[#This Row],[retention]],Table3152025303540[[#This Row],[retention]]),0)</f>
        <v>0</v>
      </c>
      <c r="AH10" s="18">
        <f>IFERROR(AVERAGE(Table31520253035[[#This Row],[amount]],Table3152025303540[[#This Row],[amount]]),0)</f>
        <v>0</v>
      </c>
      <c r="AI10" s="18">
        <f>IFERROR(AVERAGE(Table31520253035[[#This Row],[pressure]],Table3152025303540[[#This Row],[pressure]]),0)</f>
        <v>0</v>
      </c>
      <c r="AJ10" s="64">
        <f>IF(D10="nd","nd",D10*$C10/constants!$B$3)</f>
        <v>0</v>
      </c>
      <c r="AK10" s="64">
        <f>IF(E10="nd","nd",E10*$C10/constants!$B$6)</f>
        <v>0</v>
      </c>
      <c r="AL10" s="64">
        <f>IF(F10="nd","nd",F10*$C10/constants!$B$7)</f>
        <v>0</v>
      </c>
      <c r="AM10" s="64">
        <f>IF(G10="nd","nd",G10*$C10/constants!$B$8)</f>
        <v>0</v>
      </c>
      <c r="AN10" s="64">
        <f>IF(H10="nd","nd",H10*$C10/constants!$B$9)</f>
        <v>0</v>
      </c>
      <c r="AO10" s="64">
        <f>IF(I10="nd","nd",I10*$C10/constants!$B$10)</f>
        <v>0</v>
      </c>
      <c r="AP10" s="162">
        <f t="shared" ref="AP10:AP32" si="1">IF(J10="nd","nd",J10*$C10/1000)</f>
        <v>0</v>
      </c>
      <c r="AQ10" s="162">
        <f t="shared" ref="AQ10:AQ32" si="2">IF(K10="nd","nd",K10*$C10/1000)</f>
        <v>0</v>
      </c>
      <c r="AR10" s="162">
        <f t="shared" ref="AR10:AR32" si="3">IF(L10="nd","nd",L10*$C10/1000)</f>
        <v>0</v>
      </c>
      <c r="AS10" s="162">
        <f t="shared" ref="AS10:AS32" si="4">IF(M10="nd","nd",M10*$C10/1000)</f>
        <v>0</v>
      </c>
      <c r="AT10" s="162">
        <f t="shared" ref="AT10:AT32" si="5">IF(N10="nd","nd",N10*$C10/1000)</f>
        <v>0</v>
      </c>
      <c r="AU10" s="162">
        <f t="shared" ref="AU10:AU32" si="6">IF(O10="nd","nd",O10*$C10/1000)</f>
        <v>0</v>
      </c>
      <c r="AV10" s="162">
        <f t="shared" ref="AV10:AV32" si="7">IF(P10="nd","nd",P10*$C10/1000)</f>
        <v>0</v>
      </c>
      <c r="AW10" s="162">
        <f t="shared" ref="AW10:AW32" si="8">IF(Q10="nd","nd",Q10*$C10/1000)</f>
        <v>0</v>
      </c>
      <c r="AX10" s="162">
        <f t="shared" ref="AX10:AX32" si="9">IF(R10="nd","nd",R10*$C10/1000)</f>
        <v>0</v>
      </c>
      <c r="AY10" s="162">
        <f t="shared" ref="AY10:AY32" si="10">IF(S10="nd","nd",S10*$C10/1000)</f>
        <v>0</v>
      </c>
      <c r="AZ10" s="64">
        <f>IF(AH10="nd","nd",AH10*Table31520253035404550556074[[#This Row],[dilution ]]/constants!$B$3)</f>
        <v>0</v>
      </c>
      <c r="BA10" s="64"/>
      <c r="BB10" s="64"/>
      <c r="BC10" s="64">
        <f>(Table51621263136414651566175[[#This Row],[Concentration]]*constants!$C$3)/1000</f>
        <v>0</v>
      </c>
      <c r="BD10" s="64">
        <f>(Table51621263136414651566175[[#This Row],[Concentration2]]*constants!$C$6)/1000</f>
        <v>0</v>
      </c>
      <c r="BE10" s="64">
        <f>(Table51621263136414651566175[[#This Row],[Concentration3]]*constants!$C$7)/1000</f>
        <v>0</v>
      </c>
      <c r="BF10" s="64">
        <f>(Table51621263136414651566175[[#This Row],[Concentration4]]*constants!$C$8)/1000</f>
        <v>0</v>
      </c>
      <c r="BG10" s="64">
        <f>(Table51621263136414651566175[[#This Row],[Concentration5]]*constants!$C$9)/1000</f>
        <v>0</v>
      </c>
      <c r="BH10" s="64">
        <f>(Table51621263136414651566175[[#This Row],[Concentration6]]*constants!$C$10)/1000</f>
        <v>0</v>
      </c>
      <c r="BI10" s="64">
        <f>(Table51621263136414651566175[[#This Row],[Concentration7]]*constants!$C$5)</f>
        <v>0</v>
      </c>
      <c r="BJ10" s="64">
        <f>(Table51621263136414651566175[[#This Row],[Concentration8]]*3)</f>
        <v>0</v>
      </c>
      <c r="BK10" s="64">
        <f>(Table51621263136414651566175[[#This Row],[Concentration9]]*4)</f>
        <v>0</v>
      </c>
      <c r="BL10" s="64">
        <f>(Table51621263136414651566175[[#This Row],[Concentration10]]*4)</f>
        <v>0</v>
      </c>
      <c r="BM10" s="64">
        <f>(Table51621263136414651566175[[#This Row],[Concentration11]]*5)</f>
        <v>0</v>
      </c>
      <c r="BN10" s="64">
        <f>(Table51621263136414651566175[[#This Row],[Concentration12]]*5)</f>
        <v>0</v>
      </c>
      <c r="BO10" s="64">
        <f>(Table51621263136414651566175[[#This Row],[Concentration13]]*6)</f>
        <v>0</v>
      </c>
      <c r="BP10" s="64">
        <f>(Table51621263136414651566175[[#This Row],[Concentration14]]*6)</f>
        <v>0</v>
      </c>
      <c r="BQ10" s="64">
        <f>(Table51621263136414651566175[[#This Row],[Concentration15]]*7)</f>
        <v>0</v>
      </c>
      <c r="BR10" s="64">
        <f>(Table51621263136414651566175[[#This Row],[Concentration16]]*8)</f>
        <v>0</v>
      </c>
      <c r="BS10" s="64">
        <f>(Table51621263136414651566175[[#This Row],[Concentration17]]*3)/1000</f>
        <v>0</v>
      </c>
      <c r="BT10" s="47">
        <f>Table51621263136414651566175[[#This Row],[Concentration18]]/1000</f>
        <v>0</v>
      </c>
      <c r="BU10" s="47">
        <f>Table51621263136414651566175[[#This Row],[Concentration19]]/1000</f>
        <v>0</v>
      </c>
    </row>
    <row r="11" spans="1:73" s="47" customFormat="1" ht="16" thickBot="1" x14ac:dyDescent="0.4">
      <c r="A11" s="63" t="str">
        <f>Table2[[#This Row],[Date]]</f>
        <v>23-03-18</v>
      </c>
      <c r="B11" s="74">
        <f>Table2[[#This Row],[Time]]</f>
        <v>3</v>
      </c>
      <c r="C11" s="41">
        <v>0</v>
      </c>
      <c r="D11" s="18">
        <f>IFERROR(AVERAGE(Table31520253035[[#This Row],[Amount ]],Table3152025303540[[#This Row],[Amount ]]),0)</f>
        <v>0</v>
      </c>
      <c r="E11" s="18">
        <f>IFERROR(AVERAGE(Table31520253035[[#This Row],[Amount 2]],Table3152025303540[[#This Row],[Amount 2]]),0)</f>
        <v>0</v>
      </c>
      <c r="F11" s="18">
        <f>IFERROR(AVERAGE(Table31520253035[[#This Row],[Amount 3]],Table3152025303540[[#This Row],[Amount 3]]),0)</f>
        <v>0</v>
      </c>
      <c r="G11" s="18">
        <f>IFERROR(AVERAGE(Table31520253035[[#This Row],[Amount 4]],Table3152025303540[[#This Row],[Amount 4]]),0)</f>
        <v>0</v>
      </c>
      <c r="H11" s="18">
        <f>IFERROR(AVERAGE(Table31520253035[[#This Row],[Amount 5]],Table3152025303540[[#This Row],[Amount 5]]),0)</f>
        <v>0</v>
      </c>
      <c r="I11" s="18">
        <f>IFERROR(AVERAGE(Table31520253035[[#This Row],[Amount 6]],Table3152025303540[[#This Row],[Amount 6]]),0)</f>
        <v>0</v>
      </c>
      <c r="J11" s="18">
        <f>IFERROR(AVERAGE(Table31520253035[[#This Row],[Amount 7]],Table3152025303540[[#This Row],[Amount 7]]),0)</f>
        <v>0</v>
      </c>
      <c r="K11" s="18">
        <f>IFERROR(AVERAGE(Table31520253035[[#This Row],[Amount 8]],Table3152025303540[[#This Row],[Amount 8]]),0)</f>
        <v>0</v>
      </c>
      <c r="L11" s="18">
        <f>IFERROR(AVERAGE(Table31520253035[[#This Row],[Amount 9]],Table3152025303540[[#This Row],[Amount 9]]),0)</f>
        <v>0</v>
      </c>
      <c r="M11" s="18">
        <f>IFERROR(AVERAGE(Table31520253035[[#This Row],[Amount 10]],Table3152025303540[[#This Row],[Amount 10]]),0)</f>
        <v>0</v>
      </c>
      <c r="N11" s="18">
        <f>IFERROR(AVERAGE(Table31520253035[[#This Row],[Amount 11]],Table3152025303540[[#This Row],[Amount 11]]),0)</f>
        <v>0</v>
      </c>
      <c r="O11" s="18">
        <f>IFERROR(AVERAGE(Table31520253035[[#This Row],[Amount 12]],Table3152025303540[[#This Row],[Amount 12]]),0)</f>
        <v>0</v>
      </c>
      <c r="P11" s="18">
        <f>IFERROR(AVERAGE(Table31520253035[[#This Row],[Amount 13]],Table3152025303540[[#This Row],[Amount 13]]),0)</f>
        <v>0</v>
      </c>
      <c r="Q11" s="18">
        <f>IFERROR(AVERAGE(Table31520253035[[#This Row],[Amount 14]],Table3152025303540[[#This Row],[Amount 14]]),0)</f>
        <v>0</v>
      </c>
      <c r="R11" s="18">
        <f>IFERROR(AVERAGE(Table31520253035[[#This Row],[Amount 15]],Table3152025303540[[#This Row],[Amount 15]]),0)</f>
        <v>0</v>
      </c>
      <c r="S11" s="18">
        <f>IFERROR(AVERAGE(Table31520253035[[#This Row],[Amount 16]],Table3152025303540[[#This Row],[Amount 16]]),0)</f>
        <v>0</v>
      </c>
      <c r="T11" s="18">
        <f>IFERROR(AVERAGE(Table31520253035[[#This Row],[Amount 17]],Table3152025303540[[#This Row],[Amount 17]]),0)</f>
        <v>0</v>
      </c>
      <c r="U11" s="18">
        <f>IFERROR(AVERAGE(Table31520253035[[#This Row],[Amount 18]],Table3152025303540[[#This Row],[Amount 18]]),0)</f>
        <v>0</v>
      </c>
      <c r="V11" s="18">
        <f>IFERROR(AVERAGE(Table31520253035[[#This Row],[Amount 19]],Table3152025303540[[#This Row],[Amount 19]]),0)</f>
        <v>0</v>
      </c>
      <c r="W11" s="18">
        <f>IFERROR(AVERAGE(Table31520253035[[#This Row],[Ret.Time ]],Table3152025303540[[#This Row],[Ret.Time ]]),0)</f>
        <v>0</v>
      </c>
      <c r="X11" s="18">
        <f>IFERROR(AVERAGE(Table31520253035[[#This Row],[Amount 20]],Table3152025303540[[#This Row],[Amount 20]]),0)</f>
        <v>0</v>
      </c>
      <c r="Y11" s="18">
        <f>IFERROR(AVERAGE(Table31520253035[[#This Row],[Ret.Time]],Table3152025303540[[#This Row],[Ret.Time]]),0)</f>
        <v>0</v>
      </c>
      <c r="Z11" s="18">
        <f>IFERROR(AVERAGE(Table31520253035[[#This Row],[Amount 21]],Table3152025303540[[#This Row],[Amount 21]]),0)</f>
        <v>0</v>
      </c>
      <c r="AA11" s="18">
        <f>IFERROR(AVERAGE(Table31520253035[[#This Row],[Ret.Time22]],Table3152025303540[[#This Row],[Ret.Time22]]),0)</f>
        <v>0</v>
      </c>
      <c r="AB11" s="18">
        <f>IFERROR(AVERAGE(Table31520253035[[#This Row],[Amount 23]],Table3152025303540[[#This Row],[Amount 23]]),0)</f>
        <v>0</v>
      </c>
      <c r="AC11" s="18">
        <f>IFERROR(AVERAGE(Table31520253035[[#This Row],[Ret.Time24]],Table3152025303540[[#This Row],[Ret.Time24]]),0)</f>
        <v>0</v>
      </c>
      <c r="AD11" s="18">
        <f>IFERROR(AVERAGE(Table31520253035[[#This Row],[Amount 25]],Table3152025303540[[#This Row],[Amount 25]]),0)</f>
        <v>0</v>
      </c>
      <c r="AE11" s="18">
        <f>IFERROR(AVERAGE(Table31520253035[[#This Row],[pH]],Table3152025303540[[#This Row],[pH]]),0)</f>
        <v>7.0250000000000004</v>
      </c>
      <c r="AF11" s="18">
        <f>IFERROR(AVERAGE(Table31520253035[[#This Row],[dilution ]],Table3152025303540[[#This Row],[dilution ]]),0)</f>
        <v>0</v>
      </c>
      <c r="AG11" s="18">
        <f>IFERROR(AVERAGE(Table31520253035[[#This Row],[retention]],Table3152025303540[[#This Row],[retention]]),0)</f>
        <v>0</v>
      </c>
      <c r="AH11" s="18">
        <f>IFERROR(AVERAGE(Table31520253035[[#This Row],[amount]],Table3152025303540[[#This Row],[amount]]),0)</f>
        <v>0</v>
      </c>
      <c r="AI11" s="18">
        <f>IFERROR(AVERAGE(Table31520253035[[#This Row],[pressure]],Table3152025303540[[#This Row],[pressure]]),0)</f>
        <v>0</v>
      </c>
      <c r="AJ11" s="64">
        <f>IF(D11="nd","nd",D11*$C11/constants!$B$3)</f>
        <v>0</v>
      </c>
      <c r="AK11" s="64">
        <f>IF(E11="nd","nd",E11*$C11/constants!$B$6)</f>
        <v>0</v>
      </c>
      <c r="AL11" s="64">
        <f>IF(F11="nd","nd",F11*$C11/constants!$B$7)</f>
        <v>0</v>
      </c>
      <c r="AM11" s="64">
        <f>IF(G11="nd","nd",G11*$C11/constants!$B$8)</f>
        <v>0</v>
      </c>
      <c r="AN11" s="64">
        <f>IF(H11="nd","nd",H11*$C11/constants!$B$9)</f>
        <v>0</v>
      </c>
      <c r="AO11" s="64">
        <f>IF(I11="nd","nd",I11*$C11/constants!$B$10)</f>
        <v>0</v>
      </c>
      <c r="AP11" s="162">
        <f t="shared" si="1"/>
        <v>0</v>
      </c>
      <c r="AQ11" s="162">
        <f t="shared" si="2"/>
        <v>0</v>
      </c>
      <c r="AR11" s="162">
        <f t="shared" si="3"/>
        <v>0</v>
      </c>
      <c r="AS11" s="162">
        <f t="shared" si="4"/>
        <v>0</v>
      </c>
      <c r="AT11" s="162">
        <f t="shared" si="5"/>
        <v>0</v>
      </c>
      <c r="AU11" s="162">
        <f t="shared" si="6"/>
        <v>0</v>
      </c>
      <c r="AV11" s="162">
        <f t="shared" si="7"/>
        <v>0</v>
      </c>
      <c r="AW11" s="162">
        <f t="shared" si="8"/>
        <v>0</v>
      </c>
      <c r="AX11" s="162">
        <f t="shared" si="9"/>
        <v>0</v>
      </c>
      <c r="AY11" s="162">
        <f t="shared" si="10"/>
        <v>0</v>
      </c>
      <c r="AZ11" s="64">
        <f>IF(AH11="nd","nd",AH11*Table31520253035404550556074[[#This Row],[dilution ]]/constants!$B$3)</f>
        <v>0</v>
      </c>
      <c r="BA11" s="64"/>
      <c r="BB11" s="64"/>
      <c r="BC11" s="64">
        <f>(Table51621263136414651566175[[#This Row],[Concentration]]*constants!$C$3)/1000</f>
        <v>0</v>
      </c>
      <c r="BD11" s="64">
        <f>(Table51621263136414651566175[[#This Row],[Concentration2]]*constants!$C$6)/1000</f>
        <v>0</v>
      </c>
      <c r="BE11" s="64">
        <f>(Table51621263136414651566175[[#This Row],[Concentration3]]*constants!$C$7)/1000</f>
        <v>0</v>
      </c>
      <c r="BF11" s="64">
        <f>(Table51621263136414651566175[[#This Row],[Concentration4]]*constants!$C$8)/1000</f>
        <v>0</v>
      </c>
      <c r="BG11" s="64">
        <f>(Table51621263136414651566175[[#This Row],[Concentration5]]*constants!$C$9)/1000</f>
        <v>0</v>
      </c>
      <c r="BH11" s="64">
        <f>(Table51621263136414651566175[[#This Row],[Concentration6]]*constants!$C$10)/1000</f>
        <v>0</v>
      </c>
      <c r="BI11" s="64">
        <f>(Table51621263136414651566175[[#This Row],[Concentration7]]*constants!$C$5)</f>
        <v>0</v>
      </c>
      <c r="BJ11" s="64">
        <f>(Table51621263136414651566175[[#This Row],[Concentration8]]*3)</f>
        <v>0</v>
      </c>
      <c r="BK11" s="64">
        <f>(Table51621263136414651566175[[#This Row],[Concentration9]]*4)</f>
        <v>0</v>
      </c>
      <c r="BL11" s="64">
        <f>(Table51621263136414651566175[[#This Row],[Concentration10]]*4)</f>
        <v>0</v>
      </c>
      <c r="BM11" s="64">
        <f>(Table51621263136414651566175[[#This Row],[Concentration11]]*5)</f>
        <v>0</v>
      </c>
      <c r="BN11" s="64">
        <f>(Table51621263136414651566175[[#This Row],[Concentration12]]*5)</f>
        <v>0</v>
      </c>
      <c r="BO11" s="64">
        <f>(Table51621263136414651566175[[#This Row],[Concentration13]]*6)</f>
        <v>0</v>
      </c>
      <c r="BP11" s="64">
        <f>(Table51621263136414651566175[[#This Row],[Concentration14]]*6)</f>
        <v>0</v>
      </c>
      <c r="BQ11" s="64">
        <f>(Table51621263136414651566175[[#This Row],[Concentration15]]*7)</f>
        <v>0</v>
      </c>
      <c r="BR11" s="64">
        <f>(Table51621263136414651566175[[#This Row],[Concentration16]]*8)</f>
        <v>0</v>
      </c>
      <c r="BS11" s="64">
        <f>(Table51621263136414651566175[[#This Row],[Concentration17]]*3)/1000</f>
        <v>0</v>
      </c>
      <c r="BT11" s="47">
        <f>Table51621263136414651566175[[#This Row],[Concentration18]]/1000</f>
        <v>0</v>
      </c>
      <c r="BU11" s="47">
        <f>Table51621263136414651566175[[#This Row],[Concentration19]]/1000</f>
        <v>0</v>
      </c>
    </row>
    <row r="12" spans="1:73" s="66" customFormat="1" ht="16" thickBot="1" x14ac:dyDescent="0.4">
      <c r="A12" s="63" t="str">
        <f>Table2[[#This Row],[Date]]</f>
        <v>26-03-18</v>
      </c>
      <c r="B12" s="74">
        <f>Table2[[#This Row],[Time]]</f>
        <v>6</v>
      </c>
      <c r="C12" s="77">
        <v>0</v>
      </c>
      <c r="D12" s="18">
        <f>IFERROR(AVERAGE(Table31520253035[[#This Row],[Amount ]],Table3152025303540[[#This Row],[Amount ]]),0)</f>
        <v>0</v>
      </c>
      <c r="E12" s="18">
        <f>IFERROR(AVERAGE(Table31520253035[[#This Row],[Amount 2]],Table3152025303540[[#This Row],[Amount 2]]),0)</f>
        <v>0</v>
      </c>
      <c r="F12" s="18">
        <f>IFERROR(AVERAGE(Table31520253035[[#This Row],[Amount 3]],Table3152025303540[[#This Row],[Amount 3]]),0)</f>
        <v>0</v>
      </c>
      <c r="G12" s="18">
        <f>IFERROR(AVERAGE(Table31520253035[[#This Row],[Amount 4]],Table3152025303540[[#This Row],[Amount 4]]),0)</f>
        <v>0</v>
      </c>
      <c r="H12" s="18">
        <f>IFERROR(AVERAGE(Table31520253035[[#This Row],[Amount 5]],Table3152025303540[[#This Row],[Amount 5]]),0)</f>
        <v>0</v>
      </c>
      <c r="I12" s="18">
        <f>IFERROR(AVERAGE(Table31520253035[[#This Row],[Amount 6]],Table3152025303540[[#This Row],[Amount 6]]),0)</f>
        <v>0</v>
      </c>
      <c r="J12" s="18">
        <f>IFERROR(AVERAGE(Table31520253035[[#This Row],[Amount 7]],Table3152025303540[[#This Row],[Amount 7]]),0)</f>
        <v>0</v>
      </c>
      <c r="K12" s="18">
        <f>IFERROR(AVERAGE(Table31520253035[[#This Row],[Amount 8]],Table3152025303540[[#This Row],[Amount 8]]),0)</f>
        <v>0</v>
      </c>
      <c r="L12" s="18">
        <f>IFERROR(AVERAGE(Table31520253035[[#This Row],[Amount 9]],Table3152025303540[[#This Row],[Amount 9]]),0)</f>
        <v>0</v>
      </c>
      <c r="M12" s="18">
        <f>IFERROR(AVERAGE(Table31520253035[[#This Row],[Amount 10]],Table3152025303540[[#This Row],[Amount 10]]),0)</f>
        <v>0</v>
      </c>
      <c r="N12" s="18">
        <f>IFERROR(AVERAGE(Table31520253035[[#This Row],[Amount 11]],Table3152025303540[[#This Row],[Amount 11]]),0)</f>
        <v>0</v>
      </c>
      <c r="O12" s="18">
        <f>IFERROR(AVERAGE(Table31520253035[[#This Row],[Amount 12]],Table3152025303540[[#This Row],[Amount 12]]),0)</f>
        <v>0</v>
      </c>
      <c r="P12" s="18">
        <f>IFERROR(AVERAGE(Table31520253035[[#This Row],[Amount 13]],Table3152025303540[[#This Row],[Amount 13]]),0)</f>
        <v>0</v>
      </c>
      <c r="Q12" s="18">
        <f>IFERROR(AVERAGE(Table31520253035[[#This Row],[Amount 14]],Table3152025303540[[#This Row],[Amount 14]]),0)</f>
        <v>0</v>
      </c>
      <c r="R12" s="18">
        <f>IFERROR(AVERAGE(Table31520253035[[#This Row],[Amount 15]],Table3152025303540[[#This Row],[Amount 15]]),0)</f>
        <v>0</v>
      </c>
      <c r="S12" s="18">
        <f>IFERROR(AVERAGE(Table31520253035[[#This Row],[Amount 16]],Table3152025303540[[#This Row],[Amount 16]]),0)</f>
        <v>0</v>
      </c>
      <c r="T12" s="18">
        <f>IFERROR(AVERAGE(Table31520253035[[#This Row],[Amount 17]],Table3152025303540[[#This Row],[Amount 17]]),0)</f>
        <v>0</v>
      </c>
      <c r="U12" s="18">
        <f>IFERROR(AVERAGE(Table31520253035[[#This Row],[Amount 18]],Table3152025303540[[#This Row],[Amount 18]]),0)</f>
        <v>0</v>
      </c>
      <c r="V12" s="18">
        <f>IFERROR(AVERAGE(Table31520253035[[#This Row],[Amount 19]],Table3152025303540[[#This Row],[Amount 19]]),0)</f>
        <v>0</v>
      </c>
      <c r="W12" s="18">
        <f>IFERROR(AVERAGE(Table31520253035[[#This Row],[Ret.Time ]],Table3152025303540[[#This Row],[Ret.Time ]]),0)</f>
        <v>0</v>
      </c>
      <c r="X12" s="18">
        <f>IFERROR(AVERAGE(Table31520253035[[#This Row],[Amount 20]],Table3152025303540[[#This Row],[Amount 20]]),0)</f>
        <v>0</v>
      </c>
      <c r="Y12" s="18">
        <f>IFERROR(AVERAGE(Table31520253035[[#This Row],[Ret.Time]],Table3152025303540[[#This Row],[Ret.Time]]),0)</f>
        <v>0</v>
      </c>
      <c r="Z12" s="18">
        <f>IFERROR(AVERAGE(Table31520253035[[#This Row],[Amount 21]],Table3152025303540[[#This Row],[Amount 21]]),0)</f>
        <v>0</v>
      </c>
      <c r="AA12" s="18">
        <f>IFERROR(AVERAGE(Table31520253035[[#This Row],[Ret.Time22]],Table3152025303540[[#This Row],[Ret.Time22]]),0)</f>
        <v>0</v>
      </c>
      <c r="AB12" s="18">
        <f>IFERROR(AVERAGE(Table31520253035[[#This Row],[Amount 23]],Table3152025303540[[#This Row],[Amount 23]]),0)</f>
        <v>0</v>
      </c>
      <c r="AC12" s="18">
        <f>IFERROR(AVERAGE(Table31520253035[[#This Row],[Ret.Time24]],Table3152025303540[[#This Row],[Ret.Time24]]),0)</f>
        <v>0</v>
      </c>
      <c r="AD12" s="18">
        <f>IFERROR(AVERAGE(Table31520253035[[#This Row],[Amount 25]],Table3152025303540[[#This Row],[Amount 25]]),0)</f>
        <v>0</v>
      </c>
      <c r="AE12" s="18">
        <f>IFERROR(AVERAGE(Table31520253035[[#This Row],[pH]],Table3152025303540[[#This Row],[pH]]),0)</f>
        <v>7.02</v>
      </c>
      <c r="AF12" s="18">
        <f>IFERROR(AVERAGE(Table31520253035[[#This Row],[dilution ]],Table3152025303540[[#This Row],[dilution ]]),0)</f>
        <v>0</v>
      </c>
      <c r="AG12" s="18">
        <f>IFERROR(AVERAGE(Table31520253035[[#This Row],[retention]],Table3152025303540[[#This Row],[retention]]),0)</f>
        <v>0</v>
      </c>
      <c r="AH12" s="18">
        <f>IFERROR(AVERAGE(Table31520253035[[#This Row],[amount]],Table3152025303540[[#This Row],[amount]]),0)</f>
        <v>0</v>
      </c>
      <c r="AI12" s="18">
        <f>IFERROR(AVERAGE(Table31520253035[[#This Row],[pressure]],Table3152025303540[[#This Row],[pressure]]),0)</f>
        <v>0</v>
      </c>
      <c r="AJ12" s="64">
        <f>IF(D12="nd","nd",D12*$C12/constants!$B$3)</f>
        <v>0</v>
      </c>
      <c r="AK12" s="64">
        <f>IF(E12="nd","nd",E12*$C12/constants!$B$6)</f>
        <v>0</v>
      </c>
      <c r="AL12" s="64">
        <f>IF(F12="nd","nd",F12*$C12/constants!$B$7)</f>
        <v>0</v>
      </c>
      <c r="AM12" s="64">
        <f>IF(G12="nd","nd",G12*$C12/constants!$B$8)</f>
        <v>0</v>
      </c>
      <c r="AN12" s="64">
        <f>IF(H12="nd","nd",H12*$C12/constants!$B$9)</f>
        <v>0</v>
      </c>
      <c r="AO12" s="64">
        <f>IF(I12="nd","nd",I12*$C12/constants!$B$10)</f>
        <v>0</v>
      </c>
      <c r="AP12" s="162">
        <f t="shared" si="1"/>
        <v>0</v>
      </c>
      <c r="AQ12" s="162">
        <f t="shared" si="2"/>
        <v>0</v>
      </c>
      <c r="AR12" s="162">
        <f t="shared" si="3"/>
        <v>0</v>
      </c>
      <c r="AS12" s="162">
        <f t="shared" si="4"/>
        <v>0</v>
      </c>
      <c r="AT12" s="162">
        <f t="shared" si="5"/>
        <v>0</v>
      </c>
      <c r="AU12" s="162">
        <f t="shared" si="6"/>
        <v>0</v>
      </c>
      <c r="AV12" s="162">
        <f t="shared" si="7"/>
        <v>0</v>
      </c>
      <c r="AW12" s="162">
        <f t="shared" si="8"/>
        <v>0</v>
      </c>
      <c r="AX12" s="162">
        <f t="shared" si="9"/>
        <v>0</v>
      </c>
      <c r="AY12" s="162">
        <f t="shared" si="10"/>
        <v>0</v>
      </c>
      <c r="AZ12" s="64">
        <f>IF(AH12="nd","nd",AH12*Table31520253035404550556074[[#This Row],[dilution ]]/constants!$B$3)</f>
        <v>0</v>
      </c>
      <c r="BA12" s="64"/>
      <c r="BB12" s="64"/>
      <c r="BC12" s="64">
        <f>(Table51621263136414651566175[[#This Row],[Concentration]]*constants!$C$3)/1000</f>
        <v>0</v>
      </c>
      <c r="BD12" s="64">
        <f>(Table51621263136414651566175[[#This Row],[Concentration2]]*constants!$C$6)/1000</f>
        <v>0</v>
      </c>
      <c r="BE12" s="64">
        <f>(Table51621263136414651566175[[#This Row],[Concentration3]]*constants!$C$7)/1000</f>
        <v>0</v>
      </c>
      <c r="BF12" s="64">
        <f>(Table51621263136414651566175[[#This Row],[Concentration4]]*constants!$C$8)/1000</f>
        <v>0</v>
      </c>
      <c r="BG12" s="64">
        <f>(Table51621263136414651566175[[#This Row],[Concentration5]]*constants!$C$9)/1000</f>
        <v>0</v>
      </c>
      <c r="BH12" s="64">
        <f>(Table51621263136414651566175[[#This Row],[Concentration6]]*constants!$C$10)/1000</f>
        <v>0</v>
      </c>
      <c r="BI12" s="64">
        <f>(Table51621263136414651566175[[#This Row],[Concentration7]]*constants!$C$5)</f>
        <v>0</v>
      </c>
      <c r="BJ12" s="64">
        <f>(Table51621263136414651566175[[#This Row],[Concentration8]]*3)</f>
        <v>0</v>
      </c>
      <c r="BK12" s="64">
        <f>(Table51621263136414651566175[[#This Row],[Concentration9]]*4)</f>
        <v>0</v>
      </c>
      <c r="BL12" s="64">
        <f>(Table51621263136414651566175[[#This Row],[Concentration10]]*4)</f>
        <v>0</v>
      </c>
      <c r="BM12" s="64">
        <f>(Table51621263136414651566175[[#This Row],[Concentration11]]*5)</f>
        <v>0</v>
      </c>
      <c r="BN12" s="64">
        <f>(Table51621263136414651566175[[#This Row],[Concentration12]]*5)</f>
        <v>0</v>
      </c>
      <c r="BO12" s="64">
        <f>(Table51621263136414651566175[[#This Row],[Concentration13]]*6)</f>
        <v>0</v>
      </c>
      <c r="BP12" s="64">
        <f>(Table51621263136414651566175[[#This Row],[Concentration14]]*6)</f>
        <v>0</v>
      </c>
      <c r="BQ12" s="64">
        <f>(Table51621263136414651566175[[#This Row],[Concentration15]]*7)</f>
        <v>0</v>
      </c>
      <c r="BR12" s="64">
        <f>(Table51621263136414651566175[[#This Row],[Concentration16]]*8)</f>
        <v>0</v>
      </c>
      <c r="BS12" s="64">
        <f>(Table51621263136414651566175[[#This Row],[Concentration17]]*3)/1000</f>
        <v>0</v>
      </c>
      <c r="BT12" s="47">
        <f>Table51621263136414651566175[[#This Row],[Concentration18]]/1000</f>
        <v>0</v>
      </c>
      <c r="BU12" s="47">
        <f>Table51621263136414651566175[[#This Row],[Concentration19]]/1000</f>
        <v>0</v>
      </c>
    </row>
    <row r="13" spans="1:73" s="47" customFormat="1" ht="16" thickBot="1" x14ac:dyDescent="0.4">
      <c r="A13" s="63" t="str">
        <f>Table2[[#This Row],[Date]]</f>
        <v>29-03-18</v>
      </c>
      <c r="B13" s="74">
        <f>Table2[[#This Row],[Time]]</f>
        <v>9</v>
      </c>
      <c r="C13" s="41">
        <v>0</v>
      </c>
      <c r="D13" s="18">
        <f>IFERROR(AVERAGE(Table31520253035[[#This Row],[Amount ]],Table3152025303540[[#This Row],[Amount ]]),0)</f>
        <v>0</v>
      </c>
      <c r="E13" s="18">
        <f>IFERROR(AVERAGE(Table31520253035[[#This Row],[Amount 2]],Table3152025303540[[#This Row],[Amount 2]]),0)</f>
        <v>0</v>
      </c>
      <c r="F13" s="18">
        <f>IFERROR(AVERAGE(Table31520253035[[#This Row],[Amount 3]],Table3152025303540[[#This Row],[Amount 3]]),0)</f>
        <v>0</v>
      </c>
      <c r="G13" s="18">
        <f>IFERROR(AVERAGE(Table31520253035[[#This Row],[Amount 4]],Table3152025303540[[#This Row],[Amount 4]]),0)</f>
        <v>0</v>
      </c>
      <c r="H13" s="18">
        <f>IFERROR(AVERAGE(Table31520253035[[#This Row],[Amount 5]],Table3152025303540[[#This Row],[Amount 5]]),0)</f>
        <v>0</v>
      </c>
      <c r="I13" s="18">
        <f>IFERROR(AVERAGE(Table31520253035[[#This Row],[Amount 6]],Table3152025303540[[#This Row],[Amount 6]]),0)</f>
        <v>0</v>
      </c>
      <c r="J13" s="18">
        <f>IFERROR(AVERAGE(Table31520253035[[#This Row],[Amount 7]],Table3152025303540[[#This Row],[Amount 7]]),0)</f>
        <v>0</v>
      </c>
      <c r="K13" s="18">
        <f>IFERROR(AVERAGE(Table31520253035[[#This Row],[Amount 8]],Table3152025303540[[#This Row],[Amount 8]]),0)</f>
        <v>0</v>
      </c>
      <c r="L13" s="18">
        <f>IFERROR(AVERAGE(Table31520253035[[#This Row],[Amount 9]],Table3152025303540[[#This Row],[Amount 9]]),0)</f>
        <v>0</v>
      </c>
      <c r="M13" s="18">
        <f>IFERROR(AVERAGE(Table31520253035[[#This Row],[Amount 10]],Table3152025303540[[#This Row],[Amount 10]]),0)</f>
        <v>0</v>
      </c>
      <c r="N13" s="18">
        <f>IFERROR(AVERAGE(Table31520253035[[#This Row],[Amount 11]],Table3152025303540[[#This Row],[Amount 11]]),0)</f>
        <v>0</v>
      </c>
      <c r="O13" s="18">
        <f>IFERROR(AVERAGE(Table31520253035[[#This Row],[Amount 12]],Table3152025303540[[#This Row],[Amount 12]]),0)</f>
        <v>0</v>
      </c>
      <c r="P13" s="18">
        <f>IFERROR(AVERAGE(Table31520253035[[#This Row],[Amount 13]],Table3152025303540[[#This Row],[Amount 13]]),0)</f>
        <v>0</v>
      </c>
      <c r="Q13" s="18">
        <f>IFERROR(AVERAGE(Table31520253035[[#This Row],[Amount 14]],Table3152025303540[[#This Row],[Amount 14]]),0)</f>
        <v>0</v>
      </c>
      <c r="R13" s="18">
        <f>IFERROR(AVERAGE(Table31520253035[[#This Row],[Amount 15]],Table3152025303540[[#This Row],[Amount 15]]),0)</f>
        <v>0</v>
      </c>
      <c r="S13" s="18">
        <f>IFERROR(AVERAGE(Table31520253035[[#This Row],[Amount 16]],Table3152025303540[[#This Row],[Amount 16]]),0)</f>
        <v>0</v>
      </c>
      <c r="T13" s="18">
        <f>IFERROR(AVERAGE(Table31520253035[[#This Row],[Amount 17]],Table3152025303540[[#This Row],[Amount 17]]),0)</f>
        <v>0</v>
      </c>
      <c r="U13" s="18">
        <f>IFERROR(AVERAGE(Table31520253035[[#This Row],[Amount 18]],Table3152025303540[[#This Row],[Amount 18]]),0)</f>
        <v>0</v>
      </c>
      <c r="V13" s="18">
        <f>IFERROR(AVERAGE(Table31520253035[[#This Row],[Amount 19]],Table3152025303540[[#This Row],[Amount 19]]),0)</f>
        <v>0</v>
      </c>
      <c r="W13" s="18">
        <f>IFERROR(AVERAGE(Table31520253035[[#This Row],[Ret.Time ]],Table3152025303540[[#This Row],[Ret.Time ]]),0)</f>
        <v>0</v>
      </c>
      <c r="X13" s="18">
        <f>IFERROR(AVERAGE(Table31520253035[[#This Row],[Amount 20]],Table3152025303540[[#This Row],[Amount 20]]),0)</f>
        <v>0</v>
      </c>
      <c r="Y13" s="18">
        <f>IFERROR(AVERAGE(Table31520253035[[#This Row],[Ret.Time]],Table3152025303540[[#This Row],[Ret.Time]]),0)</f>
        <v>0</v>
      </c>
      <c r="Z13" s="18">
        <f>IFERROR(AVERAGE(Table31520253035[[#This Row],[Amount 21]],Table3152025303540[[#This Row],[Amount 21]]),0)</f>
        <v>0</v>
      </c>
      <c r="AA13" s="18">
        <f>IFERROR(AVERAGE(Table31520253035[[#This Row],[Ret.Time22]],Table3152025303540[[#This Row],[Ret.Time22]]),0)</f>
        <v>0</v>
      </c>
      <c r="AB13" s="18">
        <f>IFERROR(AVERAGE(Table31520253035[[#This Row],[Amount 23]],Table3152025303540[[#This Row],[Amount 23]]),0)</f>
        <v>0</v>
      </c>
      <c r="AC13" s="18">
        <f>IFERROR(AVERAGE(Table31520253035[[#This Row],[Ret.Time24]],Table3152025303540[[#This Row],[Ret.Time24]]),0)</f>
        <v>0</v>
      </c>
      <c r="AD13" s="18">
        <f>IFERROR(AVERAGE(Table31520253035[[#This Row],[Amount 25]],Table3152025303540[[#This Row],[Amount 25]]),0)</f>
        <v>0</v>
      </c>
      <c r="AE13" s="18">
        <f>IFERROR(AVERAGE(Table31520253035[[#This Row],[pH]],Table3152025303540[[#This Row],[pH]]),0)</f>
        <v>7.0299999999999994</v>
      </c>
      <c r="AF13" s="18">
        <f>IFERROR(AVERAGE(Table31520253035[[#This Row],[dilution ]],Table3152025303540[[#This Row],[dilution ]]),0)</f>
        <v>0</v>
      </c>
      <c r="AG13" s="18">
        <f>IFERROR(AVERAGE(Table31520253035[[#This Row],[retention]],Table3152025303540[[#This Row],[retention]]),0)</f>
        <v>0</v>
      </c>
      <c r="AH13" s="18">
        <f>IFERROR(AVERAGE(Table31520253035[[#This Row],[amount]],Table3152025303540[[#This Row],[amount]]),0)</f>
        <v>0</v>
      </c>
      <c r="AI13" s="18">
        <f>IFERROR(AVERAGE(Table31520253035[[#This Row],[pressure]],Table3152025303540[[#This Row],[pressure]]),0)</f>
        <v>0</v>
      </c>
      <c r="AJ13" s="64">
        <f>IF(D13="nd","nd",D13*$C13/constants!$B$3)</f>
        <v>0</v>
      </c>
      <c r="AK13" s="64">
        <f>IF(E13="nd","nd",E13*$C13/constants!$B$6)</f>
        <v>0</v>
      </c>
      <c r="AL13" s="64">
        <f>IF(F13="nd","nd",F13*$C13/constants!$B$7)</f>
        <v>0</v>
      </c>
      <c r="AM13" s="64">
        <f>IF(G13="nd","nd",G13*$C13/constants!$B$8)</f>
        <v>0</v>
      </c>
      <c r="AN13" s="64">
        <f>IF(H13="nd","nd",H13*$C13/constants!$B$9)</f>
        <v>0</v>
      </c>
      <c r="AO13" s="64">
        <f>IF(I13="nd","nd",I13*$C13/constants!$B$10)</f>
        <v>0</v>
      </c>
      <c r="AP13" s="162">
        <f t="shared" si="1"/>
        <v>0</v>
      </c>
      <c r="AQ13" s="162">
        <f t="shared" si="2"/>
        <v>0</v>
      </c>
      <c r="AR13" s="162">
        <f t="shared" si="3"/>
        <v>0</v>
      </c>
      <c r="AS13" s="162">
        <f t="shared" si="4"/>
        <v>0</v>
      </c>
      <c r="AT13" s="162">
        <f t="shared" si="5"/>
        <v>0</v>
      </c>
      <c r="AU13" s="162">
        <f t="shared" si="6"/>
        <v>0</v>
      </c>
      <c r="AV13" s="162">
        <f t="shared" si="7"/>
        <v>0</v>
      </c>
      <c r="AW13" s="162">
        <f t="shared" si="8"/>
        <v>0</v>
      </c>
      <c r="AX13" s="162">
        <f t="shared" si="9"/>
        <v>0</v>
      </c>
      <c r="AY13" s="162">
        <f t="shared" si="10"/>
        <v>0</v>
      </c>
      <c r="AZ13" s="64">
        <f>IF(AH13="nd","nd",AH13*Table31520253035404550556074[[#This Row],[dilution ]]/constants!$B$3)</f>
        <v>0</v>
      </c>
      <c r="BA13" s="64"/>
      <c r="BB13" s="64"/>
      <c r="BC13" s="64">
        <f>(Table51621263136414651566175[[#This Row],[Concentration]]*constants!$C$3)/1000</f>
        <v>0</v>
      </c>
      <c r="BD13" s="64">
        <f>(Table51621263136414651566175[[#This Row],[Concentration2]]*constants!$C$6)/1000</f>
        <v>0</v>
      </c>
      <c r="BE13" s="64">
        <f>(Table51621263136414651566175[[#This Row],[Concentration3]]*constants!$C$7)/1000</f>
        <v>0</v>
      </c>
      <c r="BF13" s="64">
        <f>(Table51621263136414651566175[[#This Row],[Concentration4]]*constants!$C$8)/1000</f>
        <v>0</v>
      </c>
      <c r="BG13" s="64">
        <f>(Table51621263136414651566175[[#This Row],[Concentration5]]*constants!$C$9)/1000</f>
        <v>0</v>
      </c>
      <c r="BH13" s="64">
        <f>(Table51621263136414651566175[[#This Row],[Concentration6]]*constants!$C$10)/1000</f>
        <v>0</v>
      </c>
      <c r="BI13" s="64">
        <f>(Table51621263136414651566175[[#This Row],[Concentration7]]*constants!$C$5)</f>
        <v>0</v>
      </c>
      <c r="BJ13" s="64">
        <f>(Table51621263136414651566175[[#This Row],[Concentration8]]*3)</f>
        <v>0</v>
      </c>
      <c r="BK13" s="64">
        <f>(Table51621263136414651566175[[#This Row],[Concentration9]]*4)</f>
        <v>0</v>
      </c>
      <c r="BL13" s="64">
        <f>(Table51621263136414651566175[[#This Row],[Concentration10]]*4)</f>
        <v>0</v>
      </c>
      <c r="BM13" s="64">
        <f>(Table51621263136414651566175[[#This Row],[Concentration11]]*5)</f>
        <v>0</v>
      </c>
      <c r="BN13" s="64">
        <f>(Table51621263136414651566175[[#This Row],[Concentration12]]*5)</f>
        <v>0</v>
      </c>
      <c r="BO13" s="64">
        <f>(Table51621263136414651566175[[#This Row],[Concentration13]]*6)</f>
        <v>0</v>
      </c>
      <c r="BP13" s="64">
        <f>(Table51621263136414651566175[[#This Row],[Concentration14]]*6)</f>
        <v>0</v>
      </c>
      <c r="BQ13" s="64">
        <f>(Table51621263136414651566175[[#This Row],[Concentration15]]*7)</f>
        <v>0</v>
      </c>
      <c r="BR13" s="64">
        <f>(Table51621263136414651566175[[#This Row],[Concentration16]]*8)</f>
        <v>0</v>
      </c>
      <c r="BS13" s="64">
        <f>(Table51621263136414651566175[[#This Row],[Concentration17]]*3)/1000</f>
        <v>0</v>
      </c>
      <c r="BT13" s="47">
        <f>Table51621263136414651566175[[#This Row],[Concentration18]]/1000</f>
        <v>0</v>
      </c>
      <c r="BU13" s="47">
        <f>Table51621263136414651566175[[#This Row],[Concentration19]]/1000</f>
        <v>0</v>
      </c>
    </row>
    <row r="14" spans="1:73" s="66" customFormat="1" ht="16" thickBot="1" x14ac:dyDescent="0.4">
      <c r="A14" s="63">
        <f>Table2[[#This Row],[Date]]</f>
        <v>43163</v>
      </c>
      <c r="B14" s="74">
        <f>Table2[[#This Row],[Time]]</f>
        <v>15</v>
      </c>
      <c r="C14" s="77">
        <v>0</v>
      </c>
      <c r="D14" s="18">
        <f>IFERROR(AVERAGE(Table31520253035[[#This Row],[Amount ]],Table3152025303540[[#This Row],[Amount ]]),0)</f>
        <v>0</v>
      </c>
      <c r="E14" s="18">
        <f>IFERROR(AVERAGE(Table31520253035[[#This Row],[Amount 2]],Table3152025303540[[#This Row],[Amount 2]]),0)</f>
        <v>0</v>
      </c>
      <c r="F14" s="18">
        <f>IFERROR(AVERAGE(Table31520253035[[#This Row],[Amount 3]],Table3152025303540[[#This Row],[Amount 3]]),0)</f>
        <v>0</v>
      </c>
      <c r="G14" s="18">
        <f>IFERROR(AVERAGE(Table31520253035[[#This Row],[Amount 4]],Table3152025303540[[#This Row],[Amount 4]]),0)</f>
        <v>0</v>
      </c>
      <c r="H14" s="18">
        <f>IFERROR(AVERAGE(Table31520253035[[#This Row],[Amount 5]],Table3152025303540[[#This Row],[Amount 5]]),0)</f>
        <v>0</v>
      </c>
      <c r="I14" s="18">
        <f>IFERROR(AVERAGE(Table31520253035[[#This Row],[Amount 6]],Table3152025303540[[#This Row],[Amount 6]]),0)</f>
        <v>0</v>
      </c>
      <c r="J14" s="18">
        <f>IFERROR(AVERAGE(Table31520253035[[#This Row],[Amount 7]],Table3152025303540[[#This Row],[Amount 7]]),0)</f>
        <v>0</v>
      </c>
      <c r="K14" s="18">
        <f>IFERROR(AVERAGE(Table31520253035[[#This Row],[Amount 8]],Table3152025303540[[#This Row],[Amount 8]]),0)</f>
        <v>0</v>
      </c>
      <c r="L14" s="18">
        <f>IFERROR(AVERAGE(Table31520253035[[#This Row],[Amount 9]],Table3152025303540[[#This Row],[Amount 9]]),0)</f>
        <v>0</v>
      </c>
      <c r="M14" s="18">
        <f>IFERROR(AVERAGE(Table31520253035[[#This Row],[Amount 10]],Table3152025303540[[#This Row],[Amount 10]]),0)</f>
        <v>0</v>
      </c>
      <c r="N14" s="18">
        <f>IFERROR(AVERAGE(Table31520253035[[#This Row],[Amount 11]],Table3152025303540[[#This Row],[Amount 11]]),0)</f>
        <v>0</v>
      </c>
      <c r="O14" s="18">
        <f>IFERROR(AVERAGE(Table31520253035[[#This Row],[Amount 12]],Table3152025303540[[#This Row],[Amount 12]]),0)</f>
        <v>0</v>
      </c>
      <c r="P14" s="18">
        <f>IFERROR(AVERAGE(Table31520253035[[#This Row],[Amount 13]],Table3152025303540[[#This Row],[Amount 13]]),0)</f>
        <v>0</v>
      </c>
      <c r="Q14" s="18">
        <f>IFERROR(AVERAGE(Table31520253035[[#This Row],[Amount 14]],Table3152025303540[[#This Row],[Amount 14]]),0)</f>
        <v>0</v>
      </c>
      <c r="R14" s="18">
        <f>IFERROR(AVERAGE(Table31520253035[[#This Row],[Amount 15]],Table3152025303540[[#This Row],[Amount 15]]),0)</f>
        <v>0</v>
      </c>
      <c r="S14" s="18">
        <f>IFERROR(AVERAGE(Table31520253035[[#This Row],[Amount 16]],Table3152025303540[[#This Row],[Amount 16]]),0)</f>
        <v>0</v>
      </c>
      <c r="T14" s="18">
        <f>IFERROR(AVERAGE(Table31520253035[[#This Row],[Amount 17]],Table3152025303540[[#This Row],[Amount 17]]),0)</f>
        <v>0</v>
      </c>
      <c r="U14" s="18">
        <f>IFERROR(AVERAGE(Table31520253035[[#This Row],[Amount 18]],Table3152025303540[[#This Row],[Amount 18]]),0)</f>
        <v>0</v>
      </c>
      <c r="V14" s="18">
        <f>IFERROR(AVERAGE(Table31520253035[[#This Row],[Amount 19]],Table3152025303540[[#This Row],[Amount 19]]),0)</f>
        <v>0</v>
      </c>
      <c r="W14" s="18">
        <f>IFERROR(AVERAGE(Table31520253035[[#This Row],[Ret.Time ]],Table3152025303540[[#This Row],[Ret.Time ]]),0)</f>
        <v>0</v>
      </c>
      <c r="X14" s="18">
        <f>IFERROR(AVERAGE(Table31520253035[[#This Row],[Amount 20]],Table3152025303540[[#This Row],[Amount 20]]),0)</f>
        <v>0</v>
      </c>
      <c r="Y14" s="18">
        <f>IFERROR(AVERAGE(Table31520253035[[#This Row],[Ret.Time]],Table3152025303540[[#This Row],[Ret.Time]]),0)</f>
        <v>0</v>
      </c>
      <c r="Z14" s="18">
        <f>IFERROR(AVERAGE(Table31520253035[[#This Row],[Amount 21]],Table3152025303540[[#This Row],[Amount 21]]),0)</f>
        <v>0</v>
      </c>
      <c r="AA14" s="18">
        <f>IFERROR(AVERAGE(Table31520253035[[#This Row],[Ret.Time22]],Table3152025303540[[#This Row],[Ret.Time22]]),0)</f>
        <v>0</v>
      </c>
      <c r="AB14" s="18">
        <f>IFERROR(AVERAGE(Table31520253035[[#This Row],[Amount 23]],Table3152025303540[[#This Row],[Amount 23]]),0)</f>
        <v>0</v>
      </c>
      <c r="AC14" s="18">
        <f>IFERROR(AVERAGE(Table31520253035[[#This Row],[Ret.Time24]],Table3152025303540[[#This Row],[Ret.Time24]]),0)</f>
        <v>0</v>
      </c>
      <c r="AD14" s="18">
        <f>IFERROR(AVERAGE(Table31520253035[[#This Row],[Amount 25]],Table3152025303540[[#This Row],[Amount 25]]),0)</f>
        <v>0</v>
      </c>
      <c r="AE14" s="18">
        <f>IFERROR(AVERAGE(Table31520253035[[#This Row],[pH]],Table3152025303540[[#This Row],[pH]]),0)</f>
        <v>7.02</v>
      </c>
      <c r="AF14" s="18">
        <f>IFERROR(AVERAGE(Table31520253035[[#This Row],[dilution ]],Table3152025303540[[#This Row],[dilution ]]),0)</f>
        <v>0</v>
      </c>
      <c r="AG14" s="18">
        <f>IFERROR(AVERAGE(Table31520253035[[#This Row],[retention]],Table3152025303540[[#This Row],[retention]]),0)</f>
        <v>0</v>
      </c>
      <c r="AH14" s="18">
        <f>IFERROR(AVERAGE(Table31520253035[[#This Row],[amount]],Table3152025303540[[#This Row],[amount]]),0)</f>
        <v>0</v>
      </c>
      <c r="AI14" s="18">
        <f>IFERROR(AVERAGE(Table31520253035[[#This Row],[pressure]],Table3152025303540[[#This Row],[pressure]]),0)</f>
        <v>0</v>
      </c>
      <c r="AJ14" s="64">
        <f>IF(D14="nd","nd",D14*$C14/constants!$B$3)</f>
        <v>0</v>
      </c>
      <c r="AK14" s="64">
        <f>IF(E14="nd","nd",E14*$C14/constants!$B$6)</f>
        <v>0</v>
      </c>
      <c r="AL14" s="64">
        <f>IF(F14="nd","nd",F14*$C14/constants!$B$7)</f>
        <v>0</v>
      </c>
      <c r="AM14" s="64">
        <f>IF(G14="nd","nd",G14*$C14/constants!$B$8)</f>
        <v>0</v>
      </c>
      <c r="AN14" s="64">
        <f>IF(H14="nd","nd",H14*$C14/constants!$B$9)</f>
        <v>0</v>
      </c>
      <c r="AO14" s="64">
        <f>IF(I14="nd","nd",I14*$C14/constants!$B$10)</f>
        <v>0</v>
      </c>
      <c r="AP14" s="162">
        <f t="shared" si="1"/>
        <v>0</v>
      </c>
      <c r="AQ14" s="162">
        <f t="shared" si="2"/>
        <v>0</v>
      </c>
      <c r="AR14" s="162">
        <f t="shared" si="3"/>
        <v>0</v>
      </c>
      <c r="AS14" s="162">
        <f t="shared" si="4"/>
        <v>0</v>
      </c>
      <c r="AT14" s="162">
        <f t="shared" si="5"/>
        <v>0</v>
      </c>
      <c r="AU14" s="162">
        <f t="shared" si="6"/>
        <v>0</v>
      </c>
      <c r="AV14" s="162">
        <f t="shared" si="7"/>
        <v>0</v>
      </c>
      <c r="AW14" s="162">
        <f t="shared" si="8"/>
        <v>0</v>
      </c>
      <c r="AX14" s="162">
        <f t="shared" si="9"/>
        <v>0</v>
      </c>
      <c r="AY14" s="162">
        <f t="shared" si="10"/>
        <v>0</v>
      </c>
      <c r="AZ14" s="64">
        <f>IF(AH14="nd","nd",AH14*Table31520253035404550556074[[#This Row],[dilution ]]/constants!$B$3)</f>
        <v>0</v>
      </c>
      <c r="BA14" s="64"/>
      <c r="BB14" s="64"/>
      <c r="BC14" s="64">
        <f>(Table51621263136414651566175[[#This Row],[Concentration]]*constants!$C$3)/1000</f>
        <v>0</v>
      </c>
      <c r="BD14" s="64">
        <f>(Table51621263136414651566175[[#This Row],[Concentration2]]*constants!$C$6)/1000</f>
        <v>0</v>
      </c>
      <c r="BE14" s="64">
        <f>(Table51621263136414651566175[[#This Row],[Concentration3]]*constants!$C$7)/1000</f>
        <v>0</v>
      </c>
      <c r="BF14" s="64">
        <f>(Table51621263136414651566175[[#This Row],[Concentration4]]*constants!$C$8)/1000</f>
        <v>0</v>
      </c>
      <c r="BG14" s="64">
        <f>(Table51621263136414651566175[[#This Row],[Concentration5]]*constants!$C$9)/1000</f>
        <v>0</v>
      </c>
      <c r="BH14" s="64">
        <f>(Table51621263136414651566175[[#This Row],[Concentration6]]*constants!$C$10)/1000</f>
        <v>0</v>
      </c>
      <c r="BI14" s="64">
        <f>(Table51621263136414651566175[[#This Row],[Concentration7]]*constants!$C$5)</f>
        <v>0</v>
      </c>
      <c r="BJ14" s="64">
        <f>(Table51621263136414651566175[[#This Row],[Concentration8]]*3)</f>
        <v>0</v>
      </c>
      <c r="BK14" s="64">
        <f>(Table51621263136414651566175[[#This Row],[Concentration9]]*4)</f>
        <v>0</v>
      </c>
      <c r="BL14" s="64">
        <f>(Table51621263136414651566175[[#This Row],[Concentration10]]*4)</f>
        <v>0</v>
      </c>
      <c r="BM14" s="64">
        <f>(Table51621263136414651566175[[#This Row],[Concentration11]]*5)</f>
        <v>0</v>
      </c>
      <c r="BN14" s="64">
        <f>(Table51621263136414651566175[[#This Row],[Concentration12]]*5)</f>
        <v>0</v>
      </c>
      <c r="BO14" s="64">
        <f>(Table51621263136414651566175[[#This Row],[Concentration13]]*6)</f>
        <v>0</v>
      </c>
      <c r="BP14" s="64">
        <f>(Table51621263136414651566175[[#This Row],[Concentration14]]*6)</f>
        <v>0</v>
      </c>
      <c r="BQ14" s="64">
        <f>(Table51621263136414651566175[[#This Row],[Concentration15]]*7)</f>
        <v>0</v>
      </c>
      <c r="BR14" s="64">
        <f>(Table51621263136414651566175[[#This Row],[Concentration16]]*8)</f>
        <v>0</v>
      </c>
      <c r="BS14" s="64">
        <f>(Table51621263136414651566175[[#This Row],[Concentration17]]*3)/1000</f>
        <v>0</v>
      </c>
      <c r="BT14" s="47">
        <f>Table51621263136414651566175[[#This Row],[Concentration18]]/1000</f>
        <v>0</v>
      </c>
      <c r="BU14" s="47">
        <f>Table51621263136414651566175[[#This Row],[Concentration19]]/1000</f>
        <v>0</v>
      </c>
    </row>
    <row r="15" spans="1:73" s="47" customFormat="1" ht="16" thickBot="1" x14ac:dyDescent="0.4">
      <c r="A15" s="63">
        <f>Table2[[#This Row],[Date]]</f>
        <v>43347</v>
      </c>
      <c r="B15" s="74">
        <f>Table2[[#This Row],[Time]]</f>
        <v>21</v>
      </c>
      <c r="C15" s="41">
        <v>0</v>
      </c>
      <c r="D15" s="18">
        <f>IFERROR(AVERAGE(Table31520253035[[#This Row],[Amount ]],Table3152025303540[[#This Row],[Amount ]]),0)</f>
        <v>0</v>
      </c>
      <c r="E15" s="18">
        <f>IFERROR(AVERAGE(Table31520253035[[#This Row],[Amount 2]],Table3152025303540[[#This Row],[Amount 2]]),0)</f>
        <v>0</v>
      </c>
      <c r="F15" s="18">
        <f>IFERROR(AVERAGE(Table31520253035[[#This Row],[Amount 3]],Table3152025303540[[#This Row],[Amount 3]]),0)</f>
        <v>0</v>
      </c>
      <c r="G15" s="18">
        <f>IFERROR(AVERAGE(Table31520253035[[#This Row],[Amount 4]],Table3152025303540[[#This Row],[Amount 4]]),0)</f>
        <v>0</v>
      </c>
      <c r="H15" s="18">
        <f>IFERROR(AVERAGE(Table31520253035[[#This Row],[Amount 5]],Table3152025303540[[#This Row],[Amount 5]]),0)</f>
        <v>0</v>
      </c>
      <c r="I15" s="18">
        <f>IFERROR(AVERAGE(Table31520253035[[#This Row],[Amount 6]],Table3152025303540[[#This Row],[Amount 6]]),0)</f>
        <v>0</v>
      </c>
      <c r="J15" s="18">
        <f>IFERROR(AVERAGE(Table31520253035[[#This Row],[Amount 7]],Table3152025303540[[#This Row],[Amount 7]]),0)</f>
        <v>0</v>
      </c>
      <c r="K15" s="18">
        <f>IFERROR(AVERAGE(Table31520253035[[#This Row],[Amount 8]],Table3152025303540[[#This Row],[Amount 8]]),0)</f>
        <v>0</v>
      </c>
      <c r="L15" s="18">
        <f>IFERROR(AVERAGE(Table31520253035[[#This Row],[Amount 9]],Table3152025303540[[#This Row],[Amount 9]]),0)</f>
        <v>0</v>
      </c>
      <c r="M15" s="18">
        <f>IFERROR(AVERAGE(Table31520253035[[#This Row],[Amount 10]],Table3152025303540[[#This Row],[Amount 10]]),0)</f>
        <v>0</v>
      </c>
      <c r="N15" s="18">
        <f>IFERROR(AVERAGE(Table31520253035[[#This Row],[Amount 11]],Table3152025303540[[#This Row],[Amount 11]]),0)</f>
        <v>0</v>
      </c>
      <c r="O15" s="18">
        <f>IFERROR(AVERAGE(Table31520253035[[#This Row],[Amount 12]],Table3152025303540[[#This Row],[Amount 12]]),0)</f>
        <v>0</v>
      </c>
      <c r="P15" s="18">
        <f>IFERROR(AVERAGE(Table31520253035[[#This Row],[Amount 13]],Table3152025303540[[#This Row],[Amount 13]]),0)</f>
        <v>0</v>
      </c>
      <c r="Q15" s="18">
        <f>IFERROR(AVERAGE(Table31520253035[[#This Row],[Amount 14]],Table3152025303540[[#This Row],[Amount 14]]),0)</f>
        <v>0</v>
      </c>
      <c r="R15" s="18">
        <f>IFERROR(AVERAGE(Table31520253035[[#This Row],[Amount 15]],Table3152025303540[[#This Row],[Amount 15]]),0)</f>
        <v>0</v>
      </c>
      <c r="S15" s="18">
        <f>IFERROR(AVERAGE(Table31520253035[[#This Row],[Amount 16]],Table3152025303540[[#This Row],[Amount 16]]),0)</f>
        <v>0</v>
      </c>
      <c r="T15" s="18">
        <f>IFERROR(AVERAGE(Table31520253035[[#This Row],[Amount 17]],Table3152025303540[[#This Row],[Amount 17]]),0)</f>
        <v>0</v>
      </c>
      <c r="U15" s="18">
        <f>IFERROR(AVERAGE(Table31520253035[[#This Row],[Amount 18]],Table3152025303540[[#This Row],[Amount 18]]),0)</f>
        <v>0</v>
      </c>
      <c r="V15" s="18">
        <f>IFERROR(AVERAGE(Table31520253035[[#This Row],[Amount 19]],Table3152025303540[[#This Row],[Amount 19]]),0)</f>
        <v>0</v>
      </c>
      <c r="W15" s="18">
        <f>IFERROR(AVERAGE(Table31520253035[[#This Row],[Ret.Time ]],Table3152025303540[[#This Row],[Ret.Time ]]),0)</f>
        <v>0</v>
      </c>
      <c r="X15" s="18">
        <f>IFERROR(AVERAGE(Table31520253035[[#This Row],[Amount 20]],Table3152025303540[[#This Row],[Amount 20]]),0)</f>
        <v>0</v>
      </c>
      <c r="Y15" s="18">
        <f>IFERROR(AVERAGE(Table31520253035[[#This Row],[Ret.Time]],Table3152025303540[[#This Row],[Ret.Time]]),0)</f>
        <v>0</v>
      </c>
      <c r="Z15" s="18">
        <f>IFERROR(AVERAGE(Table31520253035[[#This Row],[Amount 21]],Table3152025303540[[#This Row],[Amount 21]]),0)</f>
        <v>0</v>
      </c>
      <c r="AA15" s="18">
        <f>IFERROR(AVERAGE(Table31520253035[[#This Row],[Ret.Time22]],Table3152025303540[[#This Row],[Ret.Time22]]),0)</f>
        <v>0</v>
      </c>
      <c r="AB15" s="18">
        <f>IFERROR(AVERAGE(Table31520253035[[#This Row],[Amount 23]],Table3152025303540[[#This Row],[Amount 23]]),0)</f>
        <v>0</v>
      </c>
      <c r="AC15" s="18">
        <f>IFERROR(AVERAGE(Table31520253035[[#This Row],[Ret.Time24]],Table3152025303540[[#This Row],[Ret.Time24]]),0)</f>
        <v>0</v>
      </c>
      <c r="AD15" s="18">
        <f>IFERROR(AVERAGE(Table31520253035[[#This Row],[Amount 25]],Table3152025303540[[#This Row],[Amount 25]]),0)</f>
        <v>0</v>
      </c>
      <c r="AE15" s="18">
        <f>IFERROR(AVERAGE(Table31520253035[[#This Row],[pH]],Table3152025303540[[#This Row],[pH]]),0)</f>
        <v>7.0549999999999997</v>
      </c>
      <c r="AF15" s="18">
        <f>IFERROR(AVERAGE(Table31520253035[[#This Row],[dilution ]],Table3152025303540[[#This Row],[dilution ]]),0)</f>
        <v>0</v>
      </c>
      <c r="AG15" s="18">
        <f>IFERROR(AVERAGE(Table31520253035[[#This Row],[retention]],Table3152025303540[[#This Row],[retention]]),0)</f>
        <v>0</v>
      </c>
      <c r="AH15" s="18">
        <f>IFERROR(AVERAGE(Table31520253035[[#This Row],[amount]],Table3152025303540[[#This Row],[amount]]),0)</f>
        <v>0</v>
      </c>
      <c r="AI15" s="18">
        <f>IFERROR(AVERAGE(Table31520253035[[#This Row],[pressure]],Table3152025303540[[#This Row],[pressure]]),0)</f>
        <v>0</v>
      </c>
      <c r="AJ15" s="64">
        <f>IF(D15="nd","nd",D15*$C15/constants!$B$3)</f>
        <v>0</v>
      </c>
      <c r="AK15" s="64">
        <f>IF(E15="nd","nd",E15*$C15/constants!$B$6)</f>
        <v>0</v>
      </c>
      <c r="AL15" s="64">
        <f>IF(F15="nd","nd",F15*$C15/constants!$B$7)</f>
        <v>0</v>
      </c>
      <c r="AM15" s="64">
        <f>IF(G15="nd","nd",G15*$C15/constants!$B$8)</f>
        <v>0</v>
      </c>
      <c r="AN15" s="64">
        <f>IF(H15="nd","nd",H15*$C15/constants!$B$9)</f>
        <v>0</v>
      </c>
      <c r="AO15" s="64">
        <f>IF(I15="nd","nd",I15*$C15/constants!$B$10)</f>
        <v>0</v>
      </c>
      <c r="AP15" s="162">
        <f t="shared" si="1"/>
        <v>0</v>
      </c>
      <c r="AQ15" s="162">
        <f t="shared" si="2"/>
        <v>0</v>
      </c>
      <c r="AR15" s="162">
        <f t="shared" si="3"/>
        <v>0</v>
      </c>
      <c r="AS15" s="162">
        <f t="shared" si="4"/>
        <v>0</v>
      </c>
      <c r="AT15" s="162">
        <f t="shared" si="5"/>
        <v>0</v>
      </c>
      <c r="AU15" s="162">
        <f t="shared" si="6"/>
        <v>0</v>
      </c>
      <c r="AV15" s="162">
        <f t="shared" si="7"/>
        <v>0</v>
      </c>
      <c r="AW15" s="162">
        <f t="shared" si="8"/>
        <v>0</v>
      </c>
      <c r="AX15" s="162">
        <f t="shared" si="9"/>
        <v>0</v>
      </c>
      <c r="AY15" s="162">
        <f t="shared" si="10"/>
        <v>0</v>
      </c>
      <c r="AZ15" s="64">
        <f>IF(AH15="nd","nd",AH15*Table31520253035404550556074[[#This Row],[dilution ]]/constants!$B$3)</f>
        <v>0</v>
      </c>
      <c r="BA15" s="64"/>
      <c r="BB15" s="64"/>
      <c r="BC15" s="64">
        <f>(Table51621263136414651566175[[#This Row],[Concentration]]*constants!$C$3)/1000</f>
        <v>0</v>
      </c>
      <c r="BD15" s="64">
        <f>(Table51621263136414651566175[[#This Row],[Concentration2]]*constants!$C$6)/1000</f>
        <v>0</v>
      </c>
      <c r="BE15" s="64">
        <f>(Table51621263136414651566175[[#This Row],[Concentration3]]*constants!$C$7)/1000</f>
        <v>0</v>
      </c>
      <c r="BF15" s="64">
        <f>(Table51621263136414651566175[[#This Row],[Concentration4]]*constants!$C$8)/1000</f>
        <v>0</v>
      </c>
      <c r="BG15" s="64">
        <f>(Table51621263136414651566175[[#This Row],[Concentration5]]*constants!$C$9)/1000</f>
        <v>0</v>
      </c>
      <c r="BH15" s="64">
        <f>(Table51621263136414651566175[[#This Row],[Concentration6]]*constants!$C$10)/1000</f>
        <v>0</v>
      </c>
      <c r="BI15" s="64">
        <f>(Table51621263136414651566175[[#This Row],[Concentration7]]*constants!$C$5)</f>
        <v>0</v>
      </c>
      <c r="BJ15" s="64">
        <f>(Table51621263136414651566175[[#This Row],[Concentration8]]*3)</f>
        <v>0</v>
      </c>
      <c r="BK15" s="64">
        <f>(Table51621263136414651566175[[#This Row],[Concentration9]]*4)</f>
        <v>0</v>
      </c>
      <c r="BL15" s="64">
        <f>(Table51621263136414651566175[[#This Row],[Concentration10]]*4)</f>
        <v>0</v>
      </c>
      <c r="BM15" s="64">
        <f>(Table51621263136414651566175[[#This Row],[Concentration11]]*5)</f>
        <v>0</v>
      </c>
      <c r="BN15" s="64">
        <f>(Table51621263136414651566175[[#This Row],[Concentration12]]*5)</f>
        <v>0</v>
      </c>
      <c r="BO15" s="64">
        <f>(Table51621263136414651566175[[#This Row],[Concentration13]]*6)</f>
        <v>0</v>
      </c>
      <c r="BP15" s="64">
        <f>(Table51621263136414651566175[[#This Row],[Concentration14]]*6)</f>
        <v>0</v>
      </c>
      <c r="BQ15" s="64">
        <f>(Table51621263136414651566175[[#This Row],[Concentration15]]*7)</f>
        <v>0</v>
      </c>
      <c r="BR15" s="64">
        <f>(Table51621263136414651566175[[#This Row],[Concentration16]]*8)</f>
        <v>0</v>
      </c>
      <c r="BS15" s="64">
        <f>(Table51621263136414651566175[[#This Row],[Concentration17]]*3)/1000</f>
        <v>0</v>
      </c>
      <c r="BT15" s="47">
        <f>Table51621263136414651566175[[#This Row],[Concentration18]]/1000</f>
        <v>0</v>
      </c>
      <c r="BU15" s="47">
        <f>Table51621263136414651566175[[#This Row],[Concentration19]]/1000</f>
        <v>0</v>
      </c>
    </row>
    <row r="16" spans="1:73" s="66" customFormat="1" ht="16" thickBot="1" x14ac:dyDescent="0.4">
      <c r="A16" s="63">
        <f>Table2[[#This Row],[Date]]</f>
        <v>43347</v>
      </c>
      <c r="B16" s="169">
        <v>21</v>
      </c>
      <c r="C16" s="77">
        <v>10</v>
      </c>
      <c r="D16" s="18">
        <f>IFERROR(AVERAGE(Table31520253035[[#This Row],[Amount ]],Table3152025303540[[#This Row],[Amount ]]),0)</f>
        <v>0</v>
      </c>
      <c r="E16" s="18">
        <f>IFERROR(AVERAGE(Table31520253035[[#This Row],[Amount 2]],Table3152025303540[[#This Row],[Amount 2]]),0)</f>
        <v>0</v>
      </c>
      <c r="F16" s="18">
        <f>IFERROR(AVERAGE(Table31520253035[[#This Row],[Amount 3]],Table3152025303540[[#This Row],[Amount 3]]),0)</f>
        <v>0</v>
      </c>
      <c r="G16" s="18">
        <f>IFERROR(AVERAGE(Table31520253035[[#This Row],[Amount 4]],Table3152025303540[[#This Row],[Amount 4]]),0)</f>
        <v>0</v>
      </c>
      <c r="H16" s="18">
        <f>IFERROR(AVERAGE(Table31520253035[[#This Row],[Amount 5]],Table3152025303540[[#This Row],[Amount 5]]),0)</f>
        <v>0</v>
      </c>
      <c r="I16" s="18">
        <f>IFERROR(AVERAGE(Table31520253035[[#This Row],[Amount 6]],Table3152025303540[[#This Row],[Amount 6]]),0)</f>
        <v>0</v>
      </c>
      <c r="J16" s="18">
        <f>IFERROR(AVERAGE(Table31520253035[[#This Row],[Amount 7]],Table3152025303540[[#This Row],[Amount 7]]),0)</f>
        <v>3.524521209679083</v>
      </c>
      <c r="K16" s="18">
        <f>IFERROR(AVERAGE(Table31520253035[[#This Row],[Amount 8]],Table3152025303540[[#This Row],[Amount 8]]),0)</f>
        <v>22.0745161782324</v>
      </c>
      <c r="L16" s="18">
        <f>IFERROR(AVERAGE(Table31520253035[[#This Row],[Amount 9]],Table3152025303540[[#This Row],[Amount 9]]),0)</f>
        <v>0</v>
      </c>
      <c r="M16" s="18">
        <f>IFERROR(AVERAGE(Table31520253035[[#This Row],[Amount 10]],Table3152025303540[[#This Row],[Amount 10]]),0)</f>
        <v>0.63189024888632639</v>
      </c>
      <c r="N16" s="18">
        <f>IFERROR(AVERAGE(Table31520253035[[#This Row],[Amount 11]],Table3152025303540[[#This Row],[Amount 11]]),0)</f>
        <v>0</v>
      </c>
      <c r="O16" s="18">
        <f>IFERROR(AVERAGE(Table31520253035[[#This Row],[Amount 12]],Table3152025303540[[#This Row],[Amount 12]]),0)</f>
        <v>0</v>
      </c>
      <c r="P16" s="18">
        <f>IFERROR(AVERAGE(Table31520253035[[#This Row],[Amount 13]],Table3152025303540[[#This Row],[Amount 13]]),0)</f>
        <v>0</v>
      </c>
      <c r="Q16" s="18">
        <f>IFERROR(AVERAGE(Table31520253035[[#This Row],[Amount 14]],Table3152025303540[[#This Row],[Amount 14]]),0)</f>
        <v>1.5018178903534731</v>
      </c>
      <c r="R16" s="18">
        <f>IFERROR(AVERAGE(Table31520253035[[#This Row],[Amount 15]],Table3152025303540[[#This Row],[Amount 15]]),0)</f>
        <v>9.9302900540624767E-2</v>
      </c>
      <c r="S16" s="18">
        <f>IFERROR(AVERAGE(Table31520253035[[#This Row],[Amount 16]],Table3152025303540[[#This Row],[Amount 16]]),0)</f>
        <v>0.83599998813373744</v>
      </c>
      <c r="T16" s="18">
        <f>IFERROR(AVERAGE(Table31520253035[[#This Row],[Amount 17]],Table3152025303540[[#This Row],[Amount 17]]),0)</f>
        <v>0</v>
      </c>
      <c r="U16" s="18">
        <f>IFERROR(AVERAGE(Table31520253035[[#This Row],[Amount 18]],Table3152025303540[[#This Row],[Amount 18]]),0)</f>
        <v>0</v>
      </c>
      <c r="V16" s="18">
        <f>IFERROR(AVERAGE(Table31520253035[[#This Row],[Amount 19]],Table3152025303540[[#This Row],[Amount 19]]),0)</f>
        <v>0</v>
      </c>
      <c r="W16" s="18">
        <f>IFERROR(AVERAGE(Table31520253035[[#This Row],[Ret.Time ]],Table3152025303540[[#This Row],[Ret.Time ]]),0)</f>
        <v>0</v>
      </c>
      <c r="X16" s="18">
        <f>IFERROR(AVERAGE(Table31520253035[[#This Row],[Amount 20]],Table3152025303540[[#This Row],[Amount 20]]),0)</f>
        <v>0</v>
      </c>
      <c r="Y16" s="18">
        <f>IFERROR(AVERAGE(Table31520253035[[#This Row],[Ret.Time]],Table3152025303540[[#This Row],[Ret.Time]]),0)</f>
        <v>0</v>
      </c>
      <c r="Z16" s="18">
        <f>IFERROR(AVERAGE(Table31520253035[[#This Row],[Amount 21]],Table3152025303540[[#This Row],[Amount 21]]),0)</f>
        <v>0</v>
      </c>
      <c r="AA16" s="18">
        <f>IFERROR(AVERAGE(Table31520253035[[#This Row],[Ret.Time22]],Table3152025303540[[#This Row],[Ret.Time22]]),0)</f>
        <v>0</v>
      </c>
      <c r="AB16" s="18">
        <f>IFERROR(AVERAGE(Table31520253035[[#This Row],[Amount 23]],Table3152025303540[[#This Row],[Amount 23]]),0)</f>
        <v>0</v>
      </c>
      <c r="AC16" s="18">
        <f>IFERROR(AVERAGE(Table31520253035[[#This Row],[Ret.Time24]],Table3152025303540[[#This Row],[Ret.Time24]]),0)</f>
        <v>0</v>
      </c>
      <c r="AD16" s="18">
        <f>IFERROR(AVERAGE(Table31520253035[[#This Row],[Amount 25]],Table3152025303540[[#This Row],[Amount 25]]),0)</f>
        <v>0</v>
      </c>
      <c r="AE16" s="18">
        <f>IFERROR(AVERAGE(Table31520253035[[#This Row],[pH]],Table3152025303540[[#This Row],[pH]]),0)</f>
        <v>7.0649999999999995</v>
      </c>
      <c r="AF16" s="18">
        <f>IFERROR(AVERAGE(Table31520253035[[#This Row],[dilution ]],Table3152025303540[[#This Row],[dilution ]]),0)</f>
        <v>0</v>
      </c>
      <c r="AG16" s="18">
        <f>IFERROR(AVERAGE(Table31520253035[[#This Row],[retention]],Table3152025303540[[#This Row],[retention]]),0)</f>
        <v>0</v>
      </c>
      <c r="AH16" s="18">
        <f>IFERROR(AVERAGE(Table31520253035[[#This Row],[amount]],Table3152025303540[[#This Row],[amount]]),0)</f>
        <v>0</v>
      </c>
      <c r="AI16" s="18">
        <f>IFERROR(AVERAGE(Table31520253035[[#This Row],[pressure]],Table3152025303540[[#This Row],[pressure]]),0)</f>
        <v>0</v>
      </c>
      <c r="AJ16" s="64">
        <f>IF(D16="nd","nd",D16*$C16/constants!$B$3)</f>
        <v>0</v>
      </c>
      <c r="AK16" s="64">
        <f>IF(E16="nd","nd",E16*$C16/constants!$B$6)</f>
        <v>0</v>
      </c>
      <c r="AL16" s="64">
        <f>IF(F16="nd","nd",F16*$C16/constants!$B$7)</f>
        <v>0</v>
      </c>
      <c r="AM16" s="64">
        <f>IF(G16="nd","nd",G16*$C16/constants!$B$8)</f>
        <v>0</v>
      </c>
      <c r="AN16" s="64">
        <f>IF(H16="nd","nd",H16*$C16/constants!$B$9)</f>
        <v>0</v>
      </c>
      <c r="AO16" s="64">
        <f>IF(I16="nd","nd",I16*$C16/constants!$B$10)</f>
        <v>0</v>
      </c>
      <c r="AP16" s="162">
        <f t="shared" si="1"/>
        <v>3.524521209679083E-2</v>
      </c>
      <c r="AQ16" s="162">
        <f t="shared" si="2"/>
        <v>0.22074516178232401</v>
      </c>
      <c r="AR16" s="162">
        <f t="shared" si="3"/>
        <v>0</v>
      </c>
      <c r="AS16" s="162">
        <f t="shared" si="4"/>
        <v>6.3189024888632645E-3</v>
      </c>
      <c r="AT16" s="162">
        <f t="shared" si="5"/>
        <v>0</v>
      </c>
      <c r="AU16" s="162">
        <f t="shared" si="6"/>
        <v>0</v>
      </c>
      <c r="AV16" s="162">
        <f t="shared" si="7"/>
        <v>0</v>
      </c>
      <c r="AW16" s="162">
        <f t="shared" si="8"/>
        <v>1.5018178903534731E-2</v>
      </c>
      <c r="AX16" s="162">
        <f t="shared" si="9"/>
        <v>9.9302900540624759E-4</v>
      </c>
      <c r="AY16" s="162">
        <f t="shared" si="10"/>
        <v>8.3599998813373745E-3</v>
      </c>
      <c r="AZ16" s="64">
        <f>IF(AH16="nd","nd",AH16*Table31520253035404550556074[[#This Row],[dilution ]]/constants!$B$3)</f>
        <v>0</v>
      </c>
      <c r="BA16" s="64"/>
      <c r="BB16" s="64"/>
      <c r="BC16" s="64">
        <f>(Table51621263136414651566175[[#This Row],[Concentration]]*constants!$C$3)/1000</f>
        <v>0</v>
      </c>
      <c r="BD16" s="64">
        <f>(Table51621263136414651566175[[#This Row],[Concentration2]]*constants!$C$6)/1000</f>
        <v>0</v>
      </c>
      <c r="BE16" s="64">
        <f>(Table51621263136414651566175[[#This Row],[Concentration3]]*constants!$C$7)/1000</f>
        <v>0</v>
      </c>
      <c r="BF16" s="64">
        <f>(Table51621263136414651566175[[#This Row],[Concentration4]]*constants!$C$8)/1000</f>
        <v>0</v>
      </c>
      <c r="BG16" s="64">
        <f>(Table51621263136414651566175[[#This Row],[Concentration5]]*constants!$C$9)/1000</f>
        <v>0</v>
      </c>
      <c r="BH16" s="64">
        <f>(Table51621263136414651566175[[#This Row],[Concentration6]]*constants!$C$10)/1000</f>
        <v>0</v>
      </c>
      <c r="BI16" s="64">
        <f>(Table51621263136414651566175[[#This Row],[Concentration7]]*constants!$C$5)</f>
        <v>7.0490424193581661E-2</v>
      </c>
      <c r="BJ16" s="64">
        <f>(Table51621263136414651566175[[#This Row],[Concentration8]]*3)</f>
        <v>0.66223548534697207</v>
      </c>
      <c r="BK16" s="64">
        <f>(Table51621263136414651566175[[#This Row],[Concentration9]]*4)</f>
        <v>0</v>
      </c>
      <c r="BL16" s="64">
        <f>(Table51621263136414651566175[[#This Row],[Concentration10]]*4)</f>
        <v>2.5275609955453058E-2</v>
      </c>
      <c r="BM16" s="64">
        <f>(Table51621263136414651566175[[#This Row],[Concentration11]]*5)</f>
        <v>0</v>
      </c>
      <c r="BN16" s="64">
        <f>(Table51621263136414651566175[[#This Row],[Concentration12]]*5)</f>
        <v>0</v>
      </c>
      <c r="BO16" s="64">
        <f>(Table51621263136414651566175[[#This Row],[Concentration13]]*6)</f>
        <v>0</v>
      </c>
      <c r="BP16" s="64">
        <f>(Table51621263136414651566175[[#This Row],[Concentration14]]*6)</f>
        <v>9.0109073421208385E-2</v>
      </c>
      <c r="BQ16" s="64">
        <f>(Table51621263136414651566175[[#This Row],[Concentration15]]*7)</f>
        <v>6.9512030378437329E-3</v>
      </c>
      <c r="BR16" s="64">
        <f>(Table51621263136414651566175[[#This Row],[Concentration16]]*8)</f>
        <v>6.6879999050698996E-2</v>
      </c>
      <c r="BS16" s="64">
        <f>(Table51621263136414651566175[[#This Row],[Concentration17]]*3)/1000</f>
        <v>0</v>
      </c>
      <c r="BT16" s="47">
        <f>Table51621263136414651566175[[#This Row],[Concentration18]]/1000</f>
        <v>0</v>
      </c>
      <c r="BU16" s="47">
        <f>Table51621263136414651566175[[#This Row],[Concentration19]]/1000</f>
        <v>0</v>
      </c>
    </row>
    <row r="17" spans="1:73" s="47" customFormat="1" ht="16" thickBot="1" x14ac:dyDescent="0.4">
      <c r="A17" s="63" t="str">
        <f>Table2[[#This Row],[Date]]</f>
        <v>13-04</v>
      </c>
      <c r="B17" s="169">
        <f>Table2[[#This Row],[Time]]</f>
        <v>26</v>
      </c>
      <c r="C17" s="41">
        <v>10</v>
      </c>
      <c r="D17" s="18">
        <f>IFERROR(AVERAGE(Table31520253035[[#This Row],[Amount ]],Table3152025303540[[#This Row],[Amount ]]),0)</f>
        <v>0</v>
      </c>
      <c r="E17" s="18">
        <f>IFERROR(AVERAGE(Table31520253035[[#This Row],[Amount 2]],Table3152025303540[[#This Row],[Amount 2]]),0)</f>
        <v>0</v>
      </c>
      <c r="F17" s="18">
        <f>IFERROR(AVERAGE(Table31520253035[[#This Row],[Amount 3]],Table3152025303540[[#This Row],[Amount 3]]),0)</f>
        <v>0</v>
      </c>
      <c r="G17" s="18">
        <f>IFERROR(AVERAGE(Table31520253035[[#This Row],[Amount 4]],Table3152025303540[[#This Row],[Amount 4]]),0)</f>
        <v>0</v>
      </c>
      <c r="H17" s="18">
        <f>IFERROR(AVERAGE(Table31520253035[[#This Row],[Amount 5]],Table3152025303540[[#This Row],[Amount 5]]),0)</f>
        <v>0</v>
      </c>
      <c r="I17" s="18">
        <f>IFERROR(AVERAGE(Table31520253035[[#This Row],[Amount 6]],Table3152025303540[[#This Row],[Amount 6]]),0)</f>
        <v>0</v>
      </c>
      <c r="J17" s="18">
        <f>IFERROR(AVERAGE(Table31520253035[[#This Row],[Amount 7]],Table3152025303540[[#This Row],[Amount 7]]),0)</f>
        <v>10.581372478051577</v>
      </c>
      <c r="K17" s="18">
        <f>IFERROR(AVERAGE(Table31520253035[[#This Row],[Amount 8]],Table3152025303540[[#This Row],[Amount 8]]),0)</f>
        <v>12.011533252512947</v>
      </c>
      <c r="L17" s="18">
        <f>IFERROR(AVERAGE(Table31520253035[[#This Row],[Amount 9]],Table3152025303540[[#This Row],[Amount 9]]),0)</f>
        <v>0</v>
      </c>
      <c r="M17" s="18">
        <f>IFERROR(AVERAGE(Table31520253035[[#This Row],[Amount 10]],Table3152025303540[[#This Row],[Amount 10]]),0)</f>
        <v>0</v>
      </c>
      <c r="N17" s="18">
        <f>IFERROR(AVERAGE(Table31520253035[[#This Row],[Amount 11]],Table3152025303540[[#This Row],[Amount 11]]),0)</f>
        <v>0</v>
      </c>
      <c r="O17" s="18">
        <f>IFERROR(AVERAGE(Table31520253035[[#This Row],[Amount 12]],Table3152025303540[[#This Row],[Amount 12]]),0)</f>
        <v>0</v>
      </c>
      <c r="P17" s="18">
        <f>IFERROR(AVERAGE(Table31520253035[[#This Row],[Amount 13]],Table3152025303540[[#This Row],[Amount 13]]),0)</f>
        <v>0</v>
      </c>
      <c r="Q17" s="18">
        <f>IFERROR(AVERAGE(Table31520253035[[#This Row],[Amount 14]],Table3152025303540[[#This Row],[Amount 14]]),0)</f>
        <v>1.2277972428579669</v>
      </c>
      <c r="R17" s="18">
        <f>IFERROR(AVERAGE(Table31520253035[[#This Row],[Amount 15]],Table3152025303540[[#This Row],[Amount 15]]),0)</f>
        <v>0</v>
      </c>
      <c r="S17" s="18">
        <f>IFERROR(AVERAGE(Table31520253035[[#This Row],[Amount 16]],Table3152025303540[[#This Row],[Amount 16]]),0)</f>
        <v>0</v>
      </c>
      <c r="T17" s="18">
        <f>IFERROR(AVERAGE(Table31520253035[[#This Row],[Amount 17]],Table3152025303540[[#This Row],[Amount 17]]),0)</f>
        <v>0</v>
      </c>
      <c r="U17" s="18">
        <f>IFERROR(AVERAGE(Table31520253035[[#This Row],[Amount 18]],Table3152025303540[[#This Row],[Amount 18]]),0)</f>
        <v>0</v>
      </c>
      <c r="V17" s="18">
        <f>IFERROR(AVERAGE(Table31520253035[[#This Row],[Amount 19]],Table3152025303540[[#This Row],[Amount 19]]),0)</f>
        <v>0</v>
      </c>
      <c r="W17" s="18">
        <f>IFERROR(AVERAGE(Table31520253035[[#This Row],[Ret.Time ]],Table3152025303540[[#This Row],[Ret.Time ]]),0)</f>
        <v>0</v>
      </c>
      <c r="X17" s="18">
        <f>IFERROR(AVERAGE(Table31520253035[[#This Row],[Amount 20]],Table3152025303540[[#This Row],[Amount 20]]),0)</f>
        <v>0</v>
      </c>
      <c r="Y17" s="18">
        <f>IFERROR(AVERAGE(Table31520253035[[#This Row],[Ret.Time]],Table3152025303540[[#This Row],[Ret.Time]]),0)</f>
        <v>0</v>
      </c>
      <c r="Z17" s="18">
        <f>IFERROR(AVERAGE(Table31520253035[[#This Row],[Amount 21]],Table3152025303540[[#This Row],[Amount 21]]),0)</f>
        <v>0</v>
      </c>
      <c r="AA17" s="18">
        <f>IFERROR(AVERAGE(Table31520253035[[#This Row],[Ret.Time22]],Table3152025303540[[#This Row],[Ret.Time22]]),0)</f>
        <v>0</v>
      </c>
      <c r="AB17" s="18">
        <f>IFERROR(AVERAGE(Table31520253035[[#This Row],[Amount 23]],Table3152025303540[[#This Row],[Amount 23]]),0)</f>
        <v>0</v>
      </c>
      <c r="AC17" s="18">
        <f>IFERROR(AVERAGE(Table31520253035[[#This Row],[Ret.Time24]],Table3152025303540[[#This Row],[Ret.Time24]]),0)</f>
        <v>0</v>
      </c>
      <c r="AD17" s="18">
        <f>IFERROR(AVERAGE(Table31520253035[[#This Row],[Amount 25]],Table3152025303540[[#This Row],[Amount 25]]),0)</f>
        <v>0</v>
      </c>
      <c r="AE17" s="18">
        <f>IFERROR(AVERAGE(Table31520253035[[#This Row],[pH]],Table3152025303540[[#This Row],[pH]]),0)</f>
        <v>7.0350000000000001</v>
      </c>
      <c r="AF17" s="18">
        <f>IFERROR(AVERAGE(Table31520253035[[#This Row],[dilution ]],Table3152025303540[[#This Row],[dilution ]]),0)</f>
        <v>0</v>
      </c>
      <c r="AG17" s="18">
        <f>IFERROR(AVERAGE(Table31520253035[[#This Row],[retention]],Table3152025303540[[#This Row],[retention]]),0)</f>
        <v>0</v>
      </c>
      <c r="AH17" s="18">
        <f>IFERROR(AVERAGE(Table31520253035[[#This Row],[amount]],Table3152025303540[[#This Row],[amount]]),0)</f>
        <v>0</v>
      </c>
      <c r="AI17" s="18">
        <f>IFERROR(AVERAGE(Table31520253035[[#This Row],[pressure]],Table3152025303540[[#This Row],[pressure]]),0)</f>
        <v>0</v>
      </c>
      <c r="AJ17" s="64">
        <f>IF(D17="nd","nd",D17*$C17/constants!$B$3)</f>
        <v>0</v>
      </c>
      <c r="AK17" s="64">
        <f>IF(E17="nd","nd",E17*$C17/constants!$B$6)</f>
        <v>0</v>
      </c>
      <c r="AL17" s="64">
        <f>IF(F17="nd","nd",F17*$C17/constants!$B$7)</f>
        <v>0</v>
      </c>
      <c r="AM17" s="64">
        <f>IF(G17="nd","nd",G17*$C17/constants!$B$8)</f>
        <v>0</v>
      </c>
      <c r="AN17" s="64">
        <f>IF(H17="nd","nd",H17*$C17/constants!$B$9)</f>
        <v>0</v>
      </c>
      <c r="AO17" s="64">
        <f>IF(I17="nd","nd",I17*$C17/constants!$B$10)</f>
        <v>0</v>
      </c>
      <c r="AP17" s="162">
        <f t="shared" si="1"/>
        <v>0.10581372478051577</v>
      </c>
      <c r="AQ17" s="162">
        <f t="shared" si="2"/>
        <v>0.12011533252512947</v>
      </c>
      <c r="AR17" s="162">
        <f t="shared" si="3"/>
        <v>0</v>
      </c>
      <c r="AS17" s="162">
        <f t="shared" si="4"/>
        <v>0</v>
      </c>
      <c r="AT17" s="162">
        <f t="shared" si="5"/>
        <v>0</v>
      </c>
      <c r="AU17" s="162">
        <f t="shared" si="6"/>
        <v>0</v>
      </c>
      <c r="AV17" s="162">
        <f t="shared" si="7"/>
        <v>0</v>
      </c>
      <c r="AW17" s="162">
        <f t="shared" si="8"/>
        <v>1.227797242857967E-2</v>
      </c>
      <c r="AX17" s="162">
        <f t="shared" si="9"/>
        <v>0</v>
      </c>
      <c r="AY17" s="162">
        <f t="shared" si="10"/>
        <v>0</v>
      </c>
      <c r="AZ17" s="64">
        <f>IF(AH17="nd","nd",AH17*Table31520253035404550556074[[#This Row],[dilution ]]/constants!$B$3)</f>
        <v>0</v>
      </c>
      <c r="BA17" s="64"/>
      <c r="BB17" s="64"/>
      <c r="BC17" s="64">
        <f>(Table51621263136414651566175[[#This Row],[Concentration]]*constants!$C$3)/1000</f>
        <v>0</v>
      </c>
      <c r="BD17" s="64">
        <f>(Table51621263136414651566175[[#This Row],[Concentration2]]*constants!$C$6)/1000</f>
        <v>0</v>
      </c>
      <c r="BE17" s="64">
        <f>(Table51621263136414651566175[[#This Row],[Concentration3]]*constants!$C$7)/1000</f>
        <v>0</v>
      </c>
      <c r="BF17" s="64">
        <f>(Table51621263136414651566175[[#This Row],[Concentration4]]*constants!$C$8)/1000</f>
        <v>0</v>
      </c>
      <c r="BG17" s="64">
        <f>(Table51621263136414651566175[[#This Row],[Concentration5]]*constants!$C$9)/1000</f>
        <v>0</v>
      </c>
      <c r="BH17" s="64">
        <f>(Table51621263136414651566175[[#This Row],[Concentration6]]*constants!$C$10)/1000</f>
        <v>0</v>
      </c>
      <c r="BI17" s="64">
        <f>(Table51621263136414651566175[[#This Row],[Concentration7]]*constants!$C$5)</f>
        <v>0.21162744956103155</v>
      </c>
      <c r="BJ17" s="64">
        <f>(Table51621263136414651566175[[#This Row],[Concentration8]]*3)</f>
        <v>0.36034599757538843</v>
      </c>
      <c r="BK17" s="64">
        <f>(Table51621263136414651566175[[#This Row],[Concentration9]]*4)</f>
        <v>0</v>
      </c>
      <c r="BL17" s="64">
        <f>(Table51621263136414651566175[[#This Row],[Concentration10]]*4)</f>
        <v>0</v>
      </c>
      <c r="BM17" s="64">
        <f>(Table51621263136414651566175[[#This Row],[Concentration11]]*5)</f>
        <v>0</v>
      </c>
      <c r="BN17" s="64">
        <f>(Table51621263136414651566175[[#This Row],[Concentration12]]*5)</f>
        <v>0</v>
      </c>
      <c r="BO17" s="64">
        <f>(Table51621263136414651566175[[#This Row],[Concentration13]]*6)</f>
        <v>0</v>
      </c>
      <c r="BP17" s="64">
        <f>(Table51621263136414651566175[[#This Row],[Concentration14]]*6)</f>
        <v>7.3667834571478019E-2</v>
      </c>
      <c r="BQ17" s="64">
        <f>(Table51621263136414651566175[[#This Row],[Concentration15]]*7)</f>
        <v>0</v>
      </c>
      <c r="BR17" s="64">
        <f>(Table51621263136414651566175[[#This Row],[Concentration16]]*8)</f>
        <v>0</v>
      </c>
      <c r="BS17" s="64">
        <f>(Table51621263136414651566175[[#This Row],[Concentration17]]*3)/1000</f>
        <v>0</v>
      </c>
      <c r="BT17" s="47">
        <f>Table51621263136414651566175[[#This Row],[Concentration18]]/1000</f>
        <v>0</v>
      </c>
      <c r="BU17" s="47">
        <f>Table51621263136414651566175[[#This Row],[Concentration19]]/1000</f>
        <v>0</v>
      </c>
    </row>
    <row r="18" spans="1:73" s="66" customFormat="1" ht="16" thickBot="1" x14ac:dyDescent="0.4">
      <c r="A18" s="63" t="str">
        <f>Table2[[#This Row],[Date]]</f>
        <v>16-04</v>
      </c>
      <c r="B18" s="169">
        <f>Table2[[#This Row],[Time]]</f>
        <v>29</v>
      </c>
      <c r="C18" s="79">
        <v>10</v>
      </c>
      <c r="D18" s="18">
        <f>IFERROR(AVERAGE(Table31520253035[[#This Row],[Amount ]],Table3152025303540[[#This Row],[Amount ]]),0)</f>
        <v>0</v>
      </c>
      <c r="E18" s="18">
        <f>IFERROR(AVERAGE(Table31520253035[[#This Row],[Amount 2]],Table3152025303540[[#This Row],[Amount 2]]),0)</f>
        <v>0</v>
      </c>
      <c r="F18" s="18">
        <f>IFERROR(AVERAGE(Table31520253035[[#This Row],[Amount 3]],Table3152025303540[[#This Row],[Amount 3]]),0)</f>
        <v>0</v>
      </c>
      <c r="G18" s="18">
        <f>IFERROR(AVERAGE(Table31520253035[[#This Row],[Amount 4]],Table3152025303540[[#This Row],[Amount 4]]),0)</f>
        <v>0</v>
      </c>
      <c r="H18" s="18">
        <f>IFERROR(AVERAGE(Table31520253035[[#This Row],[Amount 5]],Table3152025303540[[#This Row],[Amount 5]]),0)</f>
        <v>0</v>
      </c>
      <c r="I18" s="18">
        <f>IFERROR(AVERAGE(Table31520253035[[#This Row],[Amount 6]],Table3152025303540[[#This Row],[Amount 6]]),0)</f>
        <v>0</v>
      </c>
      <c r="J18" s="18">
        <f>IFERROR(AVERAGE(Table31520253035[[#This Row],[Amount 7]],Table3152025303540[[#This Row],[Amount 7]]),0)</f>
        <v>1.613083767361111E-2</v>
      </c>
      <c r="K18" s="18">
        <f>IFERROR(AVERAGE(Table31520253035[[#This Row],[Amount 8]],Table3152025303540[[#This Row],[Amount 8]]),0)</f>
        <v>0.12846683485243054</v>
      </c>
      <c r="L18" s="18">
        <f>IFERROR(AVERAGE(Table31520253035[[#This Row],[Amount 9]],Table3152025303540[[#This Row],[Amount 9]]),0)</f>
        <v>0</v>
      </c>
      <c r="M18" s="18">
        <f>IFERROR(AVERAGE(Table31520253035[[#This Row],[Amount 10]],Table3152025303540[[#This Row],[Amount 10]]),0)</f>
        <v>5.5390950520833324E-3</v>
      </c>
      <c r="N18" s="18">
        <f>IFERROR(AVERAGE(Table31520253035[[#This Row],[Amount 11]],Table3152025303540[[#This Row],[Amount 11]]),0)</f>
        <v>0</v>
      </c>
      <c r="O18" s="18">
        <f>IFERROR(AVERAGE(Table31520253035[[#This Row],[Amount 12]],Table3152025303540[[#This Row],[Amount 12]]),0)</f>
        <v>0</v>
      </c>
      <c r="P18" s="18">
        <f>IFERROR(AVERAGE(Table31520253035[[#This Row],[Amount 13]],Table3152025303540[[#This Row],[Amount 13]]),0)</f>
        <v>0</v>
      </c>
      <c r="Q18" s="18">
        <f>IFERROR(AVERAGE(Table31520253035[[#This Row],[Amount 14]],Table3152025303540[[#This Row],[Amount 14]]),0)</f>
        <v>1.1022287326388911E-2</v>
      </c>
      <c r="R18" s="18">
        <f>IFERROR(AVERAGE(Table31520253035[[#This Row],[Amount 15]],Table3152025303540[[#This Row],[Amount 15]]),0)</f>
        <v>0</v>
      </c>
      <c r="S18" s="18">
        <f>IFERROR(AVERAGE(Table31520253035[[#This Row],[Amount 16]],Table3152025303540[[#This Row],[Amount 16]]),0)</f>
        <v>0</v>
      </c>
      <c r="T18" s="18">
        <f>IFERROR(AVERAGE(Table31520253035[[#This Row],[Amount 17]],Table3152025303540[[#This Row],[Amount 17]]),0)</f>
        <v>0</v>
      </c>
      <c r="U18" s="18">
        <f>IFERROR(AVERAGE(Table31520253035[[#This Row],[Amount 18]],Table3152025303540[[#This Row],[Amount 18]]),0)</f>
        <v>0</v>
      </c>
      <c r="V18" s="18">
        <f>IFERROR(AVERAGE(Table31520253035[[#This Row],[Amount 19]],Table3152025303540[[#This Row],[Amount 19]]),0)</f>
        <v>0</v>
      </c>
      <c r="W18" s="18">
        <f>IFERROR(AVERAGE(Table31520253035[[#This Row],[Ret.Time ]],Table3152025303540[[#This Row],[Ret.Time ]]),0)</f>
        <v>0</v>
      </c>
      <c r="X18" s="18">
        <f>IFERROR(AVERAGE(Table31520253035[[#This Row],[Amount 20]],Table3152025303540[[#This Row],[Amount 20]]),0)</f>
        <v>0</v>
      </c>
      <c r="Y18" s="18">
        <f>IFERROR(AVERAGE(Table31520253035[[#This Row],[Ret.Time]],Table3152025303540[[#This Row],[Ret.Time]]),0)</f>
        <v>0</v>
      </c>
      <c r="Z18" s="18">
        <f>IFERROR(AVERAGE(Table31520253035[[#This Row],[Amount 21]],Table3152025303540[[#This Row],[Amount 21]]),0)</f>
        <v>0</v>
      </c>
      <c r="AA18" s="18">
        <f>IFERROR(AVERAGE(Table31520253035[[#This Row],[Ret.Time22]],Table3152025303540[[#This Row],[Ret.Time22]]),0)</f>
        <v>0</v>
      </c>
      <c r="AB18" s="18">
        <f>IFERROR(AVERAGE(Table31520253035[[#This Row],[Amount 23]],Table3152025303540[[#This Row],[Amount 23]]),0)</f>
        <v>0</v>
      </c>
      <c r="AC18" s="18">
        <f>IFERROR(AVERAGE(Table31520253035[[#This Row],[Ret.Time24]],Table3152025303540[[#This Row],[Ret.Time24]]),0)</f>
        <v>0</v>
      </c>
      <c r="AD18" s="18">
        <f>IFERROR(AVERAGE(Table31520253035[[#This Row],[Amount 25]],Table3152025303540[[#This Row],[Amount 25]]),0)</f>
        <v>0</v>
      </c>
      <c r="AE18" s="18">
        <f>IFERROR(AVERAGE(Table31520253035[[#This Row],[pH]],Table3152025303540[[#This Row],[pH]]),0)</f>
        <v>7.0150000000000006</v>
      </c>
      <c r="AF18" s="18">
        <f>IFERROR(AVERAGE(Table31520253035[[#This Row],[dilution ]],Table3152025303540[[#This Row],[dilution ]]),0)</f>
        <v>0</v>
      </c>
      <c r="AG18" s="18">
        <f>IFERROR(AVERAGE(Table31520253035[[#This Row],[retention]],Table3152025303540[[#This Row],[retention]]),0)</f>
        <v>0</v>
      </c>
      <c r="AH18" s="18">
        <f>IFERROR(AVERAGE(Table31520253035[[#This Row],[amount]],Table3152025303540[[#This Row],[amount]]),0)</f>
        <v>0</v>
      </c>
      <c r="AI18" s="18">
        <f>IFERROR(AVERAGE(Table31520253035[[#This Row],[pressure]],Table3152025303540[[#This Row],[pressure]]),0)</f>
        <v>0</v>
      </c>
      <c r="AJ18" s="64">
        <f>IF(D18="nd","nd",D18*$C18/constants!$B$3)</f>
        <v>0</v>
      </c>
      <c r="AK18" s="64">
        <f>IF(E18="nd","nd",E18*$C18/constants!$B$6)</f>
        <v>0</v>
      </c>
      <c r="AL18" s="64">
        <f>IF(F18="nd","nd",F18*$C18/constants!$B$7)</f>
        <v>0</v>
      </c>
      <c r="AM18" s="64">
        <f>IF(G18="nd","nd",G18*$C18/constants!$B$8)</f>
        <v>0</v>
      </c>
      <c r="AN18" s="64">
        <f>IF(H18="nd","nd",H18*$C18/constants!$B$9)</f>
        <v>0</v>
      </c>
      <c r="AO18" s="64">
        <f>IF(I18="nd","nd",I18*$C18/constants!$B$10)</f>
        <v>0</v>
      </c>
      <c r="AP18" s="162">
        <f t="shared" si="1"/>
        <v>1.6130837673611109E-4</v>
      </c>
      <c r="AQ18" s="162">
        <f t="shared" si="2"/>
        <v>1.2846683485243054E-3</v>
      </c>
      <c r="AR18" s="162">
        <f t="shared" si="3"/>
        <v>0</v>
      </c>
      <c r="AS18" s="162">
        <f t="shared" si="4"/>
        <v>5.5390950520833324E-5</v>
      </c>
      <c r="AT18" s="162">
        <f t="shared" si="5"/>
        <v>0</v>
      </c>
      <c r="AU18" s="162">
        <f t="shared" si="6"/>
        <v>0</v>
      </c>
      <c r="AV18" s="162">
        <f t="shared" si="7"/>
        <v>0</v>
      </c>
      <c r="AW18" s="162">
        <f t="shared" si="8"/>
        <v>1.102228732638891E-4</v>
      </c>
      <c r="AX18" s="162">
        <f t="shared" si="9"/>
        <v>0</v>
      </c>
      <c r="AY18" s="162">
        <f t="shared" si="10"/>
        <v>0</v>
      </c>
      <c r="AZ18" s="64">
        <f>IF(AH18="nd","nd",AH18*Table31520253035404550556074[[#This Row],[dilution ]]/constants!$B$3)</f>
        <v>0</v>
      </c>
      <c r="BA18" s="64"/>
      <c r="BB18" s="64"/>
      <c r="BC18" s="64">
        <f>(Table51621263136414651566175[[#This Row],[Concentration]]*constants!$C$3)/1000</f>
        <v>0</v>
      </c>
      <c r="BD18" s="64">
        <f>(Table51621263136414651566175[[#This Row],[Concentration2]]*constants!$C$6)/1000</f>
        <v>0</v>
      </c>
      <c r="BE18" s="64">
        <f>(Table51621263136414651566175[[#This Row],[Concentration3]]*constants!$C$7)/1000</f>
        <v>0</v>
      </c>
      <c r="BF18" s="64">
        <f>(Table51621263136414651566175[[#This Row],[Concentration4]]*constants!$C$8)/1000</f>
        <v>0</v>
      </c>
      <c r="BG18" s="64">
        <f>(Table51621263136414651566175[[#This Row],[Concentration5]]*constants!$C$9)/1000</f>
        <v>0</v>
      </c>
      <c r="BH18" s="64">
        <f>(Table51621263136414651566175[[#This Row],[Concentration6]]*constants!$C$10)/1000</f>
        <v>0</v>
      </c>
      <c r="BI18" s="64">
        <f>(Table51621263136414651566175[[#This Row],[Concentration7]]*constants!$C$5)</f>
        <v>3.2261675347222218E-4</v>
      </c>
      <c r="BJ18" s="64">
        <f>(Table51621263136414651566175[[#This Row],[Concentration8]]*3)</f>
        <v>3.8540050455729163E-3</v>
      </c>
      <c r="BK18" s="64">
        <f>(Table51621263136414651566175[[#This Row],[Concentration9]]*4)</f>
        <v>0</v>
      </c>
      <c r="BL18" s="64">
        <f>(Table51621263136414651566175[[#This Row],[Concentration10]]*4)</f>
        <v>2.215638020833333E-4</v>
      </c>
      <c r="BM18" s="64">
        <f>(Table51621263136414651566175[[#This Row],[Concentration11]]*5)</f>
        <v>0</v>
      </c>
      <c r="BN18" s="64">
        <f>(Table51621263136414651566175[[#This Row],[Concentration12]]*5)</f>
        <v>0</v>
      </c>
      <c r="BO18" s="64">
        <f>(Table51621263136414651566175[[#This Row],[Concentration13]]*6)</f>
        <v>0</v>
      </c>
      <c r="BP18" s="64">
        <f>(Table51621263136414651566175[[#This Row],[Concentration14]]*6)</f>
        <v>6.6133723958333463E-4</v>
      </c>
      <c r="BQ18" s="64">
        <f>(Table51621263136414651566175[[#This Row],[Concentration15]]*7)</f>
        <v>0</v>
      </c>
      <c r="BR18" s="64">
        <f>(Table51621263136414651566175[[#This Row],[Concentration16]]*8)</f>
        <v>0</v>
      </c>
      <c r="BS18" s="64">
        <f>(Table51621263136414651566175[[#This Row],[Concentration17]]*3)/1000</f>
        <v>0</v>
      </c>
      <c r="BT18" s="47">
        <f>Table51621263136414651566175[[#This Row],[Concentration18]]/1000</f>
        <v>0</v>
      </c>
      <c r="BU18" s="47">
        <f>Table51621263136414651566175[[#This Row],[Concentration19]]/1000</f>
        <v>0</v>
      </c>
    </row>
    <row r="19" spans="1:73" s="47" customFormat="1" ht="16" thickBot="1" x14ac:dyDescent="0.4">
      <c r="A19" s="63" t="str">
        <f>Table2[[#This Row],[Date]]</f>
        <v>19-04</v>
      </c>
      <c r="B19" s="169">
        <f>Table2[[#This Row],[Time]]</f>
        <v>32</v>
      </c>
      <c r="C19" s="54">
        <v>10</v>
      </c>
      <c r="D19" s="18">
        <f>IFERROR(AVERAGE(Table31520253035[[#This Row],[Amount ]],Table3152025303540[[#This Row],[Amount ]]),0)</f>
        <v>0</v>
      </c>
      <c r="E19" s="18">
        <f>IFERROR(AVERAGE(Table31520253035[[#This Row],[Amount 2]],Table3152025303540[[#This Row],[Amount 2]]),0)</f>
        <v>0</v>
      </c>
      <c r="F19" s="18">
        <f>IFERROR(AVERAGE(Table31520253035[[#This Row],[Amount 3]],Table3152025303540[[#This Row],[Amount 3]]),0)</f>
        <v>0</v>
      </c>
      <c r="G19" s="18">
        <f>IFERROR(AVERAGE(Table31520253035[[#This Row],[Amount 4]],Table3152025303540[[#This Row],[Amount 4]]),0)</f>
        <v>0</v>
      </c>
      <c r="H19" s="18">
        <f>IFERROR(AVERAGE(Table31520253035[[#This Row],[Amount 5]],Table3152025303540[[#This Row],[Amount 5]]),0)</f>
        <v>0</v>
      </c>
      <c r="I19" s="18">
        <f>IFERROR(AVERAGE(Table31520253035[[#This Row],[Amount 6]],Table3152025303540[[#This Row],[Amount 6]]),0)</f>
        <v>0</v>
      </c>
      <c r="J19" s="18">
        <f>IFERROR(AVERAGE(Table31520253035[[#This Row],[Amount 7]],Table3152025303540[[#This Row],[Amount 7]]),0)</f>
        <v>4.3950342164156346</v>
      </c>
      <c r="K19" s="18">
        <f>IFERROR(AVERAGE(Table31520253035[[#This Row],[Amount 8]],Table3152025303540[[#This Row],[Amount 8]]),0)</f>
        <v>12.666447539195048</v>
      </c>
      <c r="L19" s="18">
        <f>IFERROR(AVERAGE(Table31520253035[[#This Row],[Amount 9]],Table3152025303540[[#This Row],[Amount 9]]),0)</f>
        <v>0</v>
      </c>
      <c r="M19" s="18">
        <f>IFERROR(AVERAGE(Table31520253035[[#This Row],[Amount 10]],Table3152025303540[[#This Row],[Amount 10]]),0)</f>
        <v>0.81267023495376089</v>
      </c>
      <c r="N19" s="18">
        <f>IFERROR(AVERAGE(Table31520253035[[#This Row],[Amount 11]],Table3152025303540[[#This Row],[Amount 11]]),0)</f>
        <v>0</v>
      </c>
      <c r="O19" s="18">
        <f>IFERROR(AVERAGE(Table31520253035[[#This Row],[Amount 12]],Table3152025303540[[#This Row],[Amount 12]]),0)</f>
        <v>0</v>
      </c>
      <c r="P19" s="18">
        <f>IFERROR(AVERAGE(Table31520253035[[#This Row],[Amount 13]],Table3152025303540[[#This Row],[Amount 13]]),0)</f>
        <v>0</v>
      </c>
      <c r="Q19" s="18">
        <f>IFERROR(AVERAGE(Table31520253035[[#This Row],[Amount 14]],Table3152025303540[[#This Row],[Amount 14]]),0)</f>
        <v>0.74447096199943075</v>
      </c>
      <c r="R19" s="18">
        <f>IFERROR(AVERAGE(Table31520253035[[#This Row],[Amount 15]],Table3152025303540[[#This Row],[Amount 15]]),0)</f>
        <v>0</v>
      </c>
      <c r="S19" s="18">
        <f>IFERROR(AVERAGE(Table31520253035[[#This Row],[Amount 16]],Table3152025303540[[#This Row],[Amount 16]]),0)</f>
        <v>0</v>
      </c>
      <c r="T19" s="18">
        <f>IFERROR(AVERAGE(Table31520253035[[#This Row],[Amount 17]],Table3152025303540[[#This Row],[Amount 17]]),0)</f>
        <v>0</v>
      </c>
      <c r="U19" s="18">
        <f>IFERROR(AVERAGE(Table31520253035[[#This Row],[Amount 18]],Table3152025303540[[#This Row],[Amount 18]]),0)</f>
        <v>0</v>
      </c>
      <c r="V19" s="18">
        <f>IFERROR(AVERAGE(Table31520253035[[#This Row],[Amount 19]],Table3152025303540[[#This Row],[Amount 19]]),0)</f>
        <v>0</v>
      </c>
      <c r="W19" s="18">
        <f>IFERROR(AVERAGE(Table31520253035[[#This Row],[Ret.Time ]],Table3152025303540[[#This Row],[Ret.Time ]]),0)</f>
        <v>0</v>
      </c>
      <c r="X19" s="18">
        <f>IFERROR(AVERAGE(Table31520253035[[#This Row],[Amount 20]],Table3152025303540[[#This Row],[Amount 20]]),0)</f>
        <v>0</v>
      </c>
      <c r="Y19" s="18">
        <f>IFERROR(AVERAGE(Table31520253035[[#This Row],[Ret.Time]],Table3152025303540[[#This Row],[Ret.Time]]),0)</f>
        <v>0</v>
      </c>
      <c r="Z19" s="18">
        <f>IFERROR(AVERAGE(Table31520253035[[#This Row],[Amount 21]],Table3152025303540[[#This Row],[Amount 21]]),0)</f>
        <v>0</v>
      </c>
      <c r="AA19" s="18">
        <f>IFERROR(AVERAGE(Table31520253035[[#This Row],[Ret.Time22]],Table3152025303540[[#This Row],[Ret.Time22]]),0)</f>
        <v>0</v>
      </c>
      <c r="AB19" s="18">
        <f>IFERROR(AVERAGE(Table31520253035[[#This Row],[Amount 23]],Table3152025303540[[#This Row],[Amount 23]]),0)</f>
        <v>0</v>
      </c>
      <c r="AC19" s="18">
        <f>IFERROR(AVERAGE(Table31520253035[[#This Row],[Ret.Time24]],Table3152025303540[[#This Row],[Ret.Time24]]),0)</f>
        <v>0</v>
      </c>
      <c r="AD19" s="18">
        <f>IFERROR(AVERAGE(Table31520253035[[#This Row],[Amount 25]],Table3152025303540[[#This Row],[Amount 25]]),0)</f>
        <v>0</v>
      </c>
      <c r="AE19" s="18">
        <f>IFERROR(AVERAGE(Table31520253035[[#This Row],[pH]],Table3152025303540[[#This Row],[pH]]),0)</f>
        <v>0</v>
      </c>
      <c r="AF19" s="18">
        <f>IFERROR(AVERAGE(Table31520253035[[#This Row],[dilution ]],Table3152025303540[[#This Row],[dilution ]]),0)</f>
        <v>100</v>
      </c>
      <c r="AG19" s="18">
        <f>IFERROR(AVERAGE(Table31520253035[[#This Row],[retention]],Table3152025303540[[#This Row],[retention]]),0)</f>
        <v>0</v>
      </c>
      <c r="AH19" s="18">
        <f>IFERROR(AVERAGE(Table31520253035[[#This Row],[amount]],Table3152025303540[[#This Row],[amount]]),0)</f>
        <v>0</v>
      </c>
      <c r="AI19" s="18">
        <f>IFERROR(AVERAGE(Table31520253035[[#This Row],[pressure]],Table3152025303540[[#This Row],[pressure]]),0)</f>
        <v>0</v>
      </c>
      <c r="AJ19" s="64">
        <f>IF(D19="nd","nd",D19*$C19/constants!$B$3)</f>
        <v>0</v>
      </c>
      <c r="AK19" s="64">
        <f>IF(E19="nd","nd",E19*$C19/constants!$B$6)</f>
        <v>0</v>
      </c>
      <c r="AL19" s="64">
        <f>IF(F19="nd","nd",F19*$C19/constants!$B$7)</f>
        <v>0</v>
      </c>
      <c r="AM19" s="64">
        <f>IF(G19="nd","nd",G19*$C19/constants!$B$8)</f>
        <v>0</v>
      </c>
      <c r="AN19" s="64">
        <f>IF(H19="nd","nd",H19*$C19/constants!$B$9)</f>
        <v>0</v>
      </c>
      <c r="AO19" s="64">
        <f>IF(I19="nd","nd",I19*$C19/constants!$B$10)</f>
        <v>0</v>
      </c>
      <c r="AP19" s="162">
        <f t="shared" si="1"/>
        <v>4.3950342164156345E-2</v>
      </c>
      <c r="AQ19" s="162">
        <f t="shared" si="2"/>
        <v>0.12666447539195047</v>
      </c>
      <c r="AR19" s="162">
        <f t="shared" si="3"/>
        <v>0</v>
      </c>
      <c r="AS19" s="162">
        <f t="shared" si="4"/>
        <v>8.1267023495376102E-3</v>
      </c>
      <c r="AT19" s="162">
        <f t="shared" si="5"/>
        <v>0</v>
      </c>
      <c r="AU19" s="162">
        <f t="shared" si="6"/>
        <v>0</v>
      </c>
      <c r="AV19" s="162">
        <f t="shared" si="7"/>
        <v>0</v>
      </c>
      <c r="AW19" s="162">
        <f t="shared" si="8"/>
        <v>7.4447096199943075E-3</v>
      </c>
      <c r="AX19" s="162">
        <f t="shared" si="9"/>
        <v>0</v>
      </c>
      <c r="AY19" s="162">
        <f t="shared" si="10"/>
        <v>0</v>
      </c>
      <c r="AZ19" s="64">
        <f>IF(AH19="nd","nd",AH19*Table31520253035404550556074[[#This Row],[dilution ]]/constants!$B$3)</f>
        <v>0</v>
      </c>
      <c r="BA19" s="64"/>
      <c r="BB19" s="64"/>
      <c r="BC19" s="64">
        <f>(Table51621263136414651566175[[#This Row],[Concentration]]*constants!$C$3)/1000</f>
        <v>0</v>
      </c>
      <c r="BD19" s="64">
        <f>(Table51621263136414651566175[[#This Row],[Concentration2]]*constants!$C$6)/1000</f>
        <v>0</v>
      </c>
      <c r="BE19" s="64">
        <f>(Table51621263136414651566175[[#This Row],[Concentration3]]*constants!$C$7)/1000</f>
        <v>0</v>
      </c>
      <c r="BF19" s="64">
        <f>(Table51621263136414651566175[[#This Row],[Concentration4]]*constants!$C$8)/1000</f>
        <v>0</v>
      </c>
      <c r="BG19" s="64">
        <f>(Table51621263136414651566175[[#This Row],[Concentration5]]*constants!$C$9)/1000</f>
        <v>0</v>
      </c>
      <c r="BH19" s="64">
        <f>(Table51621263136414651566175[[#This Row],[Concentration6]]*constants!$C$10)/1000</f>
        <v>0</v>
      </c>
      <c r="BI19" s="64">
        <f>(Table51621263136414651566175[[#This Row],[Concentration7]]*constants!$C$5)</f>
        <v>8.7900684328312689E-2</v>
      </c>
      <c r="BJ19" s="64">
        <f>(Table51621263136414651566175[[#This Row],[Concentration8]]*3)</f>
        <v>0.37999342617585141</v>
      </c>
      <c r="BK19" s="64">
        <f>(Table51621263136414651566175[[#This Row],[Concentration9]]*4)</f>
        <v>0</v>
      </c>
      <c r="BL19" s="64">
        <f>(Table51621263136414651566175[[#This Row],[Concentration10]]*4)</f>
        <v>3.2506809398150441E-2</v>
      </c>
      <c r="BM19" s="64">
        <f>(Table51621263136414651566175[[#This Row],[Concentration11]]*5)</f>
        <v>0</v>
      </c>
      <c r="BN19" s="64">
        <f>(Table51621263136414651566175[[#This Row],[Concentration12]]*5)</f>
        <v>0</v>
      </c>
      <c r="BO19" s="64">
        <f>(Table51621263136414651566175[[#This Row],[Concentration13]]*6)</f>
        <v>0</v>
      </c>
      <c r="BP19" s="64">
        <f>(Table51621263136414651566175[[#This Row],[Concentration14]]*6)</f>
        <v>4.4668257719965847E-2</v>
      </c>
      <c r="BQ19" s="64">
        <f>(Table51621263136414651566175[[#This Row],[Concentration15]]*7)</f>
        <v>0</v>
      </c>
      <c r="BR19" s="64">
        <f>(Table51621263136414651566175[[#This Row],[Concentration16]]*8)</f>
        <v>0</v>
      </c>
      <c r="BS19" s="64">
        <f>(Table51621263136414651566175[[#This Row],[Concentration17]]*3)/1000</f>
        <v>0</v>
      </c>
      <c r="BT19" s="47">
        <f>Table51621263136414651566175[[#This Row],[Concentration18]]/1000</f>
        <v>0</v>
      </c>
      <c r="BU19" s="47">
        <f>Table51621263136414651566175[[#This Row],[Concentration19]]/1000</f>
        <v>0</v>
      </c>
    </row>
    <row r="20" spans="1:73" s="66" customFormat="1" ht="16" thickBot="1" x14ac:dyDescent="0.4">
      <c r="A20" s="63" t="str">
        <f>Table2[[#This Row],[Date]]</f>
        <v>26-04</v>
      </c>
      <c r="B20" s="169">
        <f>Table2[[#This Row],[Time]]</f>
        <v>38</v>
      </c>
      <c r="C20" s="79">
        <v>10</v>
      </c>
      <c r="D20" s="18">
        <f>IFERROR(AVERAGE(Table31520253035[[#This Row],[Amount ]],Table3152025303540[[#This Row],[Amount ]]),0)</f>
        <v>0</v>
      </c>
      <c r="E20" s="18">
        <f>IFERROR(AVERAGE(Table31520253035[[#This Row],[Amount 2]],Table3152025303540[[#This Row],[Amount 2]]),0)</f>
        <v>0</v>
      </c>
      <c r="F20" s="18">
        <f>IFERROR(AVERAGE(Table31520253035[[#This Row],[Amount 3]],Table3152025303540[[#This Row],[Amount 3]]),0)</f>
        <v>0</v>
      </c>
      <c r="G20" s="18">
        <f>IFERROR(AVERAGE(Table31520253035[[#This Row],[Amount 4]],Table3152025303540[[#This Row],[Amount 4]]),0)</f>
        <v>0</v>
      </c>
      <c r="H20" s="18">
        <f>IFERROR(AVERAGE(Table31520253035[[#This Row],[Amount 5]],Table3152025303540[[#This Row],[Amount 5]]),0)</f>
        <v>0</v>
      </c>
      <c r="I20" s="18">
        <f>IFERROR(AVERAGE(Table31520253035[[#This Row],[Amount 6]],Table3152025303540[[#This Row],[Amount 6]]),0)</f>
        <v>0</v>
      </c>
      <c r="J20" s="18">
        <f>IFERROR(AVERAGE(Table31520253035[[#This Row],[Amount 7]],Table3152025303540[[#This Row],[Amount 7]]),0)</f>
        <v>11.616038334962742</v>
      </c>
      <c r="K20" s="18">
        <f>IFERROR(AVERAGE(Table31520253035[[#This Row],[Amount 8]],Table3152025303540[[#This Row],[Amount 8]]),0)</f>
        <v>6.522119878013898</v>
      </c>
      <c r="L20" s="18">
        <f>IFERROR(AVERAGE(Table31520253035[[#This Row],[Amount 9]],Table3152025303540[[#This Row],[Amount 9]]),0)</f>
        <v>0.76684891284375767</v>
      </c>
      <c r="M20" s="18">
        <f>IFERROR(AVERAGE(Table31520253035[[#This Row],[Amount 10]],Table3152025303540[[#This Row],[Amount 10]]),0)</f>
        <v>3.4581015609198587</v>
      </c>
      <c r="N20" s="18">
        <f>IFERROR(AVERAGE(Table31520253035[[#This Row],[Amount 11]],Table3152025303540[[#This Row],[Amount 11]]),0)</f>
        <v>0</v>
      </c>
      <c r="O20" s="18">
        <f>IFERROR(AVERAGE(Table31520253035[[#This Row],[Amount 12]],Table3152025303540[[#This Row],[Amount 12]]),0)</f>
        <v>0</v>
      </c>
      <c r="P20" s="18">
        <f>IFERROR(AVERAGE(Table31520253035[[#This Row],[Amount 13]],Table3152025303540[[#This Row],[Amount 13]]),0)</f>
        <v>0</v>
      </c>
      <c r="Q20" s="18">
        <f>IFERROR(AVERAGE(Table31520253035[[#This Row],[Amount 14]],Table3152025303540[[#This Row],[Amount 14]]),0)</f>
        <v>1.4306001909788653</v>
      </c>
      <c r="R20" s="18">
        <f>IFERROR(AVERAGE(Table31520253035[[#This Row],[Amount 15]],Table3152025303540[[#This Row],[Amount 15]]),0)</f>
        <v>0</v>
      </c>
      <c r="S20" s="18">
        <f>IFERROR(AVERAGE(Table31520253035[[#This Row],[Amount 16]],Table3152025303540[[#This Row],[Amount 16]]),0)</f>
        <v>11.232108360551132</v>
      </c>
      <c r="T20" s="18">
        <f>IFERROR(AVERAGE(Table31520253035[[#This Row],[Amount 17]],Table3152025303540[[#This Row],[Amount 17]]),0)</f>
        <v>0</v>
      </c>
      <c r="U20" s="18">
        <f>IFERROR(AVERAGE(Table31520253035[[#This Row],[Amount 18]],Table3152025303540[[#This Row],[Amount 18]]),0)</f>
        <v>0</v>
      </c>
      <c r="V20" s="18">
        <f>IFERROR(AVERAGE(Table31520253035[[#This Row],[Amount 19]],Table3152025303540[[#This Row],[Amount 19]]),0)</f>
        <v>0</v>
      </c>
      <c r="W20" s="18">
        <f>IFERROR(AVERAGE(Table31520253035[[#This Row],[Ret.Time ]],Table3152025303540[[#This Row],[Ret.Time ]]),0)</f>
        <v>0.97566666666666668</v>
      </c>
      <c r="X20" s="18">
        <f>IFERROR(AVERAGE(Table31520253035[[#This Row],[Amount 20]],Table3152025303540[[#This Row],[Amount 20]]),0)</f>
        <v>1.657690023001563</v>
      </c>
      <c r="Y20" s="18">
        <f>IFERROR(AVERAGE(Table31520253035[[#This Row],[Ret.Time]],Table3152025303540[[#This Row],[Ret.Time]]),0)</f>
        <v>1.3481666666666665</v>
      </c>
      <c r="Z20" s="18">
        <f>IFERROR(AVERAGE(Table31520253035[[#This Row],[Amount 21]],Table3152025303540[[#This Row],[Amount 21]]),0)</f>
        <v>89.321021880370068</v>
      </c>
      <c r="AA20" s="18">
        <f>IFERROR(AVERAGE(Table31520253035[[#This Row],[Ret.Time22]],Table3152025303540[[#This Row],[Ret.Time22]]),0)</f>
        <v>0</v>
      </c>
      <c r="AB20" s="18">
        <f>IFERROR(AVERAGE(Table31520253035[[#This Row],[Amount 23]],Table3152025303540[[#This Row],[Amount 23]]),0)</f>
        <v>0</v>
      </c>
      <c r="AC20" s="18">
        <f>IFERROR(AVERAGE(Table31520253035[[#This Row],[Ret.Time24]],Table3152025303540[[#This Row],[Ret.Time24]]),0)</f>
        <v>2.524</v>
      </c>
      <c r="AD20" s="18">
        <f>IFERROR(AVERAGE(Table31520253035[[#This Row],[Amount 25]],Table3152025303540[[#This Row],[Amount 25]]),0)</f>
        <v>2.5051908964387399</v>
      </c>
      <c r="AE20" s="18" t="e">
        <v>#N/A</v>
      </c>
      <c r="AF20" s="18">
        <f>IFERROR(AVERAGE(Table31520253035[[#This Row],[dilution ]],Table3152025303540[[#This Row],[dilution ]]),0)</f>
        <v>55</v>
      </c>
      <c r="AG20" s="18">
        <f>IFERROR(AVERAGE(Table31520253035[[#This Row],[retention]],Table3152025303540[[#This Row],[retention]]),0)</f>
        <v>0</v>
      </c>
      <c r="AH20" s="18">
        <f>IFERROR(AVERAGE(Table31520253035[[#This Row],[amount]],Table3152025303540[[#This Row],[amount]]),0)</f>
        <v>0</v>
      </c>
      <c r="AI20" s="18">
        <f>IFERROR(AVERAGE(Table31520253035[[#This Row],[pressure]],Table3152025303540[[#This Row],[pressure]]),0)</f>
        <v>0</v>
      </c>
      <c r="AJ20" s="64">
        <f>IF(D20="nd","nd",D20*$C20/constants!$B$3)</f>
        <v>0</v>
      </c>
      <c r="AK20" s="64">
        <f>IF(E20="nd","nd",E20*$C20/constants!$B$6)</f>
        <v>0</v>
      </c>
      <c r="AL20" s="64">
        <f>IF(F20="nd","nd",F20*$C20/constants!$B$7)</f>
        <v>0</v>
      </c>
      <c r="AM20" s="64">
        <f>IF(G20="nd","nd",G20*$C20/constants!$B$8)</f>
        <v>0</v>
      </c>
      <c r="AN20" s="64">
        <f>IF(H20="nd","nd",H20*$C20/constants!$B$9)</f>
        <v>0</v>
      </c>
      <c r="AO20" s="64">
        <f>IF(I20="nd","nd",I20*$C20/constants!$B$10)</f>
        <v>0</v>
      </c>
      <c r="AP20" s="162">
        <f t="shared" si="1"/>
        <v>0.1161603833496274</v>
      </c>
      <c r="AQ20" s="162">
        <f t="shared" si="2"/>
        <v>6.5221198780138975E-2</v>
      </c>
      <c r="AR20" s="162">
        <f t="shared" si="3"/>
        <v>7.6684891284375762E-3</v>
      </c>
      <c r="AS20" s="162">
        <f t="shared" si="4"/>
        <v>3.4581015609198587E-2</v>
      </c>
      <c r="AT20" s="162">
        <f t="shared" si="5"/>
        <v>0</v>
      </c>
      <c r="AU20" s="162">
        <f t="shared" si="6"/>
        <v>0</v>
      </c>
      <c r="AV20" s="162">
        <f t="shared" si="7"/>
        <v>0</v>
      </c>
      <c r="AW20" s="162">
        <f t="shared" si="8"/>
        <v>1.4306001909788651E-2</v>
      </c>
      <c r="AX20" s="162">
        <f t="shared" si="9"/>
        <v>0</v>
      </c>
      <c r="AY20" s="162">
        <f t="shared" si="10"/>
        <v>0.11232108360551132</v>
      </c>
      <c r="AZ20" s="64">
        <f>IF(AH20="nd","nd",AH20*Table31520253035404550556074[[#This Row],[dilution ]]/constants!$B$3)</f>
        <v>0</v>
      </c>
      <c r="BA20" s="64"/>
      <c r="BB20" s="64"/>
      <c r="BC20" s="64">
        <f>(Table51621263136414651566175[[#This Row],[Concentration]]*constants!$C$3)/1000</f>
        <v>0</v>
      </c>
      <c r="BD20" s="64">
        <f>(Table51621263136414651566175[[#This Row],[Concentration2]]*constants!$C$6)/1000</f>
        <v>0</v>
      </c>
      <c r="BE20" s="64">
        <f>(Table51621263136414651566175[[#This Row],[Concentration3]]*constants!$C$7)/1000</f>
        <v>0</v>
      </c>
      <c r="BF20" s="64">
        <f>(Table51621263136414651566175[[#This Row],[Concentration4]]*constants!$C$8)/1000</f>
        <v>0</v>
      </c>
      <c r="BG20" s="64">
        <f>(Table51621263136414651566175[[#This Row],[Concentration5]]*constants!$C$9)/1000</f>
        <v>0</v>
      </c>
      <c r="BH20" s="64">
        <f>(Table51621263136414651566175[[#This Row],[Concentration6]]*constants!$C$10)/1000</f>
        <v>0</v>
      </c>
      <c r="BI20" s="64">
        <f>(Table51621263136414651566175[[#This Row],[Concentration7]]*constants!$C$5)</f>
        <v>0.2323207666992548</v>
      </c>
      <c r="BJ20" s="64">
        <f>(Table51621263136414651566175[[#This Row],[Concentration8]]*3)</f>
        <v>0.19566359634041691</v>
      </c>
      <c r="BK20" s="64">
        <f>(Table51621263136414651566175[[#This Row],[Concentration9]]*4)</f>
        <v>3.0673956513750305E-2</v>
      </c>
      <c r="BL20" s="64">
        <f>(Table51621263136414651566175[[#This Row],[Concentration10]]*4)</f>
        <v>0.13832406243679435</v>
      </c>
      <c r="BM20" s="64">
        <f>(Table51621263136414651566175[[#This Row],[Concentration11]]*5)</f>
        <v>0</v>
      </c>
      <c r="BN20" s="64">
        <f>(Table51621263136414651566175[[#This Row],[Concentration12]]*5)</f>
        <v>0</v>
      </c>
      <c r="BO20" s="64">
        <f>(Table51621263136414651566175[[#This Row],[Concentration13]]*6)</f>
        <v>0</v>
      </c>
      <c r="BP20" s="64">
        <f>(Table51621263136414651566175[[#This Row],[Concentration14]]*6)</f>
        <v>8.5836011458731903E-2</v>
      </c>
      <c r="BQ20" s="64">
        <f>(Table51621263136414651566175[[#This Row],[Concentration15]]*7)</f>
        <v>0</v>
      </c>
      <c r="BR20" s="64">
        <f>(Table51621263136414651566175[[#This Row],[Concentration16]]*8)</f>
        <v>0.89856866884409059</v>
      </c>
      <c r="BS20" s="64">
        <f>(Table51621263136414651566175[[#This Row],[Concentration17]]*3)/1000</f>
        <v>0</v>
      </c>
      <c r="BT20" s="47">
        <f>Table51621263136414651566175[[#This Row],[Concentration18]]/1000</f>
        <v>0</v>
      </c>
      <c r="BU20" s="47">
        <f>Table51621263136414651566175[[#This Row],[Concentration19]]/1000</f>
        <v>0</v>
      </c>
    </row>
    <row r="21" spans="1:73" s="47" customFormat="1" ht="16" thickBot="1" x14ac:dyDescent="0.4">
      <c r="A21" s="63">
        <f>Table2[[#This Row],[Date]]</f>
        <v>43105</v>
      </c>
      <c r="B21" s="169">
        <f>Table2[[#This Row],[Time]]</f>
        <v>43</v>
      </c>
      <c r="C21" s="54">
        <v>20</v>
      </c>
      <c r="D21" s="18">
        <f>IFERROR(AVERAGE(Table31520253035[[#This Row],[Amount ]],Table3152025303540[[#This Row],[Amount ]]),0)</f>
        <v>0</v>
      </c>
      <c r="E21" s="18">
        <f>IFERROR(AVERAGE(Table31520253035[[#This Row],[Amount 2]],Table3152025303540[[#This Row],[Amount 2]]),0)</f>
        <v>0</v>
      </c>
      <c r="F21" s="18">
        <f>IFERROR(AVERAGE(Table31520253035[[#This Row],[Amount 3]],Table3152025303540[[#This Row],[Amount 3]]),0)</f>
        <v>0</v>
      </c>
      <c r="G21" s="18">
        <f>IFERROR(AVERAGE(Table31520253035[[#This Row],[Amount 4]],Table3152025303540[[#This Row],[Amount 4]]),0)</f>
        <v>0</v>
      </c>
      <c r="H21" s="18">
        <f>IFERROR(AVERAGE(Table31520253035[[#This Row],[Amount 5]],Table3152025303540[[#This Row],[Amount 5]]),0)</f>
        <v>0</v>
      </c>
      <c r="I21" s="18">
        <f>IFERROR(AVERAGE(Table31520253035[[#This Row],[Amount 6]],Table3152025303540[[#This Row],[Amount 6]]),0)</f>
        <v>0</v>
      </c>
      <c r="J21" s="18">
        <f>IFERROR(AVERAGE(Table31520253035[[#This Row],[Amount 7]],Table3152025303540[[#This Row],[Amount 7]]),0)</f>
        <v>8.9910312107907409</v>
      </c>
      <c r="K21" s="18">
        <f>IFERROR(AVERAGE(Table31520253035[[#This Row],[Amount 8]],Table3152025303540[[#This Row],[Amount 8]]),0)</f>
        <v>2.5301549588727177</v>
      </c>
      <c r="L21" s="18">
        <f>IFERROR(AVERAGE(Table31520253035[[#This Row],[Amount 9]],Table3152025303540[[#This Row],[Amount 9]]),0)</f>
        <v>0</v>
      </c>
      <c r="M21" s="18">
        <f>IFERROR(AVERAGE(Table31520253035[[#This Row],[Amount 10]],Table3152025303540[[#This Row],[Amount 10]]),0)</f>
        <v>0</v>
      </c>
      <c r="N21" s="18">
        <f>IFERROR(AVERAGE(Table31520253035[[#This Row],[Amount 11]],Table3152025303540[[#This Row],[Amount 11]]),0)</f>
        <v>0</v>
      </c>
      <c r="O21" s="18">
        <f>IFERROR(AVERAGE(Table31520253035[[#This Row],[Amount 12]],Table3152025303540[[#This Row],[Amount 12]]),0)</f>
        <v>0</v>
      </c>
      <c r="P21" s="18">
        <f>IFERROR(AVERAGE(Table31520253035[[#This Row],[Amount 13]],Table3152025303540[[#This Row],[Amount 13]]),0)</f>
        <v>0</v>
      </c>
      <c r="Q21" s="18">
        <f>IFERROR(AVERAGE(Table31520253035[[#This Row],[Amount 14]],Table3152025303540[[#This Row],[Amount 14]]),0)</f>
        <v>0</v>
      </c>
      <c r="R21" s="18">
        <f>IFERROR(AVERAGE(Table31520253035[[#This Row],[Amount 15]],Table3152025303540[[#This Row],[Amount 15]]),0)</f>
        <v>0</v>
      </c>
      <c r="S21" s="18">
        <f>IFERROR(AVERAGE(Table31520253035[[#This Row],[Amount 16]],Table3152025303540[[#This Row],[Amount 16]]),0)</f>
        <v>0</v>
      </c>
      <c r="T21" s="18">
        <f>IFERROR(AVERAGE(Table31520253035[[#This Row],[Amount 17]],Table3152025303540[[#This Row],[Amount 17]]),0)</f>
        <v>0</v>
      </c>
      <c r="U21" s="18">
        <f>IFERROR(AVERAGE(Table31520253035[[#This Row],[Amount 18]],Table3152025303540[[#This Row],[Amount 18]]),0)</f>
        <v>0</v>
      </c>
      <c r="V21" s="18">
        <f>IFERROR(AVERAGE(Table31520253035[[#This Row],[Amount 19]],Table3152025303540[[#This Row],[Amount 19]]),0)</f>
        <v>0</v>
      </c>
      <c r="W21" s="18">
        <f>IFERROR(AVERAGE(Table31520253035[[#This Row],[Ret.Time ]],Table3152025303540[[#This Row],[Ret.Time ]]),0)</f>
        <v>0</v>
      </c>
      <c r="X21" s="18">
        <f>IFERROR(AVERAGE(Table31520253035[[#This Row],[Amount 20]],Table3152025303540[[#This Row],[Amount 20]]),0)</f>
        <v>0</v>
      </c>
      <c r="Y21" s="18">
        <f>IFERROR(AVERAGE(Table31520253035[[#This Row],[Ret.Time]],Table3152025303540[[#This Row],[Ret.Time]]),0)</f>
        <v>0</v>
      </c>
      <c r="Z21" s="18">
        <f>IFERROR(AVERAGE(Table31520253035[[#This Row],[Amount 21]],Table3152025303540[[#This Row],[Amount 21]]),0)</f>
        <v>0</v>
      </c>
      <c r="AA21" s="18">
        <f>IFERROR(AVERAGE(Table31520253035[[#This Row],[Ret.Time22]],Table3152025303540[[#This Row],[Ret.Time22]]),0)</f>
        <v>0</v>
      </c>
      <c r="AB21" s="18">
        <f>IFERROR(AVERAGE(Table31520253035[[#This Row],[Amount 23]],Table3152025303540[[#This Row],[Amount 23]]),0)</f>
        <v>0</v>
      </c>
      <c r="AC21" s="18">
        <f>IFERROR(AVERAGE(Table31520253035[[#This Row],[Ret.Time24]],Table3152025303540[[#This Row],[Ret.Time24]]),0)</f>
        <v>0</v>
      </c>
      <c r="AD21" s="18">
        <f>IFERROR(AVERAGE(Table31520253035[[#This Row],[Amount 25]],Table3152025303540[[#This Row],[Amount 25]]),0)</f>
        <v>0</v>
      </c>
      <c r="AE21" s="18">
        <f>IFERROR(AVERAGE(Table31520253035[[#This Row],[pH]],Table3152025303540[[#This Row],[pH]]),0)</f>
        <v>7.13</v>
      </c>
      <c r="AF21" s="18">
        <f>IFERROR(AVERAGE(Table31520253035[[#This Row],[dilution ]],Table3152025303540[[#This Row],[dilution ]]),0)</f>
        <v>55</v>
      </c>
      <c r="AG21" s="18">
        <f>IFERROR(AVERAGE(Table31520253035[[#This Row],[retention]],Table3152025303540[[#This Row],[retention]]),0)</f>
        <v>0</v>
      </c>
      <c r="AH21" s="18">
        <f>IFERROR(AVERAGE(Table31520253035[[#This Row],[amount]],Table3152025303540[[#This Row],[amount]]),0)</f>
        <v>0</v>
      </c>
      <c r="AI21" s="18">
        <f>IFERROR(AVERAGE(Table31520253035[[#This Row],[pressure]],Table3152025303540[[#This Row],[pressure]]),0)</f>
        <v>0</v>
      </c>
      <c r="AJ21" s="64">
        <f>IF(D21="nd","nd",D21*$C21/constants!$B$3)</f>
        <v>0</v>
      </c>
      <c r="AK21" s="64">
        <f>IF(E21="nd","nd",E21*$C21/constants!$B$6)</f>
        <v>0</v>
      </c>
      <c r="AL21" s="64">
        <f>IF(F21="nd","nd",F21*$C21/constants!$B$7)</f>
        <v>0</v>
      </c>
      <c r="AM21" s="64">
        <f>IF(G21="nd","nd",G21*$C21/constants!$B$8)</f>
        <v>0</v>
      </c>
      <c r="AN21" s="64">
        <f>IF(H21="nd","nd",H21*$C21/constants!$B$9)</f>
        <v>0</v>
      </c>
      <c r="AO21" s="64">
        <f>IF(I21="nd","nd",I21*$C21/constants!$B$10)</f>
        <v>0</v>
      </c>
      <c r="AP21" s="162">
        <f t="shared" si="1"/>
        <v>0.17982062421581479</v>
      </c>
      <c r="AQ21" s="162">
        <f t="shared" si="2"/>
        <v>5.0603099177454355E-2</v>
      </c>
      <c r="AR21" s="162">
        <f t="shared" si="3"/>
        <v>0</v>
      </c>
      <c r="AS21" s="162">
        <f t="shared" si="4"/>
        <v>0</v>
      </c>
      <c r="AT21" s="162">
        <f t="shared" si="5"/>
        <v>0</v>
      </c>
      <c r="AU21" s="162">
        <f t="shared" si="6"/>
        <v>0</v>
      </c>
      <c r="AV21" s="162">
        <f t="shared" si="7"/>
        <v>0</v>
      </c>
      <c r="AW21" s="162">
        <f t="shared" si="8"/>
        <v>0</v>
      </c>
      <c r="AX21" s="162">
        <f t="shared" si="9"/>
        <v>0</v>
      </c>
      <c r="AY21" s="162">
        <f t="shared" si="10"/>
        <v>0</v>
      </c>
      <c r="AZ21" s="64">
        <f>IF(AH21="nd","nd",AH21*Table31520253035404550556074[[#This Row],[dilution ]]/constants!$B$3)</f>
        <v>0</v>
      </c>
      <c r="BA21" s="64"/>
      <c r="BB21" s="64"/>
      <c r="BC21" s="64">
        <f>(Table51621263136414651566175[[#This Row],[Concentration]]*constants!$C$3)/1000</f>
        <v>0</v>
      </c>
      <c r="BD21" s="64">
        <f>(Table51621263136414651566175[[#This Row],[Concentration2]]*constants!$C$6)/1000</f>
        <v>0</v>
      </c>
      <c r="BE21" s="64">
        <f>(Table51621263136414651566175[[#This Row],[Concentration3]]*constants!$C$7)/1000</f>
        <v>0</v>
      </c>
      <c r="BF21" s="64">
        <f>(Table51621263136414651566175[[#This Row],[Concentration4]]*constants!$C$8)/1000</f>
        <v>0</v>
      </c>
      <c r="BG21" s="64">
        <f>(Table51621263136414651566175[[#This Row],[Concentration5]]*constants!$C$9)/1000</f>
        <v>0</v>
      </c>
      <c r="BH21" s="64">
        <f>(Table51621263136414651566175[[#This Row],[Concentration6]]*constants!$C$10)/1000</f>
        <v>0</v>
      </c>
      <c r="BI21" s="64">
        <f>(Table51621263136414651566175[[#This Row],[Concentration7]]*constants!$C$5)</f>
        <v>0.35964124843162959</v>
      </c>
      <c r="BJ21" s="64">
        <f>(Table51621263136414651566175[[#This Row],[Concentration8]]*3)</f>
        <v>0.15180929753236305</v>
      </c>
      <c r="BK21" s="64">
        <f>(Table51621263136414651566175[[#This Row],[Concentration9]]*4)</f>
        <v>0</v>
      </c>
      <c r="BL21" s="64">
        <f>(Table51621263136414651566175[[#This Row],[Concentration10]]*4)</f>
        <v>0</v>
      </c>
      <c r="BM21" s="64">
        <f>(Table51621263136414651566175[[#This Row],[Concentration11]]*5)</f>
        <v>0</v>
      </c>
      <c r="BN21" s="64">
        <f>(Table51621263136414651566175[[#This Row],[Concentration12]]*5)</f>
        <v>0</v>
      </c>
      <c r="BO21" s="64">
        <f>(Table51621263136414651566175[[#This Row],[Concentration13]]*6)</f>
        <v>0</v>
      </c>
      <c r="BP21" s="64">
        <f>(Table51621263136414651566175[[#This Row],[Concentration14]]*6)</f>
        <v>0</v>
      </c>
      <c r="BQ21" s="64">
        <f>(Table51621263136414651566175[[#This Row],[Concentration15]]*7)</f>
        <v>0</v>
      </c>
      <c r="BR21" s="64">
        <f>(Table51621263136414651566175[[#This Row],[Concentration16]]*8)</f>
        <v>0</v>
      </c>
      <c r="BS21" s="64">
        <f>(Table51621263136414651566175[[#This Row],[Concentration17]]*3)/1000</f>
        <v>0</v>
      </c>
      <c r="BT21" s="47">
        <f>Table51621263136414651566175[[#This Row],[Concentration18]]/1000</f>
        <v>0</v>
      </c>
      <c r="BU21" s="47">
        <f>Table51621263136414651566175[[#This Row],[Concentration19]]/1000</f>
        <v>0</v>
      </c>
    </row>
    <row r="22" spans="1:73" s="66" customFormat="1" ht="16" thickBot="1" x14ac:dyDescent="0.4">
      <c r="A22" s="63">
        <f>Table2[[#This Row],[Date]]</f>
        <v>43195</v>
      </c>
      <c r="B22" s="169">
        <f>Table2[[#This Row],[Time]]</f>
        <v>46</v>
      </c>
      <c r="C22" s="79"/>
      <c r="D22" s="18">
        <f>IFERROR(AVERAGE(Table31520253035[[#This Row],[Amount ]],Table3152025303540[[#This Row],[Amount ]]),0)</f>
        <v>0</v>
      </c>
      <c r="E22" s="18">
        <f>IFERROR(AVERAGE(Table31520253035[[#This Row],[Amount 2]],Table3152025303540[[#This Row],[Amount 2]]),0)</f>
        <v>0</v>
      </c>
      <c r="F22" s="18">
        <f>IFERROR(AVERAGE(Table31520253035[[#This Row],[Amount 3]],Table3152025303540[[#This Row],[Amount 3]]),0)</f>
        <v>0</v>
      </c>
      <c r="G22" s="18">
        <f>IFERROR(AVERAGE(Table31520253035[[#This Row],[Amount 4]],Table3152025303540[[#This Row],[Amount 4]]),0)</f>
        <v>0</v>
      </c>
      <c r="H22" s="18">
        <f>IFERROR(AVERAGE(Table31520253035[[#This Row],[Amount 5]],Table3152025303540[[#This Row],[Amount 5]]),0)</f>
        <v>0</v>
      </c>
      <c r="I22" s="18">
        <f>IFERROR(AVERAGE(Table31520253035[[#This Row],[Amount 6]],Table3152025303540[[#This Row],[Amount 6]]),0)</f>
        <v>0</v>
      </c>
      <c r="J22" s="18">
        <f>IFERROR(AVERAGE(Table31520253035[[#This Row],[Amount 7]],Table3152025303540[[#This Row],[Amount 7]]),0)</f>
        <v>10.081880749025864</v>
      </c>
      <c r="K22" s="18">
        <f>IFERROR(AVERAGE(Table31520253035[[#This Row],[Amount 8]],Table3152025303540[[#This Row],[Amount 8]]),0)</f>
        <v>1.6096048295091714</v>
      </c>
      <c r="L22" s="18">
        <f>IFERROR(AVERAGE(Table31520253035[[#This Row],[Amount 9]],Table3152025303540[[#This Row],[Amount 9]]),0)</f>
        <v>0</v>
      </c>
      <c r="M22" s="18">
        <f>IFERROR(AVERAGE(Table31520253035[[#This Row],[Amount 10]],Table3152025303540[[#This Row],[Amount 10]]),0)</f>
        <v>2.2781101747347283</v>
      </c>
      <c r="N22" s="18">
        <f>IFERROR(AVERAGE(Table31520253035[[#This Row],[Amount 11]],Table3152025303540[[#This Row],[Amount 11]]),0)</f>
        <v>0</v>
      </c>
      <c r="O22" s="18">
        <f>IFERROR(AVERAGE(Table31520253035[[#This Row],[Amount 12]],Table3152025303540[[#This Row],[Amount 12]]),0)</f>
        <v>0</v>
      </c>
      <c r="P22" s="18">
        <f>IFERROR(AVERAGE(Table31520253035[[#This Row],[Amount 13]],Table3152025303540[[#This Row],[Amount 13]]),0)</f>
        <v>0</v>
      </c>
      <c r="Q22" s="18">
        <f>IFERROR(AVERAGE(Table31520253035[[#This Row],[Amount 14]],Table3152025303540[[#This Row],[Amount 14]]),0)</f>
        <v>1.1317573615737271</v>
      </c>
      <c r="R22" s="18">
        <f>IFERROR(AVERAGE(Table31520253035[[#This Row],[Amount 15]],Table3152025303540[[#This Row],[Amount 15]]),0)</f>
        <v>0</v>
      </c>
      <c r="S22" s="18">
        <f>IFERROR(AVERAGE(Table31520253035[[#This Row],[Amount 16]],Table3152025303540[[#This Row],[Amount 16]]),0)</f>
        <v>0</v>
      </c>
      <c r="T22" s="18">
        <f>IFERROR(AVERAGE(Table31520253035[[#This Row],[Amount 17]],Table3152025303540[[#This Row],[Amount 17]]),0)</f>
        <v>0</v>
      </c>
      <c r="U22" s="18">
        <f>IFERROR(AVERAGE(Table31520253035[[#This Row],[Amount 18]],Table3152025303540[[#This Row],[Amount 18]]),0)</f>
        <v>0</v>
      </c>
      <c r="V22" s="18">
        <f>IFERROR(AVERAGE(Table31520253035[[#This Row],[Amount 19]],Table3152025303540[[#This Row],[Amount 19]]),0)</f>
        <v>0</v>
      </c>
      <c r="W22" s="18">
        <f>IFERROR(AVERAGE(Table31520253035[[#This Row],[Ret.Time ]],Table3152025303540[[#This Row],[Ret.Time ]]),0)</f>
        <v>0</v>
      </c>
      <c r="X22" s="18">
        <f>IFERROR(AVERAGE(Table31520253035[[#This Row],[Amount 20]],Table3152025303540[[#This Row],[Amount 20]]),0)</f>
        <v>0</v>
      </c>
      <c r="Y22" s="18">
        <f>IFERROR(AVERAGE(Table31520253035[[#This Row],[Ret.Time]],Table3152025303540[[#This Row],[Ret.Time]]),0)</f>
        <v>0</v>
      </c>
      <c r="Z22" s="18">
        <f>IFERROR(AVERAGE(Table31520253035[[#This Row],[Amount 21]],Table3152025303540[[#This Row],[Amount 21]]),0)</f>
        <v>0</v>
      </c>
      <c r="AA22" s="18">
        <f>IFERROR(AVERAGE(Table31520253035[[#This Row],[Ret.Time22]],Table3152025303540[[#This Row],[Ret.Time22]]),0)</f>
        <v>0</v>
      </c>
      <c r="AB22" s="18">
        <f>IFERROR(AVERAGE(Table31520253035[[#This Row],[Amount 23]],Table3152025303540[[#This Row],[Amount 23]]),0)</f>
        <v>0</v>
      </c>
      <c r="AC22" s="18">
        <f>IFERROR(AVERAGE(Table31520253035[[#This Row],[Ret.Time24]],Table3152025303540[[#This Row],[Ret.Time24]]),0)</f>
        <v>0</v>
      </c>
      <c r="AD22" s="18">
        <f>IFERROR(AVERAGE(Table31520253035[[#This Row],[Amount 25]],Table3152025303540[[#This Row],[Amount 25]]),0)</f>
        <v>0</v>
      </c>
      <c r="AE22" s="18">
        <f>IFERROR(AVERAGE(Table31520253035[[#This Row],[pH]],Table3152025303540[[#This Row],[pH]]),0)</f>
        <v>7.03</v>
      </c>
      <c r="AF22" s="18">
        <f>IFERROR(AVERAGE(Table31520253035[[#This Row],[dilution ]],Table3152025303540[[#This Row],[dilution ]]),0)</f>
        <v>55</v>
      </c>
      <c r="AG22" s="18">
        <f>IFERROR(AVERAGE(Table31520253035[[#This Row],[retention]],Table3152025303540[[#This Row],[retention]]),0)</f>
        <v>0</v>
      </c>
      <c r="AH22" s="18">
        <f>IFERROR(AVERAGE(Table31520253035[[#This Row],[amount]],Table3152025303540[[#This Row],[amount]]),0)</f>
        <v>0</v>
      </c>
      <c r="AI22" s="18">
        <f>IFERROR(AVERAGE(Table31520253035[[#This Row],[pressure]],Table3152025303540[[#This Row],[pressure]]),0)</f>
        <v>0</v>
      </c>
      <c r="AJ22" s="64">
        <f>IF(D22="nd","nd",D22*$C22/constants!$B$3)</f>
        <v>0</v>
      </c>
      <c r="AK22" s="64">
        <f>IF(E22="nd","nd",E22*$C22/constants!$B$6)</f>
        <v>0</v>
      </c>
      <c r="AL22" s="64">
        <f>IF(F22="nd","nd",F22*$C22/constants!$B$7)</f>
        <v>0</v>
      </c>
      <c r="AM22" s="64">
        <f>IF(G22="nd","nd",G22*$C22/constants!$B$8)</f>
        <v>0</v>
      </c>
      <c r="AN22" s="64">
        <f>IF(H22="nd","nd",H22*$C22/constants!$B$9)</f>
        <v>0</v>
      </c>
      <c r="AO22" s="64">
        <f>IF(I22="nd","nd",I22*$C22/constants!$B$10)</f>
        <v>0</v>
      </c>
      <c r="AP22" s="162">
        <f t="shared" si="1"/>
        <v>0</v>
      </c>
      <c r="AQ22" s="162">
        <f t="shared" si="2"/>
        <v>0</v>
      </c>
      <c r="AR22" s="162">
        <f t="shared" si="3"/>
        <v>0</v>
      </c>
      <c r="AS22" s="162">
        <f t="shared" si="4"/>
        <v>0</v>
      </c>
      <c r="AT22" s="162">
        <f t="shared" si="5"/>
        <v>0</v>
      </c>
      <c r="AU22" s="162">
        <f t="shared" si="6"/>
        <v>0</v>
      </c>
      <c r="AV22" s="162">
        <f t="shared" si="7"/>
        <v>0</v>
      </c>
      <c r="AW22" s="162">
        <f t="shared" si="8"/>
        <v>0</v>
      </c>
      <c r="AX22" s="162">
        <f t="shared" si="9"/>
        <v>0</v>
      </c>
      <c r="AY22" s="162">
        <f t="shared" si="10"/>
        <v>0</v>
      </c>
      <c r="AZ22" s="64">
        <f>IF(AH22="nd","nd",AH22*Table31520253035404550556074[[#This Row],[dilution ]]/constants!$B$3)</f>
        <v>0</v>
      </c>
      <c r="BA22" s="64"/>
      <c r="BB22" s="64"/>
      <c r="BC22" s="64">
        <f>(Table51621263136414651566175[[#This Row],[Concentration]]*constants!$C$3)/1000</f>
        <v>0</v>
      </c>
      <c r="BD22" s="64">
        <f>(Table51621263136414651566175[[#This Row],[Concentration2]]*constants!$C$6)/1000</f>
        <v>0</v>
      </c>
      <c r="BE22" s="64">
        <f>(Table51621263136414651566175[[#This Row],[Concentration3]]*constants!$C$7)/1000</f>
        <v>0</v>
      </c>
      <c r="BF22" s="64">
        <f>(Table51621263136414651566175[[#This Row],[Concentration4]]*constants!$C$8)/1000</f>
        <v>0</v>
      </c>
      <c r="BG22" s="64">
        <f>(Table51621263136414651566175[[#This Row],[Concentration5]]*constants!$C$9)/1000</f>
        <v>0</v>
      </c>
      <c r="BH22" s="64">
        <f>(Table51621263136414651566175[[#This Row],[Concentration6]]*constants!$C$10)/1000</f>
        <v>0</v>
      </c>
      <c r="BI22" s="64">
        <f>(Table51621263136414651566175[[#This Row],[Concentration7]]*constants!$C$5)</f>
        <v>0</v>
      </c>
      <c r="BJ22" s="64">
        <f>(Table51621263136414651566175[[#This Row],[Concentration8]]*3)</f>
        <v>0</v>
      </c>
      <c r="BK22" s="64">
        <f>(Table51621263136414651566175[[#This Row],[Concentration9]]*4)</f>
        <v>0</v>
      </c>
      <c r="BL22" s="64">
        <f>(Table51621263136414651566175[[#This Row],[Concentration10]]*4)</f>
        <v>0</v>
      </c>
      <c r="BM22" s="64">
        <f>(Table51621263136414651566175[[#This Row],[Concentration11]]*5)</f>
        <v>0</v>
      </c>
      <c r="BN22" s="64">
        <f>(Table51621263136414651566175[[#This Row],[Concentration12]]*5)</f>
        <v>0</v>
      </c>
      <c r="BO22" s="64">
        <f>(Table51621263136414651566175[[#This Row],[Concentration13]]*6)</f>
        <v>0</v>
      </c>
      <c r="BP22" s="64">
        <f>(Table51621263136414651566175[[#This Row],[Concentration14]]*6)</f>
        <v>0</v>
      </c>
      <c r="BQ22" s="64">
        <f>(Table51621263136414651566175[[#This Row],[Concentration15]]*7)</f>
        <v>0</v>
      </c>
      <c r="BR22" s="64">
        <f>(Table51621263136414651566175[[#This Row],[Concentration16]]*8)</f>
        <v>0</v>
      </c>
      <c r="BS22" s="64">
        <f>(Table51621263136414651566175[[#This Row],[Concentration17]]*3)/1000</f>
        <v>0</v>
      </c>
      <c r="BT22" s="47">
        <f>Table51621263136414651566175[[#This Row],[Concentration18]]/1000</f>
        <v>0</v>
      </c>
      <c r="BU22" s="47">
        <f>Table51621263136414651566175[[#This Row],[Concentration19]]/1000</f>
        <v>0</v>
      </c>
    </row>
    <row r="23" spans="1:73" s="47" customFormat="1" ht="16" thickBot="1" x14ac:dyDescent="0.4">
      <c r="A23" s="63">
        <f>Table2[[#This Row],[Date]]</f>
        <v>43317</v>
      </c>
      <c r="B23" s="169">
        <f>Table2[[#This Row],[Time]]</f>
        <v>50</v>
      </c>
      <c r="C23" s="54"/>
      <c r="D23" s="18">
        <f>IFERROR(AVERAGE(Table31520253035[[#This Row],[Amount ]],Table3152025303540[[#This Row],[Amount ]]),0)</f>
        <v>0</v>
      </c>
      <c r="E23" s="18">
        <f>IFERROR(AVERAGE(Table31520253035[[#This Row],[Amount 2]],Table3152025303540[[#This Row],[Amount 2]]),0)</f>
        <v>0</v>
      </c>
      <c r="F23" s="18">
        <f>IFERROR(AVERAGE(Table31520253035[[#This Row],[Amount 3]],Table3152025303540[[#This Row],[Amount 3]]),0)</f>
        <v>0</v>
      </c>
      <c r="G23" s="18">
        <f>IFERROR(AVERAGE(Table31520253035[[#This Row],[Amount 4]],Table3152025303540[[#This Row],[Amount 4]]),0)</f>
        <v>0</v>
      </c>
      <c r="H23" s="18">
        <f>IFERROR(AVERAGE(Table31520253035[[#This Row],[Amount 5]],Table3152025303540[[#This Row],[Amount 5]]),0)</f>
        <v>0</v>
      </c>
      <c r="I23" s="18">
        <f>IFERROR(AVERAGE(Table31520253035[[#This Row],[Amount 6]],Table3152025303540[[#This Row],[Amount 6]]),0)</f>
        <v>0</v>
      </c>
      <c r="J23" s="18">
        <f>IFERROR(AVERAGE(Table31520253035[[#This Row],[Amount 7]],Table3152025303540[[#This Row],[Amount 7]]),0)</f>
        <v>0</v>
      </c>
      <c r="K23" s="18">
        <f>IFERROR(AVERAGE(Table31520253035[[#This Row],[Amount 8]],Table3152025303540[[#This Row],[Amount 8]]),0)</f>
        <v>0</v>
      </c>
      <c r="L23" s="18">
        <f>IFERROR(AVERAGE(Table31520253035[[#This Row],[Amount 9]],Table3152025303540[[#This Row],[Amount 9]]),0)</f>
        <v>0</v>
      </c>
      <c r="M23" s="18">
        <f>IFERROR(AVERAGE(Table31520253035[[#This Row],[Amount 10]],Table3152025303540[[#This Row],[Amount 10]]),0)</f>
        <v>0</v>
      </c>
      <c r="N23" s="18">
        <f>IFERROR(AVERAGE(Table31520253035[[#This Row],[Amount 11]],Table3152025303540[[#This Row],[Amount 11]]),0)</f>
        <v>0</v>
      </c>
      <c r="O23" s="18">
        <f>IFERROR(AVERAGE(Table31520253035[[#This Row],[Amount 12]],Table3152025303540[[#This Row],[Amount 12]]),0)</f>
        <v>0</v>
      </c>
      <c r="P23" s="18">
        <f>IFERROR(AVERAGE(Table31520253035[[#This Row],[Amount 13]],Table3152025303540[[#This Row],[Amount 13]]),0)</f>
        <v>0</v>
      </c>
      <c r="Q23" s="18">
        <f>IFERROR(AVERAGE(Table31520253035[[#This Row],[Amount 14]],Table3152025303540[[#This Row],[Amount 14]]),0)</f>
        <v>0</v>
      </c>
      <c r="R23" s="18">
        <f>IFERROR(AVERAGE(Table31520253035[[#This Row],[Amount 15]],Table3152025303540[[#This Row],[Amount 15]]),0)</f>
        <v>0</v>
      </c>
      <c r="S23" s="18">
        <f>IFERROR(AVERAGE(Table31520253035[[#This Row],[Amount 16]],Table3152025303540[[#This Row],[Amount 16]]),0)</f>
        <v>0</v>
      </c>
      <c r="T23" s="18">
        <f>IFERROR(AVERAGE(Table31520253035[[#This Row],[Amount 17]],Table3152025303540[[#This Row],[Amount 17]]),0)</f>
        <v>0</v>
      </c>
      <c r="U23" s="18">
        <f>IFERROR(AVERAGE(Table31520253035[[#This Row],[Amount 18]],Table3152025303540[[#This Row],[Amount 18]]),0)</f>
        <v>0</v>
      </c>
      <c r="V23" s="18">
        <f>IFERROR(AVERAGE(Table31520253035[[#This Row],[Amount 19]],Table3152025303540[[#This Row],[Amount 19]]),0)</f>
        <v>0</v>
      </c>
      <c r="W23" s="18">
        <f>IFERROR(AVERAGE(Table31520253035[[#This Row],[Ret.Time ]],Table3152025303540[[#This Row],[Ret.Time ]]),0)</f>
        <v>0</v>
      </c>
      <c r="X23" s="18">
        <f>IFERROR(AVERAGE(Table31520253035[[#This Row],[Amount 20]],Table3152025303540[[#This Row],[Amount 20]]),0)</f>
        <v>0</v>
      </c>
      <c r="Y23" s="18">
        <f>IFERROR(AVERAGE(Table31520253035[[#This Row],[Ret.Time]],Table3152025303540[[#This Row],[Ret.Time]]),0)</f>
        <v>0</v>
      </c>
      <c r="Z23" s="18">
        <f>IFERROR(AVERAGE(Table31520253035[[#This Row],[Amount 21]],Table3152025303540[[#This Row],[Amount 21]]),0)</f>
        <v>0</v>
      </c>
      <c r="AA23" s="18">
        <f>IFERROR(AVERAGE(Table31520253035[[#This Row],[Ret.Time22]],Table3152025303540[[#This Row],[Ret.Time22]]),0)</f>
        <v>0</v>
      </c>
      <c r="AB23" s="18">
        <f>IFERROR(AVERAGE(Table31520253035[[#This Row],[Amount 23]],Table3152025303540[[#This Row],[Amount 23]]),0)</f>
        <v>0</v>
      </c>
      <c r="AC23" s="18">
        <f>IFERROR(AVERAGE(Table31520253035[[#This Row],[Ret.Time24]],Table3152025303540[[#This Row],[Ret.Time24]]),0)</f>
        <v>0</v>
      </c>
      <c r="AD23" s="18">
        <f>IFERROR(AVERAGE(Table31520253035[[#This Row],[Amount 25]],Table3152025303540[[#This Row],[Amount 25]]),0)</f>
        <v>0</v>
      </c>
      <c r="AE23" s="18">
        <f>IFERROR(AVERAGE(Table31520253035[[#This Row],[pH]],Table3152025303540[[#This Row],[pH]]),0)</f>
        <v>0</v>
      </c>
      <c r="AF23" s="18">
        <f>IFERROR(AVERAGE(Table31520253035[[#This Row],[dilution ]],Table3152025303540[[#This Row],[dilution ]]),0)</f>
        <v>10</v>
      </c>
      <c r="AG23" s="18">
        <f>IFERROR(AVERAGE(Table31520253035[[#This Row],[retention]],Table3152025303540[[#This Row],[retention]]),0)</f>
        <v>0</v>
      </c>
      <c r="AH23" s="18">
        <f>IFERROR(AVERAGE(Table31520253035[[#This Row],[amount]],Table3152025303540[[#This Row],[amount]]),0)</f>
        <v>0</v>
      </c>
      <c r="AI23" s="18">
        <f>IFERROR(AVERAGE(Table31520253035[[#This Row],[pressure]],Table3152025303540[[#This Row],[pressure]]),0)</f>
        <v>0</v>
      </c>
      <c r="AJ23" s="64">
        <f>IF(D23="nd","nd",D23*$C23/constants!$B$3)</f>
        <v>0</v>
      </c>
      <c r="AK23" s="64">
        <f>IF(E23="nd","nd",E23*$C23/constants!$B$6)</f>
        <v>0</v>
      </c>
      <c r="AL23" s="64">
        <f>IF(F23="nd","nd",F23*$C23/constants!$B$7)</f>
        <v>0</v>
      </c>
      <c r="AM23" s="64">
        <f>IF(G23="nd","nd",G23*$C23/constants!$B$8)</f>
        <v>0</v>
      </c>
      <c r="AN23" s="64">
        <f>IF(H23="nd","nd",H23*$C23/constants!$B$9)</f>
        <v>0</v>
      </c>
      <c r="AO23" s="64">
        <f>IF(I23="nd","nd",I23*$C23/constants!$B$10)</f>
        <v>0</v>
      </c>
      <c r="AP23" s="162">
        <f t="shared" si="1"/>
        <v>0</v>
      </c>
      <c r="AQ23" s="162">
        <f t="shared" si="2"/>
        <v>0</v>
      </c>
      <c r="AR23" s="162">
        <f t="shared" si="3"/>
        <v>0</v>
      </c>
      <c r="AS23" s="162">
        <f t="shared" si="4"/>
        <v>0</v>
      </c>
      <c r="AT23" s="162">
        <f t="shared" si="5"/>
        <v>0</v>
      </c>
      <c r="AU23" s="162">
        <f t="shared" si="6"/>
        <v>0</v>
      </c>
      <c r="AV23" s="162">
        <f t="shared" si="7"/>
        <v>0</v>
      </c>
      <c r="AW23" s="162">
        <f t="shared" si="8"/>
        <v>0</v>
      </c>
      <c r="AX23" s="162">
        <f t="shared" si="9"/>
        <v>0</v>
      </c>
      <c r="AY23" s="162">
        <f t="shared" si="10"/>
        <v>0</v>
      </c>
      <c r="AZ23" s="64">
        <f>IF(AH23="nd","nd",AH23*Table31520253035404550556074[[#This Row],[dilution ]]/constants!$B$3)</f>
        <v>0</v>
      </c>
      <c r="BA23" s="64"/>
      <c r="BB23" s="64"/>
      <c r="BC23" s="64">
        <f>(Table51621263136414651566175[[#This Row],[Concentration]]*constants!$C$3)/1000</f>
        <v>0</v>
      </c>
      <c r="BD23" s="64">
        <f>(Table51621263136414651566175[[#This Row],[Concentration2]]*constants!$C$6)/1000</f>
        <v>0</v>
      </c>
      <c r="BE23" s="64">
        <f>(Table51621263136414651566175[[#This Row],[Concentration3]]*constants!$C$7)/1000</f>
        <v>0</v>
      </c>
      <c r="BF23" s="64">
        <f>(Table51621263136414651566175[[#This Row],[Concentration4]]*constants!$C$8)/1000</f>
        <v>0</v>
      </c>
      <c r="BG23" s="64">
        <f>(Table51621263136414651566175[[#This Row],[Concentration5]]*constants!$C$9)/1000</f>
        <v>0</v>
      </c>
      <c r="BH23" s="64">
        <f>(Table51621263136414651566175[[#This Row],[Concentration6]]*constants!$C$10)/1000</f>
        <v>0</v>
      </c>
      <c r="BI23" s="64">
        <f>(Table51621263136414651566175[[#This Row],[Concentration7]]*constants!$C$5)</f>
        <v>0</v>
      </c>
      <c r="BJ23" s="64">
        <f>(Table51621263136414651566175[[#This Row],[Concentration8]]*3)</f>
        <v>0</v>
      </c>
      <c r="BK23" s="64">
        <f>(Table51621263136414651566175[[#This Row],[Concentration9]]*4)</f>
        <v>0</v>
      </c>
      <c r="BL23" s="64">
        <f>(Table51621263136414651566175[[#This Row],[Concentration10]]*4)</f>
        <v>0</v>
      </c>
      <c r="BM23" s="64">
        <f>(Table51621263136414651566175[[#This Row],[Concentration11]]*5)</f>
        <v>0</v>
      </c>
      <c r="BN23" s="64">
        <f>(Table51621263136414651566175[[#This Row],[Concentration12]]*5)</f>
        <v>0</v>
      </c>
      <c r="BO23" s="64">
        <f>(Table51621263136414651566175[[#This Row],[Concentration13]]*6)</f>
        <v>0</v>
      </c>
      <c r="BP23" s="64">
        <f>(Table51621263136414651566175[[#This Row],[Concentration14]]*6)</f>
        <v>0</v>
      </c>
      <c r="BQ23" s="64">
        <f>(Table51621263136414651566175[[#This Row],[Concentration15]]*7)</f>
        <v>0</v>
      </c>
      <c r="BR23" s="64">
        <f>(Table51621263136414651566175[[#This Row],[Concentration16]]*8)</f>
        <v>0</v>
      </c>
      <c r="BS23" s="64">
        <f>(Table51621263136414651566175[[#This Row],[Concentration17]]*3)/1000</f>
        <v>0</v>
      </c>
      <c r="BT23" s="47">
        <f>Table51621263136414651566175[[#This Row],[Concentration18]]/1000</f>
        <v>0</v>
      </c>
      <c r="BU23" s="47">
        <f>Table51621263136414651566175[[#This Row],[Concentration19]]/1000</f>
        <v>0</v>
      </c>
    </row>
    <row r="24" spans="1:73" s="66" customFormat="1" ht="16" thickBot="1" x14ac:dyDescent="0.4">
      <c r="A24" s="63" t="str">
        <f>Table2[[#This Row],[Date]]</f>
        <v>16-05-2018</v>
      </c>
      <c r="B24" s="169">
        <f>Table2[[#This Row],[Time]]</f>
        <v>58</v>
      </c>
      <c r="C24" s="79"/>
      <c r="D24" s="18">
        <f>IFERROR(AVERAGE(Table31520253035[[#This Row],[Amount ]],Table3152025303540[[#This Row],[Amount ]]),0)</f>
        <v>0</v>
      </c>
      <c r="E24" s="18">
        <f>IFERROR(AVERAGE(Table31520253035[[#This Row],[Amount 2]],Table3152025303540[[#This Row],[Amount 2]]),0)</f>
        <v>0</v>
      </c>
      <c r="F24" s="18">
        <f>IFERROR(AVERAGE(Table31520253035[[#This Row],[Amount 3]],Table3152025303540[[#This Row],[Amount 3]]),0)</f>
        <v>0</v>
      </c>
      <c r="G24" s="18">
        <f>IFERROR(AVERAGE(Table31520253035[[#This Row],[Amount 4]],Table3152025303540[[#This Row],[Amount 4]]),0)</f>
        <v>0</v>
      </c>
      <c r="H24" s="18">
        <f>IFERROR(AVERAGE(Table31520253035[[#This Row],[Amount 5]],Table3152025303540[[#This Row],[Amount 5]]),0)</f>
        <v>0</v>
      </c>
      <c r="I24" s="18">
        <f>IFERROR(AVERAGE(Table31520253035[[#This Row],[Amount 6]],Table3152025303540[[#This Row],[Amount 6]]),0)</f>
        <v>0</v>
      </c>
      <c r="J24" s="18">
        <f>IFERROR(AVERAGE(Table31520253035[[#This Row],[Amount 7]],Table3152025303540[[#This Row],[Amount 7]]),0)</f>
        <v>1.7057380080287752</v>
      </c>
      <c r="K24" s="18">
        <f>IFERROR(AVERAGE(Table31520253035[[#This Row],[Amount 8]],Table3152025303540[[#This Row],[Amount 8]]),0)</f>
        <v>1.9396118115766516</v>
      </c>
      <c r="L24" s="18">
        <f>IFERROR(AVERAGE(Table31520253035[[#This Row],[Amount 9]],Table3152025303540[[#This Row],[Amount 9]]),0)</f>
        <v>0.8608526398209877</v>
      </c>
      <c r="M24" s="18">
        <f>IFERROR(AVERAGE(Table31520253035[[#This Row],[Amount 10]],Table3152025303540[[#This Row],[Amount 10]]),0)</f>
        <v>4.8374423394172181</v>
      </c>
      <c r="N24" s="18">
        <f>IFERROR(AVERAGE(Table31520253035[[#This Row],[Amount 11]],Table3152025303540[[#This Row],[Amount 11]]),0)</f>
        <v>0</v>
      </c>
      <c r="O24" s="18">
        <f>IFERROR(AVERAGE(Table31520253035[[#This Row],[Amount 12]],Table3152025303540[[#This Row],[Amount 12]]),0)</f>
        <v>0</v>
      </c>
      <c r="P24" s="18">
        <f>IFERROR(AVERAGE(Table31520253035[[#This Row],[Amount 13]],Table3152025303540[[#This Row],[Amount 13]]),0)</f>
        <v>0</v>
      </c>
      <c r="Q24" s="18">
        <f>IFERROR(AVERAGE(Table31520253035[[#This Row],[Amount 14]],Table3152025303540[[#This Row],[Amount 14]]),0)</f>
        <v>1.49328167883319</v>
      </c>
      <c r="R24" s="18">
        <f>IFERROR(AVERAGE(Table31520253035[[#This Row],[Amount 15]],Table3152025303540[[#This Row],[Amount 15]]),0)</f>
        <v>0</v>
      </c>
      <c r="S24" s="18">
        <f>IFERROR(AVERAGE(Table31520253035[[#This Row],[Amount 16]],Table3152025303540[[#This Row],[Amount 16]]),0)</f>
        <v>0</v>
      </c>
      <c r="T24" s="18">
        <f>IFERROR(AVERAGE(Table31520253035[[#This Row],[Amount 17]],Table3152025303540[[#This Row],[Amount 17]]),0)</f>
        <v>0</v>
      </c>
      <c r="U24" s="18">
        <f>IFERROR(AVERAGE(Table31520253035[[#This Row],[Amount 18]],Table3152025303540[[#This Row],[Amount 18]]),0)</f>
        <v>0</v>
      </c>
      <c r="V24" s="18">
        <f>IFERROR(AVERAGE(Table31520253035[[#This Row],[Amount 19]],Table3152025303540[[#This Row],[Amount 19]]),0)</f>
        <v>0</v>
      </c>
      <c r="W24" s="18">
        <f>IFERROR(AVERAGE(Table31520253035[[#This Row],[Ret.Time ]],Table3152025303540[[#This Row],[Ret.Time ]]),0)</f>
        <v>0</v>
      </c>
      <c r="X24" s="18">
        <f>IFERROR(AVERAGE(Table31520253035[[#This Row],[Amount 20]],Table3152025303540[[#This Row],[Amount 20]]),0)</f>
        <v>0</v>
      </c>
      <c r="Y24" s="18">
        <f>IFERROR(AVERAGE(Table31520253035[[#This Row],[Ret.Time]],Table3152025303540[[#This Row],[Ret.Time]]),0)</f>
        <v>0</v>
      </c>
      <c r="Z24" s="18">
        <f>IFERROR(AVERAGE(Table31520253035[[#This Row],[Amount 21]],Table3152025303540[[#This Row],[Amount 21]]),0)</f>
        <v>0</v>
      </c>
      <c r="AA24" s="18">
        <f>IFERROR(AVERAGE(Table31520253035[[#This Row],[Ret.Time22]],Table3152025303540[[#This Row],[Ret.Time22]]),0)</f>
        <v>0</v>
      </c>
      <c r="AB24" s="18">
        <f>IFERROR(AVERAGE(Table31520253035[[#This Row],[Amount 23]],Table3152025303540[[#This Row],[Amount 23]]),0)</f>
        <v>0</v>
      </c>
      <c r="AC24" s="18">
        <f>IFERROR(AVERAGE(Table31520253035[[#This Row],[Ret.Time24]],Table3152025303540[[#This Row],[Ret.Time24]]),0)</f>
        <v>0</v>
      </c>
      <c r="AD24" s="18">
        <f>IFERROR(AVERAGE(Table31520253035[[#This Row],[Amount 25]],Table3152025303540[[#This Row],[Amount 25]]),0)</f>
        <v>0</v>
      </c>
      <c r="AE24" s="18">
        <f>IFERROR(AVERAGE(Table31520253035[[#This Row],[pH]],Table3152025303540[[#This Row],[pH]]),0)</f>
        <v>6.83</v>
      </c>
      <c r="AF24" s="18">
        <f>IFERROR(AVERAGE(Table31520253035[[#This Row],[dilution ]],Table3152025303540[[#This Row],[dilution ]]),0)</f>
        <v>0</v>
      </c>
      <c r="AG24" s="18">
        <f>IFERROR(AVERAGE(Table31520253035[[#This Row],[retention]],Table3152025303540[[#This Row],[retention]]),0)</f>
        <v>0</v>
      </c>
      <c r="AH24" s="18">
        <f>IFERROR(AVERAGE(Table31520253035[[#This Row],[amount]],Table3152025303540[[#This Row],[amount]]),0)</f>
        <v>0</v>
      </c>
      <c r="AI24" s="18">
        <f>IFERROR(AVERAGE(Table31520253035[[#This Row],[pressure]],Table3152025303540[[#This Row],[pressure]]),0)</f>
        <v>0</v>
      </c>
      <c r="AJ24" s="64">
        <f>IF(D24="nd","nd",D24*$C24/constants!$B$3)</f>
        <v>0</v>
      </c>
      <c r="AK24" s="64">
        <f>IF(E24="nd","nd",E24*$C24/constants!$B$6)</f>
        <v>0</v>
      </c>
      <c r="AL24" s="64">
        <f>IF(F24="nd","nd",F24*$C24/constants!$B$7)</f>
        <v>0</v>
      </c>
      <c r="AM24" s="64">
        <f>IF(G24="nd","nd",G24*$C24/constants!$B$8)</f>
        <v>0</v>
      </c>
      <c r="AN24" s="64">
        <f>IF(H24="nd","nd",H24*$C24/constants!$B$9)</f>
        <v>0</v>
      </c>
      <c r="AO24" s="64">
        <f>IF(I24="nd","nd",I24*$C24/constants!$B$10)</f>
        <v>0</v>
      </c>
      <c r="AP24" s="162">
        <f t="shared" si="1"/>
        <v>0</v>
      </c>
      <c r="AQ24" s="162">
        <f t="shared" si="2"/>
        <v>0</v>
      </c>
      <c r="AR24" s="162">
        <f t="shared" si="3"/>
        <v>0</v>
      </c>
      <c r="AS24" s="162">
        <f t="shared" si="4"/>
        <v>0</v>
      </c>
      <c r="AT24" s="162">
        <f t="shared" si="5"/>
        <v>0</v>
      </c>
      <c r="AU24" s="162">
        <f t="shared" si="6"/>
        <v>0</v>
      </c>
      <c r="AV24" s="162">
        <f t="shared" si="7"/>
        <v>0</v>
      </c>
      <c r="AW24" s="162">
        <f t="shared" si="8"/>
        <v>0</v>
      </c>
      <c r="AX24" s="162">
        <f t="shared" si="9"/>
        <v>0</v>
      </c>
      <c r="AY24" s="162">
        <f t="shared" si="10"/>
        <v>0</v>
      </c>
      <c r="AZ24" s="64">
        <f>IF(AH24="nd","nd",AH24*Table31520253035404550556074[[#This Row],[dilution ]]/constants!$B$3)</f>
        <v>0</v>
      </c>
      <c r="BA24" s="64"/>
      <c r="BB24" s="64"/>
      <c r="BC24" s="64">
        <f>(Table51621263136414651566175[[#This Row],[Concentration]]*constants!$C$3)/1000</f>
        <v>0</v>
      </c>
      <c r="BD24" s="64">
        <f>(Table51621263136414651566175[[#This Row],[Concentration2]]*constants!$C$6)/1000</f>
        <v>0</v>
      </c>
      <c r="BE24" s="64">
        <f>(Table51621263136414651566175[[#This Row],[Concentration3]]*constants!$C$7)/1000</f>
        <v>0</v>
      </c>
      <c r="BF24" s="64">
        <f>(Table51621263136414651566175[[#This Row],[Concentration4]]*constants!$C$8)/1000</f>
        <v>0</v>
      </c>
      <c r="BG24" s="64">
        <f>(Table51621263136414651566175[[#This Row],[Concentration5]]*constants!$C$9)/1000</f>
        <v>0</v>
      </c>
      <c r="BH24" s="64">
        <f>(Table51621263136414651566175[[#This Row],[Concentration6]]*constants!$C$10)/1000</f>
        <v>0</v>
      </c>
      <c r="BI24" s="64">
        <f>(Table51621263136414651566175[[#This Row],[Concentration7]]*constants!$C$5)</f>
        <v>0</v>
      </c>
      <c r="BJ24" s="64">
        <f>(Table51621263136414651566175[[#This Row],[Concentration8]]*3)</f>
        <v>0</v>
      </c>
      <c r="BK24" s="64">
        <f>(Table51621263136414651566175[[#This Row],[Concentration9]]*4)</f>
        <v>0</v>
      </c>
      <c r="BL24" s="64">
        <f>(Table51621263136414651566175[[#This Row],[Concentration10]]*4)</f>
        <v>0</v>
      </c>
      <c r="BM24" s="64">
        <f>(Table51621263136414651566175[[#This Row],[Concentration11]]*5)</f>
        <v>0</v>
      </c>
      <c r="BN24" s="64">
        <f>(Table51621263136414651566175[[#This Row],[Concentration12]]*5)</f>
        <v>0</v>
      </c>
      <c r="BO24" s="64">
        <f>(Table51621263136414651566175[[#This Row],[Concentration13]]*6)</f>
        <v>0</v>
      </c>
      <c r="BP24" s="64">
        <f>(Table51621263136414651566175[[#This Row],[Concentration14]]*6)</f>
        <v>0</v>
      </c>
      <c r="BQ24" s="64">
        <f>(Table51621263136414651566175[[#This Row],[Concentration15]]*7)</f>
        <v>0</v>
      </c>
      <c r="BR24" s="64">
        <f>(Table51621263136414651566175[[#This Row],[Concentration16]]*8)</f>
        <v>0</v>
      </c>
      <c r="BS24" s="64">
        <f>(Table51621263136414651566175[[#This Row],[Concentration17]]*3)/1000</f>
        <v>0</v>
      </c>
      <c r="BT24" s="47">
        <f>Table51621263136414651566175[[#This Row],[Concentration18]]/1000</f>
        <v>0</v>
      </c>
      <c r="BU24" s="47">
        <f>Table51621263136414651566175[[#This Row],[Concentration19]]/1000</f>
        <v>0</v>
      </c>
    </row>
    <row r="25" spans="1:73" s="47" customFormat="1" ht="16" thickBot="1" x14ac:dyDescent="0.4">
      <c r="A25" s="63">
        <f>Table2[[#This Row],[Date]]</f>
        <v>0</v>
      </c>
      <c r="B25" s="74">
        <f>Table2[[#This Row],[Time]]</f>
        <v>0</v>
      </c>
      <c r="C25" s="54"/>
      <c r="D25" s="18">
        <f>IFERROR(AVERAGE(Table31520253035[[#This Row],[Amount ]],Table3152025303540[[#This Row],[Amount ]]),0)</f>
        <v>0</v>
      </c>
      <c r="E25" s="18">
        <f>IFERROR(AVERAGE(Table31520253035[[#This Row],[Amount 2]],Table3152025303540[[#This Row],[Amount 2]]),0)</f>
        <v>0</v>
      </c>
      <c r="F25" s="18">
        <f>IFERROR(AVERAGE(Table31520253035[[#This Row],[Amount 3]],Table3152025303540[[#This Row],[Amount 3]]),0)</f>
        <v>0</v>
      </c>
      <c r="G25" s="18">
        <f>IFERROR(AVERAGE(Table31520253035[[#This Row],[Amount 4]],Table3152025303540[[#This Row],[Amount 4]]),0)</f>
        <v>0</v>
      </c>
      <c r="H25" s="18">
        <f>IFERROR(AVERAGE(Table31520253035[[#This Row],[Amount 5]],Table3152025303540[[#This Row],[Amount 5]]),0)</f>
        <v>0</v>
      </c>
      <c r="I25" s="18">
        <f>IFERROR(AVERAGE(Table31520253035[[#This Row],[Amount 6]],Table3152025303540[[#This Row],[Amount 6]]),0)</f>
        <v>0</v>
      </c>
      <c r="J25" s="18">
        <f>IFERROR(AVERAGE(Table31520253035[[#This Row],[Amount 7]],Table3152025303540[[#This Row],[Amount 7]]),0)</f>
        <v>1.4832511386092371</v>
      </c>
      <c r="K25" s="18">
        <f>IFERROR(AVERAGE(Table31520253035[[#This Row],[Amount 8]],Table3152025303540[[#This Row],[Amount 8]]),0)</f>
        <v>1.1534532933024761</v>
      </c>
      <c r="L25" s="18">
        <f>IFERROR(AVERAGE(Table31520253035[[#This Row],[Amount 9]],Table3152025303540[[#This Row],[Amount 9]]),0)</f>
        <v>0</v>
      </c>
      <c r="M25" s="18">
        <f>IFERROR(AVERAGE(Table31520253035[[#This Row],[Amount 10]],Table3152025303540[[#This Row],[Amount 10]]),0)</f>
        <v>3.673191984246885</v>
      </c>
      <c r="N25" s="18">
        <f>IFERROR(AVERAGE(Table31520253035[[#This Row],[Amount 11]],Table3152025303540[[#This Row],[Amount 11]]),0)</f>
        <v>0</v>
      </c>
      <c r="O25" s="18">
        <f>IFERROR(AVERAGE(Table31520253035[[#This Row],[Amount 12]],Table3152025303540[[#This Row],[Amount 12]]),0)</f>
        <v>0</v>
      </c>
      <c r="P25" s="18">
        <f>IFERROR(AVERAGE(Table31520253035[[#This Row],[Amount 13]],Table3152025303540[[#This Row],[Amount 13]]),0)</f>
        <v>0</v>
      </c>
      <c r="Q25" s="18">
        <f>IFERROR(AVERAGE(Table31520253035[[#This Row],[Amount 14]],Table3152025303540[[#This Row],[Amount 14]]),0)</f>
        <v>0</v>
      </c>
      <c r="R25" s="18">
        <f>IFERROR(AVERAGE(Table31520253035[[#This Row],[Amount 15]],Table3152025303540[[#This Row],[Amount 15]]),0)</f>
        <v>0.73842088601257694</v>
      </c>
      <c r="S25" s="18">
        <f>IFERROR(AVERAGE(Table31520253035[[#This Row],[Amount 16]],Table3152025303540[[#This Row],[Amount 16]]),0)</f>
        <v>0</v>
      </c>
      <c r="T25" s="18">
        <f>IFERROR(AVERAGE(Table31520253035[[#This Row],[Amount 17]],Table3152025303540[[#This Row],[Amount 17]]),0)</f>
        <v>0</v>
      </c>
      <c r="U25" s="18">
        <f>IFERROR(AVERAGE(Table31520253035[[#This Row],[Amount 18]],Table3152025303540[[#This Row],[Amount 18]]),0)</f>
        <v>0</v>
      </c>
      <c r="V25" s="18">
        <f>IFERROR(AVERAGE(Table31520253035[[#This Row],[Amount 19]],Table3152025303540[[#This Row],[Amount 19]]),0)</f>
        <v>0</v>
      </c>
      <c r="W25" s="18">
        <f>IFERROR(AVERAGE(Table31520253035[[#This Row],[Ret.Time ]],Table3152025303540[[#This Row],[Ret.Time ]]),0)</f>
        <v>0</v>
      </c>
      <c r="X25" s="18">
        <f>IFERROR(AVERAGE(Table31520253035[[#This Row],[Amount 20]],Table3152025303540[[#This Row],[Amount 20]]),0)</f>
        <v>0</v>
      </c>
      <c r="Y25" s="18">
        <f>IFERROR(AVERAGE(Table31520253035[[#This Row],[Ret.Time]],Table3152025303540[[#This Row],[Ret.Time]]),0)</f>
        <v>0</v>
      </c>
      <c r="Z25" s="18">
        <f>IFERROR(AVERAGE(Table31520253035[[#This Row],[Amount 21]],Table3152025303540[[#This Row],[Amount 21]]),0)</f>
        <v>0</v>
      </c>
      <c r="AA25" s="18">
        <f>IFERROR(AVERAGE(Table31520253035[[#This Row],[Ret.Time22]],Table3152025303540[[#This Row],[Ret.Time22]]),0)</f>
        <v>0</v>
      </c>
      <c r="AB25" s="18">
        <f>IFERROR(AVERAGE(Table31520253035[[#This Row],[Amount 23]],Table3152025303540[[#This Row],[Amount 23]]),0)</f>
        <v>0</v>
      </c>
      <c r="AC25" s="18">
        <f>IFERROR(AVERAGE(Table31520253035[[#This Row],[Ret.Time24]],Table3152025303540[[#This Row],[Ret.Time24]]),0)</f>
        <v>0</v>
      </c>
      <c r="AD25" s="18">
        <f>IFERROR(AVERAGE(Table31520253035[[#This Row],[Amount 25]],Table3152025303540[[#This Row],[Amount 25]]),0)</f>
        <v>0</v>
      </c>
      <c r="AE25" s="18">
        <f>IFERROR(AVERAGE(Table31520253035[[#This Row],[pH]],Table3152025303540[[#This Row],[pH]]),0)</f>
        <v>6.92</v>
      </c>
      <c r="AF25" s="18">
        <f>IFERROR(AVERAGE(Table31520253035[[#This Row],[dilution ]],Table3152025303540[[#This Row],[dilution ]]),0)</f>
        <v>0</v>
      </c>
      <c r="AG25" s="18">
        <f>IFERROR(AVERAGE(Table31520253035[[#This Row],[retention]],Table3152025303540[[#This Row],[retention]]),0)</f>
        <v>0</v>
      </c>
      <c r="AH25" s="18">
        <f>IFERROR(AVERAGE(Table31520253035[[#This Row],[amount]],Table3152025303540[[#This Row],[amount]]),0)</f>
        <v>0</v>
      </c>
      <c r="AI25" s="18">
        <f>IFERROR(AVERAGE(Table31520253035[[#This Row],[pressure]],Table3152025303540[[#This Row],[pressure]]),0)</f>
        <v>0</v>
      </c>
      <c r="AJ25" s="64">
        <f>IF(D25="nd","nd",D25*$C25/constants!$B$3)</f>
        <v>0</v>
      </c>
      <c r="AK25" s="64">
        <f>IF(E25="nd","nd",E25*$C25/constants!$B$6)</f>
        <v>0</v>
      </c>
      <c r="AL25" s="64">
        <f>IF(F25="nd","nd",F25*$C25/constants!$B$7)</f>
        <v>0</v>
      </c>
      <c r="AM25" s="64">
        <f>IF(G25="nd","nd",G25*$C25/constants!$B$8)</f>
        <v>0</v>
      </c>
      <c r="AN25" s="64">
        <f>IF(H25="nd","nd",H25*$C25/constants!$B$9)</f>
        <v>0</v>
      </c>
      <c r="AO25" s="64">
        <f>IF(I25="nd","nd",I25*$C25/constants!$B$10)</f>
        <v>0</v>
      </c>
      <c r="AP25" s="162">
        <f t="shared" si="1"/>
        <v>0</v>
      </c>
      <c r="AQ25" s="162">
        <f t="shared" si="2"/>
        <v>0</v>
      </c>
      <c r="AR25" s="162">
        <f t="shared" si="3"/>
        <v>0</v>
      </c>
      <c r="AS25" s="162">
        <f t="shared" si="4"/>
        <v>0</v>
      </c>
      <c r="AT25" s="162">
        <f t="shared" si="5"/>
        <v>0</v>
      </c>
      <c r="AU25" s="162">
        <f t="shared" si="6"/>
        <v>0</v>
      </c>
      <c r="AV25" s="162">
        <f t="shared" si="7"/>
        <v>0</v>
      </c>
      <c r="AW25" s="162">
        <f t="shared" si="8"/>
        <v>0</v>
      </c>
      <c r="AX25" s="162">
        <f t="shared" si="9"/>
        <v>0</v>
      </c>
      <c r="AY25" s="162">
        <f t="shared" si="10"/>
        <v>0</v>
      </c>
      <c r="AZ25" s="64">
        <f>IF(AH25="nd","nd",AH25*Table31520253035404550556074[[#This Row],[dilution ]]/constants!$B$3)</f>
        <v>0</v>
      </c>
      <c r="BA25" s="64"/>
      <c r="BB25" s="64"/>
      <c r="BC25" s="64">
        <f>(Table51621263136414651566175[[#This Row],[Concentration]]*constants!$C$3)/1000</f>
        <v>0</v>
      </c>
      <c r="BD25" s="64">
        <f>(Table51621263136414651566175[[#This Row],[Concentration2]]*constants!$C$6)/1000</f>
        <v>0</v>
      </c>
      <c r="BE25" s="64">
        <f>(Table51621263136414651566175[[#This Row],[Concentration3]]*constants!$C$7)/1000</f>
        <v>0</v>
      </c>
      <c r="BF25" s="64">
        <f>(Table51621263136414651566175[[#This Row],[Concentration4]]*constants!$C$8)/1000</f>
        <v>0</v>
      </c>
      <c r="BG25" s="64">
        <f>(Table51621263136414651566175[[#This Row],[Concentration5]]*constants!$C$9)/1000</f>
        <v>0</v>
      </c>
      <c r="BH25" s="64">
        <f>(Table51621263136414651566175[[#This Row],[Concentration6]]*constants!$C$10)/1000</f>
        <v>0</v>
      </c>
      <c r="BI25" s="64">
        <f>(Table51621263136414651566175[[#This Row],[Concentration7]]*constants!$C$5)</f>
        <v>0</v>
      </c>
      <c r="BJ25" s="64">
        <f>(Table51621263136414651566175[[#This Row],[Concentration8]]*3)</f>
        <v>0</v>
      </c>
      <c r="BK25" s="64">
        <f>(Table51621263136414651566175[[#This Row],[Concentration9]]*4)</f>
        <v>0</v>
      </c>
      <c r="BL25" s="64">
        <f>(Table51621263136414651566175[[#This Row],[Concentration10]]*4)</f>
        <v>0</v>
      </c>
      <c r="BM25" s="64">
        <f>(Table51621263136414651566175[[#This Row],[Concentration11]]*5)</f>
        <v>0</v>
      </c>
      <c r="BN25" s="64">
        <f>(Table51621263136414651566175[[#This Row],[Concentration12]]*5)</f>
        <v>0</v>
      </c>
      <c r="BO25" s="64">
        <f>(Table51621263136414651566175[[#This Row],[Concentration13]]*6)</f>
        <v>0</v>
      </c>
      <c r="BP25" s="64">
        <f>(Table51621263136414651566175[[#This Row],[Concentration14]]*6)</f>
        <v>0</v>
      </c>
      <c r="BQ25" s="64">
        <f>(Table51621263136414651566175[[#This Row],[Concentration15]]*7)</f>
        <v>0</v>
      </c>
      <c r="BR25" s="64">
        <f>(Table51621263136414651566175[[#This Row],[Concentration16]]*8)</f>
        <v>0</v>
      </c>
      <c r="BS25" s="64">
        <f>(Table51621263136414651566175[[#This Row],[Concentration17]]*3)/1000</f>
        <v>0</v>
      </c>
      <c r="BT25" s="47">
        <f>Table51621263136414651566175[[#This Row],[Concentration18]]/1000</f>
        <v>0</v>
      </c>
      <c r="BU25" s="47">
        <f>Table51621263136414651566175[[#This Row],[Concentration19]]/1000</f>
        <v>0</v>
      </c>
    </row>
    <row r="26" spans="1:73" s="66" customFormat="1" ht="16" thickBot="1" x14ac:dyDescent="0.4">
      <c r="A26" s="63">
        <f>Table2[[#This Row],[Date]]</f>
        <v>0</v>
      </c>
      <c r="B26" s="74">
        <f>Table2[[#This Row],[Time]]</f>
        <v>0</v>
      </c>
      <c r="C26" s="79"/>
      <c r="D26" s="18">
        <f>IFERROR(AVERAGE(Table31520253035[[#This Row],[Amount ]],Table3152025303540[[#This Row],[Amount ]]),0)</f>
        <v>0</v>
      </c>
      <c r="E26" s="18">
        <f>IFERROR(AVERAGE(Table31520253035[[#This Row],[Amount 2]],Table3152025303540[[#This Row],[Amount 2]]),0)</f>
        <v>0</v>
      </c>
      <c r="F26" s="18">
        <f>IFERROR(AVERAGE(Table31520253035[[#This Row],[Amount 3]],Table3152025303540[[#This Row],[Amount 3]]),0)</f>
        <v>0</v>
      </c>
      <c r="G26" s="18">
        <f>IFERROR(AVERAGE(Table31520253035[[#This Row],[Amount 4]],Table3152025303540[[#This Row],[Amount 4]]),0)</f>
        <v>0</v>
      </c>
      <c r="H26" s="18">
        <f>IFERROR(AVERAGE(Table31520253035[[#This Row],[Amount 5]],Table3152025303540[[#This Row],[Amount 5]]),0)</f>
        <v>0</v>
      </c>
      <c r="I26" s="18">
        <f>IFERROR(AVERAGE(Table31520253035[[#This Row],[Amount 6]],Table3152025303540[[#This Row],[Amount 6]]),0)</f>
        <v>0</v>
      </c>
      <c r="J26" s="18">
        <f>IFERROR(AVERAGE(Table31520253035[[#This Row],[Amount 7]],Table3152025303540[[#This Row],[Amount 7]]),0)</f>
        <v>0</v>
      </c>
      <c r="K26" s="18">
        <f>IFERROR(AVERAGE(Table31520253035[[#This Row],[Amount 8]],Table3152025303540[[#This Row],[Amount 8]]),0)</f>
        <v>0</v>
      </c>
      <c r="L26" s="18">
        <f>IFERROR(AVERAGE(Table31520253035[[#This Row],[Amount 9]],Table3152025303540[[#This Row],[Amount 9]]),0)</f>
        <v>0</v>
      </c>
      <c r="M26" s="18">
        <f>IFERROR(AVERAGE(Table31520253035[[#This Row],[Amount 10]],Table3152025303540[[#This Row],[Amount 10]]),0)</f>
        <v>0</v>
      </c>
      <c r="N26" s="18">
        <f>IFERROR(AVERAGE(Table31520253035[[#This Row],[Amount 11]],Table3152025303540[[#This Row],[Amount 11]]),0)</f>
        <v>0</v>
      </c>
      <c r="O26" s="18">
        <f>IFERROR(AVERAGE(Table31520253035[[#This Row],[Amount 12]],Table3152025303540[[#This Row],[Amount 12]]),0)</f>
        <v>0</v>
      </c>
      <c r="P26" s="18">
        <f>IFERROR(AVERAGE(Table31520253035[[#This Row],[Amount 13]],Table3152025303540[[#This Row],[Amount 13]]),0)</f>
        <v>0</v>
      </c>
      <c r="Q26" s="18">
        <f>IFERROR(AVERAGE(Table31520253035[[#This Row],[Amount 14]],Table3152025303540[[#This Row],[Amount 14]]),0)</f>
        <v>0</v>
      </c>
      <c r="R26" s="18">
        <f>IFERROR(AVERAGE(Table31520253035[[#This Row],[Amount 15]],Table3152025303540[[#This Row],[Amount 15]]),0)</f>
        <v>0</v>
      </c>
      <c r="S26" s="18">
        <f>IFERROR(AVERAGE(Table31520253035[[#This Row],[Amount 16]],Table3152025303540[[#This Row],[Amount 16]]),0)</f>
        <v>0</v>
      </c>
      <c r="T26" s="18">
        <f>IFERROR(AVERAGE(Table31520253035[[#This Row],[Amount 17]],Table3152025303540[[#This Row],[Amount 17]]),0)</f>
        <v>0</v>
      </c>
      <c r="U26" s="18">
        <f>IFERROR(AVERAGE(Table31520253035[[#This Row],[Amount 18]],Table3152025303540[[#This Row],[Amount 18]]),0)</f>
        <v>0</v>
      </c>
      <c r="V26" s="18">
        <f>IFERROR(AVERAGE(Table31520253035[[#This Row],[Amount 19]],Table3152025303540[[#This Row],[Amount 19]]),0)</f>
        <v>0</v>
      </c>
      <c r="W26" s="18">
        <f>IFERROR(AVERAGE(Table31520253035[[#This Row],[Ret.Time ]],Table3152025303540[[#This Row],[Ret.Time ]]),0)</f>
        <v>0</v>
      </c>
      <c r="X26" s="18">
        <f>IFERROR(AVERAGE(Table31520253035[[#This Row],[Amount 20]],Table3152025303540[[#This Row],[Amount 20]]),0)</f>
        <v>0</v>
      </c>
      <c r="Y26" s="18">
        <f>IFERROR(AVERAGE(Table31520253035[[#This Row],[Ret.Time]],Table3152025303540[[#This Row],[Ret.Time]]),0)</f>
        <v>0</v>
      </c>
      <c r="Z26" s="18">
        <f>IFERROR(AVERAGE(Table31520253035[[#This Row],[Amount 21]],Table3152025303540[[#This Row],[Amount 21]]),0)</f>
        <v>0</v>
      </c>
      <c r="AA26" s="18">
        <f>IFERROR(AVERAGE(Table31520253035[[#This Row],[Ret.Time22]],Table3152025303540[[#This Row],[Ret.Time22]]),0)</f>
        <v>0</v>
      </c>
      <c r="AB26" s="18">
        <f>IFERROR(AVERAGE(Table31520253035[[#This Row],[Amount 23]],Table3152025303540[[#This Row],[Amount 23]]),0)</f>
        <v>0</v>
      </c>
      <c r="AC26" s="18">
        <f>IFERROR(AVERAGE(Table31520253035[[#This Row],[Ret.Time24]],Table3152025303540[[#This Row],[Ret.Time24]]),0)</f>
        <v>0</v>
      </c>
      <c r="AD26" s="18">
        <f>IFERROR(AVERAGE(Table31520253035[[#This Row],[Amount 25]],Table3152025303540[[#This Row],[Amount 25]]),0)</f>
        <v>0</v>
      </c>
      <c r="AE26" s="18">
        <f>IFERROR(AVERAGE(Table31520253035[[#This Row],[pH]],Table3152025303540[[#This Row],[pH]]),0)</f>
        <v>0</v>
      </c>
      <c r="AF26" s="18">
        <f>IFERROR(AVERAGE(Table31520253035[[#This Row],[dilution ]],Table3152025303540[[#This Row],[dilution ]]),0)</f>
        <v>0</v>
      </c>
      <c r="AG26" s="18">
        <f>IFERROR(AVERAGE(Table31520253035[[#This Row],[retention]],Table3152025303540[[#This Row],[retention]]),0)</f>
        <v>0</v>
      </c>
      <c r="AH26" s="18">
        <f>IFERROR(AVERAGE(Table31520253035[[#This Row],[amount]],Table3152025303540[[#This Row],[amount]]),0)</f>
        <v>0</v>
      </c>
      <c r="AI26" s="18">
        <f>IFERROR(AVERAGE(Table31520253035[[#This Row],[pressure]],Table3152025303540[[#This Row],[pressure]]),0)</f>
        <v>0</v>
      </c>
      <c r="AJ26" s="64">
        <f>IF(D26="nd","nd",D26*$C26/constants!$B$3)</f>
        <v>0</v>
      </c>
      <c r="AK26" s="64">
        <f>IF(E26="nd","nd",E26*$C26/constants!$B$6)</f>
        <v>0</v>
      </c>
      <c r="AL26" s="64">
        <f>IF(F26="nd","nd",F26*$C26/constants!$B$7)</f>
        <v>0</v>
      </c>
      <c r="AM26" s="64">
        <f>IF(G26="nd","nd",G26*$C26/constants!$B$8)</f>
        <v>0</v>
      </c>
      <c r="AN26" s="64">
        <f>IF(H26="nd","nd",H26*$C26/constants!$B$9)</f>
        <v>0</v>
      </c>
      <c r="AO26" s="64">
        <f>IF(I26="nd","nd",I26*$C26/constants!$B$10)</f>
        <v>0</v>
      </c>
      <c r="AP26" s="162">
        <f t="shared" si="1"/>
        <v>0</v>
      </c>
      <c r="AQ26" s="162">
        <f t="shared" si="2"/>
        <v>0</v>
      </c>
      <c r="AR26" s="162">
        <f t="shared" si="3"/>
        <v>0</v>
      </c>
      <c r="AS26" s="162">
        <f t="shared" si="4"/>
        <v>0</v>
      </c>
      <c r="AT26" s="162">
        <f t="shared" si="5"/>
        <v>0</v>
      </c>
      <c r="AU26" s="162">
        <f t="shared" si="6"/>
        <v>0</v>
      </c>
      <c r="AV26" s="162">
        <f t="shared" si="7"/>
        <v>0</v>
      </c>
      <c r="AW26" s="162">
        <f t="shared" si="8"/>
        <v>0</v>
      </c>
      <c r="AX26" s="162">
        <f t="shared" si="9"/>
        <v>0</v>
      </c>
      <c r="AY26" s="162">
        <f t="shared" si="10"/>
        <v>0</v>
      </c>
      <c r="AZ26" s="64">
        <f>IF(AH26="nd","nd",AH26*Table31520253035404550556074[[#This Row],[dilution ]]/constants!$B$3)</f>
        <v>0</v>
      </c>
      <c r="BA26" s="64"/>
      <c r="BB26" s="64"/>
      <c r="BC26" s="64">
        <f>(Table51621263136414651566175[[#This Row],[Concentration]]*constants!$C$3)/1000</f>
        <v>0</v>
      </c>
      <c r="BD26" s="64">
        <f>(Table51621263136414651566175[[#This Row],[Concentration2]]*constants!$C$6)/1000</f>
        <v>0</v>
      </c>
      <c r="BE26" s="64">
        <f>(Table51621263136414651566175[[#This Row],[Concentration3]]*constants!$C$7)/1000</f>
        <v>0</v>
      </c>
      <c r="BF26" s="64">
        <f>(Table51621263136414651566175[[#This Row],[Concentration4]]*constants!$C$8)/1000</f>
        <v>0</v>
      </c>
      <c r="BG26" s="64">
        <f>(Table51621263136414651566175[[#This Row],[Concentration5]]*constants!$C$9)/1000</f>
        <v>0</v>
      </c>
      <c r="BH26" s="64">
        <f>(Table51621263136414651566175[[#This Row],[Concentration6]]*constants!$C$10)/1000</f>
        <v>0</v>
      </c>
      <c r="BI26" s="64">
        <f>(Table51621263136414651566175[[#This Row],[Concentration7]]*constants!$C$5)</f>
        <v>0</v>
      </c>
      <c r="BJ26" s="64">
        <f>(Table51621263136414651566175[[#This Row],[Concentration8]]*3)</f>
        <v>0</v>
      </c>
      <c r="BK26" s="64">
        <f>(Table51621263136414651566175[[#This Row],[Concentration9]]*4)</f>
        <v>0</v>
      </c>
      <c r="BL26" s="64">
        <f>(Table51621263136414651566175[[#This Row],[Concentration10]]*4)</f>
        <v>0</v>
      </c>
      <c r="BM26" s="64">
        <f>(Table51621263136414651566175[[#This Row],[Concentration11]]*5)</f>
        <v>0</v>
      </c>
      <c r="BN26" s="64">
        <f>(Table51621263136414651566175[[#This Row],[Concentration12]]*5)</f>
        <v>0</v>
      </c>
      <c r="BO26" s="64">
        <f>(Table51621263136414651566175[[#This Row],[Concentration13]]*6)</f>
        <v>0</v>
      </c>
      <c r="BP26" s="64">
        <f>(Table51621263136414651566175[[#This Row],[Concentration14]]*6)</f>
        <v>0</v>
      </c>
      <c r="BQ26" s="64">
        <f>(Table51621263136414651566175[[#This Row],[Concentration15]]*7)</f>
        <v>0</v>
      </c>
      <c r="BR26" s="64">
        <f>(Table51621263136414651566175[[#This Row],[Concentration16]]*8)</f>
        <v>0</v>
      </c>
      <c r="BS26" s="64">
        <f>(Table51621263136414651566175[[#This Row],[Concentration17]]*3)/1000</f>
        <v>0</v>
      </c>
      <c r="BT26" s="47">
        <f>Table51621263136414651566175[[#This Row],[Concentration18]]/1000</f>
        <v>0</v>
      </c>
      <c r="BU26" s="47">
        <f>Table51621263136414651566175[[#This Row],[Concentration19]]/1000</f>
        <v>0</v>
      </c>
    </row>
    <row r="27" spans="1:73" s="47" customFormat="1" ht="16" thickBot="1" x14ac:dyDescent="0.4">
      <c r="A27" s="63">
        <f>Table2[[#This Row],[Date]]</f>
        <v>0</v>
      </c>
      <c r="B27" s="74">
        <f>Table2[[#This Row],[Time]]</f>
        <v>0</v>
      </c>
      <c r="C27" s="54"/>
      <c r="D27" s="18">
        <f>IFERROR(AVERAGE(Table31520253035[[#This Row],[Amount ]],Table3152025303540[[#This Row],[Amount ]]),0)</f>
        <v>0</v>
      </c>
      <c r="E27" s="18">
        <f>IFERROR(AVERAGE(Table31520253035[[#This Row],[Amount 2]],Table3152025303540[[#This Row],[Amount 2]]),0)</f>
        <v>0</v>
      </c>
      <c r="F27" s="18">
        <f>IFERROR(AVERAGE(Table31520253035[[#This Row],[Amount 3]],Table3152025303540[[#This Row],[Amount 3]]),0)</f>
        <v>0</v>
      </c>
      <c r="G27" s="18">
        <f>IFERROR(AVERAGE(Table31520253035[[#This Row],[Amount 4]],Table3152025303540[[#This Row],[Amount 4]]),0)</f>
        <v>0</v>
      </c>
      <c r="H27" s="18">
        <f>IFERROR(AVERAGE(Table31520253035[[#This Row],[Amount 5]],Table3152025303540[[#This Row],[Amount 5]]),0)</f>
        <v>0</v>
      </c>
      <c r="I27" s="18">
        <f>IFERROR(AVERAGE(Table31520253035[[#This Row],[Amount 6]],Table3152025303540[[#This Row],[Amount 6]]),0)</f>
        <v>0</v>
      </c>
      <c r="J27" s="18">
        <f>IFERROR(AVERAGE(Table31520253035[[#This Row],[Amount 7]],Table3152025303540[[#This Row],[Amount 7]]),0)</f>
        <v>0</v>
      </c>
      <c r="K27" s="18">
        <f>IFERROR(AVERAGE(Table31520253035[[#This Row],[Amount 8]],Table3152025303540[[#This Row],[Amount 8]]),0)</f>
        <v>0</v>
      </c>
      <c r="L27" s="18">
        <f>IFERROR(AVERAGE(Table31520253035[[#This Row],[Amount 9]],Table3152025303540[[#This Row],[Amount 9]]),0)</f>
        <v>0</v>
      </c>
      <c r="M27" s="18">
        <f>IFERROR(AVERAGE(Table31520253035[[#This Row],[Amount 10]],Table3152025303540[[#This Row],[Amount 10]]),0)</f>
        <v>0</v>
      </c>
      <c r="N27" s="18">
        <f>IFERROR(AVERAGE(Table31520253035[[#This Row],[Amount 11]],Table3152025303540[[#This Row],[Amount 11]]),0)</f>
        <v>0</v>
      </c>
      <c r="O27" s="18">
        <f>IFERROR(AVERAGE(Table31520253035[[#This Row],[Amount 12]],Table3152025303540[[#This Row],[Amount 12]]),0)</f>
        <v>0</v>
      </c>
      <c r="P27" s="18">
        <f>IFERROR(AVERAGE(Table31520253035[[#This Row],[Amount 13]],Table3152025303540[[#This Row],[Amount 13]]),0)</f>
        <v>0</v>
      </c>
      <c r="Q27" s="18">
        <f>IFERROR(AVERAGE(Table31520253035[[#This Row],[Amount 14]],Table3152025303540[[#This Row],[Amount 14]]),0)</f>
        <v>0</v>
      </c>
      <c r="R27" s="18">
        <f>IFERROR(AVERAGE(Table31520253035[[#This Row],[Amount 15]],Table3152025303540[[#This Row],[Amount 15]]),0)</f>
        <v>0</v>
      </c>
      <c r="S27" s="18">
        <f>IFERROR(AVERAGE(Table31520253035[[#This Row],[Amount 16]],Table3152025303540[[#This Row],[Amount 16]]),0)</f>
        <v>0</v>
      </c>
      <c r="T27" s="18">
        <f>IFERROR(AVERAGE(Table31520253035[[#This Row],[Amount 17]],Table3152025303540[[#This Row],[Amount 17]]),0)</f>
        <v>0</v>
      </c>
      <c r="U27" s="18">
        <f>IFERROR(AVERAGE(Table31520253035[[#This Row],[Amount 18]],Table3152025303540[[#This Row],[Amount 18]]),0)</f>
        <v>0</v>
      </c>
      <c r="V27" s="18">
        <f>IFERROR(AVERAGE(Table31520253035[[#This Row],[Amount 19]],Table3152025303540[[#This Row],[Amount 19]]),0)</f>
        <v>0</v>
      </c>
      <c r="W27" s="18">
        <f>IFERROR(AVERAGE(Table31520253035[[#This Row],[Ret.Time ]],Table3152025303540[[#This Row],[Ret.Time ]]),0)</f>
        <v>0</v>
      </c>
      <c r="X27" s="18">
        <f>IFERROR(AVERAGE(Table31520253035[[#This Row],[Amount 20]],Table3152025303540[[#This Row],[Amount 20]]),0)</f>
        <v>0</v>
      </c>
      <c r="Y27" s="18">
        <f>IFERROR(AVERAGE(Table31520253035[[#This Row],[Ret.Time]],Table3152025303540[[#This Row],[Ret.Time]]),0)</f>
        <v>0</v>
      </c>
      <c r="Z27" s="18">
        <f>IFERROR(AVERAGE(Table31520253035[[#This Row],[Amount 21]],Table3152025303540[[#This Row],[Amount 21]]),0)</f>
        <v>0</v>
      </c>
      <c r="AA27" s="18">
        <f>IFERROR(AVERAGE(Table31520253035[[#This Row],[Ret.Time22]],Table3152025303540[[#This Row],[Ret.Time22]]),0)</f>
        <v>0</v>
      </c>
      <c r="AB27" s="18">
        <f>IFERROR(AVERAGE(Table31520253035[[#This Row],[Amount 23]],Table3152025303540[[#This Row],[Amount 23]]),0)</f>
        <v>0</v>
      </c>
      <c r="AC27" s="18">
        <f>IFERROR(AVERAGE(Table31520253035[[#This Row],[Ret.Time24]],Table3152025303540[[#This Row],[Ret.Time24]]),0)</f>
        <v>0</v>
      </c>
      <c r="AD27" s="18">
        <f>IFERROR(AVERAGE(Table31520253035[[#This Row],[Amount 25]],Table3152025303540[[#This Row],[Amount 25]]),0)</f>
        <v>0</v>
      </c>
      <c r="AE27" s="18">
        <f>IFERROR(AVERAGE(Table31520253035[[#This Row],[pH]],Table3152025303540[[#This Row],[pH]]),0)</f>
        <v>0</v>
      </c>
      <c r="AF27" s="18">
        <f>IFERROR(AVERAGE(Table31520253035[[#This Row],[dilution ]],Table3152025303540[[#This Row],[dilution ]]),0)</f>
        <v>0</v>
      </c>
      <c r="AG27" s="18">
        <f>IFERROR(AVERAGE(Table31520253035[[#This Row],[retention]],Table3152025303540[[#This Row],[retention]]),0)</f>
        <v>0</v>
      </c>
      <c r="AH27" s="18">
        <f>IFERROR(AVERAGE(Table31520253035[[#This Row],[amount]],Table3152025303540[[#This Row],[amount]]),0)</f>
        <v>0</v>
      </c>
      <c r="AI27" s="18">
        <f>IFERROR(AVERAGE(Table31520253035[[#This Row],[pressure]],Table3152025303540[[#This Row],[pressure]]),0)</f>
        <v>0</v>
      </c>
      <c r="AJ27" s="64">
        <f>IF(D27="nd","nd",D27*$C27/constants!$B$3)</f>
        <v>0</v>
      </c>
      <c r="AK27" s="64">
        <f>IF(E27="nd","nd",E27*$C27/constants!$B$6)</f>
        <v>0</v>
      </c>
      <c r="AL27" s="64">
        <f>IF(F27="nd","nd",F27*$C27/constants!$B$7)</f>
        <v>0</v>
      </c>
      <c r="AM27" s="64">
        <f>IF(G27="nd","nd",G27*$C27/constants!$B$8)</f>
        <v>0</v>
      </c>
      <c r="AN27" s="64">
        <f>IF(H27="nd","nd",H27*$C27/constants!$B$9)</f>
        <v>0</v>
      </c>
      <c r="AO27" s="64">
        <f>IF(I27="nd","nd",I27*$C27/constants!$B$10)</f>
        <v>0</v>
      </c>
      <c r="AP27" s="162">
        <f t="shared" si="1"/>
        <v>0</v>
      </c>
      <c r="AQ27" s="162">
        <f t="shared" si="2"/>
        <v>0</v>
      </c>
      <c r="AR27" s="162">
        <f t="shared" si="3"/>
        <v>0</v>
      </c>
      <c r="AS27" s="162">
        <f t="shared" si="4"/>
        <v>0</v>
      </c>
      <c r="AT27" s="162">
        <f t="shared" si="5"/>
        <v>0</v>
      </c>
      <c r="AU27" s="162">
        <f t="shared" si="6"/>
        <v>0</v>
      </c>
      <c r="AV27" s="162">
        <f t="shared" si="7"/>
        <v>0</v>
      </c>
      <c r="AW27" s="162">
        <f t="shared" si="8"/>
        <v>0</v>
      </c>
      <c r="AX27" s="162">
        <f t="shared" si="9"/>
        <v>0</v>
      </c>
      <c r="AY27" s="162">
        <f t="shared" si="10"/>
        <v>0</v>
      </c>
      <c r="AZ27" s="64">
        <f>IF(AH27="nd","nd",AH27*Table31520253035404550556074[[#This Row],[dilution ]]/constants!$B$3)</f>
        <v>0</v>
      </c>
      <c r="BA27" s="64"/>
      <c r="BB27" s="64"/>
      <c r="BC27" s="64">
        <f>(Table51621263136414651566175[[#This Row],[Concentration]]*constants!$C$3)/1000</f>
        <v>0</v>
      </c>
      <c r="BD27" s="64">
        <f>(Table51621263136414651566175[[#This Row],[Concentration2]]*constants!$C$6)/1000</f>
        <v>0</v>
      </c>
      <c r="BE27" s="64">
        <f>(Table51621263136414651566175[[#This Row],[Concentration3]]*constants!$C$7)/1000</f>
        <v>0</v>
      </c>
      <c r="BF27" s="64">
        <f>(Table51621263136414651566175[[#This Row],[Concentration4]]*constants!$C$8)/1000</f>
        <v>0</v>
      </c>
      <c r="BG27" s="64">
        <f>(Table51621263136414651566175[[#This Row],[Concentration5]]*constants!$C$9)/1000</f>
        <v>0</v>
      </c>
      <c r="BH27" s="64">
        <f>(Table51621263136414651566175[[#This Row],[Concentration6]]*constants!$C$10)/1000</f>
        <v>0</v>
      </c>
      <c r="BI27" s="64">
        <f>(Table51621263136414651566175[[#This Row],[Concentration7]]*constants!$C$5)</f>
        <v>0</v>
      </c>
      <c r="BJ27" s="64">
        <f>(Table51621263136414651566175[[#This Row],[Concentration8]]*3)</f>
        <v>0</v>
      </c>
      <c r="BK27" s="64">
        <f>(Table51621263136414651566175[[#This Row],[Concentration9]]*4)</f>
        <v>0</v>
      </c>
      <c r="BL27" s="64">
        <f>(Table51621263136414651566175[[#This Row],[Concentration10]]*4)</f>
        <v>0</v>
      </c>
      <c r="BM27" s="64">
        <f>(Table51621263136414651566175[[#This Row],[Concentration11]]*5)</f>
        <v>0</v>
      </c>
      <c r="BN27" s="64">
        <f>(Table51621263136414651566175[[#This Row],[Concentration12]]*5)</f>
        <v>0</v>
      </c>
      <c r="BO27" s="64">
        <f>(Table51621263136414651566175[[#This Row],[Concentration13]]*6)</f>
        <v>0</v>
      </c>
      <c r="BP27" s="64">
        <f>(Table51621263136414651566175[[#This Row],[Concentration14]]*6)</f>
        <v>0</v>
      </c>
      <c r="BQ27" s="64">
        <f>(Table51621263136414651566175[[#This Row],[Concentration15]]*7)</f>
        <v>0</v>
      </c>
      <c r="BR27" s="64">
        <f>(Table51621263136414651566175[[#This Row],[Concentration16]]*8)</f>
        <v>0</v>
      </c>
      <c r="BS27" s="64">
        <f>(Table51621263136414651566175[[#This Row],[Concentration17]]*3)/1000</f>
        <v>0</v>
      </c>
      <c r="BT27" s="47">
        <f>Table51621263136414651566175[[#This Row],[Concentration18]]/1000</f>
        <v>0</v>
      </c>
      <c r="BU27" s="47">
        <f>Table51621263136414651566175[[#This Row],[Concentration19]]/1000</f>
        <v>0</v>
      </c>
    </row>
    <row r="28" spans="1:73" s="66" customFormat="1" ht="16" thickBot="1" x14ac:dyDescent="0.4">
      <c r="A28" s="63">
        <f>Table2[[#This Row],[Date]]</f>
        <v>0</v>
      </c>
      <c r="B28" s="74">
        <f>Table2[[#This Row],[Time]]</f>
        <v>0</v>
      </c>
      <c r="C28" s="79"/>
      <c r="D28" s="18">
        <f>IFERROR(AVERAGE(Table31520253035[[#This Row],[Amount ]],Table3152025303540[[#This Row],[Amount ]]),0)</f>
        <v>0</v>
      </c>
      <c r="E28" s="18">
        <f>IFERROR(AVERAGE(Table31520253035[[#This Row],[Amount 2]],Table3152025303540[[#This Row],[Amount 2]]),0)</f>
        <v>0</v>
      </c>
      <c r="F28" s="18">
        <f>IFERROR(AVERAGE(Table31520253035[[#This Row],[Amount 3]],Table3152025303540[[#This Row],[Amount 3]]),0)</f>
        <v>0</v>
      </c>
      <c r="G28" s="18">
        <f>IFERROR(AVERAGE(Table31520253035[[#This Row],[Amount 4]],Table3152025303540[[#This Row],[Amount 4]]),0)</f>
        <v>0</v>
      </c>
      <c r="H28" s="18">
        <f>IFERROR(AVERAGE(Table31520253035[[#This Row],[Amount 5]],Table3152025303540[[#This Row],[Amount 5]]),0)</f>
        <v>0</v>
      </c>
      <c r="I28" s="18">
        <f>IFERROR(AVERAGE(Table31520253035[[#This Row],[Amount 6]],Table3152025303540[[#This Row],[Amount 6]]),0)</f>
        <v>0</v>
      </c>
      <c r="J28" s="18">
        <f>IFERROR(AVERAGE(Table31520253035[[#This Row],[Amount 7]],Table3152025303540[[#This Row],[Amount 7]]),0)</f>
        <v>0</v>
      </c>
      <c r="K28" s="18">
        <f>IFERROR(AVERAGE(Table31520253035[[#This Row],[Amount 8]],Table3152025303540[[#This Row],[Amount 8]]),0)</f>
        <v>0</v>
      </c>
      <c r="L28" s="18">
        <f>IFERROR(AVERAGE(Table31520253035[[#This Row],[Amount 9]],Table3152025303540[[#This Row],[Amount 9]]),0)</f>
        <v>0</v>
      </c>
      <c r="M28" s="18">
        <f>IFERROR(AVERAGE(Table31520253035[[#This Row],[Amount 10]],Table3152025303540[[#This Row],[Amount 10]]),0)</f>
        <v>0</v>
      </c>
      <c r="N28" s="18">
        <f>IFERROR(AVERAGE(Table31520253035[[#This Row],[Amount 11]],Table3152025303540[[#This Row],[Amount 11]]),0)</f>
        <v>0</v>
      </c>
      <c r="O28" s="18">
        <f>IFERROR(AVERAGE(Table31520253035[[#This Row],[Amount 12]],Table3152025303540[[#This Row],[Amount 12]]),0)</f>
        <v>0</v>
      </c>
      <c r="P28" s="18">
        <f>IFERROR(AVERAGE(Table31520253035[[#This Row],[Amount 13]],Table3152025303540[[#This Row],[Amount 13]]),0)</f>
        <v>0</v>
      </c>
      <c r="Q28" s="18">
        <f>IFERROR(AVERAGE(Table31520253035[[#This Row],[Amount 14]],Table3152025303540[[#This Row],[Amount 14]]),0)</f>
        <v>0</v>
      </c>
      <c r="R28" s="18">
        <f>IFERROR(AVERAGE(Table31520253035[[#This Row],[Amount 15]],Table3152025303540[[#This Row],[Amount 15]]),0)</f>
        <v>0</v>
      </c>
      <c r="S28" s="18">
        <f>IFERROR(AVERAGE(Table31520253035[[#This Row],[Amount 16]],Table3152025303540[[#This Row],[Amount 16]]),0)</f>
        <v>0</v>
      </c>
      <c r="T28" s="18">
        <f>IFERROR(AVERAGE(Table31520253035[[#This Row],[Amount 17]],Table3152025303540[[#This Row],[Amount 17]]),0)</f>
        <v>0</v>
      </c>
      <c r="U28" s="18">
        <f>IFERROR(AVERAGE(Table31520253035[[#This Row],[Amount 18]],Table3152025303540[[#This Row],[Amount 18]]),0)</f>
        <v>0</v>
      </c>
      <c r="V28" s="18">
        <f>IFERROR(AVERAGE(Table31520253035[[#This Row],[Amount 19]],Table3152025303540[[#This Row],[Amount 19]]),0)</f>
        <v>0</v>
      </c>
      <c r="W28" s="18">
        <f>IFERROR(AVERAGE(Table31520253035[[#This Row],[Ret.Time ]],Table3152025303540[[#This Row],[Ret.Time ]]),0)</f>
        <v>0</v>
      </c>
      <c r="X28" s="18">
        <f>IFERROR(AVERAGE(Table31520253035[[#This Row],[Amount 20]],Table3152025303540[[#This Row],[Amount 20]]),0)</f>
        <v>0</v>
      </c>
      <c r="Y28" s="18">
        <f>IFERROR(AVERAGE(Table31520253035[[#This Row],[Ret.Time]],Table3152025303540[[#This Row],[Ret.Time]]),0)</f>
        <v>0</v>
      </c>
      <c r="Z28" s="18">
        <f>IFERROR(AVERAGE(Table31520253035[[#This Row],[Amount 21]],Table3152025303540[[#This Row],[Amount 21]]),0)</f>
        <v>0</v>
      </c>
      <c r="AA28" s="18">
        <f>IFERROR(AVERAGE(Table31520253035[[#This Row],[Ret.Time22]],Table3152025303540[[#This Row],[Ret.Time22]]),0)</f>
        <v>0</v>
      </c>
      <c r="AB28" s="18">
        <f>IFERROR(AVERAGE(Table31520253035[[#This Row],[Amount 23]],Table3152025303540[[#This Row],[Amount 23]]),0)</f>
        <v>0</v>
      </c>
      <c r="AC28" s="18">
        <f>IFERROR(AVERAGE(Table31520253035[[#This Row],[Ret.Time24]],Table3152025303540[[#This Row],[Ret.Time24]]),0)</f>
        <v>0</v>
      </c>
      <c r="AD28" s="18">
        <f>IFERROR(AVERAGE(Table31520253035[[#This Row],[Amount 25]],Table3152025303540[[#This Row],[Amount 25]]),0)</f>
        <v>0</v>
      </c>
      <c r="AE28" s="18">
        <f>IFERROR(AVERAGE(Table31520253035[[#This Row],[pH]],Table3152025303540[[#This Row],[pH]]),0)</f>
        <v>0</v>
      </c>
      <c r="AF28" s="18">
        <f>IFERROR(AVERAGE(Table31520253035[[#This Row],[dilution ]],Table3152025303540[[#This Row],[dilution ]]),0)</f>
        <v>0</v>
      </c>
      <c r="AG28" s="18">
        <f>IFERROR(AVERAGE(Table31520253035[[#This Row],[retention]],Table3152025303540[[#This Row],[retention]]),0)</f>
        <v>0</v>
      </c>
      <c r="AH28" s="18">
        <f>IFERROR(AVERAGE(Table31520253035[[#This Row],[amount]],Table3152025303540[[#This Row],[amount]]),0)</f>
        <v>0</v>
      </c>
      <c r="AI28" s="18">
        <f>IFERROR(AVERAGE(Table31520253035[[#This Row],[pressure]],Table3152025303540[[#This Row],[pressure]]),0)</f>
        <v>0</v>
      </c>
      <c r="AJ28" s="64">
        <f>IF(D28="nd","nd",D28*$C28/constants!$B$3)</f>
        <v>0</v>
      </c>
      <c r="AK28" s="64">
        <f>IF(E28="nd","nd",E28*$C28/constants!$B$6)</f>
        <v>0</v>
      </c>
      <c r="AL28" s="64">
        <f>IF(F28="nd","nd",F28*$C28/constants!$B$7)</f>
        <v>0</v>
      </c>
      <c r="AM28" s="64">
        <f>IF(G28="nd","nd",G28*$C28/constants!$B$8)</f>
        <v>0</v>
      </c>
      <c r="AN28" s="64">
        <f>IF(H28="nd","nd",H28*$C28/constants!$B$9)</f>
        <v>0</v>
      </c>
      <c r="AO28" s="64">
        <f>IF(I28="nd","nd",I28*$C28/constants!$B$10)</f>
        <v>0</v>
      </c>
      <c r="AP28" s="162">
        <f t="shared" si="1"/>
        <v>0</v>
      </c>
      <c r="AQ28" s="162">
        <f t="shared" si="2"/>
        <v>0</v>
      </c>
      <c r="AR28" s="162">
        <f t="shared" si="3"/>
        <v>0</v>
      </c>
      <c r="AS28" s="162">
        <f t="shared" si="4"/>
        <v>0</v>
      </c>
      <c r="AT28" s="162">
        <f t="shared" si="5"/>
        <v>0</v>
      </c>
      <c r="AU28" s="162">
        <f t="shared" si="6"/>
        <v>0</v>
      </c>
      <c r="AV28" s="162">
        <f t="shared" si="7"/>
        <v>0</v>
      </c>
      <c r="AW28" s="162">
        <f t="shared" si="8"/>
        <v>0</v>
      </c>
      <c r="AX28" s="162">
        <f t="shared" si="9"/>
        <v>0</v>
      </c>
      <c r="AY28" s="162">
        <f t="shared" si="10"/>
        <v>0</v>
      </c>
      <c r="AZ28" s="64">
        <f>IF(AH28="nd","nd",AH28*Table31520253035404550556074[[#This Row],[dilution ]]/constants!$B$3)</f>
        <v>0</v>
      </c>
      <c r="BA28" s="64"/>
      <c r="BB28" s="64"/>
      <c r="BC28" s="64">
        <f>(Table51621263136414651566175[[#This Row],[Concentration]]*constants!$C$3)/1000</f>
        <v>0</v>
      </c>
      <c r="BD28" s="64">
        <f>(Table51621263136414651566175[[#This Row],[Concentration2]]*constants!$C$6)/1000</f>
        <v>0</v>
      </c>
      <c r="BE28" s="64">
        <f>(Table51621263136414651566175[[#This Row],[Concentration3]]*constants!$C$7)/1000</f>
        <v>0</v>
      </c>
      <c r="BF28" s="64">
        <f>(Table51621263136414651566175[[#This Row],[Concentration4]]*constants!$C$8)/1000</f>
        <v>0</v>
      </c>
      <c r="BG28" s="64">
        <f>(Table51621263136414651566175[[#This Row],[Concentration5]]*constants!$C$9)/1000</f>
        <v>0</v>
      </c>
      <c r="BH28" s="64">
        <f>(Table51621263136414651566175[[#This Row],[Concentration6]]*constants!$C$10)/1000</f>
        <v>0</v>
      </c>
      <c r="BI28" s="64">
        <f>(Table51621263136414651566175[[#This Row],[Concentration7]]*constants!$C$5)</f>
        <v>0</v>
      </c>
      <c r="BJ28" s="64">
        <f>(Table51621263136414651566175[[#This Row],[Concentration8]]*3)</f>
        <v>0</v>
      </c>
      <c r="BK28" s="64">
        <f>(Table51621263136414651566175[[#This Row],[Concentration9]]*4)</f>
        <v>0</v>
      </c>
      <c r="BL28" s="64">
        <f>(Table51621263136414651566175[[#This Row],[Concentration10]]*4)</f>
        <v>0</v>
      </c>
      <c r="BM28" s="64">
        <f>(Table51621263136414651566175[[#This Row],[Concentration11]]*5)</f>
        <v>0</v>
      </c>
      <c r="BN28" s="64">
        <f>(Table51621263136414651566175[[#This Row],[Concentration12]]*5)</f>
        <v>0</v>
      </c>
      <c r="BO28" s="64">
        <f>(Table51621263136414651566175[[#This Row],[Concentration13]]*6)</f>
        <v>0</v>
      </c>
      <c r="BP28" s="64">
        <f>(Table51621263136414651566175[[#This Row],[Concentration14]]*6)</f>
        <v>0</v>
      </c>
      <c r="BQ28" s="64">
        <f>(Table51621263136414651566175[[#This Row],[Concentration15]]*7)</f>
        <v>0</v>
      </c>
      <c r="BR28" s="64">
        <f>(Table51621263136414651566175[[#This Row],[Concentration16]]*8)</f>
        <v>0</v>
      </c>
      <c r="BS28" s="64">
        <f>(Table51621263136414651566175[[#This Row],[Concentration17]]*3)/1000</f>
        <v>0</v>
      </c>
      <c r="BT28" s="47">
        <f>Table51621263136414651566175[[#This Row],[Concentration18]]/1000</f>
        <v>0</v>
      </c>
      <c r="BU28" s="47">
        <f>Table51621263136414651566175[[#This Row],[Concentration19]]/1000</f>
        <v>0</v>
      </c>
    </row>
    <row r="29" spans="1:73" s="47" customFormat="1" ht="16" thickBot="1" x14ac:dyDescent="0.4">
      <c r="A29" s="63">
        <f>Table2[[#This Row],[Date]]</f>
        <v>0</v>
      </c>
      <c r="B29" s="74">
        <f>Table2[[#This Row],[Time]]</f>
        <v>0</v>
      </c>
      <c r="C29" s="54"/>
      <c r="D29" s="18">
        <f>IFERROR(AVERAGE(Table31520253035[[#This Row],[Amount ]],Table3152025303540[[#This Row],[Amount ]]),0)</f>
        <v>0</v>
      </c>
      <c r="E29" s="18">
        <f>IFERROR(AVERAGE(Table31520253035[[#This Row],[Amount 2]],Table3152025303540[[#This Row],[Amount 2]]),0)</f>
        <v>0</v>
      </c>
      <c r="F29" s="18">
        <f>IFERROR(AVERAGE(Table31520253035[[#This Row],[Amount 3]],Table3152025303540[[#This Row],[Amount 3]]),0)</f>
        <v>0</v>
      </c>
      <c r="G29" s="18">
        <f>IFERROR(AVERAGE(Table31520253035[[#This Row],[Amount 4]],Table3152025303540[[#This Row],[Amount 4]]),0)</f>
        <v>0</v>
      </c>
      <c r="H29" s="18">
        <f>IFERROR(AVERAGE(Table31520253035[[#This Row],[Amount 5]],Table3152025303540[[#This Row],[Amount 5]]),0)</f>
        <v>0</v>
      </c>
      <c r="I29" s="18">
        <f>IFERROR(AVERAGE(Table31520253035[[#This Row],[Amount 6]],Table3152025303540[[#This Row],[Amount 6]]),0)</f>
        <v>0</v>
      </c>
      <c r="J29" s="18">
        <f>IFERROR(AVERAGE(Table31520253035[[#This Row],[Amount 7]],Table3152025303540[[#This Row],[Amount 7]]),0)</f>
        <v>0</v>
      </c>
      <c r="K29" s="18">
        <f>IFERROR(AVERAGE(Table31520253035[[#This Row],[Amount 8]],Table3152025303540[[#This Row],[Amount 8]]),0)</f>
        <v>0</v>
      </c>
      <c r="L29" s="18">
        <f>IFERROR(AVERAGE(Table31520253035[[#This Row],[Amount 9]],Table3152025303540[[#This Row],[Amount 9]]),0)</f>
        <v>0</v>
      </c>
      <c r="M29" s="18">
        <f>IFERROR(AVERAGE(Table31520253035[[#This Row],[Amount 10]],Table3152025303540[[#This Row],[Amount 10]]),0)</f>
        <v>0</v>
      </c>
      <c r="N29" s="18">
        <f>IFERROR(AVERAGE(Table31520253035[[#This Row],[Amount 11]],Table3152025303540[[#This Row],[Amount 11]]),0)</f>
        <v>0</v>
      </c>
      <c r="O29" s="18">
        <f>IFERROR(AVERAGE(Table31520253035[[#This Row],[Amount 12]],Table3152025303540[[#This Row],[Amount 12]]),0)</f>
        <v>0</v>
      </c>
      <c r="P29" s="18">
        <f>IFERROR(AVERAGE(Table31520253035[[#This Row],[Amount 13]],Table3152025303540[[#This Row],[Amount 13]]),0)</f>
        <v>0</v>
      </c>
      <c r="Q29" s="18">
        <f>IFERROR(AVERAGE(Table31520253035[[#This Row],[Amount 14]],Table3152025303540[[#This Row],[Amount 14]]),0)</f>
        <v>0</v>
      </c>
      <c r="R29" s="18">
        <f>IFERROR(AVERAGE(Table31520253035[[#This Row],[Amount 15]],Table3152025303540[[#This Row],[Amount 15]]),0)</f>
        <v>0</v>
      </c>
      <c r="S29" s="18">
        <f>IFERROR(AVERAGE(Table31520253035[[#This Row],[Amount 16]],Table3152025303540[[#This Row],[Amount 16]]),0)</f>
        <v>0</v>
      </c>
      <c r="T29" s="18">
        <f>IFERROR(AVERAGE(Table31520253035[[#This Row],[Amount 17]],Table3152025303540[[#This Row],[Amount 17]]),0)</f>
        <v>0</v>
      </c>
      <c r="U29" s="18">
        <f>IFERROR(AVERAGE(Table31520253035[[#This Row],[Amount 18]],Table3152025303540[[#This Row],[Amount 18]]),0)</f>
        <v>0</v>
      </c>
      <c r="V29" s="18">
        <f>IFERROR(AVERAGE(Table31520253035[[#This Row],[Amount 19]],Table3152025303540[[#This Row],[Amount 19]]),0)</f>
        <v>0</v>
      </c>
      <c r="W29" s="18">
        <f>IFERROR(AVERAGE(Table31520253035[[#This Row],[Ret.Time ]],Table3152025303540[[#This Row],[Ret.Time ]]),0)</f>
        <v>0</v>
      </c>
      <c r="X29" s="18">
        <f>IFERROR(AVERAGE(Table31520253035[[#This Row],[Amount 20]],Table3152025303540[[#This Row],[Amount 20]]),0)</f>
        <v>0</v>
      </c>
      <c r="Y29" s="18">
        <f>IFERROR(AVERAGE(Table31520253035[[#This Row],[Ret.Time]],Table3152025303540[[#This Row],[Ret.Time]]),0)</f>
        <v>0</v>
      </c>
      <c r="Z29" s="18">
        <f>IFERROR(AVERAGE(Table31520253035[[#This Row],[Amount 21]],Table3152025303540[[#This Row],[Amount 21]]),0)</f>
        <v>0</v>
      </c>
      <c r="AA29" s="18">
        <f>IFERROR(AVERAGE(Table31520253035[[#This Row],[Ret.Time22]],Table3152025303540[[#This Row],[Ret.Time22]]),0)</f>
        <v>0</v>
      </c>
      <c r="AB29" s="18">
        <f>IFERROR(AVERAGE(Table31520253035[[#This Row],[Amount 23]],Table3152025303540[[#This Row],[Amount 23]]),0)</f>
        <v>0</v>
      </c>
      <c r="AC29" s="18">
        <f>IFERROR(AVERAGE(Table31520253035[[#This Row],[Ret.Time24]],Table3152025303540[[#This Row],[Ret.Time24]]),0)</f>
        <v>0</v>
      </c>
      <c r="AD29" s="18">
        <f>IFERROR(AVERAGE(Table31520253035[[#This Row],[Amount 25]],Table3152025303540[[#This Row],[Amount 25]]),0)</f>
        <v>0</v>
      </c>
      <c r="AE29" s="18">
        <f>IFERROR(AVERAGE(Table31520253035[[#This Row],[pH]],Table3152025303540[[#This Row],[pH]]),0)</f>
        <v>0</v>
      </c>
      <c r="AF29" s="18">
        <f>IFERROR(AVERAGE(Table31520253035[[#This Row],[dilution ]],Table3152025303540[[#This Row],[dilution ]]),0)</f>
        <v>0</v>
      </c>
      <c r="AG29" s="18">
        <f>IFERROR(AVERAGE(Table31520253035[[#This Row],[retention]],Table3152025303540[[#This Row],[retention]]),0)</f>
        <v>0</v>
      </c>
      <c r="AH29" s="18">
        <f>IFERROR(AVERAGE(Table31520253035[[#This Row],[amount]],Table3152025303540[[#This Row],[amount]]),0)</f>
        <v>0</v>
      </c>
      <c r="AI29" s="18">
        <f>IFERROR(AVERAGE(Table31520253035[[#This Row],[pressure]],Table3152025303540[[#This Row],[pressure]]),0)</f>
        <v>0</v>
      </c>
      <c r="AJ29" s="64">
        <f>IF(D29="nd","nd",D29*$C29/constants!$B$3)</f>
        <v>0</v>
      </c>
      <c r="AK29" s="64">
        <f>IF(E29="nd","nd",E29*$C29/constants!$B$6)</f>
        <v>0</v>
      </c>
      <c r="AL29" s="64">
        <f>IF(F29="nd","nd",F29*$C29/constants!$B$7)</f>
        <v>0</v>
      </c>
      <c r="AM29" s="64">
        <f>IF(G29="nd","nd",G29*$C29/constants!$B$8)</f>
        <v>0</v>
      </c>
      <c r="AN29" s="64">
        <f>IF(H29="nd","nd",H29*$C29/constants!$B$9)</f>
        <v>0</v>
      </c>
      <c r="AO29" s="64">
        <f>IF(I29="nd","nd",I29*$C29/constants!$B$10)</f>
        <v>0</v>
      </c>
      <c r="AP29" s="162">
        <f t="shared" si="1"/>
        <v>0</v>
      </c>
      <c r="AQ29" s="162">
        <f t="shared" si="2"/>
        <v>0</v>
      </c>
      <c r="AR29" s="162">
        <f t="shared" si="3"/>
        <v>0</v>
      </c>
      <c r="AS29" s="162">
        <f t="shared" si="4"/>
        <v>0</v>
      </c>
      <c r="AT29" s="162">
        <f t="shared" si="5"/>
        <v>0</v>
      </c>
      <c r="AU29" s="162">
        <f t="shared" si="6"/>
        <v>0</v>
      </c>
      <c r="AV29" s="162">
        <f t="shared" si="7"/>
        <v>0</v>
      </c>
      <c r="AW29" s="162">
        <f t="shared" si="8"/>
        <v>0</v>
      </c>
      <c r="AX29" s="162">
        <f t="shared" si="9"/>
        <v>0</v>
      </c>
      <c r="AY29" s="162">
        <f t="shared" si="10"/>
        <v>0</v>
      </c>
      <c r="AZ29" s="64">
        <f>IF(AH29="nd","nd",AH29*Table31520253035404550556074[[#This Row],[dilution ]]/constants!$B$3)</f>
        <v>0</v>
      </c>
      <c r="BA29" s="64"/>
      <c r="BB29" s="64"/>
      <c r="BC29" s="64">
        <f>(Table51621263136414651566175[[#This Row],[Concentration]]*constants!$C$3)/1000</f>
        <v>0</v>
      </c>
      <c r="BD29" s="64">
        <f>(Table51621263136414651566175[[#This Row],[Concentration2]]*constants!$C$6)/1000</f>
        <v>0</v>
      </c>
      <c r="BE29" s="64">
        <f>(Table51621263136414651566175[[#This Row],[Concentration3]]*constants!$C$7)/1000</f>
        <v>0</v>
      </c>
      <c r="BF29" s="64">
        <f>(Table51621263136414651566175[[#This Row],[Concentration4]]*constants!$C$8)/1000</f>
        <v>0</v>
      </c>
      <c r="BG29" s="64">
        <f>(Table51621263136414651566175[[#This Row],[Concentration5]]*constants!$C$9)/1000</f>
        <v>0</v>
      </c>
      <c r="BH29" s="64">
        <f>(Table51621263136414651566175[[#This Row],[Concentration6]]*constants!$C$10)/1000</f>
        <v>0</v>
      </c>
      <c r="BI29" s="64">
        <f>(Table51621263136414651566175[[#This Row],[Concentration7]]*constants!$C$5)</f>
        <v>0</v>
      </c>
      <c r="BJ29" s="64">
        <f>(Table51621263136414651566175[[#This Row],[Concentration8]]*3)</f>
        <v>0</v>
      </c>
      <c r="BK29" s="64">
        <f>(Table51621263136414651566175[[#This Row],[Concentration9]]*4)</f>
        <v>0</v>
      </c>
      <c r="BL29" s="64">
        <f>(Table51621263136414651566175[[#This Row],[Concentration10]]*4)</f>
        <v>0</v>
      </c>
      <c r="BM29" s="64">
        <f>(Table51621263136414651566175[[#This Row],[Concentration11]]*5)</f>
        <v>0</v>
      </c>
      <c r="BN29" s="64">
        <f>(Table51621263136414651566175[[#This Row],[Concentration12]]*5)</f>
        <v>0</v>
      </c>
      <c r="BO29" s="64">
        <f>(Table51621263136414651566175[[#This Row],[Concentration13]]*6)</f>
        <v>0</v>
      </c>
      <c r="BP29" s="64">
        <f>(Table51621263136414651566175[[#This Row],[Concentration14]]*6)</f>
        <v>0</v>
      </c>
      <c r="BQ29" s="64">
        <f>(Table51621263136414651566175[[#This Row],[Concentration15]]*7)</f>
        <v>0</v>
      </c>
      <c r="BR29" s="64">
        <f>(Table51621263136414651566175[[#This Row],[Concentration16]]*8)</f>
        <v>0</v>
      </c>
      <c r="BS29" s="64">
        <f>(Table51621263136414651566175[[#This Row],[Concentration17]]*3)/1000</f>
        <v>0</v>
      </c>
      <c r="BT29" s="47">
        <f>Table51621263136414651566175[[#This Row],[Concentration18]]/1000</f>
        <v>0</v>
      </c>
      <c r="BU29" s="47">
        <f>Table51621263136414651566175[[#This Row],[Concentration19]]/1000</f>
        <v>0</v>
      </c>
    </row>
    <row r="30" spans="1:73" s="66" customFormat="1" ht="16" thickBot="1" x14ac:dyDescent="0.4">
      <c r="A30" s="63">
        <f>Table2[[#This Row],[Date]]</f>
        <v>0</v>
      </c>
      <c r="B30" s="74">
        <f>Table2[[#This Row],[Time]]</f>
        <v>0</v>
      </c>
      <c r="C30" s="79"/>
      <c r="D30" s="18">
        <f>IFERROR(AVERAGE(Table31520253035[[#This Row],[Amount ]],Table3152025303540[[#This Row],[Amount ]]),0)</f>
        <v>0</v>
      </c>
      <c r="E30" s="18">
        <f>IFERROR(AVERAGE(Table31520253035[[#This Row],[Amount 2]],Table3152025303540[[#This Row],[Amount 2]]),0)</f>
        <v>0</v>
      </c>
      <c r="F30" s="18">
        <f>IFERROR(AVERAGE(Table31520253035[[#This Row],[Amount 3]],Table3152025303540[[#This Row],[Amount 3]]),0)</f>
        <v>0</v>
      </c>
      <c r="G30" s="18">
        <f>IFERROR(AVERAGE(Table31520253035[[#This Row],[Amount 4]],Table3152025303540[[#This Row],[Amount 4]]),0)</f>
        <v>0</v>
      </c>
      <c r="H30" s="18">
        <f>IFERROR(AVERAGE(Table31520253035[[#This Row],[Amount 5]],Table3152025303540[[#This Row],[Amount 5]]),0)</f>
        <v>0</v>
      </c>
      <c r="I30" s="18">
        <f>IFERROR(AVERAGE(Table31520253035[[#This Row],[Amount 6]],Table3152025303540[[#This Row],[Amount 6]]),0)</f>
        <v>0</v>
      </c>
      <c r="J30" s="18">
        <f>IFERROR(AVERAGE(Table31520253035[[#This Row],[Amount 7]],Table3152025303540[[#This Row],[Amount 7]]),0)</f>
        <v>0</v>
      </c>
      <c r="K30" s="18">
        <f>IFERROR(AVERAGE(Table31520253035[[#This Row],[Amount 8]],Table3152025303540[[#This Row],[Amount 8]]),0)</f>
        <v>0</v>
      </c>
      <c r="L30" s="18">
        <f>IFERROR(AVERAGE(Table31520253035[[#This Row],[Amount 9]],Table3152025303540[[#This Row],[Amount 9]]),0)</f>
        <v>0</v>
      </c>
      <c r="M30" s="18">
        <f>IFERROR(AVERAGE(Table31520253035[[#This Row],[Amount 10]],Table3152025303540[[#This Row],[Amount 10]]),0)</f>
        <v>0</v>
      </c>
      <c r="N30" s="18">
        <f>IFERROR(AVERAGE(Table31520253035[[#This Row],[Amount 11]],Table3152025303540[[#This Row],[Amount 11]]),0)</f>
        <v>0</v>
      </c>
      <c r="O30" s="18">
        <f>IFERROR(AVERAGE(Table31520253035[[#This Row],[Amount 12]],Table3152025303540[[#This Row],[Amount 12]]),0)</f>
        <v>0</v>
      </c>
      <c r="P30" s="18">
        <f>IFERROR(AVERAGE(Table31520253035[[#This Row],[Amount 13]],Table3152025303540[[#This Row],[Amount 13]]),0)</f>
        <v>0</v>
      </c>
      <c r="Q30" s="18">
        <f>IFERROR(AVERAGE(Table31520253035[[#This Row],[Amount 14]],Table3152025303540[[#This Row],[Amount 14]]),0)</f>
        <v>0</v>
      </c>
      <c r="R30" s="18">
        <f>IFERROR(AVERAGE(Table31520253035[[#This Row],[Amount 15]],Table3152025303540[[#This Row],[Amount 15]]),0)</f>
        <v>0</v>
      </c>
      <c r="S30" s="18">
        <f>IFERROR(AVERAGE(Table31520253035[[#This Row],[Amount 16]],Table3152025303540[[#This Row],[Amount 16]]),0)</f>
        <v>0</v>
      </c>
      <c r="T30" s="18">
        <f>IFERROR(AVERAGE(Table31520253035[[#This Row],[Amount 17]],Table3152025303540[[#This Row],[Amount 17]]),0)</f>
        <v>0</v>
      </c>
      <c r="U30" s="18">
        <f>IFERROR(AVERAGE(Table31520253035[[#This Row],[Amount 18]],Table3152025303540[[#This Row],[Amount 18]]),0)</f>
        <v>0</v>
      </c>
      <c r="V30" s="18">
        <f>IFERROR(AVERAGE(Table31520253035[[#This Row],[Amount 19]],Table3152025303540[[#This Row],[Amount 19]]),0)</f>
        <v>0</v>
      </c>
      <c r="W30" s="18">
        <f>IFERROR(AVERAGE(Table31520253035[[#This Row],[Ret.Time ]],Table3152025303540[[#This Row],[Ret.Time ]]),0)</f>
        <v>0</v>
      </c>
      <c r="X30" s="18">
        <f>IFERROR(AVERAGE(Table31520253035[[#This Row],[Amount 20]],Table3152025303540[[#This Row],[Amount 20]]),0)</f>
        <v>0</v>
      </c>
      <c r="Y30" s="18">
        <f>IFERROR(AVERAGE(Table31520253035[[#This Row],[Ret.Time]],Table3152025303540[[#This Row],[Ret.Time]]),0)</f>
        <v>0</v>
      </c>
      <c r="Z30" s="18">
        <f>IFERROR(AVERAGE(Table31520253035[[#This Row],[Amount 21]],Table3152025303540[[#This Row],[Amount 21]]),0)</f>
        <v>0</v>
      </c>
      <c r="AA30" s="18">
        <f>IFERROR(AVERAGE(Table31520253035[[#This Row],[Ret.Time22]],Table3152025303540[[#This Row],[Ret.Time22]]),0)</f>
        <v>0</v>
      </c>
      <c r="AB30" s="18">
        <f>IFERROR(AVERAGE(Table31520253035[[#This Row],[Amount 23]],Table3152025303540[[#This Row],[Amount 23]]),0)</f>
        <v>0</v>
      </c>
      <c r="AC30" s="18">
        <f>IFERROR(AVERAGE(Table31520253035[[#This Row],[Ret.Time24]],Table3152025303540[[#This Row],[Ret.Time24]]),0)</f>
        <v>0</v>
      </c>
      <c r="AD30" s="18">
        <f>IFERROR(AVERAGE(Table31520253035[[#This Row],[Amount 25]],Table3152025303540[[#This Row],[Amount 25]]),0)</f>
        <v>0</v>
      </c>
      <c r="AE30" s="18">
        <f>IFERROR(AVERAGE(Table31520253035[[#This Row],[pH]],Table3152025303540[[#This Row],[pH]]),0)</f>
        <v>0</v>
      </c>
      <c r="AF30" s="18">
        <f>IFERROR(AVERAGE(Table31520253035[[#This Row],[dilution ]],Table3152025303540[[#This Row],[dilution ]]),0)</f>
        <v>0</v>
      </c>
      <c r="AG30" s="18">
        <f>IFERROR(AVERAGE(Table31520253035[[#This Row],[retention]],Table3152025303540[[#This Row],[retention]]),0)</f>
        <v>0</v>
      </c>
      <c r="AH30" s="18">
        <f>IFERROR(AVERAGE(Table31520253035[[#This Row],[amount]],Table3152025303540[[#This Row],[amount]]),0)</f>
        <v>0</v>
      </c>
      <c r="AI30" s="18">
        <f>IFERROR(AVERAGE(Table31520253035[[#This Row],[pressure]],Table3152025303540[[#This Row],[pressure]]),0)</f>
        <v>0</v>
      </c>
      <c r="AJ30" s="64">
        <f>IF(D30="nd","nd",D30*$C30/constants!$B$3)</f>
        <v>0</v>
      </c>
      <c r="AK30" s="64">
        <f>IF(E30="nd","nd",E30*$C30/constants!$B$6)</f>
        <v>0</v>
      </c>
      <c r="AL30" s="64">
        <f>IF(F30="nd","nd",F30*$C30/constants!$B$7)</f>
        <v>0</v>
      </c>
      <c r="AM30" s="64">
        <f>IF(G30="nd","nd",G30*$C30/constants!$B$8)</f>
        <v>0</v>
      </c>
      <c r="AN30" s="64">
        <f>IF(H30="nd","nd",H30*$C30/constants!$B$9)</f>
        <v>0</v>
      </c>
      <c r="AO30" s="64">
        <f>IF(I30="nd","nd",I30*$C30/constants!$B$10)</f>
        <v>0</v>
      </c>
      <c r="AP30" s="162">
        <f t="shared" si="1"/>
        <v>0</v>
      </c>
      <c r="AQ30" s="162">
        <f t="shared" si="2"/>
        <v>0</v>
      </c>
      <c r="AR30" s="162">
        <f t="shared" si="3"/>
        <v>0</v>
      </c>
      <c r="AS30" s="162">
        <f t="shared" si="4"/>
        <v>0</v>
      </c>
      <c r="AT30" s="162">
        <f t="shared" si="5"/>
        <v>0</v>
      </c>
      <c r="AU30" s="162">
        <f t="shared" si="6"/>
        <v>0</v>
      </c>
      <c r="AV30" s="162">
        <f t="shared" si="7"/>
        <v>0</v>
      </c>
      <c r="AW30" s="162">
        <f t="shared" si="8"/>
        <v>0</v>
      </c>
      <c r="AX30" s="162">
        <f t="shared" si="9"/>
        <v>0</v>
      </c>
      <c r="AY30" s="162">
        <f t="shared" si="10"/>
        <v>0</v>
      </c>
      <c r="AZ30" s="64">
        <f>IF(AH30="nd","nd",AH30*Table31520253035404550556074[[#This Row],[dilution ]]/constants!$B$3)</f>
        <v>0</v>
      </c>
      <c r="BA30" s="64"/>
      <c r="BB30" s="64"/>
      <c r="BC30" s="64">
        <f>(Table51621263136414651566175[[#This Row],[Concentration]]*constants!$C$3)/1000</f>
        <v>0</v>
      </c>
      <c r="BD30" s="64">
        <f>(Table51621263136414651566175[[#This Row],[Concentration2]]*constants!$C$6)/1000</f>
        <v>0</v>
      </c>
      <c r="BE30" s="64">
        <f>(Table51621263136414651566175[[#This Row],[Concentration3]]*constants!$C$7)/1000</f>
        <v>0</v>
      </c>
      <c r="BF30" s="64">
        <f>(Table51621263136414651566175[[#This Row],[Concentration4]]*constants!$C$8)/1000</f>
        <v>0</v>
      </c>
      <c r="BG30" s="64">
        <f>(Table51621263136414651566175[[#This Row],[Concentration5]]*constants!$C$9)/1000</f>
        <v>0</v>
      </c>
      <c r="BH30" s="64">
        <f>(Table51621263136414651566175[[#This Row],[Concentration6]]*constants!$C$10)/1000</f>
        <v>0</v>
      </c>
      <c r="BI30" s="64">
        <f>(Table51621263136414651566175[[#This Row],[Concentration7]]*constants!$C$5)</f>
        <v>0</v>
      </c>
      <c r="BJ30" s="64">
        <f>(Table51621263136414651566175[[#This Row],[Concentration8]]*3)</f>
        <v>0</v>
      </c>
      <c r="BK30" s="64">
        <f>(Table51621263136414651566175[[#This Row],[Concentration9]]*4)</f>
        <v>0</v>
      </c>
      <c r="BL30" s="64">
        <f>(Table51621263136414651566175[[#This Row],[Concentration10]]*4)</f>
        <v>0</v>
      </c>
      <c r="BM30" s="64">
        <f>(Table51621263136414651566175[[#This Row],[Concentration11]]*5)</f>
        <v>0</v>
      </c>
      <c r="BN30" s="64">
        <f>(Table51621263136414651566175[[#This Row],[Concentration12]]*5)</f>
        <v>0</v>
      </c>
      <c r="BO30" s="64">
        <f>(Table51621263136414651566175[[#This Row],[Concentration13]]*6)</f>
        <v>0</v>
      </c>
      <c r="BP30" s="64">
        <f>(Table51621263136414651566175[[#This Row],[Concentration14]]*6)</f>
        <v>0</v>
      </c>
      <c r="BQ30" s="64">
        <f>(Table51621263136414651566175[[#This Row],[Concentration15]]*7)</f>
        <v>0</v>
      </c>
      <c r="BR30" s="64">
        <f>(Table51621263136414651566175[[#This Row],[Concentration16]]*8)</f>
        <v>0</v>
      </c>
      <c r="BS30" s="64">
        <f>(Table51621263136414651566175[[#This Row],[Concentration17]]*3)/1000</f>
        <v>0</v>
      </c>
      <c r="BT30" s="47">
        <f>Table51621263136414651566175[[#This Row],[Concentration18]]/1000</f>
        <v>0</v>
      </c>
      <c r="BU30" s="47">
        <f>Table51621263136414651566175[[#This Row],[Concentration19]]/1000</f>
        <v>0</v>
      </c>
    </row>
    <row r="31" spans="1:73" s="47" customFormat="1" ht="16" thickBot="1" x14ac:dyDescent="0.4">
      <c r="A31" s="63">
        <f>Table2[[#This Row],[Date]]</f>
        <v>0</v>
      </c>
      <c r="B31" s="74">
        <f>Table2[[#This Row],[Time]]</f>
        <v>0</v>
      </c>
      <c r="C31" s="54"/>
      <c r="D31" s="18">
        <f>IFERROR(AVERAGE(Table31520253035[[#This Row],[Amount ]],Table3152025303540[[#This Row],[Amount ]]),0)</f>
        <v>0</v>
      </c>
      <c r="E31" s="18">
        <f>IFERROR(AVERAGE(Table31520253035[[#This Row],[Amount 2]],Table3152025303540[[#This Row],[Amount 2]]),0)</f>
        <v>0</v>
      </c>
      <c r="F31" s="18">
        <f>IFERROR(AVERAGE(Table31520253035[[#This Row],[Amount 3]],Table3152025303540[[#This Row],[Amount 3]]),0)</f>
        <v>0</v>
      </c>
      <c r="G31" s="18">
        <f>IFERROR(AVERAGE(Table31520253035[[#This Row],[Amount 4]],Table3152025303540[[#This Row],[Amount 4]]),0)</f>
        <v>0</v>
      </c>
      <c r="H31" s="18">
        <f>IFERROR(AVERAGE(Table31520253035[[#This Row],[Amount 5]],Table3152025303540[[#This Row],[Amount 5]]),0)</f>
        <v>0</v>
      </c>
      <c r="I31" s="18">
        <f>IFERROR(AVERAGE(Table31520253035[[#This Row],[Amount 6]],Table3152025303540[[#This Row],[Amount 6]]),0)</f>
        <v>0</v>
      </c>
      <c r="J31" s="18">
        <f>IFERROR(AVERAGE(Table31520253035[[#This Row],[Amount 7]],Table3152025303540[[#This Row],[Amount 7]]),0)</f>
        <v>0</v>
      </c>
      <c r="K31" s="18">
        <f>IFERROR(AVERAGE(Table31520253035[[#This Row],[Amount 8]],Table3152025303540[[#This Row],[Amount 8]]),0)</f>
        <v>0</v>
      </c>
      <c r="L31" s="18">
        <f>IFERROR(AVERAGE(Table31520253035[[#This Row],[Amount 9]],Table3152025303540[[#This Row],[Amount 9]]),0)</f>
        <v>0</v>
      </c>
      <c r="M31" s="18">
        <f>IFERROR(AVERAGE(Table31520253035[[#This Row],[Amount 10]],Table3152025303540[[#This Row],[Amount 10]]),0)</f>
        <v>0</v>
      </c>
      <c r="N31" s="18">
        <f>IFERROR(AVERAGE(Table31520253035[[#This Row],[Amount 11]],Table3152025303540[[#This Row],[Amount 11]]),0)</f>
        <v>0</v>
      </c>
      <c r="O31" s="18">
        <f>IFERROR(AVERAGE(Table31520253035[[#This Row],[Amount 12]],Table3152025303540[[#This Row],[Amount 12]]),0)</f>
        <v>0</v>
      </c>
      <c r="P31" s="18">
        <f>IFERROR(AVERAGE(Table31520253035[[#This Row],[Amount 13]],Table3152025303540[[#This Row],[Amount 13]]),0)</f>
        <v>0</v>
      </c>
      <c r="Q31" s="18">
        <f>IFERROR(AVERAGE(Table31520253035[[#This Row],[Amount 14]],Table3152025303540[[#This Row],[Amount 14]]),0)</f>
        <v>0</v>
      </c>
      <c r="R31" s="18">
        <f>IFERROR(AVERAGE(Table31520253035[[#This Row],[Amount 15]],Table3152025303540[[#This Row],[Amount 15]]),0)</f>
        <v>0</v>
      </c>
      <c r="S31" s="18">
        <f>IFERROR(AVERAGE(Table31520253035[[#This Row],[Amount 16]],Table3152025303540[[#This Row],[Amount 16]]),0)</f>
        <v>0</v>
      </c>
      <c r="T31" s="18">
        <f>IFERROR(AVERAGE(Table31520253035[[#This Row],[Amount 17]],Table3152025303540[[#This Row],[Amount 17]]),0)</f>
        <v>0</v>
      </c>
      <c r="U31" s="18">
        <f>IFERROR(AVERAGE(Table31520253035[[#This Row],[Amount 18]],Table3152025303540[[#This Row],[Amount 18]]),0)</f>
        <v>0</v>
      </c>
      <c r="V31" s="18">
        <f>IFERROR(AVERAGE(Table31520253035[[#This Row],[Amount 19]],Table3152025303540[[#This Row],[Amount 19]]),0)</f>
        <v>0</v>
      </c>
      <c r="W31" s="18">
        <f>IFERROR(AVERAGE(Table31520253035[[#This Row],[Ret.Time ]],Table3152025303540[[#This Row],[Ret.Time ]]),0)</f>
        <v>0</v>
      </c>
      <c r="X31" s="18">
        <f>IFERROR(AVERAGE(Table31520253035[[#This Row],[Amount 20]],Table3152025303540[[#This Row],[Amount 20]]),0)</f>
        <v>0</v>
      </c>
      <c r="Y31" s="18">
        <f>IFERROR(AVERAGE(Table31520253035[[#This Row],[Ret.Time]],Table3152025303540[[#This Row],[Ret.Time]]),0)</f>
        <v>0</v>
      </c>
      <c r="Z31" s="18">
        <f>IFERROR(AVERAGE(Table31520253035[[#This Row],[Amount 21]],Table3152025303540[[#This Row],[Amount 21]]),0)</f>
        <v>0</v>
      </c>
      <c r="AA31" s="18">
        <f>IFERROR(AVERAGE(Table31520253035[[#This Row],[Ret.Time22]],Table3152025303540[[#This Row],[Ret.Time22]]),0)</f>
        <v>0</v>
      </c>
      <c r="AB31" s="18">
        <f>IFERROR(AVERAGE(Table31520253035[[#This Row],[Amount 23]],Table3152025303540[[#This Row],[Amount 23]]),0)</f>
        <v>0</v>
      </c>
      <c r="AC31" s="18">
        <f>IFERROR(AVERAGE(Table31520253035[[#This Row],[Ret.Time24]],Table3152025303540[[#This Row],[Ret.Time24]]),0)</f>
        <v>0</v>
      </c>
      <c r="AD31" s="18">
        <f>IFERROR(AVERAGE(Table31520253035[[#This Row],[Amount 25]],Table3152025303540[[#This Row],[Amount 25]]),0)</f>
        <v>0</v>
      </c>
      <c r="AE31" s="18">
        <f>IFERROR(AVERAGE(Table31520253035[[#This Row],[pH]],Table3152025303540[[#This Row],[pH]]),0)</f>
        <v>0</v>
      </c>
      <c r="AF31" s="18">
        <f>IFERROR(AVERAGE(Table31520253035[[#This Row],[dilution ]],Table3152025303540[[#This Row],[dilution ]]),0)</f>
        <v>0</v>
      </c>
      <c r="AG31" s="18">
        <f>IFERROR(AVERAGE(Table31520253035[[#This Row],[retention]],Table3152025303540[[#This Row],[retention]]),0)</f>
        <v>0</v>
      </c>
      <c r="AH31" s="18">
        <f>IFERROR(AVERAGE(Table31520253035[[#This Row],[amount]],Table3152025303540[[#This Row],[amount]]),0)</f>
        <v>0</v>
      </c>
      <c r="AI31" s="18">
        <f>IFERROR(AVERAGE(Table31520253035[[#This Row],[pressure]],Table3152025303540[[#This Row],[pressure]]),0)</f>
        <v>0</v>
      </c>
      <c r="AJ31" s="64">
        <f>IF(D31="nd","nd",D31*$C31/constants!$B$3)</f>
        <v>0</v>
      </c>
      <c r="AK31" s="64">
        <f>IF(E31="nd","nd",E31*$C31/constants!$B$6)</f>
        <v>0</v>
      </c>
      <c r="AL31" s="64">
        <f>IF(F31="nd","nd",F31*$C31/constants!$B$7)</f>
        <v>0</v>
      </c>
      <c r="AM31" s="64">
        <f>IF(G31="nd","nd",G31*$C31/constants!$B$8)</f>
        <v>0</v>
      </c>
      <c r="AN31" s="64">
        <f>IF(H31="nd","nd",H31*$C31/constants!$B$9)</f>
        <v>0</v>
      </c>
      <c r="AO31" s="64">
        <f>IF(I31="nd","nd",I31*$C31/constants!$B$10)</f>
        <v>0</v>
      </c>
      <c r="AP31" s="162">
        <f t="shared" si="1"/>
        <v>0</v>
      </c>
      <c r="AQ31" s="162">
        <f t="shared" si="2"/>
        <v>0</v>
      </c>
      <c r="AR31" s="162">
        <f t="shared" si="3"/>
        <v>0</v>
      </c>
      <c r="AS31" s="162">
        <f t="shared" si="4"/>
        <v>0</v>
      </c>
      <c r="AT31" s="162">
        <f t="shared" si="5"/>
        <v>0</v>
      </c>
      <c r="AU31" s="162">
        <f t="shared" si="6"/>
        <v>0</v>
      </c>
      <c r="AV31" s="162">
        <f t="shared" si="7"/>
        <v>0</v>
      </c>
      <c r="AW31" s="162">
        <f t="shared" si="8"/>
        <v>0</v>
      </c>
      <c r="AX31" s="162">
        <f t="shared" si="9"/>
        <v>0</v>
      </c>
      <c r="AY31" s="162">
        <f t="shared" si="10"/>
        <v>0</v>
      </c>
      <c r="AZ31" s="64">
        <f>IF(AH31="nd","nd",AH31*Table31520253035404550556074[[#This Row],[dilution ]]/constants!$B$3)</f>
        <v>0</v>
      </c>
      <c r="BA31" s="64"/>
      <c r="BB31" s="64"/>
      <c r="BC31" s="64">
        <f>(Table51621263136414651566175[[#This Row],[Concentration]]*constants!$C$3)/1000</f>
        <v>0</v>
      </c>
      <c r="BD31" s="64">
        <f>(Table51621263136414651566175[[#This Row],[Concentration2]]*constants!$C$6)/1000</f>
        <v>0</v>
      </c>
      <c r="BE31" s="64">
        <f>(Table51621263136414651566175[[#This Row],[Concentration3]]*constants!$C$7)/1000</f>
        <v>0</v>
      </c>
      <c r="BF31" s="64">
        <f>(Table51621263136414651566175[[#This Row],[Concentration4]]*constants!$C$8)/1000</f>
        <v>0</v>
      </c>
      <c r="BG31" s="64">
        <f>(Table51621263136414651566175[[#This Row],[Concentration5]]*constants!$C$9)/1000</f>
        <v>0</v>
      </c>
      <c r="BH31" s="64">
        <f>(Table51621263136414651566175[[#This Row],[Concentration6]]*constants!$C$10)/1000</f>
        <v>0</v>
      </c>
      <c r="BI31" s="64">
        <f>(Table51621263136414651566175[[#This Row],[Concentration7]]*constants!$C$5)</f>
        <v>0</v>
      </c>
      <c r="BJ31" s="64">
        <f>(Table51621263136414651566175[[#This Row],[Concentration8]]*3)</f>
        <v>0</v>
      </c>
      <c r="BK31" s="64">
        <f>(Table51621263136414651566175[[#This Row],[Concentration9]]*4)</f>
        <v>0</v>
      </c>
      <c r="BL31" s="64">
        <f>(Table51621263136414651566175[[#This Row],[Concentration10]]*4)</f>
        <v>0</v>
      </c>
      <c r="BM31" s="64">
        <f>(Table51621263136414651566175[[#This Row],[Concentration11]]*5)</f>
        <v>0</v>
      </c>
      <c r="BN31" s="64">
        <f>(Table51621263136414651566175[[#This Row],[Concentration12]]*5)</f>
        <v>0</v>
      </c>
      <c r="BO31" s="64">
        <f>(Table51621263136414651566175[[#This Row],[Concentration13]]*6)</f>
        <v>0</v>
      </c>
      <c r="BP31" s="64">
        <f>(Table51621263136414651566175[[#This Row],[Concentration14]]*6)</f>
        <v>0</v>
      </c>
      <c r="BQ31" s="64">
        <f>(Table51621263136414651566175[[#This Row],[Concentration15]]*7)</f>
        <v>0</v>
      </c>
      <c r="BR31" s="64">
        <f>(Table51621263136414651566175[[#This Row],[Concentration16]]*8)</f>
        <v>0</v>
      </c>
      <c r="BS31" s="64">
        <f>(Table51621263136414651566175[[#This Row],[Concentration17]]*3)/1000</f>
        <v>0</v>
      </c>
      <c r="BT31" s="47">
        <f>Table51621263136414651566175[[#This Row],[Concentration18]]/1000</f>
        <v>0</v>
      </c>
      <c r="BU31" s="47">
        <f>Table51621263136414651566175[[#This Row],[Concentration19]]/1000</f>
        <v>0</v>
      </c>
    </row>
    <row r="32" spans="1:73" ht="15" thickBot="1" x14ac:dyDescent="0.4">
      <c r="A32" s="60">
        <v>43196</v>
      </c>
      <c r="C32" s="8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84"/>
      <c r="AE32" s="43"/>
      <c r="AJ32" s="64">
        <f>IF(D32="nd","nd",D32*$C32/constants!$B$3)</f>
        <v>0</v>
      </c>
      <c r="AK32" s="64">
        <f>IF(E32="nd","nd",E32*$C32/constants!$B$6)</f>
        <v>0</v>
      </c>
      <c r="AL32" s="64">
        <f>IF(F32="nd","nd",F32*$C32/constants!$B$7)</f>
        <v>0</v>
      </c>
      <c r="AM32" s="64">
        <f>IF(G32="nd","nd",G32*$C32/constants!$B$8)</f>
        <v>0</v>
      </c>
      <c r="AN32" s="64">
        <f>IF(H32="nd","nd",H32*$C32/constants!$B$9)</f>
        <v>0</v>
      </c>
      <c r="AO32" s="64">
        <f>IF(I32="nd","nd",I32*$C32/constants!$B$10)</f>
        <v>0</v>
      </c>
      <c r="AP32" s="162">
        <f t="shared" si="1"/>
        <v>0</v>
      </c>
      <c r="AQ32" s="162">
        <f t="shared" si="2"/>
        <v>0</v>
      </c>
      <c r="AR32" s="162">
        <f t="shared" si="3"/>
        <v>0</v>
      </c>
      <c r="AS32" s="162">
        <f t="shared" si="4"/>
        <v>0</v>
      </c>
      <c r="AT32" s="162">
        <f t="shared" si="5"/>
        <v>0</v>
      </c>
      <c r="AU32" s="162">
        <f t="shared" si="6"/>
        <v>0</v>
      </c>
      <c r="AV32" s="162">
        <f t="shared" si="7"/>
        <v>0</v>
      </c>
      <c r="AW32" s="162">
        <f t="shared" si="8"/>
        <v>0</v>
      </c>
      <c r="AX32" s="162">
        <f t="shared" si="9"/>
        <v>0</v>
      </c>
      <c r="AY32" s="162">
        <f t="shared" si="10"/>
        <v>0</v>
      </c>
      <c r="AZ32" s="64">
        <f>IF(AH32="nd","nd",AH32*Table31520253035404550556074[[#This Row],[dilution ]]/constants!$B$3)</f>
        <v>0</v>
      </c>
      <c r="BA32" s="64"/>
      <c r="BB32" s="64"/>
      <c r="BC32" s="64">
        <f>(Table51621263136414651566175[[#This Row],[Concentration]]*constants!$C$3)/1000</f>
        <v>0</v>
      </c>
      <c r="BD32" s="64">
        <f>(Table51621263136414651566175[[#This Row],[Concentration2]]*constants!$C$6)/1000</f>
        <v>0</v>
      </c>
      <c r="BE32" s="64">
        <f>(Table51621263136414651566175[[#This Row],[Concentration3]]*constants!$C$7)/1000</f>
        <v>0</v>
      </c>
      <c r="BF32" s="64">
        <f>(Table51621263136414651566175[[#This Row],[Concentration4]]*constants!$C$8)/1000</f>
        <v>0</v>
      </c>
      <c r="BG32" s="64">
        <f>(Table51621263136414651566175[[#This Row],[Concentration5]]*constants!$C$9)/1000</f>
        <v>0</v>
      </c>
      <c r="BH32" s="64">
        <f>(Table51621263136414651566175[[#This Row],[Concentration6]]*constants!$C$10)/1000</f>
        <v>0</v>
      </c>
      <c r="BI32" s="64">
        <f>(Table51621263136414651566175[[#This Row],[Concentration7]]*constants!$C$5)</f>
        <v>0</v>
      </c>
      <c r="BJ32" s="64">
        <f>(Table51621263136414651566175[[#This Row],[Concentration8]]*3)</f>
        <v>0</v>
      </c>
      <c r="BK32" s="64">
        <f>(Table51621263136414651566175[[#This Row],[Concentration9]]*4)</f>
        <v>0</v>
      </c>
      <c r="BL32" s="64">
        <f>(Table51621263136414651566175[[#This Row],[Concentration10]]*4)</f>
        <v>0</v>
      </c>
      <c r="BM32" s="64">
        <f>(Table51621263136414651566175[[#This Row],[Concentration11]]*5)</f>
        <v>0</v>
      </c>
      <c r="BN32" s="64">
        <f>(Table51621263136414651566175[[#This Row],[Concentration12]]*5)</f>
        <v>0</v>
      </c>
      <c r="BO32" s="64">
        <f>(Table51621263136414651566175[[#This Row],[Concentration13]]*6)</f>
        <v>0</v>
      </c>
      <c r="BP32" s="64">
        <f>(Table51621263136414651566175[[#This Row],[Concentration14]]*6)</f>
        <v>0</v>
      </c>
      <c r="BQ32" s="64">
        <f>(Table51621263136414651566175[[#This Row],[Concentration15]]*7)</f>
        <v>0</v>
      </c>
      <c r="BR32" s="64">
        <f>(Table51621263136414651566175[[#This Row],[Concentration16]]*8)</f>
        <v>0</v>
      </c>
      <c r="BS32" s="64">
        <f>(Table51621263136414651566175[[#This Row],[Concentration17]]*3)/1000</f>
        <v>0</v>
      </c>
    </row>
    <row r="33" spans="1:31" x14ac:dyDescent="0.35">
      <c r="A33" s="60"/>
      <c r="AE33" s="43"/>
    </row>
    <row r="34" spans="1:31" x14ac:dyDescent="0.35">
      <c r="AE34" s="43"/>
    </row>
    <row r="35" spans="1:31" x14ac:dyDescent="0.35">
      <c r="AE35" s="43"/>
    </row>
    <row r="36" spans="1:31" ht="15" thickBot="1" x14ac:dyDescent="0.4">
      <c r="AE36" s="44"/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3"/>
  <sheetViews>
    <sheetView workbookViewId="0"/>
  </sheetViews>
  <sheetFormatPr defaultRowHeight="14.5" x14ac:dyDescent="0.35"/>
  <cols>
    <col min="3" max="4" width="10.36328125" customWidth="1"/>
    <col min="8" max="8" width="21.453125" customWidth="1"/>
  </cols>
  <sheetData>
    <row r="1" spans="1:9" x14ac:dyDescent="0.35">
      <c r="B1" t="s">
        <v>39</v>
      </c>
    </row>
    <row r="2" spans="1:9" x14ac:dyDescent="0.35">
      <c r="A2" s="26" t="s">
        <v>40</v>
      </c>
      <c r="B2" s="26" t="s">
        <v>38</v>
      </c>
      <c r="C2" s="26" t="s">
        <v>41</v>
      </c>
      <c r="D2" t="s">
        <v>210</v>
      </c>
      <c r="E2" s="26"/>
      <c r="F2" s="26"/>
    </row>
    <row r="3" spans="1:9" x14ac:dyDescent="0.35">
      <c r="A3" t="s">
        <v>42</v>
      </c>
      <c r="B3">
        <v>32.042000000000002</v>
      </c>
      <c r="C3">
        <v>1</v>
      </c>
      <c r="D3">
        <v>5</v>
      </c>
      <c r="F3" s="28"/>
    </row>
    <row r="4" spans="1:9" x14ac:dyDescent="0.35">
      <c r="A4" t="s">
        <v>43</v>
      </c>
      <c r="B4">
        <v>88.105999999999995</v>
      </c>
      <c r="C4">
        <v>4</v>
      </c>
      <c r="D4">
        <v>4</v>
      </c>
      <c r="F4" s="28"/>
      <c r="I4" s="29"/>
    </row>
    <row r="5" spans="1:9" x14ac:dyDescent="0.35">
      <c r="A5" t="s">
        <v>44</v>
      </c>
      <c r="B5">
        <v>60.052</v>
      </c>
      <c r="C5">
        <v>2</v>
      </c>
      <c r="D5">
        <v>5</v>
      </c>
      <c r="F5" s="28"/>
      <c r="I5" s="29"/>
    </row>
    <row r="6" spans="1:9" x14ac:dyDescent="0.35">
      <c r="A6" t="s">
        <v>45</v>
      </c>
      <c r="B6">
        <v>46.069000000000003</v>
      </c>
      <c r="C6">
        <v>2</v>
      </c>
      <c r="D6">
        <v>5</v>
      </c>
      <c r="F6" s="28"/>
      <c r="G6" s="177"/>
      <c r="H6" s="177"/>
      <c r="I6" s="30"/>
    </row>
    <row r="7" spans="1:9" x14ac:dyDescent="0.35">
      <c r="A7" t="s">
        <v>46</v>
      </c>
      <c r="B7">
        <v>60.095999999999997</v>
      </c>
      <c r="C7">
        <v>3</v>
      </c>
      <c r="D7">
        <v>5</v>
      </c>
      <c r="F7" s="28"/>
      <c r="G7" s="177"/>
      <c r="H7" s="177"/>
    </row>
    <row r="8" spans="1:9" x14ac:dyDescent="0.35">
      <c r="A8" t="s">
        <v>47</v>
      </c>
      <c r="B8">
        <v>74.123000000000005</v>
      </c>
      <c r="C8">
        <v>4</v>
      </c>
      <c r="D8">
        <v>5</v>
      </c>
      <c r="F8" s="28"/>
      <c r="G8" s="177"/>
      <c r="H8" s="177"/>
      <c r="I8" s="31"/>
    </row>
    <row r="9" spans="1:9" x14ac:dyDescent="0.35">
      <c r="A9" t="s">
        <v>48</v>
      </c>
      <c r="B9">
        <v>88.15</v>
      </c>
      <c r="C9">
        <v>5</v>
      </c>
      <c r="D9">
        <v>2</v>
      </c>
      <c r="F9" s="28"/>
      <c r="G9" s="177"/>
      <c r="H9" s="177"/>
      <c r="I9" s="31"/>
    </row>
    <row r="10" spans="1:9" x14ac:dyDescent="0.35">
      <c r="A10" t="s">
        <v>49</v>
      </c>
      <c r="B10">
        <v>102.17700000000001</v>
      </c>
      <c r="C10">
        <v>6</v>
      </c>
      <c r="D10">
        <v>2</v>
      </c>
      <c r="F10" s="28"/>
      <c r="G10" s="177"/>
      <c r="H10" s="177"/>
      <c r="I10" s="31"/>
    </row>
    <row r="11" spans="1:9" x14ac:dyDescent="0.35">
      <c r="A11" t="s">
        <v>50</v>
      </c>
      <c r="B11">
        <v>74.078999999999994</v>
      </c>
      <c r="C11">
        <v>3</v>
      </c>
      <c r="D11">
        <v>5</v>
      </c>
      <c r="F11" s="28"/>
      <c r="G11" s="177"/>
      <c r="H11" s="177"/>
      <c r="I11" s="31"/>
    </row>
    <row r="12" spans="1:9" x14ac:dyDescent="0.35">
      <c r="A12" t="s">
        <v>51</v>
      </c>
      <c r="B12">
        <v>102.133</v>
      </c>
      <c r="C12">
        <v>5</v>
      </c>
      <c r="D12">
        <v>3</v>
      </c>
      <c r="F12" s="28"/>
      <c r="G12" s="177"/>
      <c r="H12" s="177"/>
      <c r="I12" s="31"/>
    </row>
    <row r="13" spans="1:9" x14ac:dyDescent="0.35">
      <c r="A13" t="s">
        <v>52</v>
      </c>
      <c r="B13">
        <v>116.16</v>
      </c>
      <c r="C13">
        <v>6</v>
      </c>
      <c r="D13">
        <v>2</v>
      </c>
      <c r="F13" s="28"/>
      <c r="G13" s="177"/>
      <c r="H13" s="177"/>
      <c r="I13" s="31"/>
    </row>
    <row r="14" spans="1:9" x14ac:dyDescent="0.35">
      <c r="A14" t="s">
        <v>53</v>
      </c>
      <c r="B14" s="27">
        <v>129.179</v>
      </c>
      <c r="C14">
        <v>7</v>
      </c>
      <c r="D14">
        <v>2</v>
      </c>
      <c r="F14" s="28"/>
      <c r="G14" s="177"/>
      <c r="H14" s="177"/>
      <c r="I14" s="31"/>
    </row>
    <row r="15" spans="1:9" x14ac:dyDescent="0.35">
      <c r="A15" t="s">
        <v>54</v>
      </c>
      <c r="B15">
        <v>144.214</v>
      </c>
      <c r="C15">
        <v>8</v>
      </c>
      <c r="D15">
        <v>0.5</v>
      </c>
      <c r="F15" s="28"/>
      <c r="G15" s="177"/>
      <c r="H15" s="177"/>
      <c r="I15" s="31"/>
    </row>
    <row r="16" spans="1:9" x14ac:dyDescent="0.35">
      <c r="F16" s="28"/>
      <c r="G16" s="177"/>
      <c r="H16" s="177"/>
      <c r="I16" s="31"/>
    </row>
    <row r="17" spans="1:9" x14ac:dyDescent="0.35">
      <c r="F17" s="28"/>
      <c r="G17" s="177"/>
      <c r="H17" s="177"/>
      <c r="I17" s="31"/>
    </row>
    <row r="18" spans="1:9" x14ac:dyDescent="0.35">
      <c r="G18" s="177"/>
      <c r="H18" s="177"/>
      <c r="I18" s="31"/>
    </row>
    <row r="19" spans="1:9" x14ac:dyDescent="0.35">
      <c r="A19" t="s">
        <v>56</v>
      </c>
      <c r="B19">
        <f>B4</f>
        <v>88.105999999999995</v>
      </c>
      <c r="C19">
        <f>C5</f>
        <v>2</v>
      </c>
      <c r="D19">
        <v>4</v>
      </c>
      <c r="F19" s="28"/>
      <c r="G19" s="177"/>
      <c r="H19" s="177"/>
      <c r="I19" s="31"/>
    </row>
    <row r="20" spans="1:9" x14ac:dyDescent="0.35">
      <c r="A20" t="s">
        <v>57</v>
      </c>
      <c r="B20">
        <f>B12</f>
        <v>102.133</v>
      </c>
      <c r="C20">
        <v>5</v>
      </c>
      <c r="D20">
        <v>3</v>
      </c>
      <c r="F20" s="28"/>
      <c r="G20" s="177"/>
      <c r="H20" s="177"/>
      <c r="I20" s="31"/>
    </row>
    <row r="21" spans="1:9" x14ac:dyDescent="0.35">
      <c r="A21" t="s">
        <v>58</v>
      </c>
      <c r="B21">
        <f>B13</f>
        <v>116.16</v>
      </c>
      <c r="C21">
        <v>6</v>
      </c>
      <c r="D21">
        <v>2</v>
      </c>
      <c r="F21" s="28"/>
      <c r="G21" s="177"/>
      <c r="H21" s="177"/>
      <c r="I21" s="31"/>
    </row>
    <row r="22" spans="1:9" x14ac:dyDescent="0.35">
      <c r="A22" t="s">
        <v>59</v>
      </c>
      <c r="B22">
        <v>130.18700000000001</v>
      </c>
      <c r="C22">
        <v>7</v>
      </c>
      <c r="D22">
        <v>5</v>
      </c>
      <c r="G22" s="177"/>
      <c r="H22" s="177"/>
      <c r="I22" s="31"/>
    </row>
    <row r="23" spans="1:9" x14ac:dyDescent="0.35">
      <c r="A23" t="s">
        <v>73</v>
      </c>
      <c r="B23">
        <v>90.08</v>
      </c>
      <c r="C23">
        <v>3</v>
      </c>
      <c r="D23">
        <v>5</v>
      </c>
      <c r="G23" s="177"/>
      <c r="H23" s="177"/>
      <c r="I23" s="31"/>
    </row>
    <row r="24" spans="1:9" x14ac:dyDescent="0.35">
      <c r="G24" s="177"/>
      <c r="H24" s="177"/>
      <c r="I24" s="31"/>
    </row>
    <row r="25" spans="1:9" x14ac:dyDescent="0.35">
      <c r="G25" s="177"/>
      <c r="H25" s="177"/>
      <c r="I25" s="31"/>
    </row>
    <row r="26" spans="1:9" x14ac:dyDescent="0.35">
      <c r="G26" s="177"/>
      <c r="H26" s="177"/>
      <c r="I26" s="31"/>
    </row>
    <row r="27" spans="1:9" x14ac:dyDescent="0.35">
      <c r="G27" s="177"/>
      <c r="H27" s="177"/>
      <c r="I27" s="31"/>
    </row>
    <row r="28" spans="1:9" x14ac:dyDescent="0.35">
      <c r="G28" s="177"/>
      <c r="H28" s="177"/>
      <c r="I28" s="31"/>
    </row>
    <row r="29" spans="1:9" x14ac:dyDescent="0.35">
      <c r="G29" s="177"/>
      <c r="H29" s="177"/>
      <c r="I29" s="31"/>
    </row>
    <row r="30" spans="1:9" x14ac:dyDescent="0.35">
      <c r="G30" s="177"/>
      <c r="H30" s="177"/>
      <c r="I30" s="31"/>
    </row>
    <row r="31" spans="1:9" x14ac:dyDescent="0.35">
      <c r="G31" s="177"/>
      <c r="H31" s="177"/>
      <c r="I31" s="31"/>
    </row>
    <row r="32" spans="1:9" x14ac:dyDescent="0.35">
      <c r="G32" s="177"/>
      <c r="H32" s="177"/>
      <c r="I32" s="31"/>
    </row>
    <row r="33" spans="7:8" x14ac:dyDescent="0.35">
      <c r="G33" s="177"/>
      <c r="H33" s="17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B38"/>
  <sheetViews>
    <sheetView zoomScale="80" zoomScaleNormal="80" workbookViewId="0">
      <pane xSplit="2" topLeftCell="C1" activePane="topRight" state="frozen"/>
      <selection pane="topRight"/>
    </sheetView>
  </sheetViews>
  <sheetFormatPr defaultRowHeight="14.5" x14ac:dyDescent="0.35"/>
  <cols>
    <col min="1" max="1" width="16.36328125" bestFit="1" customWidth="1"/>
    <col min="2" max="2" width="11" customWidth="1"/>
    <col min="3" max="3" width="10.453125" customWidth="1"/>
    <col min="4" max="4" width="10.7265625" customWidth="1"/>
    <col min="5" max="12" width="11.7265625" customWidth="1"/>
    <col min="13" max="19" width="12.7265625" customWidth="1"/>
    <col min="20" max="22" width="12.7265625" hidden="1" customWidth="1"/>
    <col min="23" max="23" width="11.81640625" customWidth="1"/>
    <col min="24" max="24" width="12.7265625" customWidth="1"/>
    <col min="25" max="25" width="11.26953125" customWidth="1"/>
    <col min="26" max="27" width="12.7265625" customWidth="1"/>
    <col min="28" max="28" width="13.26953125" customWidth="1"/>
    <col min="29" max="29" width="12.7265625" customWidth="1"/>
    <col min="30" max="30" width="13.26953125" customWidth="1"/>
    <col min="31" max="31" width="12.7265625" customWidth="1"/>
    <col min="33" max="33" width="10.81640625" customWidth="1"/>
    <col min="34" max="35" width="11.26953125" customWidth="1"/>
    <col min="36" max="36" width="10.1796875" customWidth="1"/>
    <col min="37" max="37" width="15.81640625" customWidth="1"/>
    <col min="38" max="45" width="16.81640625" customWidth="1"/>
    <col min="46" max="54" width="17.81640625" customWidth="1"/>
  </cols>
  <sheetData>
    <row r="1" spans="1:54" x14ac:dyDescent="0.35">
      <c r="A1" s="24" t="s">
        <v>28</v>
      </c>
      <c r="B1" s="24" t="s">
        <v>29</v>
      </c>
      <c r="C1" s="24"/>
    </row>
    <row r="2" spans="1:54" x14ac:dyDescent="0.35">
      <c r="A2" s="25" t="s">
        <v>30</v>
      </c>
      <c r="B2" s="25" t="s">
        <v>31</v>
      </c>
      <c r="C2" s="24" t="s">
        <v>75</v>
      </c>
      <c r="AK2" s="2" t="s">
        <v>2</v>
      </c>
      <c r="AQ2" s="177"/>
      <c r="AR2" s="177"/>
    </row>
    <row r="3" spans="1:54" x14ac:dyDescent="0.35">
      <c r="A3" s="25"/>
      <c r="B3" s="25"/>
      <c r="C3" s="24"/>
    </row>
    <row r="4" spans="1:54" x14ac:dyDescent="0.35">
      <c r="A4" s="24"/>
      <c r="B4" s="24"/>
      <c r="C4" s="56"/>
      <c r="E4" s="1"/>
      <c r="F4" s="3"/>
      <c r="G4" s="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D4" s="1"/>
      <c r="AE4" s="1"/>
      <c r="AF4" s="1"/>
      <c r="AG4" t="s">
        <v>69</v>
      </c>
      <c r="AK4" s="37" t="s">
        <v>37</v>
      </c>
      <c r="AM4" s="3"/>
      <c r="AN4" s="2"/>
      <c r="AO4" s="1"/>
      <c r="AP4" s="1"/>
      <c r="AQ4" s="37" t="s">
        <v>37</v>
      </c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</row>
    <row r="5" spans="1:54" ht="15" thickBot="1" x14ac:dyDescent="0.4">
      <c r="A5" s="24"/>
      <c r="B5" s="24"/>
      <c r="C5" s="2" t="s">
        <v>2</v>
      </c>
      <c r="D5" s="2"/>
      <c r="E5" s="1"/>
      <c r="F5" s="3"/>
      <c r="G5" s="2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D5" s="1"/>
      <c r="AE5" s="1"/>
      <c r="AF5" s="1"/>
      <c r="AK5" s="37"/>
      <c r="AM5" s="3"/>
      <c r="AN5" s="2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</row>
    <row r="6" spans="1:54" ht="15" thickBot="1" x14ac:dyDescent="0.4">
      <c r="C6" s="5" t="s">
        <v>3</v>
      </c>
      <c r="D6" s="6" t="s">
        <v>4</v>
      </c>
      <c r="E6" s="6" t="s">
        <v>90</v>
      </c>
      <c r="F6" s="6" t="s">
        <v>91</v>
      </c>
      <c r="G6" s="6" t="s">
        <v>92</v>
      </c>
      <c r="H6" s="6" t="s">
        <v>93</v>
      </c>
      <c r="I6" s="6" t="s">
        <v>94</v>
      </c>
      <c r="J6" s="6" t="s">
        <v>95</v>
      </c>
      <c r="K6" s="6" t="s">
        <v>96</v>
      </c>
      <c r="L6" s="6" t="s">
        <v>97</v>
      </c>
      <c r="M6" s="6" t="s">
        <v>98</v>
      </c>
      <c r="N6" s="6" t="s">
        <v>99</v>
      </c>
      <c r="O6" s="6" t="s">
        <v>100</v>
      </c>
      <c r="P6" s="6" t="s">
        <v>101</v>
      </c>
      <c r="Q6" s="6" t="s">
        <v>102</v>
      </c>
      <c r="R6" s="6" t="s">
        <v>103</v>
      </c>
      <c r="S6" s="7" t="s">
        <v>104</v>
      </c>
      <c r="T6" s="7" t="s">
        <v>105</v>
      </c>
      <c r="U6" s="7" t="s">
        <v>106</v>
      </c>
      <c r="V6" s="8" t="s">
        <v>107</v>
      </c>
      <c r="W6" s="36" t="s">
        <v>61</v>
      </c>
      <c r="X6" s="33" t="s">
        <v>108</v>
      </c>
      <c r="Y6" s="36" t="s">
        <v>62</v>
      </c>
      <c r="Z6" s="35" t="s">
        <v>109</v>
      </c>
      <c r="AA6" s="35" t="s">
        <v>166</v>
      </c>
      <c r="AB6" s="34" t="s">
        <v>110</v>
      </c>
      <c r="AC6" s="33" t="s">
        <v>111</v>
      </c>
      <c r="AD6" s="36" t="s">
        <v>112</v>
      </c>
      <c r="AE6" s="35" t="s">
        <v>113</v>
      </c>
      <c r="AF6" s="38" t="s">
        <v>68</v>
      </c>
      <c r="AG6" s="39" t="s">
        <v>70</v>
      </c>
      <c r="AH6" s="39" t="s">
        <v>150</v>
      </c>
      <c r="AI6" s="40" t="s">
        <v>32</v>
      </c>
      <c r="AJ6" s="39" t="s">
        <v>136</v>
      </c>
      <c r="AK6" s="69" t="s">
        <v>35</v>
      </c>
      <c r="AL6" s="70" t="s">
        <v>114</v>
      </c>
      <c r="AM6" s="70" t="s">
        <v>115</v>
      </c>
      <c r="AN6" s="70" t="s">
        <v>116</v>
      </c>
      <c r="AO6" s="70" t="s">
        <v>117</v>
      </c>
      <c r="AP6" s="70" t="s">
        <v>118</v>
      </c>
      <c r="AQ6" s="70" t="s">
        <v>119</v>
      </c>
      <c r="AR6" s="70" t="s">
        <v>120</v>
      </c>
      <c r="AS6" s="70" t="s">
        <v>121</v>
      </c>
      <c r="AT6" s="70" t="s">
        <v>122</v>
      </c>
      <c r="AU6" s="70" t="s">
        <v>123</v>
      </c>
      <c r="AV6" s="70" t="s">
        <v>124</v>
      </c>
      <c r="AW6" s="70" t="s">
        <v>125</v>
      </c>
      <c r="AX6" s="70" t="s">
        <v>126</v>
      </c>
      <c r="AY6" s="70" t="s">
        <v>127</v>
      </c>
      <c r="AZ6" s="71" t="s">
        <v>128</v>
      </c>
      <c r="BA6" s="72" t="s">
        <v>129</v>
      </c>
      <c r="BB6" s="85" t="s">
        <v>148</v>
      </c>
    </row>
    <row r="7" spans="1:54" x14ac:dyDescent="0.35">
      <c r="C7" s="9" t="s">
        <v>5</v>
      </c>
      <c r="D7" s="10" t="s">
        <v>7</v>
      </c>
      <c r="E7" s="10" t="s">
        <v>7</v>
      </c>
      <c r="F7" s="10" t="s">
        <v>7</v>
      </c>
      <c r="G7" s="10" t="s">
        <v>7</v>
      </c>
      <c r="H7" s="10" t="s">
        <v>7</v>
      </c>
      <c r="I7" s="10" t="s">
        <v>7</v>
      </c>
      <c r="J7" s="10" t="s">
        <v>7</v>
      </c>
      <c r="K7" s="10" t="s">
        <v>7</v>
      </c>
      <c r="L7" s="10" t="s">
        <v>7</v>
      </c>
      <c r="M7" s="10" t="s">
        <v>7</v>
      </c>
      <c r="N7" s="10" t="s">
        <v>7</v>
      </c>
      <c r="O7" s="10" t="s">
        <v>7</v>
      </c>
      <c r="P7" s="10" t="s">
        <v>7</v>
      </c>
      <c r="Q7" s="10" t="s">
        <v>7</v>
      </c>
      <c r="R7" s="10" t="s">
        <v>7</v>
      </c>
      <c r="S7" s="11" t="s">
        <v>7</v>
      </c>
      <c r="T7" s="11" t="s">
        <v>6</v>
      </c>
      <c r="U7" s="11" t="s">
        <v>6</v>
      </c>
      <c r="V7" s="12" t="s">
        <v>6</v>
      </c>
      <c r="W7" s="36" t="s">
        <v>63</v>
      </c>
      <c r="X7" s="33" t="s">
        <v>64</v>
      </c>
      <c r="Y7" s="36" t="s">
        <v>63</v>
      </c>
      <c r="Z7" s="35" t="s">
        <v>64</v>
      </c>
      <c r="AA7" s="35" t="s">
        <v>72</v>
      </c>
      <c r="AB7" s="34" t="s">
        <v>63</v>
      </c>
      <c r="AC7" s="33" t="s">
        <v>64</v>
      </c>
      <c r="AD7" s="36" t="s">
        <v>63</v>
      </c>
      <c r="AE7" s="35" t="s">
        <v>64</v>
      </c>
      <c r="AF7" s="38"/>
      <c r="AG7" s="39" t="s">
        <v>5</v>
      </c>
      <c r="AH7" s="39"/>
      <c r="AI7" s="39" t="s">
        <v>7</v>
      </c>
      <c r="AJ7" s="89"/>
      <c r="AK7" s="9" t="s">
        <v>36</v>
      </c>
      <c r="AL7" s="10" t="s">
        <v>36</v>
      </c>
      <c r="AM7" s="10" t="s">
        <v>36</v>
      </c>
      <c r="AN7" s="10" t="s">
        <v>36</v>
      </c>
      <c r="AO7" s="10" t="s">
        <v>36</v>
      </c>
      <c r="AP7" s="10" t="s">
        <v>36</v>
      </c>
      <c r="AQ7" s="163" t="s">
        <v>77</v>
      </c>
      <c r="AR7" s="163" t="s">
        <v>77</v>
      </c>
      <c r="AS7" s="163" t="s">
        <v>77</v>
      </c>
      <c r="AT7" s="163" t="s">
        <v>77</v>
      </c>
      <c r="AU7" s="163" t="s">
        <v>77</v>
      </c>
      <c r="AV7" s="163" t="s">
        <v>77</v>
      </c>
      <c r="AW7" s="163" t="s">
        <v>77</v>
      </c>
      <c r="AX7" s="163" t="s">
        <v>77</v>
      </c>
      <c r="AY7" s="163" t="s">
        <v>77</v>
      </c>
      <c r="AZ7" s="163" t="s">
        <v>77</v>
      </c>
      <c r="BA7" s="58" t="s">
        <v>36</v>
      </c>
      <c r="BB7" s="86" t="s">
        <v>149</v>
      </c>
    </row>
    <row r="8" spans="1:54" ht="16" thickBot="1" x14ac:dyDescent="0.4">
      <c r="A8" s="22" t="s">
        <v>0</v>
      </c>
      <c r="B8" s="73" t="s">
        <v>1</v>
      </c>
      <c r="C8" s="13" t="s">
        <v>6</v>
      </c>
      <c r="D8" s="14" t="s">
        <v>8</v>
      </c>
      <c r="E8" s="14" t="s">
        <v>9</v>
      </c>
      <c r="F8" s="14" t="s">
        <v>10</v>
      </c>
      <c r="G8" s="14" t="s">
        <v>11</v>
      </c>
      <c r="H8" s="14" t="s">
        <v>12</v>
      </c>
      <c r="I8" s="14" t="s">
        <v>13</v>
      </c>
      <c r="J8" s="14" t="s">
        <v>14</v>
      </c>
      <c r="K8" s="14" t="s">
        <v>15</v>
      </c>
      <c r="L8" s="14" t="s">
        <v>16</v>
      </c>
      <c r="M8" s="14" t="s">
        <v>17</v>
      </c>
      <c r="N8" s="14" t="s">
        <v>18</v>
      </c>
      <c r="O8" s="14" t="s">
        <v>19</v>
      </c>
      <c r="P8" s="14" t="s">
        <v>20</v>
      </c>
      <c r="Q8" s="14" t="s">
        <v>21</v>
      </c>
      <c r="R8" s="14" t="s">
        <v>22</v>
      </c>
      <c r="S8" s="15" t="s">
        <v>23</v>
      </c>
      <c r="T8" s="15" t="s">
        <v>24</v>
      </c>
      <c r="U8" s="15" t="s">
        <v>25</v>
      </c>
      <c r="V8" s="16" t="s">
        <v>26</v>
      </c>
      <c r="W8" s="36" t="s">
        <v>65</v>
      </c>
      <c r="X8" s="33" t="s">
        <v>65</v>
      </c>
      <c r="Y8" s="36" t="s">
        <v>66</v>
      </c>
      <c r="Z8" s="35" t="s">
        <v>66</v>
      </c>
      <c r="AA8" s="35" t="s">
        <v>167</v>
      </c>
      <c r="AB8" s="34" t="s">
        <v>55</v>
      </c>
      <c r="AC8" s="33" t="s">
        <v>55</v>
      </c>
      <c r="AD8" s="36" t="s">
        <v>67</v>
      </c>
      <c r="AE8" s="35" t="s">
        <v>67</v>
      </c>
      <c r="AF8" s="38" t="s">
        <v>68</v>
      </c>
      <c r="AG8" s="39"/>
      <c r="AH8" s="39"/>
      <c r="AI8" s="39" t="s">
        <v>73</v>
      </c>
      <c r="AJ8" s="90" t="s">
        <v>137</v>
      </c>
      <c r="AK8" s="13" t="s">
        <v>8</v>
      </c>
      <c r="AL8" s="14" t="s">
        <v>9</v>
      </c>
      <c r="AM8" s="14" t="s">
        <v>10</v>
      </c>
      <c r="AN8" s="14" t="s">
        <v>11</v>
      </c>
      <c r="AO8" s="14" t="s">
        <v>12</v>
      </c>
      <c r="AP8" s="14" t="s">
        <v>13</v>
      </c>
      <c r="AQ8" s="164" t="s">
        <v>14</v>
      </c>
      <c r="AR8" s="164" t="s">
        <v>15</v>
      </c>
      <c r="AS8" s="164" t="s">
        <v>16</v>
      </c>
      <c r="AT8" s="164" t="s">
        <v>17</v>
      </c>
      <c r="AU8" s="164" t="s">
        <v>18</v>
      </c>
      <c r="AV8" s="164" t="s">
        <v>19</v>
      </c>
      <c r="AW8" s="164" t="s">
        <v>20</v>
      </c>
      <c r="AX8" s="164" t="s">
        <v>21</v>
      </c>
      <c r="AY8" s="164" t="s">
        <v>22</v>
      </c>
      <c r="AZ8" s="165" t="s">
        <v>23</v>
      </c>
      <c r="BA8" s="59" t="s">
        <v>78</v>
      </c>
      <c r="BB8" s="87" t="s">
        <v>78</v>
      </c>
    </row>
    <row r="9" spans="1:54" s="47" customFormat="1" ht="16" thickBot="1" x14ac:dyDescent="0.4">
      <c r="A9" s="63" t="s">
        <v>80</v>
      </c>
      <c r="B9" s="74">
        <v>0</v>
      </c>
      <c r="C9" s="41">
        <v>0</v>
      </c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 t="s">
        <v>34</v>
      </c>
      <c r="U9" s="18" t="s">
        <v>34</v>
      </c>
      <c r="V9" s="76" t="s">
        <v>34</v>
      </c>
      <c r="W9" s="116"/>
      <c r="X9" s="116"/>
      <c r="Y9" s="116"/>
      <c r="Z9" s="116"/>
      <c r="AA9" s="116"/>
      <c r="AB9" s="116"/>
      <c r="AC9" s="116"/>
      <c r="AD9" s="116"/>
      <c r="AE9" s="116"/>
      <c r="AF9" s="91">
        <v>7</v>
      </c>
      <c r="AG9">
        <v>0</v>
      </c>
      <c r="AH9" s="45">
        <v>1</v>
      </c>
      <c r="AI9">
        <v>0</v>
      </c>
      <c r="AJ9"/>
      <c r="AK9" s="177"/>
      <c r="AL9" s="177"/>
      <c r="AM9" s="177"/>
      <c r="AN9" s="177"/>
      <c r="AO9" s="177"/>
      <c r="AP9" s="177"/>
      <c r="AQ9" s="177"/>
      <c r="AR9" s="177"/>
      <c r="AS9" s="177"/>
      <c r="AT9" s="177"/>
      <c r="AU9" s="177"/>
      <c r="AV9" s="177"/>
      <c r="AW9" s="177"/>
      <c r="AX9" s="177"/>
      <c r="AY9" s="177"/>
      <c r="AZ9" s="177"/>
      <c r="BA9" s="64">
        <f>IF(Table3[[#This Row],[amount]]="nd","nd",Table3[[#This Row],[amount]]*Table3[[#This Row],[dilution ]]*Table3[[#This Row],[correction factor]]/constants!$B$23)</f>
        <v>0</v>
      </c>
      <c r="BB9" s="64">
        <f>(Table3[[#This Row],[amount]]*Table3[[#This Row],[dilution ]]/1000)*Table3[[#This Row],[correction factor]]</f>
        <v>0</v>
      </c>
    </row>
    <row r="10" spans="1:54" s="66" customFormat="1" ht="16" thickBot="1" x14ac:dyDescent="0.4">
      <c r="A10" s="48" t="s">
        <v>81</v>
      </c>
      <c r="B10" s="75">
        <v>2</v>
      </c>
      <c r="C10" s="77">
        <v>0</v>
      </c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50"/>
      <c r="O10" s="49"/>
      <c r="P10" s="49"/>
      <c r="Q10" s="49"/>
      <c r="R10" s="50"/>
      <c r="S10" s="51"/>
      <c r="T10" s="51" t="s">
        <v>34</v>
      </c>
      <c r="U10" s="51" t="s">
        <v>34</v>
      </c>
      <c r="V10" s="78" t="s">
        <v>34</v>
      </c>
      <c r="W10" s="45"/>
      <c r="X10" s="45"/>
      <c r="Y10" s="45"/>
      <c r="Z10" s="45"/>
      <c r="AA10" s="45"/>
      <c r="AB10" s="45"/>
      <c r="AC10" s="45"/>
      <c r="AD10" s="45"/>
      <c r="AE10" s="46"/>
      <c r="AF10" s="92">
        <v>6.6</v>
      </c>
      <c r="AG10">
        <f>10</f>
        <v>10</v>
      </c>
      <c r="AH10" s="45">
        <v>1</v>
      </c>
      <c r="AI10" s="92">
        <v>7.0369999999999999</v>
      </c>
      <c r="AJ10"/>
      <c r="AK10" s="177"/>
      <c r="AL10" s="177"/>
      <c r="AM10" s="177"/>
      <c r="AN10" s="177"/>
      <c r="AO10" s="177"/>
      <c r="AP10" s="177"/>
      <c r="AQ10" s="177"/>
      <c r="AR10" s="177"/>
      <c r="AS10" s="177"/>
      <c r="AT10" s="177"/>
      <c r="AU10" s="177"/>
      <c r="AV10" s="177"/>
      <c r="AW10" s="177"/>
      <c r="AX10" s="177"/>
      <c r="AY10" s="177"/>
      <c r="AZ10" s="177"/>
      <c r="BA10" s="64">
        <f>IF(Table3[[#This Row],[amount]]="nd","nd",Table3[[#This Row],[amount]]*Table3[[#This Row],[dilution ]]*Table3[[#This Row],[correction factor]]/constants!$B$23)</f>
        <v>0.78119449378330375</v>
      </c>
      <c r="BB10" s="64">
        <f>(Table3[[#This Row],[amount]]*Table3[[#This Row],[dilution ]]/1000)*Table3[[#This Row],[correction factor]]</f>
        <v>7.0370000000000002E-2</v>
      </c>
    </row>
    <row r="11" spans="1:54" s="47" customFormat="1" ht="16" thickBot="1" x14ac:dyDescent="0.4">
      <c r="A11" s="63" t="s">
        <v>82</v>
      </c>
      <c r="B11" s="74">
        <v>3</v>
      </c>
      <c r="C11" s="41">
        <v>0</v>
      </c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9"/>
      <c r="O11" s="18"/>
      <c r="P11" s="18"/>
      <c r="Q11" s="18"/>
      <c r="R11" s="19"/>
      <c r="S11" s="20"/>
      <c r="T11" s="20" t="s">
        <v>34</v>
      </c>
      <c r="U11" s="20" t="s">
        <v>34</v>
      </c>
      <c r="V11" s="21" t="s">
        <v>34</v>
      </c>
      <c r="W11" s="117"/>
      <c r="X11" s="117"/>
      <c r="Y11" s="117"/>
      <c r="Z11" s="117"/>
      <c r="AA11" s="117"/>
      <c r="AB11" s="117"/>
      <c r="AC11" s="117"/>
      <c r="AD11" s="117"/>
      <c r="AE11" s="117"/>
      <c r="AF11" s="92">
        <v>6.39</v>
      </c>
      <c r="AG11">
        <f>10</f>
        <v>10</v>
      </c>
      <c r="AH11" s="45">
        <v>1</v>
      </c>
      <c r="AI11" s="92">
        <v>7.7</v>
      </c>
      <c r="AJ11"/>
      <c r="AK11" s="177"/>
      <c r="AL11" s="177"/>
      <c r="AM11" s="177"/>
      <c r="AN11" s="177"/>
      <c r="AO11" s="177"/>
      <c r="AP11" s="177"/>
      <c r="AQ11" s="177"/>
      <c r="AR11" s="177"/>
      <c r="AS11" s="177"/>
      <c r="AT11" s="177"/>
      <c r="AU11" s="177"/>
      <c r="AV11" s="177"/>
      <c r="AW11" s="177"/>
      <c r="AX11" s="177"/>
      <c r="AY11" s="177"/>
      <c r="AZ11" s="177"/>
      <c r="BA11" s="64">
        <f>IF(Table3[[#This Row],[amount]]="nd","nd",Table3[[#This Row],[amount]]*Table3[[#This Row],[dilution ]]*Table3[[#This Row],[correction factor]]/constants!$B$23)</f>
        <v>0.85479573712255774</v>
      </c>
      <c r="BB11" s="64">
        <f>(Table3[[#This Row],[amount]]*Table3[[#This Row],[dilution ]]/1000)*Table3[[#This Row],[correction factor]]</f>
        <v>7.6999999999999999E-2</v>
      </c>
    </row>
    <row r="12" spans="1:54" s="66" customFormat="1" ht="16" thickBot="1" x14ac:dyDescent="0.4">
      <c r="A12" s="48" t="s">
        <v>83</v>
      </c>
      <c r="B12" s="75">
        <v>6</v>
      </c>
      <c r="C12" s="77">
        <v>0</v>
      </c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50"/>
      <c r="O12" s="49"/>
      <c r="P12" s="49"/>
      <c r="Q12" s="49"/>
      <c r="R12" s="50"/>
      <c r="S12" s="51"/>
      <c r="T12" s="51" t="s">
        <v>34</v>
      </c>
      <c r="U12" s="51" t="s">
        <v>34</v>
      </c>
      <c r="V12" s="78" t="s">
        <v>34</v>
      </c>
      <c r="W12" s="118"/>
      <c r="X12" s="118"/>
      <c r="Y12" s="118"/>
      <c r="Z12" s="118"/>
      <c r="AA12" s="118"/>
      <c r="AB12" s="118"/>
      <c r="AC12" s="118"/>
      <c r="AD12" s="118"/>
      <c r="AE12" s="118"/>
      <c r="AF12" s="80">
        <v>3.31</v>
      </c>
      <c r="AG12">
        <v>100</v>
      </c>
      <c r="AH12" s="45">
        <v>1</v>
      </c>
      <c r="AI12" s="80">
        <v>13.057399999999999</v>
      </c>
      <c r="AJ12"/>
      <c r="AK12" s="177"/>
      <c r="AL12" s="177"/>
      <c r="AM12" s="177"/>
      <c r="AN12" s="177"/>
      <c r="AO12" s="177"/>
      <c r="AP12" s="177"/>
      <c r="AQ12" s="177"/>
      <c r="AR12" s="177"/>
      <c r="AS12" s="177"/>
      <c r="AT12" s="177"/>
      <c r="AU12" s="177"/>
      <c r="AV12" s="177"/>
      <c r="AW12" s="177"/>
      <c r="AX12" s="177"/>
      <c r="AY12" s="177"/>
      <c r="AZ12" s="177"/>
      <c r="BA12" s="64">
        <f>IF(Table3[[#This Row],[amount]]="nd","nd",Table3[[#This Row],[amount]]*Table3[[#This Row],[dilution ]]*Table3[[#This Row],[correction factor]]/constants!$B$23)</f>
        <v>14.495337477797515</v>
      </c>
      <c r="BB12" s="64">
        <f>(Table3[[#This Row],[amount]]*Table3[[#This Row],[dilution ]]/1000)*Table3[[#This Row],[correction factor]]</f>
        <v>1.3057399999999999</v>
      </c>
    </row>
    <row r="13" spans="1:54" s="47" customFormat="1" ht="16" thickBot="1" x14ac:dyDescent="0.4">
      <c r="A13" s="63" t="s">
        <v>84</v>
      </c>
      <c r="B13" s="74">
        <v>9</v>
      </c>
      <c r="C13" s="41">
        <v>0</v>
      </c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9"/>
      <c r="O13" s="18"/>
      <c r="P13" s="18"/>
      <c r="Q13" s="18"/>
      <c r="R13" s="19"/>
      <c r="S13" s="20"/>
      <c r="T13" s="20" t="s">
        <v>34</v>
      </c>
      <c r="U13" s="20" t="s">
        <v>34</v>
      </c>
      <c r="V13" s="21" t="s">
        <v>34</v>
      </c>
      <c r="W13" s="117"/>
      <c r="X13" s="117"/>
      <c r="Y13" s="117"/>
      <c r="Z13" s="117"/>
      <c r="AA13" s="117"/>
      <c r="AB13" s="117"/>
      <c r="AC13" s="117"/>
      <c r="AD13" s="117"/>
      <c r="AE13" s="117"/>
      <c r="AF13" s="80">
        <v>2.74</v>
      </c>
      <c r="AG13">
        <v>100</v>
      </c>
      <c r="AH13" s="45">
        <v>1</v>
      </c>
      <c r="AI13" s="80">
        <v>47.011600000000001</v>
      </c>
      <c r="AJ13"/>
      <c r="AK13" s="177"/>
      <c r="AL13" s="177"/>
      <c r="AM13" s="177"/>
      <c r="AN13" s="177"/>
      <c r="AO13" s="177"/>
      <c r="AP13" s="177"/>
      <c r="AQ13" s="177"/>
      <c r="AR13" s="177"/>
      <c r="AS13" s="177"/>
      <c r="AT13" s="177"/>
      <c r="AU13" s="177"/>
      <c r="AV13" s="177"/>
      <c r="AW13" s="177"/>
      <c r="AX13" s="177"/>
      <c r="AY13" s="177"/>
      <c r="AZ13" s="177"/>
      <c r="BA13" s="64">
        <f>IF(Table3[[#This Row],[amount]]="nd","nd",Table3[[#This Row],[amount]]*Table3[[#This Row],[dilution ]]*Table3[[#This Row],[correction factor]]/constants!$B$23)</f>
        <v>52.18872113676732</v>
      </c>
      <c r="BB13" s="64">
        <f>(Table3[[#This Row],[amount]]*Table3[[#This Row],[dilution ]]/1000)*Table3[[#This Row],[correction factor]]</f>
        <v>4.7011599999999998</v>
      </c>
    </row>
    <row r="14" spans="1:54" s="66" customFormat="1" ht="16" thickBot="1" x14ac:dyDescent="0.4">
      <c r="A14" s="48">
        <v>43163</v>
      </c>
      <c r="B14" s="75">
        <v>15</v>
      </c>
      <c r="C14" s="77">
        <v>0</v>
      </c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50"/>
      <c r="O14" s="49"/>
      <c r="P14" s="49"/>
      <c r="Q14" s="49"/>
      <c r="R14" s="50"/>
      <c r="S14" s="51"/>
      <c r="T14" s="51" t="s">
        <v>34</v>
      </c>
      <c r="U14" s="51" t="s">
        <v>34</v>
      </c>
      <c r="V14" s="78" t="s">
        <v>34</v>
      </c>
      <c r="W14" s="118"/>
      <c r="X14" s="118"/>
      <c r="Y14" s="118"/>
      <c r="Z14" s="118"/>
      <c r="AA14" s="118"/>
      <c r="AB14" s="118"/>
      <c r="AC14" s="118"/>
      <c r="AD14" s="118"/>
      <c r="AE14" s="118"/>
      <c r="AF14" s="80">
        <v>2.48</v>
      </c>
      <c r="AG14">
        <f>200</f>
        <v>200</v>
      </c>
      <c r="AH14" s="45">
        <v>1</v>
      </c>
      <c r="AI14" s="91">
        <v>122.11709999999999</v>
      </c>
      <c r="AJ14"/>
      <c r="AK14" s="177"/>
      <c r="AL14" s="177"/>
      <c r="AM14" s="177"/>
      <c r="AN14" s="177"/>
      <c r="AO14" s="177"/>
      <c r="AP14" s="177"/>
      <c r="AQ14" s="177"/>
      <c r="AR14" s="177"/>
      <c r="AS14" s="177"/>
      <c r="AT14" s="177"/>
      <c r="AU14" s="177"/>
      <c r="AV14" s="177"/>
      <c r="AW14" s="177"/>
      <c r="AX14" s="177"/>
      <c r="AY14" s="177"/>
      <c r="AZ14" s="177"/>
      <c r="BA14" s="64">
        <f>IF(Table3[[#This Row],[amount]]="nd","nd",Table3[[#This Row],[amount]]*Table3[[#This Row],[dilution ]]*Table3[[#This Row],[correction factor]]/constants!$B$23)</f>
        <v>271.13032859680283</v>
      </c>
      <c r="BB14" s="64">
        <f>(Table3[[#This Row],[amount]]*Table3[[#This Row],[dilution ]]/1000)*Table3[[#This Row],[correction factor]]</f>
        <v>24.423419999999997</v>
      </c>
    </row>
    <row r="15" spans="1:54" s="47" customFormat="1" ht="16" thickBot="1" x14ac:dyDescent="0.4">
      <c r="A15" s="63">
        <v>43347</v>
      </c>
      <c r="B15" s="169">
        <v>21</v>
      </c>
      <c r="C15" s="93">
        <v>0</v>
      </c>
      <c r="D15" s="18"/>
      <c r="E15" s="18"/>
      <c r="F15" s="95"/>
      <c r="G15" s="18"/>
      <c r="H15" s="18"/>
      <c r="I15" s="18"/>
      <c r="J15" s="18"/>
      <c r="K15" s="18"/>
      <c r="L15" s="18"/>
      <c r="M15" s="18"/>
      <c r="N15" s="19"/>
      <c r="O15" s="18"/>
      <c r="P15" s="18"/>
      <c r="Q15" s="18"/>
      <c r="R15" s="19"/>
      <c r="S15" s="20"/>
      <c r="T15" s="20" t="s">
        <v>34</v>
      </c>
      <c r="U15" s="20" t="s">
        <v>34</v>
      </c>
      <c r="V15" s="21" t="s">
        <v>34</v>
      </c>
      <c r="W15" s="117"/>
      <c r="X15" s="117"/>
      <c r="Y15" s="117"/>
      <c r="Z15" s="117"/>
      <c r="AA15" s="117"/>
      <c r="AB15" s="117"/>
      <c r="AC15" s="117"/>
      <c r="AD15" s="117"/>
      <c r="AE15" s="117"/>
      <c r="AF15" s="23">
        <v>2.44</v>
      </c>
      <c r="AG15">
        <v>100</v>
      </c>
      <c r="AH15" s="45">
        <v>1</v>
      </c>
      <c r="AI15" s="23">
        <v>239.4</v>
      </c>
      <c r="AJ15"/>
      <c r="AK15" s="177"/>
      <c r="AL15" s="177"/>
      <c r="AM15" s="177"/>
      <c r="AN15" s="177"/>
      <c r="AO15" s="177"/>
      <c r="AP15" s="177"/>
      <c r="AQ15" s="177"/>
      <c r="AR15" s="177"/>
      <c r="AS15" s="177"/>
      <c r="AT15" s="177"/>
      <c r="AU15" s="177"/>
      <c r="AV15" s="177"/>
      <c r="AW15" s="177"/>
      <c r="AX15" s="177"/>
      <c r="AY15" s="177"/>
      <c r="AZ15" s="177"/>
      <c r="BA15" s="64">
        <f>IF(Table3[[#This Row],[amount]]="nd","nd",Table3[[#This Row],[amount]]*Table3[[#This Row],[dilution ]]*Table3[[#This Row],[correction factor]]/constants!$B$23)</f>
        <v>265.76376554174067</v>
      </c>
      <c r="BB15" s="64">
        <f>(Table3[[#This Row],[amount]]*Table3[[#This Row],[dilution ]]/1000)*Table3[[#This Row],[correction factor]]</f>
        <v>23.94</v>
      </c>
    </row>
    <row r="16" spans="1:54" s="66" customFormat="1" ht="16" thickBot="1" x14ac:dyDescent="0.4">
      <c r="A16" s="48">
        <v>43347</v>
      </c>
      <c r="B16" s="170">
        <v>21</v>
      </c>
      <c r="C16" s="94">
        <v>10</v>
      </c>
      <c r="D16" s="101">
        <v>0</v>
      </c>
      <c r="E16" s="101">
        <v>0</v>
      </c>
      <c r="F16" s="101">
        <v>0</v>
      </c>
      <c r="G16" s="101">
        <v>0</v>
      </c>
      <c r="H16" s="101">
        <v>0</v>
      </c>
      <c r="I16" s="101">
        <v>0</v>
      </c>
      <c r="J16" s="101">
        <v>2.5264043665608815</v>
      </c>
      <c r="K16" s="101">
        <v>1.4890845811463933</v>
      </c>
      <c r="L16" s="101">
        <v>0</v>
      </c>
      <c r="M16" s="101">
        <v>0.99869730964708092</v>
      </c>
      <c r="N16" s="102">
        <v>0</v>
      </c>
      <c r="O16" s="101">
        <v>0</v>
      </c>
      <c r="P16" s="101">
        <v>0</v>
      </c>
      <c r="Q16" s="101">
        <v>0</v>
      </c>
      <c r="R16" s="102">
        <v>0</v>
      </c>
      <c r="S16" s="103">
        <v>2.0338800745737191</v>
      </c>
      <c r="T16" s="103" t="s">
        <v>27</v>
      </c>
      <c r="U16" s="103" t="s">
        <v>27</v>
      </c>
      <c r="V16" s="103" t="s">
        <v>27</v>
      </c>
      <c r="W16" s="118"/>
      <c r="X16" s="118"/>
      <c r="Y16" s="118"/>
      <c r="Z16" s="118"/>
      <c r="AA16" s="118"/>
      <c r="AB16" s="118"/>
      <c r="AC16" s="118"/>
      <c r="AD16" s="118"/>
      <c r="AE16" s="118"/>
      <c r="AF16">
        <v>5.25</v>
      </c>
      <c r="AG16">
        <v>100</v>
      </c>
      <c r="AH16" s="45">
        <v>1</v>
      </c>
      <c r="AI16" s="80">
        <v>159.86750000000001</v>
      </c>
      <c r="AJ16" s="42"/>
      <c r="AK16" s="64" t="e">
        <f>(IF(D16-#REF!&gt;constants!$D$3,((D16-#REF!)*$C16/constants!$B$3),0))</f>
        <v>#REF!</v>
      </c>
      <c r="AL16" s="64" t="e">
        <f>(IF(E16-#REF!&gt;constants!$D$6,((E16-#REF!)*$C16/constants!$B$3),0))</f>
        <v>#REF!</v>
      </c>
      <c r="AM16" s="64" t="e">
        <f>(IF(F16-#REF!&gt;constants!$D$7,((F16-#REF!)*$C16/constants!$B$3),0))</f>
        <v>#REF!</v>
      </c>
      <c r="AN16" s="64" t="e">
        <f>(IF(G16-#REF!&gt;constants!$D$3,((G16-#REF!)*$C16/constants!$B$3),0))</f>
        <v>#REF!</v>
      </c>
      <c r="AO16" s="64" t="e">
        <f>(IF(H16-#REF!&gt;constants!$D$3,((H16-#REF!)*$C16/constants!$B$3),0))</f>
        <v>#REF!</v>
      </c>
      <c r="AP16" s="64" t="e">
        <f>(IF(I16-#REF!&gt;constants!$D$3,((I16-#REF!)*$C16/constants!$B$3),0))</f>
        <v>#REF!</v>
      </c>
      <c r="AQ16" s="173">
        <f>(IF(IFERROR(J16-#REF!,J16)&gt;constants!$D$5,(IFERROR(J16-#REF!,J16)*$C16/1000),0))</f>
        <v>0</v>
      </c>
      <c r="AR16" s="162">
        <f>(IF(IFERROR(K16-#REF!,K16)&gt;constants!$D$11,(IFERROR(K16-#REF!,K16)*$C16/1000),0))</f>
        <v>0</v>
      </c>
      <c r="AS16" s="162">
        <f>(IF(IFERROR(L16-#REF!,L16)&gt;constants!$D$19,(IFERROR(L16-#REF!,L16)*$C16/1000),0))</f>
        <v>0</v>
      </c>
      <c r="AT16" s="162">
        <f>(IF(IFERROR(M16-#REF!,M16)&gt;constants!$D$4,(IFERROR(M16-#REF!,M16)*$C16/1000),0))</f>
        <v>0</v>
      </c>
      <c r="AU16" s="162">
        <f>(IF(IFERROR(N16-#REF!,N16)&gt;constants!$D$19,(IFERROR(N16-#REF!,N16)*$C16/1000),0))</f>
        <v>0</v>
      </c>
      <c r="AV16" s="162">
        <f>(IF(IFERROR(O16-#REF!,O16)&gt;constants!$D$12,(IFERROR(O16-#REF!,O16)*$C16/1000),0))</f>
        <v>0</v>
      </c>
      <c r="AW16" s="162">
        <f>(IF(IFERROR(P16-#REF!,P16)&gt;constants!$D$19,(IFERROR(P16-#REF!,P16)*$C16/1000),0))</f>
        <v>0</v>
      </c>
      <c r="AX16" s="162">
        <f>(IF(IFERROR(Q16-#REF!,Q16)&gt;constants!$D$13,(IFERROR(Q16-#REF!,Q16)*$C16/1000),0))</f>
        <v>0</v>
      </c>
      <c r="AY16" s="162">
        <f>(IF(IFERROR(R16-#REF!,R16)&gt;constants!$D$14,(IFERROR(R16-#REF!,R16)*$C16/1000),0))</f>
        <v>0</v>
      </c>
      <c r="AZ16" s="162">
        <f>(IF(IFERROR(S16-#REF!,S16)&gt;constants!$D$15,(IFERROR(S16-#REF!,S16)*$C16/1000),0))</f>
        <v>2.0338800745737191E-2</v>
      </c>
      <c r="BA16" s="64">
        <f>IF(Table3[[#This Row],[amount]]="nd","nd",Table3[[#This Row],[amount]]*Table3[[#This Row],[dilution ]]*Table3[[#This Row],[correction factor]]/constants!$B$23)</f>
        <v>177.47280195381884</v>
      </c>
      <c r="BB16" s="64">
        <f>(Table3[[#This Row],[amount]]*Table3[[#This Row],[dilution ]]/1000)*Table3[[#This Row],[correction factor]]</f>
        <v>15.986750000000001</v>
      </c>
    </row>
    <row r="17" spans="1:54" s="47" customFormat="1" ht="16" thickBot="1" x14ac:dyDescent="0.4">
      <c r="A17" s="63" t="s">
        <v>85</v>
      </c>
      <c r="B17" s="169">
        <v>26</v>
      </c>
      <c r="C17" s="93">
        <v>10</v>
      </c>
      <c r="D17" s="101">
        <v>0</v>
      </c>
      <c r="E17" s="101">
        <v>0</v>
      </c>
      <c r="F17" s="101">
        <v>0</v>
      </c>
      <c r="G17" s="101">
        <v>0</v>
      </c>
      <c r="H17" s="101">
        <v>0</v>
      </c>
      <c r="I17" s="106">
        <v>4.113200511730609</v>
      </c>
      <c r="J17" s="106">
        <v>13.350079279964749</v>
      </c>
      <c r="K17" s="106">
        <v>4.0907708034061354</v>
      </c>
      <c r="L17" s="106">
        <v>0</v>
      </c>
      <c r="M17" s="106">
        <v>0.82478296696468278</v>
      </c>
      <c r="N17" s="107">
        <v>0</v>
      </c>
      <c r="O17" s="106">
        <v>0</v>
      </c>
      <c r="P17" s="106">
        <v>0</v>
      </c>
      <c r="Q17" s="106">
        <v>1.1931447067942105</v>
      </c>
      <c r="R17" s="107">
        <v>0</v>
      </c>
      <c r="S17" s="108">
        <v>3.4591175641264442</v>
      </c>
      <c r="T17" s="108" t="s">
        <v>27</v>
      </c>
      <c r="U17" s="108" t="s">
        <v>27</v>
      </c>
      <c r="V17" s="108" t="s">
        <v>27</v>
      </c>
      <c r="W17" s="119"/>
      <c r="X17" s="119"/>
      <c r="Y17" s="119"/>
      <c r="Z17" s="119"/>
      <c r="AA17" s="119"/>
      <c r="AB17" s="119"/>
      <c r="AC17" s="119"/>
      <c r="AD17" s="119"/>
      <c r="AE17" s="119"/>
      <c r="AF17">
        <v>5.39</v>
      </c>
      <c r="AG17">
        <v>100</v>
      </c>
      <c r="AH17" s="45">
        <v>1</v>
      </c>
      <c r="AI17" s="92">
        <v>152.68</v>
      </c>
      <c r="AJ17" s="53"/>
      <c r="AK17" s="64" t="e">
        <f>(IF(D17-#REF!&gt;constants!$D$3,((D17-#REF!)*$C17/constants!$B$3),0))</f>
        <v>#REF!</v>
      </c>
      <c r="AL17" s="64" t="e">
        <f>(IF(E17-#REF!&gt;constants!$D$6,((E17-#REF!)*$C17/constants!$B$3),0))</f>
        <v>#REF!</v>
      </c>
      <c r="AM17" s="64" t="e">
        <f>(IF(F17-#REF!&gt;constants!$D$7,((F17-#REF!)*$C17/constants!$B$3),0))</f>
        <v>#REF!</v>
      </c>
      <c r="AN17" s="64" t="e">
        <f>(IF(G17-#REF!&gt;constants!$D$3,((G17-#REF!)*$C17/constants!$B$3),0))</f>
        <v>#REF!</v>
      </c>
      <c r="AO17" s="64" t="e">
        <f>(IF(H17-#REF!&gt;constants!$D$3,((H17-#REF!)*$C17/constants!$B$3),0))</f>
        <v>#REF!</v>
      </c>
      <c r="AP17" s="64" t="e">
        <f>(IF(I17-#REF!&gt;constants!$D$3,((I17-#REF!)*$C17/constants!$B$3),0))</f>
        <v>#REF!</v>
      </c>
      <c r="AQ17" s="173">
        <f>(IF(IFERROR(J17-#REF!,J17)&gt;constants!$D$5,(IFERROR(J17-#REF!,J17)*$C17/1000),0))</f>
        <v>0.13350079279964749</v>
      </c>
      <c r="AR17" s="162">
        <f>(IF(IFERROR(K17-#REF!,K17)&gt;constants!$D$11,(IFERROR(K17-#REF!,K17)*$C17/1000),0))</f>
        <v>0</v>
      </c>
      <c r="AS17" s="162">
        <f>(IF(IFERROR(L17-#REF!,L17)&gt;constants!$D$19,(IFERROR(L17-#REF!,L17)*$C17/1000),0))</f>
        <v>0</v>
      </c>
      <c r="AT17" s="162">
        <f>(IF(IFERROR(M17-#REF!,M17)&gt;constants!$D$4,(IFERROR(M17-#REF!,M17)*$C17/1000),0))</f>
        <v>0</v>
      </c>
      <c r="AU17" s="162">
        <f>(IF(IFERROR(N17-#REF!,N17)&gt;constants!$D$19,(IFERROR(N17-#REF!,N17)*$C17/1000),0))</f>
        <v>0</v>
      </c>
      <c r="AV17" s="162">
        <f>(IF(IFERROR(O17-#REF!,O17)&gt;constants!$D$12,(IFERROR(O17-#REF!,O17)*$C17/1000),0))</f>
        <v>0</v>
      </c>
      <c r="AW17" s="162">
        <f>(IF(IFERROR(P17-#REF!,P17)&gt;constants!$D$19,(IFERROR(P17-#REF!,P17)*$C17/1000),0))</f>
        <v>0</v>
      </c>
      <c r="AX17" s="162">
        <f>(IF(IFERROR(Q17-#REF!,Q17)&gt;constants!$D$13,(IFERROR(Q17-#REF!,Q17)*$C17/1000),0))</f>
        <v>0</v>
      </c>
      <c r="AY17" s="162">
        <f>(IF(IFERROR(R17-#REF!,R17)&gt;constants!$D$14,(IFERROR(R17-#REF!,R17)*$C17/1000),0))</f>
        <v>0</v>
      </c>
      <c r="AZ17" s="162">
        <f>(IF(IFERROR(S17-#REF!,S17)&gt;constants!$D$15,(IFERROR(S17-#REF!,S17)*$C17/1000),0))</f>
        <v>3.4591175641264439E-2</v>
      </c>
      <c r="BA17" s="64">
        <f>IF(Table3[[#This Row],[amount]]="nd","nd",Table3[[#This Row],[amount]]*Table3[[#This Row],[dilution ]]*Table3[[#This Row],[correction factor]]/constants!$B$23)</f>
        <v>169.49378330373003</v>
      </c>
      <c r="BB17" s="64">
        <f>(Table3[[#This Row],[amount]]*Table3[[#This Row],[dilution ]]/1000)*Table3[[#This Row],[correction factor]]</f>
        <v>15.268000000000001</v>
      </c>
    </row>
    <row r="18" spans="1:54" s="66" customFormat="1" ht="15" thickBot="1" x14ac:dyDescent="0.4">
      <c r="A18" s="67" t="s">
        <v>86</v>
      </c>
      <c r="B18" s="171">
        <v>29</v>
      </c>
      <c r="C18" s="148">
        <v>10</v>
      </c>
      <c r="D18" s="101">
        <v>0</v>
      </c>
      <c r="E18" s="101">
        <v>0</v>
      </c>
      <c r="F18" s="101">
        <v>0</v>
      </c>
      <c r="G18" s="101">
        <v>0</v>
      </c>
      <c r="H18" s="101">
        <v>0</v>
      </c>
      <c r="I18" s="139">
        <v>0</v>
      </c>
      <c r="J18" s="139">
        <v>3.6131109404307566</v>
      </c>
      <c r="K18" s="139">
        <v>0</v>
      </c>
      <c r="L18" s="139">
        <v>0</v>
      </c>
      <c r="M18" s="101">
        <v>0.89140701581510817</v>
      </c>
      <c r="N18" s="139">
        <v>0</v>
      </c>
      <c r="O18" s="139">
        <v>0</v>
      </c>
      <c r="P18" s="139">
        <v>0</v>
      </c>
      <c r="Q18" s="139">
        <v>0</v>
      </c>
      <c r="R18" s="139">
        <v>0</v>
      </c>
      <c r="S18" s="140">
        <v>0</v>
      </c>
      <c r="T18" s="103" t="s">
        <v>27</v>
      </c>
      <c r="U18" s="103" t="s">
        <v>27</v>
      </c>
      <c r="V18" s="103" t="s">
        <v>27</v>
      </c>
      <c r="W18" s="120"/>
      <c r="X18" s="120"/>
      <c r="Y18" s="120"/>
      <c r="Z18" s="120"/>
      <c r="AA18" s="119"/>
      <c r="AB18" s="120"/>
      <c r="AC18" s="120"/>
      <c r="AD18" s="120"/>
      <c r="AE18" s="120"/>
      <c r="AF18">
        <v>5.3</v>
      </c>
      <c r="AG18">
        <v>100</v>
      </c>
      <c r="AH18" s="45">
        <v>1</v>
      </c>
      <c r="AI18" s="92">
        <v>120.3366</v>
      </c>
      <c r="AJ18" s="65"/>
      <c r="AK18" s="64" t="e">
        <f>(IF(D18-#REF!&gt;constants!$D$3,((D18-#REF!)*$C18/constants!$B$3),0))</f>
        <v>#REF!</v>
      </c>
      <c r="AL18" s="64" t="e">
        <f>(IF(E18-#REF!&gt;constants!$D$6,((E18-#REF!)*$C18/constants!$B$3),0))</f>
        <v>#REF!</v>
      </c>
      <c r="AM18" s="64" t="e">
        <f>(IF(F18-#REF!&gt;constants!$D$7,((F18-#REF!)*$C18/constants!$B$3),0))</f>
        <v>#REF!</v>
      </c>
      <c r="AN18" s="64" t="e">
        <f>(IF(G18-#REF!&gt;constants!$D$3,((G18-#REF!)*$C18/constants!$B$3),0))</f>
        <v>#REF!</v>
      </c>
      <c r="AO18" s="64" t="e">
        <f>(IF(H18-#REF!&gt;constants!$D$3,((H18-#REF!)*$C18/constants!$B$3),0))</f>
        <v>#REF!</v>
      </c>
      <c r="AP18" s="64" t="e">
        <f>(IF(I18-#REF!&gt;constants!$D$3,((I18-#REF!)*$C18/constants!$B$3),0))</f>
        <v>#REF!</v>
      </c>
      <c r="AQ18" s="173">
        <f>(IF(IFERROR(J18-#REF!,J18)&gt;constants!$D$5,(IFERROR(J18-#REF!,J18)*$C18/1000),0))</f>
        <v>0</v>
      </c>
      <c r="AR18" s="162">
        <f>(IF(IFERROR(K18-#REF!,K18)&gt;constants!$D$11,(IFERROR(K18-#REF!,K18)*$C18/1000),0))</f>
        <v>0</v>
      </c>
      <c r="AS18" s="162">
        <f>(IF(IFERROR(L18-#REF!,L18)&gt;constants!$D$19,(IFERROR(L18-#REF!,L18)*$C18/1000),0))</f>
        <v>0</v>
      </c>
      <c r="AT18" s="162">
        <f>(IF(IFERROR(M18-#REF!,M18)&gt;constants!$D$4,(IFERROR(M18-#REF!,M18)*$C18/1000),0))</f>
        <v>0</v>
      </c>
      <c r="AU18" s="162">
        <f>(IF(IFERROR(N18-#REF!,N18)&gt;constants!$D$19,(IFERROR(N18-#REF!,N18)*$C18/1000),0))</f>
        <v>0</v>
      </c>
      <c r="AV18" s="162">
        <f>(IF(IFERROR(O18-#REF!,O18)&gt;constants!$D$12,(IFERROR(O18-#REF!,O18)*$C18/1000),0))</f>
        <v>0</v>
      </c>
      <c r="AW18" s="162">
        <f>(IF(IFERROR(P18-#REF!,P18)&gt;constants!$D$19,(IFERROR(P18-#REF!,P18)*$C18/1000),0))</f>
        <v>0</v>
      </c>
      <c r="AX18" s="162">
        <f>(IF(IFERROR(Q18-#REF!,Q18)&gt;constants!$D$13,(IFERROR(Q18-#REF!,Q18)*$C18/1000),0))</f>
        <v>0</v>
      </c>
      <c r="AY18" s="162">
        <f>(IF(IFERROR(R18-#REF!,R18)&gt;constants!$D$14,(IFERROR(R18-#REF!,R18)*$C18/1000),0))</f>
        <v>0</v>
      </c>
      <c r="AZ18" s="162">
        <f>(IF(IFERROR(S18-#REF!,S18)&gt;constants!$D$15,(IFERROR(S18-#REF!,S18)*$C18/1000),0))</f>
        <v>0</v>
      </c>
      <c r="BA18" s="64">
        <f>IF(Table3[[#This Row],[amount]]="nd","nd",Table3[[#This Row],[amount]]*Table3[[#This Row],[dilution ]]*Table3[[#This Row],[correction factor]]/constants!$B$23)</f>
        <v>133.58858792184725</v>
      </c>
      <c r="BB18" s="64">
        <f>(Table3[[#This Row],[amount]]*Table3[[#This Row],[dilution ]]/1000)*Table3[[#This Row],[correction factor]]</f>
        <v>12.033659999999999</v>
      </c>
    </row>
    <row r="19" spans="1:54" s="47" customFormat="1" ht="15.5" thickTop="1" thickBot="1" x14ac:dyDescent="0.4">
      <c r="A19" s="62" t="s">
        <v>87</v>
      </c>
      <c r="B19" s="172">
        <v>32</v>
      </c>
      <c r="C19" s="147">
        <v>10</v>
      </c>
      <c r="D19" s="101">
        <v>0</v>
      </c>
      <c r="E19" s="101">
        <v>0</v>
      </c>
      <c r="F19" s="101">
        <v>0</v>
      </c>
      <c r="G19" s="101">
        <v>0</v>
      </c>
      <c r="H19" s="101">
        <v>0</v>
      </c>
      <c r="I19" s="101">
        <v>0</v>
      </c>
      <c r="J19" s="101">
        <v>0</v>
      </c>
      <c r="K19" s="101">
        <v>2.1460654410879849</v>
      </c>
      <c r="L19" s="101">
        <v>0</v>
      </c>
      <c r="M19" s="101">
        <v>8.4538338828887927</v>
      </c>
      <c r="N19" s="102">
        <v>0</v>
      </c>
      <c r="O19" s="101">
        <v>0</v>
      </c>
      <c r="P19" s="101">
        <v>0</v>
      </c>
      <c r="Q19" s="101">
        <v>0</v>
      </c>
      <c r="R19" s="102">
        <v>0</v>
      </c>
      <c r="S19" s="103">
        <v>0</v>
      </c>
      <c r="T19" s="103" t="s">
        <v>27</v>
      </c>
      <c r="U19" s="103" t="s">
        <v>27</v>
      </c>
      <c r="V19" s="103" t="s">
        <v>27</v>
      </c>
      <c r="W19" s="116"/>
      <c r="X19" s="116"/>
      <c r="Y19" s="116"/>
      <c r="Z19" s="116"/>
      <c r="AA19" s="119"/>
      <c r="AB19" s="116"/>
      <c r="AC19" s="116"/>
      <c r="AD19" s="116"/>
      <c r="AE19" s="116"/>
      <c r="AF19">
        <v>5.37</v>
      </c>
      <c r="AG19">
        <v>100</v>
      </c>
      <c r="AH19" s="45">
        <v>1</v>
      </c>
      <c r="AI19" s="135">
        <v>139.91885235683995</v>
      </c>
      <c r="AJ19" s="55"/>
      <c r="AK19" s="64" t="e">
        <f>(IF(D19-#REF!&gt;constants!$D$3,((D19-#REF!)*$C19/constants!$B$3),0))</f>
        <v>#REF!</v>
      </c>
      <c r="AL19" s="64" t="e">
        <f>(IF(E19-#REF!&gt;constants!$D$6,((E19-#REF!)*$C19/constants!$B$3),0))</f>
        <v>#REF!</v>
      </c>
      <c r="AM19" s="64" t="e">
        <f>(IF(F19-#REF!&gt;constants!$D$7,((F19-#REF!)*$C19/constants!$B$3),0))</f>
        <v>#REF!</v>
      </c>
      <c r="AN19" s="64" t="e">
        <f>(IF(G19-#REF!&gt;constants!$D$3,((G19-#REF!)*$C19/constants!$B$3),0))</f>
        <v>#REF!</v>
      </c>
      <c r="AO19" s="64" t="e">
        <f>(IF(H19-#REF!&gt;constants!$D$3,((H19-#REF!)*$C19/constants!$B$3),0))</f>
        <v>#REF!</v>
      </c>
      <c r="AP19" s="64" t="e">
        <f>(IF(I19-#REF!&gt;constants!$D$3,((I19-#REF!)*$C19/constants!$B$3),0))</f>
        <v>#REF!</v>
      </c>
      <c r="AQ19" s="173">
        <f>(IF(IFERROR(J19-#REF!,J19)&gt;constants!$D$5,(IFERROR(J19-#REF!,J19)*$C19/1000),0))</f>
        <v>0</v>
      </c>
      <c r="AR19" s="162">
        <f>(IF(IFERROR(K19-#REF!,K19)&gt;constants!$D$11,(IFERROR(K19-#REF!,K19)*$C19/1000),0))</f>
        <v>0</v>
      </c>
      <c r="AS19" s="162">
        <f>(IF(IFERROR(L19-#REF!,L19)&gt;constants!$D$19,(IFERROR(L19-#REF!,L19)*$C19/1000),0))</f>
        <v>0</v>
      </c>
      <c r="AT19" s="162">
        <f>(IF(IFERROR(M19-#REF!,M19)&gt;constants!$D$4,(IFERROR(M19-#REF!,M19)*$C19/1000),0))</f>
        <v>8.4538338828887935E-2</v>
      </c>
      <c r="AU19" s="162">
        <f>(IF(IFERROR(N19-#REF!,N19)&gt;constants!$D$19,(IFERROR(N19-#REF!,N19)*$C19/1000),0))</f>
        <v>0</v>
      </c>
      <c r="AV19" s="162">
        <f>(IF(IFERROR(O19-#REF!,O19)&gt;constants!$D$12,(IFERROR(O19-#REF!,O19)*$C19/1000),0))</f>
        <v>0</v>
      </c>
      <c r="AW19" s="162">
        <f>(IF(IFERROR(P19-#REF!,P19)&gt;constants!$D$19,(IFERROR(P19-#REF!,P19)*$C19/1000),0))</f>
        <v>0</v>
      </c>
      <c r="AX19" s="162">
        <f>(IF(IFERROR(Q19-#REF!,Q19)&gt;constants!$D$13,(IFERROR(Q19-#REF!,Q19)*$C19/1000),0))</f>
        <v>0</v>
      </c>
      <c r="AY19" s="162">
        <f>(IF(IFERROR(R19-#REF!,R19)&gt;constants!$D$14,(IFERROR(R19-#REF!,R19)*$C19/1000),0))</f>
        <v>0</v>
      </c>
      <c r="AZ19" s="162">
        <f>(IF(IFERROR(S19-#REF!,S19)&gt;constants!$D$15,(IFERROR(S19-#REF!,S19)*$C19/1000),0))</f>
        <v>0</v>
      </c>
      <c r="BA19" s="64">
        <f>IF(Table3[[#This Row],[amount]]="nd","nd",Table3[[#This Row],[amount]]*Table3[[#This Row],[dilution ]]*Table3[[#This Row],[correction factor]]/constants!$B$23)</f>
        <v>155.32732277624328</v>
      </c>
      <c r="BB19" s="64">
        <f>(Table3[[#This Row],[amount]]*Table3[[#This Row],[dilution ]]/1000)*Table3[[#This Row],[correction factor]]</f>
        <v>13.991885235683995</v>
      </c>
    </row>
    <row r="20" spans="1:54" s="66" customFormat="1" ht="15.5" thickTop="1" thickBot="1" x14ac:dyDescent="0.4">
      <c r="A20" s="62" t="s">
        <v>88</v>
      </c>
      <c r="B20" s="171">
        <v>38</v>
      </c>
      <c r="C20" s="147">
        <v>10</v>
      </c>
      <c r="D20" s="101">
        <v>0</v>
      </c>
      <c r="E20" s="101">
        <v>0</v>
      </c>
      <c r="F20" s="101">
        <v>0</v>
      </c>
      <c r="G20" s="101">
        <v>0</v>
      </c>
      <c r="H20" s="101">
        <v>0</v>
      </c>
      <c r="I20" s="106">
        <v>0</v>
      </c>
      <c r="J20" s="106">
        <v>14.490847853804983</v>
      </c>
      <c r="K20" s="106">
        <v>18.656646492734897</v>
      </c>
      <c r="L20" s="106">
        <v>0.9035565065148593</v>
      </c>
      <c r="M20" s="106">
        <v>58.924182239068209</v>
      </c>
      <c r="N20" s="107">
        <v>0</v>
      </c>
      <c r="O20" s="106">
        <v>2.8987889668576514</v>
      </c>
      <c r="P20" s="106">
        <v>0</v>
      </c>
      <c r="Q20" s="106">
        <v>8.5964984121192263</v>
      </c>
      <c r="R20" s="107">
        <v>3.7059846931857843</v>
      </c>
      <c r="S20" s="108">
        <v>0.64798384993893332</v>
      </c>
      <c r="T20" s="108" t="s">
        <v>27</v>
      </c>
      <c r="U20" s="108" t="s">
        <v>27</v>
      </c>
      <c r="V20" s="108" t="s">
        <v>27</v>
      </c>
      <c r="W20" s="96"/>
      <c r="X20" s="97"/>
      <c r="Y20" s="96"/>
      <c r="Z20" s="98"/>
      <c r="AA20" s="119"/>
      <c r="AB20" s="99"/>
      <c r="AC20" s="97"/>
      <c r="AD20" s="96"/>
      <c r="AE20" s="100"/>
      <c r="AG20" s="66">
        <v>50</v>
      </c>
      <c r="AH20" s="45">
        <v>1</v>
      </c>
      <c r="AI20" s="135">
        <v>255.86103371418287</v>
      </c>
      <c r="AJ20" s="65"/>
      <c r="AK20" s="64" t="e">
        <f>(IF(D20-#REF!&gt;constants!$D$3,((D20-#REF!)*$C20/constants!$B$3),0))</f>
        <v>#REF!</v>
      </c>
      <c r="AL20" s="64" t="e">
        <f>(IF(E20-#REF!&gt;constants!$D$6,((E20-#REF!)*$C20/constants!$B$3),0))</f>
        <v>#REF!</v>
      </c>
      <c r="AM20" s="64" t="e">
        <f>(IF(F20-#REF!&gt;constants!$D$7,((F20-#REF!)*$C20/constants!$B$3),0))</f>
        <v>#REF!</v>
      </c>
      <c r="AN20" s="64" t="e">
        <f>(IF(G20-#REF!&gt;constants!$D$3,((G20-#REF!)*$C20/constants!$B$3),0))</f>
        <v>#REF!</v>
      </c>
      <c r="AO20" s="64" t="e">
        <f>(IF(H20-#REF!&gt;constants!$D$3,((H20-#REF!)*$C20/constants!$B$3),0))</f>
        <v>#REF!</v>
      </c>
      <c r="AP20" s="64" t="e">
        <f>(IF(I20-#REF!&gt;constants!$D$3,((I20-#REF!)*$C20/constants!$B$3),0))</f>
        <v>#REF!</v>
      </c>
      <c r="AQ20" s="173">
        <f>(IF(IFERROR(J20-#REF!,J20)&gt;constants!$D$5,(IFERROR(J20-#REF!,J20)*$C20/1000),0))</f>
        <v>0.14490847853804983</v>
      </c>
      <c r="AR20" s="162">
        <f>(IF(IFERROR(K20-#REF!,K20)&gt;constants!$D$11,(IFERROR(K20-#REF!,K20)*$C20/1000),0))</f>
        <v>0.18656646492734896</v>
      </c>
      <c r="AS20" s="162">
        <f>(IF(IFERROR(L20-#REF!,L20)&gt;constants!$D$19,(IFERROR(L20-#REF!,L20)*$C20/1000),0))</f>
        <v>0</v>
      </c>
      <c r="AT20" s="162">
        <f>(IF(IFERROR(M20-#REF!,M20)&gt;constants!$D$4,(IFERROR(M20-#REF!,M20)*$C20/1000),0))</f>
        <v>0.58924182239068201</v>
      </c>
      <c r="AU20" s="162">
        <f>(IF(IFERROR(N20-#REF!,N20)&gt;constants!$D$19,(IFERROR(N20-#REF!,N20)*$C20/1000),0))</f>
        <v>0</v>
      </c>
      <c r="AV20" s="162">
        <f>(IF(IFERROR(O20-#REF!,O20)&gt;constants!$D$12,(IFERROR(O20-#REF!,O20)*$C20/1000),0))</f>
        <v>0</v>
      </c>
      <c r="AW20" s="162">
        <f>(IF(IFERROR(P20-#REF!,P20)&gt;constants!$D$19,(IFERROR(P20-#REF!,P20)*$C20/1000),0))</f>
        <v>0</v>
      </c>
      <c r="AX20" s="162">
        <f>(IF(IFERROR(Q20-#REF!,Q20)&gt;constants!$D$13,(IFERROR(Q20-#REF!,Q20)*$C20/1000),0))</f>
        <v>8.5964984121192259E-2</v>
      </c>
      <c r="AY20" s="162">
        <f>(IF(IFERROR(R20-#REF!,R20)&gt;constants!$D$14,(IFERROR(R20-#REF!,R20)*$C20/1000),0))</f>
        <v>3.7059846931857841E-2</v>
      </c>
      <c r="AZ20" s="162">
        <f>(IF(IFERROR(S20-#REF!,S20)&gt;constants!$D$15,(IFERROR(S20-#REF!,S20)*$C20/1000),0))</f>
        <v>6.4798384993893336E-3</v>
      </c>
      <c r="BA20" s="64">
        <f>IF(Table3[[#This Row],[amount]]="nd","nd",Table3[[#This Row],[amount]]*Table3[[#This Row],[dilution ]]*Table3[[#This Row],[correction factor]]/constants!$B$23)</f>
        <v>142.01877981471074</v>
      </c>
      <c r="BB20" s="64">
        <f>(Table3[[#This Row],[amount]]*Table3[[#This Row],[dilution ]]/1000)*Table3[[#This Row],[correction factor]]</f>
        <v>12.793051685709143</v>
      </c>
    </row>
    <row r="21" spans="1:54" s="47" customFormat="1" ht="15.5" thickTop="1" thickBot="1" x14ac:dyDescent="0.4">
      <c r="A21" s="67">
        <v>43105</v>
      </c>
      <c r="B21" s="172">
        <v>43</v>
      </c>
      <c r="C21" s="147">
        <v>20</v>
      </c>
      <c r="D21" s="101">
        <v>0</v>
      </c>
      <c r="E21" s="101">
        <v>0</v>
      </c>
      <c r="F21" s="101">
        <v>0</v>
      </c>
      <c r="G21" s="101">
        <v>0</v>
      </c>
      <c r="H21" s="101">
        <v>0</v>
      </c>
      <c r="I21" s="106">
        <v>1.354669035692454</v>
      </c>
      <c r="J21" s="106">
        <v>12.748950564592475</v>
      </c>
      <c r="K21" s="106">
        <v>14.638094027343392</v>
      </c>
      <c r="L21" s="106">
        <v>0</v>
      </c>
      <c r="M21" s="106">
        <v>64.113096178979163</v>
      </c>
      <c r="N21" s="107">
        <v>0</v>
      </c>
      <c r="O21" s="106">
        <v>1.6980746727049767</v>
      </c>
      <c r="P21" s="106">
        <v>0</v>
      </c>
      <c r="Q21" s="106">
        <v>11.692559822502673</v>
      </c>
      <c r="R21" s="107">
        <v>0</v>
      </c>
      <c r="S21" s="108">
        <v>0</v>
      </c>
      <c r="T21" s="108" t="s">
        <v>27</v>
      </c>
      <c r="U21" s="108" t="s">
        <v>27</v>
      </c>
      <c r="V21" s="108" t="s">
        <v>27</v>
      </c>
      <c r="AA21" s="119"/>
      <c r="AF21" s="55">
        <v>7.32</v>
      </c>
      <c r="AG21" s="47">
        <v>20</v>
      </c>
      <c r="AH21" s="45">
        <v>1</v>
      </c>
      <c r="AI21" s="135">
        <v>438.4644041367992</v>
      </c>
      <c r="AJ21" s="55"/>
      <c r="AK21" s="64" t="e">
        <f>(IF(D21-#REF!&gt;constants!$D$3,((D21-#REF!)*$C21/constants!$B$3),0))</f>
        <v>#REF!</v>
      </c>
      <c r="AL21" s="64" t="e">
        <f>(IF(E21-#REF!&gt;constants!$D$6,((E21-#REF!)*$C21/constants!$B$3),0))</f>
        <v>#REF!</v>
      </c>
      <c r="AM21" s="64" t="e">
        <f>(IF(F21-#REF!&gt;constants!$D$7,((F21-#REF!)*$C21/constants!$B$3),0))</f>
        <v>#REF!</v>
      </c>
      <c r="AN21" s="64" t="e">
        <f>(IF(G21-#REF!&gt;constants!$D$3,((G21-#REF!)*$C21/constants!$B$3),0))</f>
        <v>#REF!</v>
      </c>
      <c r="AO21" s="64" t="e">
        <f>(IF(H21-#REF!&gt;constants!$D$3,((H21-#REF!)*$C21/constants!$B$3),0))</f>
        <v>#REF!</v>
      </c>
      <c r="AP21" s="64" t="e">
        <f>(IF(I21-#REF!&gt;constants!$D$3,((I21-#REF!)*$C21/constants!$B$3),0))</f>
        <v>#REF!</v>
      </c>
      <c r="AQ21" s="173">
        <f>(IF(IFERROR(J21-#REF!,J21)&gt;constants!$D$5,(IFERROR(J21-#REF!,J21)*$C21/1000),0))</f>
        <v>0.25497901129184952</v>
      </c>
      <c r="AR21" s="162">
        <f>(IF(IFERROR(K21-#REF!,K21)&gt;constants!$D$11,(IFERROR(K21-#REF!,K21)*$C21/1000),0))</f>
        <v>0.2927618805468678</v>
      </c>
      <c r="AS21" s="162">
        <f>(IF(IFERROR(L21-#REF!,L21)&gt;constants!$D$19,(IFERROR(L21-#REF!,L21)*$C21/1000),0))</f>
        <v>0</v>
      </c>
      <c r="AT21" s="162">
        <f>(IF(IFERROR(M21-#REF!,M21)&gt;constants!$D$4,(IFERROR(M21-#REF!,M21)*$C21/1000),0))</f>
        <v>1.2822619235795834</v>
      </c>
      <c r="AU21" s="162">
        <f>(IF(IFERROR(N21-#REF!,N21)&gt;constants!$D$19,(IFERROR(N21-#REF!,N21)*$C21/1000),0))</f>
        <v>0</v>
      </c>
      <c r="AV21" s="162">
        <f>(IF(IFERROR(O21-#REF!,O21)&gt;constants!$D$12,(IFERROR(O21-#REF!,O21)*$C21/1000),0))</f>
        <v>0</v>
      </c>
      <c r="AW21" s="162">
        <f>(IF(IFERROR(P21-#REF!,P21)&gt;constants!$D$19,(IFERROR(P21-#REF!,P21)*$C21/1000),0))</f>
        <v>0</v>
      </c>
      <c r="AX21" s="162">
        <f>(IF(IFERROR(Q21-#REF!,Q21)&gt;constants!$D$13,(IFERROR(Q21-#REF!,Q21)*$C21/1000),0))</f>
        <v>0.23385119645005348</v>
      </c>
      <c r="AY21" s="162">
        <f>(IF(IFERROR(R21-#REF!,R21)&gt;constants!$D$14,(IFERROR(R21-#REF!,R21)*$C21/1000),0))</f>
        <v>0</v>
      </c>
      <c r="AZ21" s="162">
        <f>(IF(IFERROR(S21-#REF!,S21)&gt;constants!$D$15,(IFERROR(S21-#REF!,S21)*$C21/1000),0))</f>
        <v>0</v>
      </c>
      <c r="BA21" s="64">
        <f>IF(Table3[[#This Row],[amount]]="nd","nd",Table3[[#This Row],[amount]]*Table3[[#This Row],[dilution ]]*Table3[[#This Row],[correction factor]]/constants!$B$23)</f>
        <v>97.35000091847229</v>
      </c>
      <c r="BB21" s="64">
        <f>(Table3[[#This Row],[amount]]*Table3[[#This Row],[dilution ]]/1000)*Table3[[#This Row],[correction factor]]</f>
        <v>8.7692880827359847</v>
      </c>
    </row>
    <row r="22" spans="1:54" s="66" customFormat="1" ht="15" thickBot="1" x14ac:dyDescent="0.4">
      <c r="A22" s="62">
        <v>43195</v>
      </c>
      <c r="B22" s="171">
        <v>46</v>
      </c>
      <c r="C22" s="79">
        <v>20</v>
      </c>
      <c r="D22" s="101">
        <v>0</v>
      </c>
      <c r="E22" s="101">
        <v>0</v>
      </c>
      <c r="F22" s="101">
        <v>0</v>
      </c>
      <c r="G22" s="101">
        <v>0</v>
      </c>
      <c r="H22" s="101">
        <v>0</v>
      </c>
      <c r="I22" s="106">
        <v>0</v>
      </c>
      <c r="J22" s="106">
        <v>16.267744045118665</v>
      </c>
      <c r="K22" s="106">
        <v>82.265330004434688</v>
      </c>
      <c r="L22" s="106">
        <v>0.96129825621642695</v>
      </c>
      <c r="M22" s="106">
        <v>186.93996294558525</v>
      </c>
      <c r="N22" s="107">
        <v>0.94278282830697846</v>
      </c>
      <c r="O22" s="106">
        <v>5.4749450826365056</v>
      </c>
      <c r="P22" s="106">
        <v>0</v>
      </c>
      <c r="Q22" s="106">
        <v>21.793188094542565</v>
      </c>
      <c r="R22" s="107">
        <v>0.79938407915112641</v>
      </c>
      <c r="S22" s="108">
        <v>0</v>
      </c>
      <c r="T22" s="108" t="s">
        <v>27</v>
      </c>
      <c r="U22" s="108" t="s">
        <v>27</v>
      </c>
      <c r="V22" s="108" t="s">
        <v>27</v>
      </c>
      <c r="AA22" s="119"/>
      <c r="AF22" s="65">
        <v>7.21</v>
      </c>
      <c r="AG22" s="66">
        <v>20</v>
      </c>
      <c r="AH22" s="45">
        <v>1</v>
      </c>
      <c r="AI22" s="149">
        <v>210.13855108009867</v>
      </c>
      <c r="AJ22" s="65"/>
      <c r="AK22" s="64" t="e">
        <f>(IF(D22-#REF!&gt;constants!$D$3,((D22-#REF!)*$C22/constants!$B$3),0))</f>
        <v>#REF!</v>
      </c>
      <c r="AL22" s="64" t="e">
        <f>(IF(E22-#REF!&gt;constants!$D$6,((E22-#REF!)*$C22/constants!$B$3),0))</f>
        <v>#REF!</v>
      </c>
      <c r="AM22" s="64" t="e">
        <f>(IF(F22-#REF!&gt;constants!$D$7,((F22-#REF!)*$C22/constants!$B$3),0))</f>
        <v>#REF!</v>
      </c>
      <c r="AN22" s="64" t="e">
        <f>(IF(G22-#REF!&gt;constants!$D$3,((G22-#REF!)*$C22/constants!$B$3),0))</f>
        <v>#REF!</v>
      </c>
      <c r="AO22" s="64" t="e">
        <f>(IF(H22-#REF!&gt;constants!$D$3,((H22-#REF!)*$C22/constants!$B$3),0))</f>
        <v>#REF!</v>
      </c>
      <c r="AP22" s="64" t="e">
        <f>(IF(I22-#REF!&gt;constants!$D$3,((I22-#REF!)*$C22/constants!$B$3),0))</f>
        <v>#REF!</v>
      </c>
      <c r="AQ22" s="173">
        <f>(IF(IFERROR(J22-#REF!,J22)&gt;constants!$D$5,(IFERROR(J22-#REF!,J22)*$C22/1000),0))</f>
        <v>0.3253548809023733</v>
      </c>
      <c r="AR22" s="162">
        <f>(IF(IFERROR(K22-#REF!,K22)&gt;constants!$D$11,(IFERROR(K22-#REF!,K22)*$C22/1000),0))</f>
        <v>1.6453066000886938</v>
      </c>
      <c r="AS22" s="162">
        <f>(IF(IFERROR(L22-#REF!,L22)&gt;constants!$D$19,(IFERROR(L22-#REF!,L22)*$C22/1000),0))</f>
        <v>0</v>
      </c>
      <c r="AT22" s="162">
        <f>(IF(IFERROR(M22-#REF!,M22)&gt;constants!$D$4,(IFERROR(M22-#REF!,M22)*$C22/1000),0))</f>
        <v>3.7387992589117047</v>
      </c>
      <c r="AU22" s="162">
        <f>(IF(IFERROR(N22-#REF!,N22)&gt;constants!$D$19,(IFERROR(N22-#REF!,N22)*$C22/1000),0))</f>
        <v>0</v>
      </c>
      <c r="AV22" s="162">
        <f>(IF(IFERROR(O22-#REF!,O22)&gt;constants!$D$12,(IFERROR(O22-#REF!,O22)*$C22/1000),0))</f>
        <v>0.10949890165273012</v>
      </c>
      <c r="AW22" s="162">
        <f>(IF(IFERROR(P22-#REF!,P22)&gt;constants!$D$19,(IFERROR(P22-#REF!,P22)*$C22/1000),0))</f>
        <v>0</v>
      </c>
      <c r="AX22" s="162">
        <f>(IF(IFERROR(Q22-#REF!,Q22)&gt;constants!$D$13,(IFERROR(Q22-#REF!,Q22)*$C22/1000),0))</f>
        <v>0.43586376189085124</v>
      </c>
      <c r="AY22" s="162">
        <f>(IF(IFERROR(R22-#REF!,R22)&gt;constants!$D$14,(IFERROR(R22-#REF!,R22)*$C22/1000),0))</f>
        <v>0</v>
      </c>
      <c r="AZ22" s="162">
        <f>(IF(IFERROR(S22-#REF!,S22)&gt;constants!$D$15,(IFERROR(S22-#REF!,S22)*$C22/1000),0))</f>
        <v>0</v>
      </c>
      <c r="BA22" s="64">
        <f>IF(Table3[[#This Row],[amount]]="nd","nd",Table3[[#This Row],[amount]]*Table3[[#This Row],[dilution ]]*Table3[[#This Row],[correction factor]]/constants!$B$23)</f>
        <v>46.655983809968617</v>
      </c>
      <c r="BB22" s="64">
        <f>(Table3[[#This Row],[amount]]*Table3[[#This Row],[dilution ]]/1000)*Table3[[#This Row],[correction factor]]</f>
        <v>4.2027710216019729</v>
      </c>
    </row>
    <row r="23" spans="1:54" s="47" customFormat="1" ht="15" thickBot="1" x14ac:dyDescent="0.4">
      <c r="A23" s="67">
        <v>43317</v>
      </c>
      <c r="B23" s="172">
        <v>50</v>
      </c>
      <c r="C23" s="54">
        <v>50</v>
      </c>
      <c r="D23" s="101">
        <v>0</v>
      </c>
      <c r="E23" s="101">
        <v>0</v>
      </c>
      <c r="F23" s="101">
        <v>0</v>
      </c>
      <c r="G23" s="101">
        <v>0</v>
      </c>
      <c r="H23" s="101">
        <v>0</v>
      </c>
      <c r="I23" s="106">
        <v>0</v>
      </c>
      <c r="J23" s="106">
        <v>12.931571248444838</v>
      </c>
      <c r="K23" s="106">
        <v>46.280375809348435</v>
      </c>
      <c r="L23" s="106">
        <v>0</v>
      </c>
      <c r="M23" s="106">
        <v>72.55376067607223</v>
      </c>
      <c r="N23" s="107">
        <v>0</v>
      </c>
      <c r="O23" s="106">
        <v>2.363793959670315</v>
      </c>
      <c r="P23" s="106">
        <v>0</v>
      </c>
      <c r="Q23" s="106">
        <v>6.6709978085933344</v>
      </c>
      <c r="R23" s="107">
        <v>0</v>
      </c>
      <c r="S23" s="108">
        <v>0</v>
      </c>
      <c r="T23" s="108" t="s">
        <v>27</v>
      </c>
      <c r="U23" s="108" t="s">
        <v>27</v>
      </c>
      <c r="V23" s="108" t="s">
        <v>27</v>
      </c>
      <c r="W23" s="96"/>
      <c r="X23" s="97"/>
      <c r="Y23" s="96"/>
      <c r="Z23" s="98"/>
      <c r="AA23" s="119"/>
      <c r="AB23" s="99"/>
      <c r="AC23" s="97"/>
      <c r="AD23" s="96"/>
      <c r="AE23" s="100"/>
      <c r="AF23" s="55"/>
      <c r="AG23" s="47">
        <v>10</v>
      </c>
      <c r="AH23" s="45">
        <v>1</v>
      </c>
      <c r="AI23" s="177">
        <v>0</v>
      </c>
      <c r="AJ23" s="55"/>
      <c r="AK23" s="64" t="e">
        <f>(IF(D23-#REF!&gt;constants!$D$3,((D23-#REF!)*$C23/constants!$B$3),0))</f>
        <v>#REF!</v>
      </c>
      <c r="AL23" s="64" t="e">
        <f>(IF(E23-#REF!&gt;constants!$D$6,((E23-#REF!)*$C23/constants!$B$3),0))</f>
        <v>#REF!</v>
      </c>
      <c r="AM23" s="64" t="e">
        <f>(IF(F23-#REF!&gt;constants!$D$7,((F23-#REF!)*$C23/constants!$B$3),0))</f>
        <v>#REF!</v>
      </c>
      <c r="AN23" s="64" t="e">
        <f>(IF(G23-#REF!&gt;constants!$D$3,((G23-#REF!)*$C23/constants!$B$3),0))</f>
        <v>#REF!</v>
      </c>
      <c r="AO23" s="64" t="e">
        <f>(IF(H23-#REF!&gt;constants!$D$3,((H23-#REF!)*$C23/constants!$B$3),0))</f>
        <v>#REF!</v>
      </c>
      <c r="AP23" s="64" t="e">
        <f>(IF(I23-#REF!&gt;constants!$D$3,((I23-#REF!)*$C23/constants!$B$3),0))</f>
        <v>#REF!</v>
      </c>
      <c r="AQ23" s="173">
        <f>(IF(IFERROR(J23-#REF!,J23)&gt;constants!$D$5,(IFERROR(J23-#REF!,J23)*$C23/1000),0))</f>
        <v>0.64657856242224188</v>
      </c>
      <c r="AR23" s="162">
        <f>(IF(IFERROR(K23-#REF!,K23)&gt;constants!$D$11,(IFERROR(K23-#REF!,K23)*$C23/1000),0))</f>
        <v>2.3140187904674216</v>
      </c>
      <c r="AS23" s="162">
        <f>(IF(IFERROR(L23-#REF!,L23)&gt;constants!$D$19,(IFERROR(L23-#REF!,L23)*$C23/1000),0))</f>
        <v>0</v>
      </c>
      <c r="AT23" s="162">
        <f>(IF(IFERROR(M23-#REF!,M23)&gt;constants!$D$4,(IFERROR(M23-#REF!,M23)*$C23/1000),0))</f>
        <v>3.6276880338036115</v>
      </c>
      <c r="AU23" s="162">
        <f>(IF(IFERROR(N23-#REF!,N23)&gt;constants!$D$19,(IFERROR(N23-#REF!,N23)*$C23/1000),0))</f>
        <v>0</v>
      </c>
      <c r="AV23" s="162">
        <f>(IF(IFERROR(O23-#REF!,O23)&gt;constants!$D$12,(IFERROR(O23-#REF!,O23)*$C23/1000),0))</f>
        <v>0</v>
      </c>
      <c r="AW23" s="162">
        <f>(IF(IFERROR(P23-#REF!,P23)&gt;constants!$D$19,(IFERROR(P23-#REF!,P23)*$C23/1000),0))</f>
        <v>0</v>
      </c>
      <c r="AX23" s="162">
        <f>(IF(IFERROR(Q23-#REF!,Q23)&gt;constants!$D$13,(IFERROR(Q23-#REF!,Q23)*$C23/1000),0))</f>
        <v>0.33354989042966671</v>
      </c>
      <c r="AY23" s="162">
        <f>(IF(IFERROR(R23-#REF!,R23)&gt;constants!$D$14,(IFERROR(R23-#REF!,R23)*$C23/1000),0))</f>
        <v>0</v>
      </c>
      <c r="AZ23" s="162">
        <f>(IF(IFERROR(S23-#REF!,S23)&gt;constants!$D$15,(IFERROR(S23-#REF!,S23)*$C23/1000),0))</f>
        <v>0</v>
      </c>
      <c r="BA23" s="64">
        <f>IF(Table3[[#This Row],[amount]]="nd","nd",Table3[[#This Row],[amount]]*Table3[[#This Row],[dilution ]]*Table3[[#This Row],[correction factor]]/constants!$B$23)</f>
        <v>0</v>
      </c>
      <c r="BB23" s="64">
        <f>(Table3[[#This Row],[amount]]*Table3[[#This Row],[dilution ]]/1000)*Table3[[#This Row],[correction factor]]</f>
        <v>0</v>
      </c>
    </row>
    <row r="24" spans="1:54" s="66" customFormat="1" ht="15" thickBot="1" x14ac:dyDescent="0.4">
      <c r="A24" s="62" t="s">
        <v>161</v>
      </c>
      <c r="B24" s="171">
        <v>58</v>
      </c>
      <c r="C24" s="79">
        <v>20</v>
      </c>
      <c r="D24" s="101">
        <v>0</v>
      </c>
      <c r="E24" s="101">
        <v>0</v>
      </c>
      <c r="F24" s="101">
        <v>0</v>
      </c>
      <c r="G24" s="101">
        <v>0</v>
      </c>
      <c r="H24" s="101">
        <v>0</v>
      </c>
      <c r="I24" s="106">
        <v>0</v>
      </c>
      <c r="J24" s="106">
        <v>31.030748722515504</v>
      </c>
      <c r="K24" s="106">
        <v>163.60220535849882</v>
      </c>
      <c r="L24" s="106">
        <v>2.4528176002742987</v>
      </c>
      <c r="M24" s="106">
        <v>248.39795042664173</v>
      </c>
      <c r="N24" s="107">
        <v>1.9156734284410011</v>
      </c>
      <c r="O24" s="106">
        <v>8.0053784731471076</v>
      </c>
      <c r="P24" s="106">
        <v>0</v>
      </c>
      <c r="Q24" s="106">
        <v>22.802973071713044</v>
      </c>
      <c r="R24" s="107">
        <v>1.8542842457888247</v>
      </c>
      <c r="S24" s="108">
        <v>0</v>
      </c>
      <c r="T24" s="108" t="s">
        <v>27</v>
      </c>
      <c r="U24" s="108" t="s">
        <v>27</v>
      </c>
      <c r="V24" s="108" t="s">
        <v>27</v>
      </c>
      <c r="AA24" s="119"/>
      <c r="AF24" s="65">
        <v>7.61</v>
      </c>
      <c r="AH24" s="32"/>
      <c r="AJ24" s="65"/>
      <c r="AK24" s="64" t="e">
        <f>(IF(D24-#REF!&gt;constants!$D$3,((D24-#REF!)*$C24/constants!$B$3),0))</f>
        <v>#REF!</v>
      </c>
      <c r="AL24" s="64" t="e">
        <f>(IF(E24-#REF!&gt;constants!$D$6,((E24-#REF!)*$C24/constants!$B$3),0))</f>
        <v>#REF!</v>
      </c>
      <c r="AM24" s="64" t="e">
        <f>(IF(F24-#REF!&gt;constants!$D$7,((F24-#REF!)*$C24/constants!$B$3),0))</f>
        <v>#REF!</v>
      </c>
      <c r="AN24" s="64" t="e">
        <f>(IF(G24-#REF!&gt;constants!$D$3,((G24-#REF!)*$C24/constants!$B$3),0))</f>
        <v>#REF!</v>
      </c>
      <c r="AO24" s="64" t="e">
        <f>(IF(H24-#REF!&gt;constants!$D$3,((H24-#REF!)*$C24/constants!$B$3),0))</f>
        <v>#REF!</v>
      </c>
      <c r="AP24" s="64" t="e">
        <f>(IF(I24-#REF!&gt;constants!$D$3,((I24-#REF!)*$C24/constants!$B$3),0))</f>
        <v>#REF!</v>
      </c>
      <c r="AQ24" s="173">
        <f>(IF(IFERROR(J24-#REF!,J24)&gt;constants!$D$5,(IFERROR(J24-#REF!,J24)*$C24/1000),0))</f>
        <v>0.62061497445031011</v>
      </c>
      <c r="AR24" s="162">
        <f>(IF(IFERROR(K24-#REF!,K24)&gt;constants!$D$11,(IFERROR(K24-#REF!,K24)*$C24/1000),0))</f>
        <v>3.2720441071699766</v>
      </c>
      <c r="AS24" s="162">
        <f>(IF(IFERROR(L24-#REF!,L24)&gt;constants!$D$19,(IFERROR(L24-#REF!,L24)*$C24/1000),0))</f>
        <v>0</v>
      </c>
      <c r="AT24" s="162">
        <f>(IF(IFERROR(M24-#REF!,M24)&gt;constants!$D$4,(IFERROR(M24-#REF!,M24)*$C24/1000),0))</f>
        <v>4.9679590085328345</v>
      </c>
      <c r="AU24" s="162">
        <f>(IF(IFERROR(N24-#REF!,N24)&gt;constants!$D$19,(IFERROR(N24-#REF!,N24)*$C24/1000),0))</f>
        <v>0</v>
      </c>
      <c r="AV24" s="162">
        <f>(IF(IFERROR(O24-#REF!,O24)&gt;constants!$D$12,(IFERROR(O24-#REF!,O24)*$C24/1000),0))</f>
        <v>0.16010756946294213</v>
      </c>
      <c r="AW24" s="162">
        <f>(IF(IFERROR(P24-#REF!,P24)&gt;constants!$D$19,(IFERROR(P24-#REF!,P24)*$C24/1000),0))</f>
        <v>0</v>
      </c>
      <c r="AX24" s="162">
        <f>(IF(IFERROR(Q24-#REF!,Q24)&gt;constants!$D$13,(IFERROR(Q24-#REF!,Q24)*$C24/1000),0))</f>
        <v>0.45605946143426085</v>
      </c>
      <c r="AY24" s="162">
        <f>(IF(IFERROR(R24-#REF!,R24)&gt;constants!$D$14,(IFERROR(R24-#REF!,R24)*$C24/1000),0))</f>
        <v>0</v>
      </c>
      <c r="AZ24" s="162">
        <f>(IF(IFERROR(S24-#REF!,S24)&gt;constants!$D$15,(IFERROR(S24-#REF!,S24)*$C24/1000),0))</f>
        <v>0</v>
      </c>
      <c r="BA24" s="64">
        <f>IF(Table3[[#This Row],[amount]]="nd","nd",Table3[[#This Row],[amount]]*Table3[[#This Row],[dilution ]]*Table3[[#This Row],[correction factor]]/constants!$B$23)</f>
        <v>0</v>
      </c>
      <c r="BB24" s="64">
        <f>(Table3[[#This Row],[amount]]*Table3[[#This Row],[dilution ]]/1000)*Table3[[#This Row],[correction factor]]</f>
        <v>0</v>
      </c>
    </row>
    <row r="25" spans="1:54" s="47" customFormat="1" ht="15" thickBot="1" x14ac:dyDescent="0.4">
      <c r="A25" s="67"/>
      <c r="B25" s="61"/>
      <c r="C25" s="54"/>
      <c r="D25" s="101"/>
      <c r="E25" s="101"/>
      <c r="F25" s="101"/>
      <c r="G25" s="101"/>
      <c r="H25" s="101"/>
      <c r="I25" s="106"/>
      <c r="J25" s="106"/>
      <c r="K25" s="106"/>
      <c r="L25" s="106"/>
      <c r="M25" s="106"/>
      <c r="N25" s="107"/>
      <c r="O25" s="106"/>
      <c r="P25" s="106"/>
      <c r="Q25" s="106"/>
      <c r="R25" s="107"/>
      <c r="S25" s="108"/>
      <c r="T25" s="108"/>
      <c r="U25" s="108"/>
      <c r="V25" s="108"/>
      <c r="AA25" s="119"/>
      <c r="AF25" s="55"/>
      <c r="AH25" s="32"/>
      <c r="AJ25" s="55"/>
      <c r="AK25" s="64"/>
      <c r="AL25" s="64"/>
      <c r="AM25" s="64"/>
      <c r="AN25" s="64"/>
      <c r="AO25" s="64"/>
      <c r="AP25" s="64"/>
      <c r="AQ25" s="173"/>
      <c r="AR25" s="162"/>
      <c r="AS25" s="162"/>
      <c r="AT25" s="162"/>
      <c r="AU25" s="162"/>
      <c r="AV25" s="162"/>
      <c r="AW25" s="162"/>
      <c r="AX25" s="162"/>
      <c r="AY25" s="162"/>
      <c r="AZ25" s="162"/>
      <c r="BA25" s="64"/>
      <c r="BB25" s="64"/>
    </row>
    <row r="26" spans="1:54" s="66" customFormat="1" ht="15" thickBot="1" x14ac:dyDescent="0.4">
      <c r="A26" s="62"/>
      <c r="B26" s="68"/>
      <c r="C26" s="79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80"/>
      <c r="U26" s="80"/>
      <c r="V26" s="81"/>
      <c r="AA26" s="119"/>
      <c r="AF26" s="65"/>
      <c r="AH26" s="17"/>
      <c r="AJ26" s="65"/>
      <c r="AK26" s="154"/>
      <c r="AL26" s="154"/>
      <c r="AM26" s="154"/>
      <c r="AN26" s="154"/>
      <c r="AO26" s="154"/>
      <c r="AP26" s="154"/>
      <c r="AQ26" s="175"/>
      <c r="AR26" s="175"/>
      <c r="AS26" s="175"/>
      <c r="AT26" s="175"/>
      <c r="AU26" s="175"/>
      <c r="AV26" s="175"/>
      <c r="AW26" s="175"/>
      <c r="AX26" s="175"/>
      <c r="AY26" s="175"/>
      <c r="AZ26" s="175"/>
      <c r="BA26" s="64"/>
      <c r="BB26" s="64"/>
    </row>
    <row r="27" spans="1:54" s="47" customFormat="1" ht="15" thickBot="1" x14ac:dyDescent="0.4">
      <c r="A27" s="67"/>
      <c r="B27" s="61"/>
      <c r="C27" s="54"/>
      <c r="V27" s="82"/>
      <c r="AF27" s="55"/>
      <c r="AH27" s="32"/>
      <c r="AJ27" s="55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</row>
    <row r="28" spans="1:54" s="66" customFormat="1" ht="15" thickBot="1" x14ac:dyDescent="0.4">
      <c r="A28" s="62"/>
      <c r="B28" s="68"/>
      <c r="C28" s="79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1"/>
      <c r="AF28" s="65"/>
      <c r="AH28" s="32"/>
      <c r="AJ28" s="65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</row>
    <row r="29" spans="1:54" s="47" customFormat="1" ht="15" thickBot="1" x14ac:dyDescent="0.4">
      <c r="A29" s="67"/>
      <c r="B29" s="61"/>
      <c r="C29" s="54"/>
      <c r="V29" s="82"/>
      <c r="AF29" s="55"/>
      <c r="AH29" s="17"/>
      <c r="AJ29" s="55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</row>
    <row r="30" spans="1:54" s="66" customFormat="1" ht="15" thickBot="1" x14ac:dyDescent="0.4">
      <c r="A30" s="62"/>
      <c r="B30" s="68"/>
      <c r="C30" s="79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1"/>
      <c r="AF30" s="65"/>
      <c r="AH30" s="32"/>
      <c r="AJ30" s="65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</row>
    <row r="31" spans="1:54" s="47" customFormat="1" ht="15" thickBot="1" x14ac:dyDescent="0.4">
      <c r="A31" s="60"/>
      <c r="B31" s="61"/>
      <c r="C31" s="54"/>
      <c r="V31" s="82"/>
      <c r="AF31" s="55"/>
      <c r="AH31" s="32"/>
      <c r="AJ31" s="55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</row>
    <row r="32" spans="1:54" ht="15" thickBot="1" x14ac:dyDescent="0.4">
      <c r="A32" s="60"/>
      <c r="C32" s="8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84"/>
      <c r="AF32" s="43"/>
      <c r="AH32" s="17"/>
      <c r="AJ32" s="4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</row>
    <row r="33" spans="1:43" x14ac:dyDescent="0.35">
      <c r="A33" s="60"/>
      <c r="AF33" s="43"/>
    </row>
    <row r="34" spans="1:43" x14ac:dyDescent="0.35">
      <c r="AF34" s="43"/>
      <c r="AQ34" s="29">
        <f>SUM(AQ26:AZ26)</f>
        <v>0</v>
      </c>
    </row>
    <row r="35" spans="1:43" x14ac:dyDescent="0.35">
      <c r="AF35" s="43"/>
    </row>
    <row r="36" spans="1:43" ht="15" thickBot="1" x14ac:dyDescent="0.4">
      <c r="AF36" s="44"/>
    </row>
    <row r="38" spans="1:43" x14ac:dyDescent="0.35">
      <c r="AC38" s="136"/>
    </row>
  </sheetData>
  <pageMargins left="0.7" right="0.7" top="0.75" bottom="0.75" header="0.3" footer="0.3"/>
  <pageSetup paperSize="9" orientation="portrait" r:id="rId1"/>
  <colBreaks count="1" manualBreakCount="1">
    <brk id="2" max="1048575" man="1"/>
  </colBreaks>
  <tableParts count="4">
    <tablePart r:id="rId2"/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A36"/>
  <sheetViews>
    <sheetView zoomScale="80" zoomScaleNormal="80" workbookViewId="0">
      <pane xSplit="2" topLeftCell="C1" activePane="topRight" state="frozen"/>
      <selection pane="topRight"/>
    </sheetView>
  </sheetViews>
  <sheetFormatPr defaultRowHeight="14.5" x14ac:dyDescent="0.35"/>
  <cols>
    <col min="1" max="1" width="15.453125" customWidth="1"/>
    <col min="2" max="2" width="11" customWidth="1"/>
    <col min="3" max="3" width="10.453125" customWidth="1"/>
    <col min="4" max="4" width="10.7265625" customWidth="1"/>
    <col min="5" max="12" width="11.7265625" customWidth="1"/>
    <col min="13" max="22" width="12.7265625" customWidth="1"/>
    <col min="23" max="23" width="11.81640625" customWidth="1"/>
    <col min="24" max="24" width="12.7265625" customWidth="1"/>
    <col min="25" max="25" width="11.26953125" customWidth="1"/>
    <col min="26" max="26" width="12.7265625" customWidth="1"/>
    <col min="27" max="27" width="13.26953125" customWidth="1"/>
    <col min="28" max="28" width="12.7265625" customWidth="1"/>
    <col min="29" max="29" width="13.26953125" customWidth="1"/>
    <col min="30" max="30" width="12.7265625" customWidth="1"/>
    <col min="32" max="32" width="10.81640625" customWidth="1"/>
    <col min="33" max="33" width="11.26953125" customWidth="1"/>
    <col min="34" max="35" width="10.1796875" customWidth="1"/>
    <col min="36" max="36" width="15.81640625" customWidth="1"/>
    <col min="37" max="44" width="16.81640625" customWidth="1"/>
    <col min="45" max="53" width="17.81640625" customWidth="1"/>
  </cols>
  <sheetData>
    <row r="1" spans="1:53" x14ac:dyDescent="0.35">
      <c r="A1" s="24" t="s">
        <v>28</v>
      </c>
      <c r="B1" s="24" t="s">
        <v>162</v>
      </c>
      <c r="C1" s="24"/>
    </row>
    <row r="2" spans="1:53" x14ac:dyDescent="0.35">
      <c r="A2" s="25" t="s">
        <v>30</v>
      </c>
      <c r="B2" s="25" t="s">
        <v>31</v>
      </c>
      <c r="C2" s="24" t="s">
        <v>75</v>
      </c>
      <c r="AJ2" s="2" t="s">
        <v>2</v>
      </c>
    </row>
    <row r="3" spans="1:53" x14ac:dyDescent="0.35">
      <c r="A3" s="25"/>
      <c r="B3" s="25"/>
      <c r="C3" s="24"/>
      <c r="AP3" s="177"/>
      <c r="AQ3" s="177"/>
    </row>
    <row r="4" spans="1:53" x14ac:dyDescent="0.35">
      <c r="A4" s="24"/>
      <c r="B4" s="24"/>
      <c r="C4" s="56"/>
      <c r="E4" s="1"/>
      <c r="F4" s="3"/>
      <c r="G4" s="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 t="s">
        <v>60</v>
      </c>
      <c r="X4" s="1"/>
      <c r="Y4" s="1"/>
      <c r="Z4" s="1"/>
      <c r="AA4" s="1"/>
      <c r="AC4" s="1"/>
      <c r="AD4" s="1"/>
      <c r="AE4" s="1"/>
      <c r="AF4" t="s">
        <v>69</v>
      </c>
      <c r="AJ4" s="37" t="s">
        <v>37</v>
      </c>
      <c r="AL4" s="3"/>
      <c r="AM4" s="2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</row>
    <row r="5" spans="1:53" ht="15" thickBot="1" x14ac:dyDescent="0.4">
      <c r="A5" s="24"/>
      <c r="B5" s="24"/>
      <c r="C5" s="2" t="s">
        <v>2</v>
      </c>
      <c r="D5" s="2"/>
      <c r="E5" s="1"/>
      <c r="F5" s="3"/>
      <c r="G5" s="2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C5" s="1"/>
      <c r="AD5" s="1"/>
      <c r="AE5" s="1"/>
      <c r="AJ5" s="37"/>
      <c r="AL5" s="3"/>
      <c r="AM5" s="2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</row>
    <row r="6" spans="1:53" x14ac:dyDescent="0.35">
      <c r="C6" s="5" t="s">
        <v>3</v>
      </c>
      <c r="D6" s="6" t="s">
        <v>4</v>
      </c>
      <c r="E6" s="6" t="s">
        <v>90</v>
      </c>
      <c r="F6" s="6" t="s">
        <v>91</v>
      </c>
      <c r="G6" s="6" t="s">
        <v>92</v>
      </c>
      <c r="H6" s="6" t="s">
        <v>93</v>
      </c>
      <c r="I6" s="6" t="s">
        <v>94</v>
      </c>
      <c r="J6" s="6" t="s">
        <v>95</v>
      </c>
      <c r="K6" s="6" t="s">
        <v>96</v>
      </c>
      <c r="L6" s="6" t="s">
        <v>97</v>
      </c>
      <c r="M6" s="6" t="s">
        <v>98</v>
      </c>
      <c r="N6" s="6" t="s">
        <v>99</v>
      </c>
      <c r="O6" s="6" t="s">
        <v>100</v>
      </c>
      <c r="P6" s="6" t="s">
        <v>101</v>
      </c>
      <c r="Q6" s="6" t="s">
        <v>102</v>
      </c>
      <c r="R6" s="6" t="s">
        <v>103</v>
      </c>
      <c r="S6" s="7" t="s">
        <v>104</v>
      </c>
      <c r="T6" s="7" t="s">
        <v>105</v>
      </c>
      <c r="U6" s="7" t="s">
        <v>106</v>
      </c>
      <c r="V6" s="8" t="s">
        <v>107</v>
      </c>
      <c r="W6" s="36" t="s">
        <v>61</v>
      </c>
      <c r="X6" s="33" t="s">
        <v>108</v>
      </c>
      <c r="Y6" s="36" t="s">
        <v>62</v>
      </c>
      <c r="Z6" s="35" t="s">
        <v>109</v>
      </c>
      <c r="AA6" s="34" t="s">
        <v>110</v>
      </c>
      <c r="AB6" s="33" t="s">
        <v>111</v>
      </c>
      <c r="AC6" s="36" t="s">
        <v>112</v>
      </c>
      <c r="AD6" s="35" t="s">
        <v>113</v>
      </c>
      <c r="AE6" s="38" t="s">
        <v>68</v>
      </c>
      <c r="AF6" s="39" t="s">
        <v>70</v>
      </c>
      <c r="AG6" s="39" t="s">
        <v>151</v>
      </c>
      <c r="AH6" s="40" t="s">
        <v>32</v>
      </c>
      <c r="AI6" s="127" t="s">
        <v>136</v>
      </c>
      <c r="AJ6" s="69" t="s">
        <v>35</v>
      </c>
      <c r="AK6" s="70" t="s">
        <v>114</v>
      </c>
      <c r="AL6" s="70" t="s">
        <v>115</v>
      </c>
      <c r="AM6" s="70" t="s">
        <v>116</v>
      </c>
      <c r="AN6" s="70" t="s">
        <v>117</v>
      </c>
      <c r="AO6" s="70" t="s">
        <v>118</v>
      </c>
      <c r="AP6" s="70" t="s">
        <v>119</v>
      </c>
      <c r="AQ6" s="70" t="s">
        <v>120</v>
      </c>
      <c r="AR6" s="70" t="s">
        <v>121</v>
      </c>
      <c r="AS6" s="70" t="s">
        <v>122</v>
      </c>
      <c r="AT6" s="70" t="s">
        <v>123</v>
      </c>
      <c r="AU6" s="70" t="s">
        <v>124</v>
      </c>
      <c r="AV6" s="70" t="s">
        <v>125</v>
      </c>
      <c r="AW6" s="70" t="s">
        <v>126</v>
      </c>
      <c r="AX6" s="70" t="s">
        <v>127</v>
      </c>
      <c r="AY6" s="71" t="s">
        <v>128</v>
      </c>
      <c r="AZ6" s="72" t="s">
        <v>129</v>
      </c>
      <c r="BA6" s="85" t="s">
        <v>148</v>
      </c>
    </row>
    <row r="7" spans="1:53" x14ac:dyDescent="0.35">
      <c r="C7" s="9" t="s">
        <v>5</v>
      </c>
      <c r="D7" s="10" t="s">
        <v>7</v>
      </c>
      <c r="E7" s="10" t="s">
        <v>7</v>
      </c>
      <c r="F7" s="10" t="s">
        <v>7</v>
      </c>
      <c r="G7" s="10" t="s">
        <v>7</v>
      </c>
      <c r="H7" s="10" t="s">
        <v>7</v>
      </c>
      <c r="I7" s="10" t="s">
        <v>7</v>
      </c>
      <c r="J7" s="10" t="s">
        <v>7</v>
      </c>
      <c r="K7" s="10" t="s">
        <v>7</v>
      </c>
      <c r="L7" s="10" t="s">
        <v>7</v>
      </c>
      <c r="M7" s="10" t="s">
        <v>7</v>
      </c>
      <c r="N7" s="10" t="s">
        <v>7</v>
      </c>
      <c r="O7" s="10" t="s">
        <v>7</v>
      </c>
      <c r="P7" s="10" t="s">
        <v>7</v>
      </c>
      <c r="Q7" s="10" t="s">
        <v>7</v>
      </c>
      <c r="R7" s="10" t="s">
        <v>7</v>
      </c>
      <c r="S7" s="11" t="s">
        <v>7</v>
      </c>
      <c r="T7" s="11" t="s">
        <v>6</v>
      </c>
      <c r="U7" s="11" t="s">
        <v>6</v>
      </c>
      <c r="V7" s="12" t="s">
        <v>6</v>
      </c>
      <c r="W7" s="36" t="s">
        <v>63</v>
      </c>
      <c r="X7" s="33" t="s">
        <v>64</v>
      </c>
      <c r="Y7" s="36" t="s">
        <v>63</v>
      </c>
      <c r="Z7" s="35" t="s">
        <v>64</v>
      </c>
      <c r="AA7" s="34" t="s">
        <v>63</v>
      </c>
      <c r="AB7" s="33" t="s">
        <v>64</v>
      </c>
      <c r="AC7" s="36" t="s">
        <v>63</v>
      </c>
      <c r="AD7" s="35" t="s">
        <v>64</v>
      </c>
      <c r="AE7" s="38"/>
      <c r="AF7" s="39" t="s">
        <v>5</v>
      </c>
      <c r="AG7" s="39" t="s">
        <v>5</v>
      </c>
      <c r="AH7" s="40" t="s">
        <v>7</v>
      </c>
      <c r="AI7" s="39" t="s">
        <v>144</v>
      </c>
      <c r="AJ7" s="9" t="s">
        <v>36</v>
      </c>
      <c r="AK7" s="10" t="s">
        <v>36</v>
      </c>
      <c r="AL7" s="10" t="s">
        <v>36</v>
      </c>
      <c r="AM7" s="10" t="s">
        <v>36</v>
      </c>
      <c r="AN7" s="10" t="s">
        <v>36</v>
      </c>
      <c r="AO7" s="10" t="s">
        <v>36</v>
      </c>
      <c r="AP7" s="163" t="s">
        <v>77</v>
      </c>
      <c r="AQ7" s="163" t="s">
        <v>77</v>
      </c>
      <c r="AR7" s="163" t="s">
        <v>77</v>
      </c>
      <c r="AS7" s="163" t="s">
        <v>77</v>
      </c>
      <c r="AT7" s="163" t="s">
        <v>77</v>
      </c>
      <c r="AU7" s="163" t="s">
        <v>77</v>
      </c>
      <c r="AV7" s="163" t="s">
        <v>77</v>
      </c>
      <c r="AW7" s="163" t="s">
        <v>77</v>
      </c>
      <c r="AX7" s="163" t="s">
        <v>77</v>
      </c>
      <c r="AY7" s="163" t="s">
        <v>77</v>
      </c>
      <c r="AZ7" s="58" t="s">
        <v>36</v>
      </c>
      <c r="BA7" s="86" t="s">
        <v>152</v>
      </c>
    </row>
    <row r="8" spans="1:53" ht="16" thickBot="1" x14ac:dyDescent="0.4">
      <c r="A8" s="22" t="s">
        <v>0</v>
      </c>
      <c r="B8" s="73" t="s">
        <v>1</v>
      </c>
      <c r="C8" s="13" t="s">
        <v>6</v>
      </c>
      <c r="D8" s="14" t="s">
        <v>8</v>
      </c>
      <c r="E8" s="14" t="s">
        <v>9</v>
      </c>
      <c r="F8" s="14" t="s">
        <v>10</v>
      </c>
      <c r="G8" s="14" t="s">
        <v>11</v>
      </c>
      <c r="H8" s="14" t="s">
        <v>12</v>
      </c>
      <c r="I8" s="14" t="s">
        <v>13</v>
      </c>
      <c r="J8" s="14" t="s">
        <v>14</v>
      </c>
      <c r="K8" s="14" t="s">
        <v>15</v>
      </c>
      <c r="L8" s="14" t="s">
        <v>16</v>
      </c>
      <c r="M8" s="14" t="s">
        <v>17</v>
      </c>
      <c r="N8" s="14" t="s">
        <v>18</v>
      </c>
      <c r="O8" s="14" t="s">
        <v>19</v>
      </c>
      <c r="P8" s="14" t="s">
        <v>20</v>
      </c>
      <c r="Q8" s="14" t="s">
        <v>21</v>
      </c>
      <c r="R8" s="14" t="s">
        <v>22</v>
      </c>
      <c r="S8" s="15" t="s">
        <v>23</v>
      </c>
      <c r="T8" s="15" t="s">
        <v>24</v>
      </c>
      <c r="U8" s="15" t="s">
        <v>25</v>
      </c>
      <c r="V8" s="16" t="s">
        <v>26</v>
      </c>
      <c r="W8" s="36" t="s">
        <v>65</v>
      </c>
      <c r="X8" s="33" t="s">
        <v>65</v>
      </c>
      <c r="Y8" s="36" t="s">
        <v>66</v>
      </c>
      <c r="Z8" s="35" t="s">
        <v>66</v>
      </c>
      <c r="AA8" s="34" t="s">
        <v>55</v>
      </c>
      <c r="AB8" s="33" t="s">
        <v>55</v>
      </c>
      <c r="AC8" s="36" t="s">
        <v>67</v>
      </c>
      <c r="AD8" s="35" t="s">
        <v>67</v>
      </c>
      <c r="AE8" s="38"/>
      <c r="AF8" s="39"/>
      <c r="AG8" s="39"/>
      <c r="AH8" s="40" t="s">
        <v>73</v>
      </c>
      <c r="AI8" s="39" t="s">
        <v>145</v>
      </c>
      <c r="AJ8" s="13" t="s">
        <v>8</v>
      </c>
      <c r="AK8" s="14" t="s">
        <v>9</v>
      </c>
      <c r="AL8" s="14" t="s">
        <v>10</v>
      </c>
      <c r="AM8" s="14" t="s">
        <v>11</v>
      </c>
      <c r="AN8" s="14" t="s">
        <v>12</v>
      </c>
      <c r="AO8" s="14" t="s">
        <v>13</v>
      </c>
      <c r="AP8" s="164" t="s">
        <v>14</v>
      </c>
      <c r="AQ8" s="164" t="s">
        <v>15</v>
      </c>
      <c r="AR8" s="164" t="s">
        <v>16</v>
      </c>
      <c r="AS8" s="164" t="s">
        <v>17</v>
      </c>
      <c r="AT8" s="164" t="s">
        <v>18</v>
      </c>
      <c r="AU8" s="164" t="s">
        <v>19</v>
      </c>
      <c r="AV8" s="164" t="s">
        <v>20</v>
      </c>
      <c r="AW8" s="164" t="s">
        <v>21</v>
      </c>
      <c r="AX8" s="164" t="s">
        <v>22</v>
      </c>
      <c r="AY8" s="165" t="s">
        <v>23</v>
      </c>
      <c r="AZ8" s="59" t="s">
        <v>78</v>
      </c>
      <c r="BA8" s="87" t="s">
        <v>78</v>
      </c>
    </row>
    <row r="9" spans="1:53" s="47" customFormat="1" ht="16" thickBot="1" x14ac:dyDescent="0.4">
      <c r="A9" s="63" t="str">
        <f>Table2[[#This Row],[Date]]</f>
        <v>20-03-18</v>
      </c>
      <c r="B9" s="74">
        <f>Table2[[#This Row],[Time]]</f>
        <v>0</v>
      </c>
      <c r="C9" s="41">
        <v>0</v>
      </c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76"/>
      <c r="W9" s="45"/>
      <c r="X9" s="45"/>
      <c r="Y9" s="45"/>
      <c r="Z9" s="45"/>
      <c r="AA9" s="45"/>
      <c r="AB9" s="45"/>
      <c r="AC9" s="45"/>
      <c r="AD9" s="46"/>
      <c r="AE9" s="91">
        <v>7</v>
      </c>
      <c r="AF9" s="91">
        <v>0</v>
      </c>
      <c r="AG9" s="45">
        <v>1</v>
      </c>
      <c r="AH9" s="91">
        <v>0</v>
      </c>
      <c r="AI9"/>
      <c r="AJ9" s="64">
        <f>IF(D9="nd","nd",D9*$C9/constants!$B$3)</f>
        <v>0</v>
      </c>
      <c r="AK9" s="64">
        <f>IF(E9="nd","nd",E9*$C9/constants!$B$6)</f>
        <v>0</v>
      </c>
      <c r="AL9" s="64">
        <f>IF(F9="nd","nd",F9*$C9/constants!$B$7)</f>
        <v>0</v>
      </c>
      <c r="AM9" s="64">
        <f>IF(G9="nd","nd",G9*$C9/constants!$B$8)</f>
        <v>0</v>
      </c>
      <c r="AN9" s="64">
        <f>IF(H9="nd","nd",H9*$C9/constants!$B$9)</f>
        <v>0</v>
      </c>
      <c r="AO9" s="64">
        <f>IF(I9="nd","nd",I9*$C9/constants!$B$10)</f>
        <v>0</v>
      </c>
      <c r="AP9" s="177"/>
      <c r="AQ9" s="177"/>
      <c r="AR9" s="177"/>
      <c r="AS9" s="177"/>
      <c r="AT9" s="177"/>
      <c r="AU9" s="177"/>
      <c r="AV9" s="177"/>
      <c r="AW9" s="177"/>
      <c r="AX9" s="177"/>
      <c r="AY9" s="177"/>
      <c r="AZ9" s="64">
        <f>IF(AH9="nd","nd",AH9*Table310[[#This Row],[dilution ]]/constants!$B$23)</f>
        <v>0</v>
      </c>
      <c r="BA9" s="64">
        <f>Table310[[#This Row],[amount]]*Table310[[#This Row],[correction]]*Table310[[#This Row],[dilution ]]/1000</f>
        <v>0</v>
      </c>
    </row>
    <row r="10" spans="1:53" s="66" customFormat="1" ht="16" thickBot="1" x14ac:dyDescent="0.4">
      <c r="A10" s="63" t="str">
        <f>Table2[[#This Row],[Date]]</f>
        <v>22-03-18</v>
      </c>
      <c r="B10" s="74">
        <f>Table2[[#This Row],[Time]]</f>
        <v>2</v>
      </c>
      <c r="C10" s="77">
        <v>0</v>
      </c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50"/>
      <c r="O10" s="49"/>
      <c r="P10" s="49"/>
      <c r="Q10" s="49"/>
      <c r="R10" s="50"/>
      <c r="S10" s="51"/>
      <c r="T10" s="51"/>
      <c r="U10" s="51"/>
      <c r="V10" s="78"/>
      <c r="W10" s="32"/>
      <c r="X10" s="32"/>
      <c r="Y10" s="32"/>
      <c r="Z10" s="32"/>
      <c r="AA10" s="32"/>
      <c r="AB10" s="32"/>
      <c r="AC10" s="32"/>
      <c r="AD10" s="32"/>
      <c r="AE10" s="92">
        <v>6.56</v>
      </c>
      <c r="AF10">
        <v>10</v>
      </c>
      <c r="AG10" s="45">
        <v>1</v>
      </c>
      <c r="AH10" s="92">
        <v>4.3</v>
      </c>
      <c r="AI10"/>
      <c r="AJ10" s="64">
        <f>IF(D10="nd","nd",D10*$C10/constants!$B$3)</f>
        <v>0</v>
      </c>
      <c r="AK10" s="64">
        <f>IF(E10="nd","nd",E10*$C10/constants!$B$6)</f>
        <v>0</v>
      </c>
      <c r="AL10" s="64">
        <f>IF(F10="nd","nd",F10*$C10/constants!$B$7)</f>
        <v>0</v>
      </c>
      <c r="AM10" s="64">
        <f>IF(G10="nd","nd",G10*$C10/constants!$B$8)</f>
        <v>0</v>
      </c>
      <c r="AN10" s="64">
        <f>IF(H10="nd","nd",H10*$C10/constants!$B$9)</f>
        <v>0</v>
      </c>
      <c r="AO10" s="64">
        <f>IF(I10="nd","nd",I10*$C10/constants!$B$10)</f>
        <v>0</v>
      </c>
      <c r="AP10" s="177"/>
      <c r="AQ10" s="177"/>
      <c r="AR10" s="177"/>
      <c r="AS10" s="177"/>
      <c r="AT10" s="177"/>
      <c r="AU10" s="177"/>
      <c r="AV10" s="177"/>
      <c r="AW10" s="177"/>
      <c r="AX10" s="177"/>
      <c r="AY10" s="177"/>
      <c r="AZ10" s="64">
        <f>IF(AH10="nd","nd",AH10*Table310[[#This Row],[dilution ]]/constants!$B$23)</f>
        <v>0.47735346358792186</v>
      </c>
      <c r="BA10" s="64">
        <f>Table310[[#This Row],[amount]]*Table310[[#This Row],[correction]]*Table310[[#This Row],[dilution ]]/1000</f>
        <v>4.2999999999999997E-2</v>
      </c>
    </row>
    <row r="11" spans="1:53" s="47" customFormat="1" ht="16" thickBot="1" x14ac:dyDescent="0.4">
      <c r="A11" s="63" t="str">
        <f>Table2[[#This Row],[Date]]</f>
        <v>23-03-18</v>
      </c>
      <c r="B11" s="74">
        <f>Table2[[#This Row],[Time]]</f>
        <v>3</v>
      </c>
      <c r="C11" s="41">
        <v>0</v>
      </c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9"/>
      <c r="O11" s="18"/>
      <c r="P11" s="18"/>
      <c r="Q11" s="18"/>
      <c r="R11" s="19"/>
      <c r="S11" s="20"/>
      <c r="T11" s="20"/>
      <c r="U11" s="20"/>
      <c r="V11" s="21"/>
      <c r="W11" s="52"/>
      <c r="X11" s="52"/>
      <c r="Y11" s="52"/>
      <c r="Z11" s="52"/>
      <c r="AA11" s="52"/>
      <c r="AB11" s="52"/>
      <c r="AC11" s="52"/>
      <c r="AD11" s="52"/>
      <c r="AE11" s="92">
        <v>6.22</v>
      </c>
      <c r="AF11">
        <v>10</v>
      </c>
      <c r="AG11" s="45">
        <v>1</v>
      </c>
      <c r="AH11" s="92">
        <v>9.5</v>
      </c>
      <c r="AI11"/>
      <c r="AJ11" s="64">
        <f>IF(D11="nd","nd",D11*$C11/constants!$B$3)</f>
        <v>0</v>
      </c>
      <c r="AK11" s="64">
        <f>IF(E11="nd","nd",E11*$C11/constants!$B$6)</f>
        <v>0</v>
      </c>
      <c r="AL11" s="64">
        <f>IF(F11="nd","nd",F11*$C11/constants!$B$7)</f>
        <v>0</v>
      </c>
      <c r="AM11" s="64">
        <f>IF(G11="nd","nd",G11*$C11/constants!$B$8)</f>
        <v>0</v>
      </c>
      <c r="AN11" s="64">
        <f>IF(H11="nd","nd",H11*$C11/constants!$B$9)</f>
        <v>0</v>
      </c>
      <c r="AO11" s="64">
        <f>IF(I11="nd","nd",I11*$C11/constants!$B$10)</f>
        <v>0</v>
      </c>
      <c r="AP11" s="177"/>
      <c r="AQ11" s="177"/>
      <c r="AR11" s="177"/>
      <c r="AS11" s="177"/>
      <c r="AT11" s="177"/>
      <c r="AU11" s="177"/>
      <c r="AV11" s="177"/>
      <c r="AW11" s="177"/>
      <c r="AX11" s="177"/>
      <c r="AY11" s="177"/>
      <c r="AZ11" s="64">
        <f>IF(AH11="nd","nd",AH11*Table310[[#This Row],[dilution ]]/constants!$B$23)</f>
        <v>1.0546181172291298</v>
      </c>
      <c r="BA11" s="64">
        <f>Table310[[#This Row],[amount]]*Table310[[#This Row],[correction]]*Table310[[#This Row],[dilution ]]/1000</f>
        <v>9.5000000000000001E-2</v>
      </c>
    </row>
    <row r="12" spans="1:53" s="66" customFormat="1" ht="16" thickBot="1" x14ac:dyDescent="0.4">
      <c r="A12" s="63" t="str">
        <f>Table2[[#This Row],[Date]]</f>
        <v>26-03-18</v>
      </c>
      <c r="B12" s="74">
        <f>Table2[[#This Row],[Time]]</f>
        <v>6</v>
      </c>
      <c r="C12" s="77">
        <v>0</v>
      </c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50"/>
      <c r="O12" s="49"/>
      <c r="P12" s="49"/>
      <c r="Q12" s="49"/>
      <c r="R12" s="50"/>
      <c r="S12" s="51"/>
      <c r="T12" s="51"/>
      <c r="U12" s="51"/>
      <c r="V12" s="78"/>
      <c r="W12" s="32"/>
      <c r="X12" s="32"/>
      <c r="Y12" s="32"/>
      <c r="Z12" s="32"/>
      <c r="AA12" s="32"/>
      <c r="AB12" s="32"/>
      <c r="AC12" s="32"/>
      <c r="AD12" s="32"/>
      <c r="AE12" s="80">
        <v>3.13</v>
      </c>
      <c r="AF12">
        <v>100</v>
      </c>
      <c r="AG12" s="45">
        <v>1</v>
      </c>
      <c r="AH12" s="80">
        <v>14.057399999999999</v>
      </c>
      <c r="AI12"/>
      <c r="AJ12" s="64">
        <f>IF(D12="nd","nd",D12*$C12/constants!$B$3)</f>
        <v>0</v>
      </c>
      <c r="AK12" s="64">
        <f>IF(E12="nd","nd",E12*$C12/constants!$B$6)</f>
        <v>0</v>
      </c>
      <c r="AL12" s="64">
        <f>IF(F12="nd","nd",F12*$C12/constants!$B$7)</f>
        <v>0</v>
      </c>
      <c r="AM12" s="64">
        <f>IF(G12="nd","nd",G12*$C12/constants!$B$8)</f>
        <v>0</v>
      </c>
      <c r="AN12" s="64">
        <f>IF(H12="nd","nd",H12*$C12/constants!$B$9)</f>
        <v>0</v>
      </c>
      <c r="AO12" s="64">
        <f>IF(I12="nd","nd",I12*$C12/constants!$B$10)</f>
        <v>0</v>
      </c>
      <c r="AP12" s="177"/>
      <c r="AQ12" s="177"/>
      <c r="AR12" s="177"/>
      <c r="AS12" s="177"/>
      <c r="AT12" s="177"/>
      <c r="AU12" s="177"/>
      <c r="AV12" s="177"/>
      <c r="AW12" s="177"/>
      <c r="AX12" s="177"/>
      <c r="AY12" s="177"/>
      <c r="AZ12" s="64">
        <f>IF(AH12="nd","nd",AH12*Table310[[#This Row],[dilution ]]/constants!$B$23)</f>
        <v>15.605461811722913</v>
      </c>
      <c r="BA12" s="64">
        <f>Table310[[#This Row],[amount]]*Table310[[#This Row],[correction]]*Table310[[#This Row],[dilution ]]/1000</f>
        <v>1.40574</v>
      </c>
    </row>
    <row r="13" spans="1:53" s="47" customFormat="1" ht="16" thickBot="1" x14ac:dyDescent="0.4">
      <c r="A13" s="63" t="str">
        <f>Table2[[#This Row],[Date]]</f>
        <v>29-03-18</v>
      </c>
      <c r="B13" s="74">
        <f>Table2[[#This Row],[Time]]</f>
        <v>9</v>
      </c>
      <c r="C13" s="41">
        <v>0</v>
      </c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9"/>
      <c r="O13" s="18"/>
      <c r="P13" s="18"/>
      <c r="Q13" s="18"/>
      <c r="R13" s="19"/>
      <c r="S13" s="20"/>
      <c r="T13" s="20"/>
      <c r="U13" s="20"/>
      <c r="V13" s="21"/>
      <c r="W13" s="52"/>
      <c r="X13" s="52"/>
      <c r="Y13" s="52"/>
      <c r="Z13" s="52"/>
      <c r="AA13" s="52"/>
      <c r="AB13" s="52"/>
      <c r="AC13" s="52"/>
      <c r="AD13" s="52"/>
      <c r="AE13" s="80">
        <v>2.6</v>
      </c>
      <c r="AF13">
        <v>100</v>
      </c>
      <c r="AG13" s="45">
        <v>1</v>
      </c>
      <c r="AH13" s="80">
        <v>53.829099999999997</v>
      </c>
      <c r="AI13"/>
      <c r="AJ13" s="64">
        <f>IF(D13="nd","nd",D13*$C13/constants!$B$3)</f>
        <v>0</v>
      </c>
      <c r="AK13" s="64">
        <f>IF(E13="nd","nd",E13*$C13/constants!$B$6)</f>
        <v>0</v>
      </c>
      <c r="AL13" s="64">
        <f>IF(F13="nd","nd",F13*$C13/constants!$B$7)</f>
        <v>0</v>
      </c>
      <c r="AM13" s="64">
        <f>IF(G13="nd","nd",G13*$C13/constants!$B$8)</f>
        <v>0</v>
      </c>
      <c r="AN13" s="64">
        <f>IF(H13="nd","nd",H13*$C13/constants!$B$9)</f>
        <v>0</v>
      </c>
      <c r="AO13" s="64">
        <f>IF(I13="nd","nd",I13*$C13/constants!$B$10)</f>
        <v>0</v>
      </c>
      <c r="AP13" s="177"/>
      <c r="AQ13" s="177"/>
      <c r="AR13" s="177"/>
      <c r="AS13" s="177"/>
      <c r="AT13" s="177"/>
      <c r="AU13" s="177"/>
      <c r="AV13" s="177"/>
      <c r="AW13" s="177"/>
      <c r="AX13" s="177"/>
      <c r="AY13" s="177"/>
      <c r="AZ13" s="64">
        <f>IF(AH13="nd","nd",AH13*Table310[[#This Row],[dilution ]]/constants!$B$23)</f>
        <v>59.756993783303727</v>
      </c>
      <c r="BA13" s="64">
        <f>Table310[[#This Row],[amount]]*Table310[[#This Row],[correction]]*Table310[[#This Row],[dilution ]]/1000</f>
        <v>5.3829099999999999</v>
      </c>
    </row>
    <row r="14" spans="1:53" s="66" customFormat="1" ht="16" thickBot="1" x14ac:dyDescent="0.4">
      <c r="A14" s="63">
        <f>Table2[[#This Row],[Date]]</f>
        <v>43163</v>
      </c>
      <c r="B14" s="74">
        <f>Table2[[#This Row],[Time]]</f>
        <v>15</v>
      </c>
      <c r="C14" s="77">
        <v>0</v>
      </c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50"/>
      <c r="O14" s="49"/>
      <c r="P14" s="49"/>
      <c r="Q14" s="49"/>
      <c r="R14" s="50"/>
      <c r="S14" s="51"/>
      <c r="T14" s="51"/>
      <c r="U14" s="51"/>
      <c r="V14" s="78"/>
      <c r="W14" s="32"/>
      <c r="X14" s="32"/>
      <c r="Y14" s="32"/>
      <c r="Z14" s="32"/>
      <c r="AA14" s="32"/>
      <c r="AB14" s="32"/>
      <c r="AC14" s="32"/>
      <c r="AD14" s="32"/>
      <c r="AE14" s="80">
        <v>2.4</v>
      </c>
      <c r="AF14">
        <f>200</f>
        <v>200</v>
      </c>
      <c r="AG14" s="45">
        <v>1</v>
      </c>
      <c r="AH14" s="92">
        <v>120.34</v>
      </c>
      <c r="AI14"/>
      <c r="AJ14" s="64">
        <f>IF(D14="nd","nd",D14*$C14/constants!$B$3)</f>
        <v>0</v>
      </c>
      <c r="AK14" s="64">
        <f>IF(E14="nd","nd",E14*$C14/constants!$B$6)</f>
        <v>0</v>
      </c>
      <c r="AL14" s="64">
        <f>IF(F14="nd","nd",F14*$C14/constants!$B$7)</f>
        <v>0</v>
      </c>
      <c r="AM14" s="64">
        <f>IF(G14="nd","nd",G14*$C14/constants!$B$8)</f>
        <v>0</v>
      </c>
      <c r="AN14" s="64">
        <f>IF(H14="nd","nd",H14*$C14/constants!$B$9)</f>
        <v>0</v>
      </c>
      <c r="AO14" s="64">
        <f>IF(I14="nd","nd",I14*$C14/constants!$B$10)</f>
        <v>0</v>
      </c>
      <c r="AP14" s="177"/>
      <c r="AQ14" s="177"/>
      <c r="AR14" s="177"/>
      <c r="AS14" s="177"/>
      <c r="AT14" s="177"/>
      <c r="AU14" s="177"/>
      <c r="AV14" s="177"/>
      <c r="AW14" s="177"/>
      <c r="AX14" s="177"/>
      <c r="AY14" s="177"/>
      <c r="AZ14" s="64">
        <f>IF(AH14="nd","nd",AH14*Table310[[#This Row],[dilution ]]/constants!$B$23)</f>
        <v>267.18472468916519</v>
      </c>
      <c r="BA14" s="64">
        <f>Table310[[#This Row],[amount]]*Table310[[#This Row],[correction]]*Table310[[#This Row],[dilution ]]/1000</f>
        <v>24.068000000000001</v>
      </c>
    </row>
    <row r="15" spans="1:53" s="47" customFormat="1" ht="16" thickBot="1" x14ac:dyDescent="0.4">
      <c r="A15" s="63">
        <f>Table2[[#This Row],[Date]]</f>
        <v>43347</v>
      </c>
      <c r="B15" s="167">
        <f>Table2[[#This Row],[Time]]</f>
        <v>21</v>
      </c>
      <c r="C15" s="41">
        <v>0</v>
      </c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9"/>
      <c r="O15" s="18"/>
      <c r="P15" s="18"/>
      <c r="Q15" s="18"/>
      <c r="R15" s="19"/>
      <c r="S15" s="20"/>
      <c r="T15" s="20"/>
      <c r="U15" s="20"/>
      <c r="V15" s="21"/>
      <c r="W15" s="52"/>
      <c r="X15" s="52"/>
      <c r="Y15" s="52"/>
      <c r="Z15" s="52"/>
      <c r="AA15" s="52"/>
      <c r="AB15" s="52"/>
      <c r="AC15" s="52"/>
      <c r="AD15" s="52"/>
      <c r="AE15" s="23">
        <v>2.4</v>
      </c>
      <c r="AF15">
        <v>100</v>
      </c>
      <c r="AG15" s="45">
        <v>1</v>
      </c>
      <c r="AH15" s="23">
        <v>286.89999999999998</v>
      </c>
      <c r="AI15"/>
      <c r="AJ15" s="64">
        <f>IF(D15="nd","nd",D15*$C15/constants!$B$3)</f>
        <v>0</v>
      </c>
      <c r="AK15" s="64">
        <f>IF(E15="nd","nd",E15*$C15/constants!$B$6)</f>
        <v>0</v>
      </c>
      <c r="AL15" s="64">
        <f>IF(F15="nd","nd",F15*$C15/constants!$B$7)</f>
        <v>0</v>
      </c>
      <c r="AM15" s="64">
        <f>IF(G15="nd","nd",G15*$C15/constants!$B$8)</f>
        <v>0</v>
      </c>
      <c r="AN15" s="64">
        <f>IF(H15="nd","nd",H15*$C15/constants!$B$9)</f>
        <v>0</v>
      </c>
      <c r="AO15" s="64">
        <f>IF(I15="nd","nd",I15*$C15/constants!$B$10)</f>
        <v>0</v>
      </c>
      <c r="AP15" s="177"/>
      <c r="AQ15" s="177"/>
      <c r="AR15" s="177"/>
      <c r="AS15" s="177"/>
      <c r="AT15" s="177"/>
      <c r="AU15" s="177"/>
      <c r="AV15" s="177"/>
      <c r="AW15" s="177"/>
      <c r="AX15" s="177"/>
      <c r="AY15" s="177"/>
      <c r="AZ15" s="64">
        <f>IF(AH15="nd","nd",AH15*Table310[[#This Row],[dilution ]]/constants!$B$23)</f>
        <v>318.49467140319712</v>
      </c>
      <c r="BA15" s="64">
        <f>Table310[[#This Row],[amount]]*Table310[[#This Row],[correction]]*Table310[[#This Row],[dilution ]]/1000</f>
        <v>28.689999999999998</v>
      </c>
    </row>
    <row r="16" spans="1:53" s="66" customFormat="1" ht="16" thickBot="1" x14ac:dyDescent="0.4">
      <c r="A16" s="63">
        <f>Table2[[#This Row],[Date]]</f>
        <v>43347</v>
      </c>
      <c r="B16" s="167">
        <f>Table2[[#This Row],[Time]]</f>
        <v>21</v>
      </c>
      <c r="C16" s="77">
        <v>10</v>
      </c>
      <c r="D16" s="106">
        <v>0</v>
      </c>
      <c r="E16" s="106">
        <v>0</v>
      </c>
      <c r="F16" s="106">
        <v>0</v>
      </c>
      <c r="G16" s="106">
        <v>0</v>
      </c>
      <c r="H16" s="106">
        <v>0</v>
      </c>
      <c r="I16" s="106">
        <v>1.6121360536508795</v>
      </c>
      <c r="J16" s="106">
        <v>9.7104868727915612</v>
      </c>
      <c r="K16" s="106">
        <v>20.170891165003184</v>
      </c>
      <c r="L16" s="106">
        <v>0.21938818441171443</v>
      </c>
      <c r="M16" s="106">
        <v>1.0016954690523519</v>
      </c>
      <c r="N16" s="107">
        <v>0.25128733388472774</v>
      </c>
      <c r="O16" s="106">
        <v>0</v>
      </c>
      <c r="P16" s="106">
        <v>0</v>
      </c>
      <c r="Q16" s="106">
        <v>0</v>
      </c>
      <c r="R16" s="107">
        <v>0</v>
      </c>
      <c r="S16" s="108">
        <v>8.2108944157176698</v>
      </c>
      <c r="T16" s="51"/>
      <c r="U16" s="51"/>
      <c r="V16" s="78"/>
      <c r="W16" s="32"/>
      <c r="X16" s="32"/>
      <c r="Y16" s="32"/>
      <c r="Z16" s="32"/>
      <c r="AA16" s="32"/>
      <c r="AB16" s="32"/>
      <c r="AC16" s="32"/>
      <c r="AD16" s="32"/>
      <c r="AE16" s="42">
        <v>6.5</v>
      </c>
      <c r="AF16" s="110">
        <v>100</v>
      </c>
      <c r="AG16" s="45">
        <v>1</v>
      </c>
      <c r="AH16" s="80">
        <v>166.86750000000001</v>
      </c>
      <c r="AI16" s="80"/>
      <c r="AJ16" s="64">
        <f>IF(D16="nd","nd",D16*$C16/constants!$B$3)</f>
        <v>0</v>
      </c>
      <c r="AK16" s="64">
        <f>IF(E16="nd","nd",E16*$C16/constants!$B$6)</f>
        <v>0</v>
      </c>
      <c r="AL16" s="64">
        <f>IF(F16="nd","nd",F16*$C16/constants!$B$7)</f>
        <v>0</v>
      </c>
      <c r="AM16" s="64">
        <f>IF(G16="nd","nd",G16*$C16/constants!$B$8)</f>
        <v>0</v>
      </c>
      <c r="AN16" s="64">
        <f>IF(H16="nd","nd",H16*$C16/constants!$B$9)</f>
        <v>0</v>
      </c>
      <c r="AO16" s="64">
        <f>IF(I16="nd","nd",I16*$C16/constants!$B$10)</f>
        <v>0.1577787617223915</v>
      </c>
      <c r="AP16" s="162">
        <f>(IF(IFERROR(J16-#REF!,J16)&gt;constants!$D$5,(IFERROR(J16-#REF!,J16)*$C16/1000),0))</f>
        <v>9.7104868727915614E-2</v>
      </c>
      <c r="AQ16" s="162">
        <f>(IF(IFERROR(K16-#REF!,K16)&gt;constants!$D$11,(IFERROR(K16-#REF!,K16)*$C16/1000),0))</f>
        <v>0.20170891165003182</v>
      </c>
      <c r="AR16" s="162">
        <f>(IF(IFERROR(L16-#REF!,L16)&gt;constants!$D$19,(IFERROR(L16-#REF!,L16)*$C16/1000),0))</f>
        <v>0</v>
      </c>
      <c r="AS16" s="162">
        <f>(IF(IFERROR(M16-#REF!,M16)&gt;constants!$D$4,(IFERROR(M16-#REF!,M16)*$C16/1000),0))</f>
        <v>0</v>
      </c>
      <c r="AT16" s="162">
        <f>(IF(IFERROR(N16-#REF!,N16)&gt;constants!$D$12,(IFERROR(N16-#REF!,N16)*$C16/1000),0))</f>
        <v>0</v>
      </c>
      <c r="AU16" s="162">
        <f>(IF(IFERROR(O16-#REF!,O16)&gt;constants!$D$12,(IFERROR(O16-#REF!,O16)*$C16/1000),0))</f>
        <v>0</v>
      </c>
      <c r="AV16" s="162">
        <f>(IF(IFERROR(P16-#REF!,P16)&gt;constants!$D$5,(IFERROR(P16-#REF!,P16)*$C16/1000),0))</f>
        <v>0</v>
      </c>
      <c r="AW16" s="162">
        <f>(IF(IFERROR(Q16-#REF!,Q16)&gt;constants!$D$13,(IFERROR(Q16-#REF!,Q16)*$C16/1000),0))</f>
        <v>0</v>
      </c>
      <c r="AX16" s="162">
        <f>(IF(IFERROR(R16-#REF!,R16)&gt;constants!$D$14,(IFERROR(R16-#REF!,R16)*$C16/1000),0))</f>
        <v>0</v>
      </c>
      <c r="AY16" s="162">
        <f>(IF(IFERROR(S16-#REF!,S16)&gt;constants!$D$15,(IFERROR(S16-#REF!,S16)*$C16/1000),0))</f>
        <v>8.2108944157176691E-2</v>
      </c>
      <c r="AZ16" s="64">
        <f>IF(AH16="nd","nd",AH16*Table310[[#This Row],[dilution ]]/constants!$B$23)</f>
        <v>185.24367229129663</v>
      </c>
      <c r="BA16" s="64">
        <f>Table310[[#This Row],[amount]]*Table310[[#This Row],[correction]]*Table310[[#This Row],[dilution ]]/1000</f>
        <v>16.68675</v>
      </c>
    </row>
    <row r="17" spans="1:53" s="47" customFormat="1" ht="16" thickBot="1" x14ac:dyDescent="0.4">
      <c r="A17" s="63" t="str">
        <f>Table2[[#This Row],[Date]]</f>
        <v>13-04</v>
      </c>
      <c r="B17" s="167">
        <f>Table2[[#This Row],[Time]]</f>
        <v>26</v>
      </c>
      <c r="C17" s="41">
        <v>10</v>
      </c>
      <c r="D17" s="106">
        <v>0</v>
      </c>
      <c r="E17" s="106">
        <v>0</v>
      </c>
      <c r="F17" s="106">
        <v>0</v>
      </c>
      <c r="G17" s="106">
        <v>0</v>
      </c>
      <c r="H17" s="106">
        <v>0</v>
      </c>
      <c r="I17" s="106">
        <v>0</v>
      </c>
      <c r="J17" s="106">
        <v>16.489595744872343</v>
      </c>
      <c r="K17" s="106">
        <v>14.515350134600968</v>
      </c>
      <c r="L17" s="106">
        <v>0</v>
      </c>
      <c r="M17" s="106">
        <v>7.4194961311390459</v>
      </c>
      <c r="N17" s="107">
        <v>0</v>
      </c>
      <c r="O17" s="106">
        <v>0</v>
      </c>
      <c r="P17" s="106">
        <v>0</v>
      </c>
      <c r="Q17" s="106">
        <v>1.3177666414325353</v>
      </c>
      <c r="R17" s="107">
        <v>0</v>
      </c>
      <c r="S17" s="108">
        <v>4.8531069895763883</v>
      </c>
      <c r="T17" s="108"/>
      <c r="U17" s="108"/>
      <c r="V17" s="108"/>
      <c r="W17" s="17"/>
      <c r="X17" s="17"/>
      <c r="Y17" s="17"/>
      <c r="Z17" s="17"/>
      <c r="AA17" s="17"/>
      <c r="AB17" s="17"/>
      <c r="AC17" s="17"/>
      <c r="AD17" s="17"/>
      <c r="AE17" s="53">
        <v>6.45</v>
      </c>
      <c r="AF17" s="17">
        <v>100</v>
      </c>
      <c r="AG17" s="45">
        <v>1</v>
      </c>
      <c r="AH17" s="92">
        <v>140.10169999999999</v>
      </c>
      <c r="AJ17" s="64">
        <f>IF(D17="nd","nd",D17*$C17/constants!$B$3)</f>
        <v>0</v>
      </c>
      <c r="AK17" s="64">
        <f>IF(E17="nd","nd",E17*$C17/constants!$B$6)</f>
        <v>0</v>
      </c>
      <c r="AL17" s="64">
        <f>IF(F17="nd","nd",F17*$C17/constants!$B$7)</f>
        <v>0</v>
      </c>
      <c r="AM17" s="64">
        <f>IF(G17="nd","nd",G17*$C17/constants!$B$8)</f>
        <v>0</v>
      </c>
      <c r="AN17" s="64">
        <f>IF(H17="nd","nd",H17*$C17/constants!$B$9)</f>
        <v>0</v>
      </c>
      <c r="AO17" s="64">
        <f>IF(I17="nd","nd",I17*$C17/constants!$B$10)</f>
        <v>0</v>
      </c>
      <c r="AP17" s="162">
        <f>(IF(IFERROR(J17-#REF!,J17)&gt;constants!$D$5,(IFERROR(J17-#REF!,J17)*$C17/1000),0))</f>
        <v>0.16489595744872343</v>
      </c>
      <c r="AQ17" s="162">
        <f>(IF(IFERROR(K17-#REF!,K17)&gt;constants!$D$11,(IFERROR(K17-#REF!,K17)*$C17/1000),0))</f>
        <v>0.14515350134600968</v>
      </c>
      <c r="AR17" s="162">
        <f>(IF(IFERROR(L17-#REF!,L17)&gt;constants!$D$19,(IFERROR(L17-#REF!,L17)*$C17/1000),0))</f>
        <v>0</v>
      </c>
      <c r="AS17" s="162">
        <f>(IF(IFERROR(M17-#REF!,M17)&gt;constants!$D$4,(IFERROR(M17-#REF!,M17)*$C17/1000),0))</f>
        <v>7.4194961311390459E-2</v>
      </c>
      <c r="AT17" s="162">
        <f>(IF(IFERROR(N17-#REF!,N17)&gt;constants!$D$12,(IFERROR(N17-#REF!,N17)*$C17/1000),0))</f>
        <v>0</v>
      </c>
      <c r="AU17" s="162">
        <f>(IF(IFERROR(O17-#REF!,O17)&gt;constants!$D$12,(IFERROR(O17-#REF!,O17)*$C17/1000),0))</f>
        <v>0</v>
      </c>
      <c r="AV17" s="162">
        <f>(IF(IFERROR(P17-#REF!,P17)&gt;constants!$D$5,(IFERROR(P17-#REF!,P17)*$C17/1000),0))</f>
        <v>0</v>
      </c>
      <c r="AW17" s="162">
        <f>(IF(IFERROR(Q17-#REF!,Q17)&gt;constants!$D$13,(IFERROR(Q17-#REF!,Q17)*$C17/1000),0))</f>
        <v>0</v>
      </c>
      <c r="AX17" s="162">
        <f>(IF(IFERROR(R17-#REF!,R17)&gt;constants!$D$14,(IFERROR(R17-#REF!,R17)*$C17/1000),0))</f>
        <v>0</v>
      </c>
      <c r="AY17" s="162">
        <f>(IF(IFERROR(S17-#REF!,S17)&gt;constants!$D$15,(IFERROR(S17-#REF!,S17)*$C17/1000),0))</f>
        <v>4.8531069895763883E-2</v>
      </c>
      <c r="AZ17" s="64">
        <f>IF(AH17="nd","nd",AH17*Table310[[#This Row],[dilution ]]/constants!$B$23)</f>
        <v>155.53030639431617</v>
      </c>
      <c r="BA17" s="64">
        <f>Table310[[#This Row],[amount]]*Table310[[#This Row],[correction]]*Table310[[#This Row],[dilution ]]/1000</f>
        <v>14.01017</v>
      </c>
    </row>
    <row r="18" spans="1:53" s="66" customFormat="1" ht="16" thickBot="1" x14ac:dyDescent="0.4">
      <c r="A18" s="63" t="str">
        <f>Table2[[#This Row],[Date]]</f>
        <v>16-04</v>
      </c>
      <c r="B18" s="167">
        <f>Table2[[#This Row],[Time]]</f>
        <v>29</v>
      </c>
      <c r="C18" s="114">
        <v>10</v>
      </c>
      <c r="D18" s="106">
        <v>0</v>
      </c>
      <c r="E18" s="106">
        <v>0</v>
      </c>
      <c r="F18" s="106">
        <v>0</v>
      </c>
      <c r="G18" s="106">
        <v>0</v>
      </c>
      <c r="H18" s="106">
        <v>0</v>
      </c>
      <c r="I18" s="138">
        <v>0</v>
      </c>
      <c r="J18" s="138">
        <v>3.3000683593750003E-2</v>
      </c>
      <c r="K18" s="138">
        <v>0.10695065104166666</v>
      </c>
      <c r="L18" s="138">
        <v>0</v>
      </c>
      <c r="M18" s="138">
        <v>0.13342636718749998</v>
      </c>
      <c r="N18" s="138">
        <v>0</v>
      </c>
      <c r="O18" s="138">
        <v>0</v>
      </c>
      <c r="P18" s="138">
        <v>0</v>
      </c>
      <c r="Q18" s="138">
        <v>0</v>
      </c>
      <c r="R18" s="138">
        <v>0</v>
      </c>
      <c r="S18" s="138">
        <v>1.3855902777777778E-2</v>
      </c>
      <c r="T18" s="80"/>
      <c r="U18" s="80"/>
      <c r="V18" s="81"/>
      <c r="AE18" s="65">
        <v>6.64</v>
      </c>
      <c r="AF18" s="66">
        <v>100</v>
      </c>
      <c r="AG18" s="45">
        <v>1</v>
      </c>
      <c r="AH18" s="92">
        <v>117.8129</v>
      </c>
      <c r="AI18" s="92"/>
      <c r="AJ18" s="64">
        <f>IF(D18="nd","nd",D18*$C18/constants!$B$3)</f>
        <v>0</v>
      </c>
      <c r="AK18" s="64">
        <f>IF(E18="nd","nd",E18*$C18/constants!$B$6)</f>
        <v>0</v>
      </c>
      <c r="AL18" s="64">
        <f>IF(F18="nd","nd",F18*$C18/constants!$B$7)</f>
        <v>0</v>
      </c>
      <c r="AM18" s="64">
        <f>IF(G18="nd","nd",G18*$C18/constants!$B$8)</f>
        <v>0</v>
      </c>
      <c r="AN18" s="64">
        <f>IF(H18="nd","nd",H18*$C18/constants!$B$9)</f>
        <v>0</v>
      </c>
      <c r="AO18" s="64">
        <f>IF(I18="nd","nd",I18*$C18/constants!$B$10)</f>
        <v>0</v>
      </c>
      <c r="AP18" s="162">
        <f>(IF(IFERROR(J18-#REF!,J18)&gt;constants!$D$5,(IFERROR(J18-#REF!,J18)*$C18/1000),0))</f>
        <v>0</v>
      </c>
      <c r="AQ18" s="162">
        <f>(IF(IFERROR(K18-#REF!,K18)&gt;constants!$D$11,(IFERROR(K18-#REF!,K18)*$C18/1000),0))</f>
        <v>0</v>
      </c>
      <c r="AR18" s="162">
        <f>(IF(IFERROR(L18-#REF!,L18)&gt;constants!$D$19,(IFERROR(L18-#REF!,L18)*$C18/1000),0))</f>
        <v>0</v>
      </c>
      <c r="AS18" s="162">
        <f>(IF(IFERROR(M18-#REF!,M18)&gt;constants!$D$4,(IFERROR(M18-#REF!,M18)*$C18/1000),0))</f>
        <v>0</v>
      </c>
      <c r="AT18" s="162">
        <f>(IF(IFERROR(N18-#REF!,N18)&gt;constants!$D$12,(IFERROR(N18-#REF!,N18)*$C18/1000),0))</f>
        <v>0</v>
      </c>
      <c r="AU18" s="162">
        <f>(IF(IFERROR(O18-#REF!,O18)&gt;constants!$D$12,(IFERROR(O18-#REF!,O18)*$C18/1000),0))</f>
        <v>0</v>
      </c>
      <c r="AV18" s="162">
        <f>(IF(IFERROR(P18-#REF!,P18)&gt;constants!$D$5,(IFERROR(P18-#REF!,P18)*$C18/1000),0))</f>
        <v>0</v>
      </c>
      <c r="AW18" s="162">
        <f>(IF(IFERROR(Q18-#REF!,Q18)&gt;constants!$D$13,(IFERROR(Q18-#REF!,Q18)*$C18/1000),0))</f>
        <v>0</v>
      </c>
      <c r="AX18" s="162">
        <f>(IF(IFERROR(R18-#REF!,R18)&gt;constants!$D$14,(IFERROR(R18-#REF!,R18)*$C18/1000),0))</f>
        <v>0</v>
      </c>
      <c r="AY18" s="162">
        <f>(IF(IFERROR(S18-#REF!,S18)&gt;constants!$D$15,(IFERROR(S18-#REF!,S18)*$C18/1000),0))</f>
        <v>0</v>
      </c>
      <c r="AZ18" s="64">
        <f>IF(AH18="nd","nd",AH18*Table310[[#This Row],[dilution ]]/constants!$B$23)</f>
        <v>130.78696714031972</v>
      </c>
      <c r="BA18" s="64">
        <f>Table310[[#This Row],[amount]]*Table310[[#This Row],[correction]]*Table310[[#This Row],[dilution ]]/1000</f>
        <v>11.781289999999998</v>
      </c>
    </row>
    <row r="19" spans="1:53" s="47" customFormat="1" ht="16" thickBot="1" x14ac:dyDescent="0.4">
      <c r="A19" s="63" t="str">
        <f>Table2[[#This Row],[Date]]</f>
        <v>19-04</v>
      </c>
      <c r="B19" s="167">
        <f>Table2[[#This Row],[Time]]</f>
        <v>32</v>
      </c>
      <c r="C19" s="79">
        <v>10</v>
      </c>
      <c r="D19" s="106">
        <v>0</v>
      </c>
      <c r="E19" s="106">
        <v>0</v>
      </c>
      <c r="F19" s="106">
        <v>0</v>
      </c>
      <c r="G19" s="106">
        <v>0</v>
      </c>
      <c r="H19" s="106">
        <v>0</v>
      </c>
      <c r="I19" s="104">
        <v>0</v>
      </c>
      <c r="J19" s="104">
        <v>23.035643970611655</v>
      </c>
      <c r="K19" s="104">
        <v>79.378528904893201</v>
      </c>
      <c r="L19" s="104">
        <v>5.3977764785186686</v>
      </c>
      <c r="M19" s="104">
        <v>154.55060253375925</v>
      </c>
      <c r="N19" s="105">
        <v>0</v>
      </c>
      <c r="O19" s="104">
        <v>4.8162970584782911</v>
      </c>
      <c r="P19" s="104">
        <v>0.90594651643899338</v>
      </c>
      <c r="Q19" s="104">
        <v>1.2587116872866451</v>
      </c>
      <c r="R19" s="105">
        <v>0</v>
      </c>
      <c r="S19" s="103">
        <v>1.5781869039714302</v>
      </c>
      <c r="V19" s="82"/>
      <c r="AE19" s="55">
        <v>7</v>
      </c>
      <c r="AF19" s="47">
        <v>100</v>
      </c>
      <c r="AG19" s="45">
        <v>1</v>
      </c>
      <c r="AH19" s="177">
        <v>0</v>
      </c>
      <c r="AJ19" s="64">
        <f>IF(D19="nd","nd",D19*$C19/constants!$B$3)</f>
        <v>0</v>
      </c>
      <c r="AK19" s="64">
        <f>IF(E19="nd","nd",E19*$C19/constants!$B$6)</f>
        <v>0</v>
      </c>
      <c r="AL19" s="64">
        <f>IF(F19="nd","nd",F19*$C19/constants!$B$7)</f>
        <v>0</v>
      </c>
      <c r="AM19" s="64">
        <f>IF(G19="nd","nd",G19*$C19/constants!$B$8)</f>
        <v>0</v>
      </c>
      <c r="AN19" s="64">
        <f>IF(H19="nd","nd",H19*$C19/constants!$B$9)</f>
        <v>0</v>
      </c>
      <c r="AO19" s="64">
        <f>IF(I19="nd","nd",I19*$C19/constants!$B$10)</f>
        <v>0</v>
      </c>
      <c r="AP19" s="162">
        <f>(IF(IFERROR(J19-#REF!,J19)&gt;constants!$D$5,(IFERROR(J19-#REF!,J19)*$C19/1000),0))</f>
        <v>0.23035643970611655</v>
      </c>
      <c r="AQ19" s="162">
        <f>(IF(IFERROR(K19-#REF!,K19)&gt;constants!$D$11,(IFERROR(K19-#REF!,K19)*$C19/1000),0))</f>
        <v>0.79378528904893197</v>
      </c>
      <c r="AR19" s="162">
        <f>(IF(IFERROR(L19-#REF!,L19)&gt;constants!$D$19,(IFERROR(L19-#REF!,L19)*$C19/1000),0))</f>
        <v>5.3977764785186684E-2</v>
      </c>
      <c r="AS19" s="162">
        <f>(IF(IFERROR(M19-#REF!,M19)&gt;constants!$D$4,(IFERROR(M19-#REF!,M19)*$C19/1000),0))</f>
        <v>1.5455060253375925</v>
      </c>
      <c r="AT19" s="162">
        <f>(IF(IFERROR(N19-#REF!,N19)&gt;constants!$D$12,(IFERROR(N19-#REF!,N19)*$C19/1000),0))</f>
        <v>0</v>
      </c>
      <c r="AU19" s="162">
        <f>(IF(IFERROR(O19-#REF!,O19)&gt;constants!$D$12,(IFERROR(O19-#REF!,O19)*$C19/1000),0))</f>
        <v>4.8162970584782909E-2</v>
      </c>
      <c r="AV19" s="162">
        <f>(IF(IFERROR(P19-#REF!,P19)&gt;constants!$D$5,(IFERROR(P19-#REF!,P19)*$C19/1000),0))</f>
        <v>0</v>
      </c>
      <c r="AW19" s="162">
        <f>(IF(IFERROR(Q19-#REF!,Q19)&gt;constants!$D$13,(IFERROR(Q19-#REF!,Q19)*$C19/1000),0))</f>
        <v>0</v>
      </c>
      <c r="AX19" s="162">
        <f>(IF(IFERROR(R19-#REF!,R19)&gt;constants!$D$14,(IFERROR(R19-#REF!,R19)*$C19/1000),0))</f>
        <v>0</v>
      </c>
      <c r="AY19" s="162">
        <f>(IF(IFERROR(S19-#REF!,S19)&gt;constants!$D$15,(IFERROR(S19-#REF!,S19)*$C19/1000),0))</f>
        <v>1.5781869039714302E-2</v>
      </c>
      <c r="AZ19" s="64">
        <f>IF(AH19="nd","nd",AH19*Table310[[#This Row],[dilution ]]/constants!$B$23)</f>
        <v>0</v>
      </c>
      <c r="BA19" s="64">
        <f>Table310[[#This Row],[amount]]*Table310[[#This Row],[correction]]*Table310[[#This Row],[dilution ]]/1000</f>
        <v>0</v>
      </c>
    </row>
    <row r="20" spans="1:53" s="66" customFormat="1" ht="16" thickBot="1" x14ac:dyDescent="0.4">
      <c r="A20" s="63" t="str">
        <f>Table2[[#This Row],[Date]]</f>
        <v>26-04</v>
      </c>
      <c r="B20" s="167">
        <f>Table2[[#This Row],[Time]]</f>
        <v>38</v>
      </c>
      <c r="C20" s="79">
        <v>10</v>
      </c>
      <c r="D20" s="106">
        <v>0</v>
      </c>
      <c r="E20" s="106">
        <v>0</v>
      </c>
      <c r="F20" s="106">
        <v>0</v>
      </c>
      <c r="G20" s="106">
        <v>0</v>
      </c>
      <c r="H20" s="106">
        <v>0</v>
      </c>
      <c r="I20" s="106">
        <v>0.86911314806271667</v>
      </c>
      <c r="J20" s="106">
        <v>134.57141977583652</v>
      </c>
      <c r="K20" s="106">
        <v>151.36575065378926</v>
      </c>
      <c r="L20" s="106">
        <v>99.57460759018754</v>
      </c>
      <c r="M20" s="106">
        <v>609.59605876428486</v>
      </c>
      <c r="N20" s="107">
        <v>6.2004268463559198</v>
      </c>
      <c r="O20" s="106">
        <v>37.765888835874186</v>
      </c>
      <c r="P20" s="106">
        <v>1.0563756865127807</v>
      </c>
      <c r="Q20" s="106">
        <v>2.9749096214742363</v>
      </c>
      <c r="R20" s="107">
        <v>0</v>
      </c>
      <c r="S20" s="108">
        <v>0</v>
      </c>
      <c r="T20" s="108"/>
      <c r="U20" s="108"/>
      <c r="V20" s="108"/>
      <c r="W20" s="96"/>
      <c r="X20" s="97"/>
      <c r="Y20" s="96"/>
      <c r="Z20" s="98"/>
      <c r="AA20" s="99"/>
      <c r="AB20" s="97"/>
      <c r="AC20" s="96"/>
      <c r="AD20" s="100"/>
      <c r="AE20" s="65"/>
      <c r="AF20" s="66">
        <v>50</v>
      </c>
      <c r="AG20" s="45">
        <v>1</v>
      </c>
      <c r="AH20" s="66">
        <v>6.9</v>
      </c>
      <c r="AJ20" s="64">
        <f>IF(D20="nd","nd",D20*$C20/constants!$B$3)</f>
        <v>0</v>
      </c>
      <c r="AK20" s="64">
        <f>IF(E20="nd","nd",E20*$C20/constants!$B$6)</f>
        <v>0</v>
      </c>
      <c r="AL20" s="64">
        <f>IF(F20="nd","nd",F20*$C20/constants!$B$7)</f>
        <v>0</v>
      </c>
      <c r="AM20" s="64">
        <f>IF(G20="nd","nd",G20*$C20/constants!$B$8)</f>
        <v>0</v>
      </c>
      <c r="AN20" s="64">
        <f>IF(H20="nd","nd",H20*$C20/constants!$B$9)</f>
        <v>0</v>
      </c>
      <c r="AO20" s="64">
        <f>IF(I20="nd","nd",I20*$C20/constants!$B$10)</f>
        <v>8.5059568010679182E-2</v>
      </c>
      <c r="AP20" s="162">
        <f>(IF(IFERROR(J20-#REF!,J20)&gt;constants!$D$5,(IFERROR(J20-#REF!,J20)*$C20/1000),0))</f>
        <v>1.3457141977583651</v>
      </c>
      <c r="AQ20" s="162">
        <f>(IF(IFERROR(K20-#REF!,K20)&gt;constants!$D$11,(IFERROR(K20-#REF!,K20)*$C20/1000),0))</f>
        <v>1.5136575065378928</v>
      </c>
      <c r="AR20" s="162">
        <f>(IF(IFERROR(L20-#REF!,L20)&gt;constants!$D$19,(IFERROR(L20-#REF!,L20)*$C20/1000),0))</f>
        <v>0.99574607590187547</v>
      </c>
      <c r="AS20" s="162">
        <f>(IF(IFERROR(M20-#REF!,M20)&gt;constants!$D$4,(IFERROR(M20-#REF!,M20)*$C20/1000),0))</f>
        <v>6.0959605876428489</v>
      </c>
      <c r="AT20" s="162">
        <f>(IF(IFERROR(N20-#REF!,N20)&gt;constants!$D$12,(IFERROR(N20-#REF!,N20)*$C20/1000),0))</f>
        <v>6.2004268463559199E-2</v>
      </c>
      <c r="AU20" s="162">
        <f>(IF(IFERROR(O20-#REF!,O20)&gt;constants!$D$12,(IFERROR(O20-#REF!,O20)*$C20/1000),0))</f>
        <v>0.3776588883587419</v>
      </c>
      <c r="AV20" s="162">
        <f>(IF(IFERROR(P20-#REF!,P20)&gt;constants!$D$5,(IFERROR(P20-#REF!,P20)*$C20/1000),0))</f>
        <v>0</v>
      </c>
      <c r="AW20" s="162">
        <f>(IF(IFERROR(Q20-#REF!,Q20)&gt;constants!$D$13,(IFERROR(Q20-#REF!,Q20)*$C20/1000),0))</f>
        <v>2.9749096214742362E-2</v>
      </c>
      <c r="AX20" s="162">
        <f>(IF(IFERROR(R20-#REF!,R20)&gt;constants!$D$14,(IFERROR(R20-#REF!,R20)*$C20/1000),0))</f>
        <v>0</v>
      </c>
      <c r="AY20" s="162">
        <f>(IF(IFERROR(S20-#REF!,S20)&gt;constants!$D$15,(IFERROR(S20-#REF!,S20)*$C20/1000),0))</f>
        <v>0</v>
      </c>
      <c r="AZ20" s="64">
        <f>IF(AH20="nd","nd",AH20*Table310[[#This Row],[dilution ]]/constants!$B$23)</f>
        <v>3.829928952042629</v>
      </c>
      <c r="BA20" s="64">
        <f>Table310[[#This Row],[amount]]*Table310[[#This Row],[correction]]*Table310[[#This Row],[dilution ]]/1000</f>
        <v>0.34499999999999997</v>
      </c>
    </row>
    <row r="21" spans="1:53" s="47" customFormat="1" ht="16" thickBot="1" x14ac:dyDescent="0.4">
      <c r="A21" s="63">
        <f>Table2[[#This Row],[Date]]</f>
        <v>43105</v>
      </c>
      <c r="B21" s="167">
        <f>Table2[[#This Row],[Time]]</f>
        <v>43</v>
      </c>
      <c r="C21" s="54">
        <v>20</v>
      </c>
      <c r="D21" s="106">
        <v>0</v>
      </c>
      <c r="E21" s="106">
        <v>0</v>
      </c>
      <c r="F21" s="106">
        <v>0</v>
      </c>
      <c r="G21" s="106">
        <v>0</v>
      </c>
      <c r="H21" s="106">
        <v>0</v>
      </c>
      <c r="I21" s="106">
        <v>0</v>
      </c>
      <c r="J21" s="106">
        <v>46.758530459581038</v>
      </c>
      <c r="K21" s="106">
        <v>43.331172398858989</v>
      </c>
      <c r="L21" s="106">
        <v>27.537366776345753</v>
      </c>
      <c r="M21" s="106">
        <v>170.51147169694048</v>
      </c>
      <c r="N21" s="107">
        <v>2.0217275007808193</v>
      </c>
      <c r="O21" s="106">
        <v>10.614799283502379</v>
      </c>
      <c r="P21" s="106">
        <v>0</v>
      </c>
      <c r="Q21" s="106">
        <v>1.409516772683886</v>
      </c>
      <c r="R21" s="107">
        <v>0</v>
      </c>
      <c r="S21" s="108">
        <v>0</v>
      </c>
      <c r="T21" s="108"/>
      <c r="U21" s="108"/>
      <c r="V21" s="108"/>
      <c r="W21" s="96"/>
      <c r="X21" s="97"/>
      <c r="Y21" s="96"/>
      <c r="Z21" s="98"/>
      <c r="AA21" s="99"/>
      <c r="AB21" s="97"/>
      <c r="AC21" s="96"/>
      <c r="AD21" s="100"/>
      <c r="AE21" s="55">
        <v>7.56</v>
      </c>
      <c r="AF21" s="47">
        <v>20</v>
      </c>
      <c r="AG21" s="45">
        <v>1</v>
      </c>
      <c r="AH21" s="47">
        <v>0</v>
      </c>
      <c r="AJ21" s="64">
        <f>IF(D21="nd","nd",D21*$C21/constants!$B$3)</f>
        <v>0</v>
      </c>
      <c r="AK21" s="64">
        <f>IF(E21="nd","nd",E21*$C21/constants!$B$6)</f>
        <v>0</v>
      </c>
      <c r="AL21" s="64">
        <f>IF(F21="nd","nd",F21*$C21/constants!$B$7)</f>
        <v>0</v>
      </c>
      <c r="AM21" s="64">
        <f>IF(G21="nd","nd",G21*$C21/constants!$B$8)</f>
        <v>0</v>
      </c>
      <c r="AN21" s="64">
        <f>IF(H21="nd","nd",H21*$C21/constants!$B$9)</f>
        <v>0</v>
      </c>
      <c r="AO21" s="64">
        <f>IF(I21="nd","nd",I21*$C21/constants!$B$10)</f>
        <v>0</v>
      </c>
      <c r="AP21" s="162">
        <f>(IF(IFERROR(J21-#REF!,J21)&gt;constants!$D$5,(IFERROR(J21-#REF!,J21)*$C21/1000),0))</f>
        <v>0.93517060919162076</v>
      </c>
      <c r="AQ21" s="162">
        <f>(IF(IFERROR(K21-#REF!,K21)&gt;constants!$D$11,(IFERROR(K21-#REF!,K21)*$C21/1000),0))</f>
        <v>0.86662344797717983</v>
      </c>
      <c r="AR21" s="162">
        <f>(IF(IFERROR(L21-#REF!,L21)&gt;constants!$D$19,(IFERROR(L21-#REF!,L21)*$C21/1000),0))</f>
        <v>0.55074733552691513</v>
      </c>
      <c r="AS21" s="162">
        <f>(IF(IFERROR(M21-#REF!,M21)&gt;constants!$D$4,(IFERROR(M21-#REF!,M21)*$C21/1000),0))</f>
        <v>3.4102294339388095</v>
      </c>
      <c r="AT21" s="162">
        <f>(IF(IFERROR(N21-#REF!,N21)&gt;constants!$D$12,(IFERROR(N21-#REF!,N21)*$C21/1000),0))</f>
        <v>0</v>
      </c>
      <c r="AU21" s="162">
        <f>(IF(IFERROR(O21-#REF!,O21)&gt;constants!$D$12,(IFERROR(O21-#REF!,O21)*$C21/1000),0))</f>
        <v>0.21229598567004757</v>
      </c>
      <c r="AV21" s="162">
        <f>(IF(IFERROR(P21-#REF!,P21)&gt;constants!$D$5,(IFERROR(P21-#REF!,P21)*$C21/1000),0))</f>
        <v>0</v>
      </c>
      <c r="AW21" s="162">
        <f>(IF(IFERROR(Q21-#REF!,Q21)&gt;constants!$D$13,(IFERROR(Q21-#REF!,Q21)*$C21/1000),0))</f>
        <v>0</v>
      </c>
      <c r="AX21" s="162">
        <f>(IF(IFERROR(R21-#REF!,R21)&gt;constants!$D$14,(IFERROR(R21-#REF!,R21)*$C21/1000),0))</f>
        <v>0</v>
      </c>
      <c r="AY21" s="162">
        <f>(IF(IFERROR(S21-#REF!,S21)&gt;constants!$D$15,(IFERROR(S21-#REF!,S21)*$C21/1000),0))</f>
        <v>0</v>
      </c>
      <c r="AZ21" s="64">
        <f>IF(AH21="nd","nd",AH21*Table310[[#This Row],[dilution ]]/constants!$B$23)</f>
        <v>0</v>
      </c>
      <c r="BA21" s="64">
        <f>Table310[[#This Row],[amount]]*Table310[[#This Row],[correction]]*Table310[[#This Row],[dilution ]]/1000</f>
        <v>0</v>
      </c>
    </row>
    <row r="22" spans="1:53" s="66" customFormat="1" ht="16" thickBot="1" x14ac:dyDescent="0.4">
      <c r="A22" s="63">
        <f>Table2[[#This Row],[Date]]</f>
        <v>43195</v>
      </c>
      <c r="B22" s="167">
        <f>Table2[[#This Row],[Time]]</f>
        <v>46</v>
      </c>
      <c r="C22" s="79">
        <v>20</v>
      </c>
      <c r="D22" s="106">
        <v>0</v>
      </c>
      <c r="E22" s="106">
        <v>0.97150176436090374</v>
      </c>
      <c r="F22" s="106">
        <v>0</v>
      </c>
      <c r="G22" s="106">
        <v>0</v>
      </c>
      <c r="H22" s="106">
        <v>0</v>
      </c>
      <c r="I22" s="106">
        <v>0</v>
      </c>
      <c r="J22" s="106">
        <v>71.344131499833239</v>
      </c>
      <c r="K22" s="106">
        <v>72.860402818389147</v>
      </c>
      <c r="L22" s="106">
        <v>47.966580282220647</v>
      </c>
      <c r="M22" s="106">
        <v>295.7632883436923</v>
      </c>
      <c r="N22" s="107">
        <v>3.5671276030818442</v>
      </c>
      <c r="O22" s="106">
        <v>18.661666222688609</v>
      </c>
      <c r="P22" s="106">
        <v>0</v>
      </c>
      <c r="Q22" s="106">
        <v>1.9961296120207068</v>
      </c>
      <c r="R22" s="107">
        <v>0</v>
      </c>
      <c r="S22" s="108">
        <v>0</v>
      </c>
      <c r="T22" s="108"/>
      <c r="U22" s="108"/>
      <c r="V22" s="108"/>
      <c r="AE22" s="65">
        <v>7.28</v>
      </c>
      <c r="AF22" s="66">
        <v>20</v>
      </c>
      <c r="AG22" s="45">
        <v>1</v>
      </c>
      <c r="AH22" s="66">
        <v>0</v>
      </c>
      <c r="AJ22" s="64">
        <f>IF(D22="nd","nd",D22*$C22/constants!$B$3)</f>
        <v>0</v>
      </c>
      <c r="AK22" s="64">
        <f>IF(E22="nd","nd",E22*$C22/constants!$B$6)</f>
        <v>0.42175943231279328</v>
      </c>
      <c r="AL22" s="64">
        <f>IF(F22="nd","nd",F22*$C22/constants!$B$7)</f>
        <v>0</v>
      </c>
      <c r="AM22" s="64">
        <f>IF(G22="nd","nd",G22*$C22/constants!$B$8)</f>
        <v>0</v>
      </c>
      <c r="AN22" s="64">
        <f>IF(H22="nd","nd",H22*$C22/constants!$B$9)</f>
        <v>0</v>
      </c>
      <c r="AO22" s="64">
        <f>IF(I22="nd","nd",I22*$C22/constants!$B$10)</f>
        <v>0</v>
      </c>
      <c r="AP22" s="162">
        <f>(IF(IFERROR(J22-#REF!,J22)&gt;constants!$D$5,(IFERROR(J22-#REF!,J22)*$C22/1000),0))</f>
        <v>1.4268826299966648</v>
      </c>
      <c r="AQ22" s="162">
        <f>(IF(IFERROR(K22-#REF!,K22)&gt;constants!$D$11,(IFERROR(K22-#REF!,K22)*$C22/1000),0))</f>
        <v>1.4572080563677829</v>
      </c>
      <c r="AR22" s="162">
        <f>(IF(IFERROR(L22-#REF!,L22)&gt;constants!$D$19,(IFERROR(L22-#REF!,L22)*$C22/1000),0))</f>
        <v>0.959331605644413</v>
      </c>
      <c r="AS22" s="162">
        <f>(IF(IFERROR(M22-#REF!,M22)&gt;constants!$D$4,(IFERROR(M22-#REF!,M22)*$C22/1000),0))</f>
        <v>5.915265766873846</v>
      </c>
      <c r="AT22" s="162">
        <f>(IF(IFERROR(N22-#REF!,N22)&gt;constants!$D$12,(IFERROR(N22-#REF!,N22)*$C22/1000),0))</f>
        <v>7.134255206163688E-2</v>
      </c>
      <c r="AU22" s="162">
        <f>(IF(IFERROR(O22-#REF!,O22)&gt;constants!$D$12,(IFERROR(O22-#REF!,O22)*$C22/1000),0))</f>
        <v>0.37323332445377216</v>
      </c>
      <c r="AV22" s="162">
        <f>(IF(IFERROR(P22-#REF!,P22)&gt;constants!$D$5,(IFERROR(P22-#REF!,P22)*$C22/1000),0))</f>
        <v>0</v>
      </c>
      <c r="AW22" s="162">
        <f>(IF(IFERROR(Q22-#REF!,Q22)&gt;constants!$D$13,(IFERROR(Q22-#REF!,Q22)*$C22/1000),0))</f>
        <v>0</v>
      </c>
      <c r="AX22" s="162">
        <f>(IF(IFERROR(R22-#REF!,R22)&gt;constants!$D$14,(IFERROR(R22-#REF!,R22)*$C22/1000),0))</f>
        <v>0</v>
      </c>
      <c r="AY22" s="162">
        <f>(IF(IFERROR(S22-#REF!,S22)&gt;constants!$D$15,(IFERROR(S22-#REF!,S22)*$C22/1000),0))</f>
        <v>0</v>
      </c>
      <c r="AZ22" s="64">
        <f>IF(AH22="nd","nd",AH22*Table310[[#This Row],[dilution ]]/constants!$B$23)</f>
        <v>0</v>
      </c>
      <c r="BA22" s="64">
        <f>Table310[[#This Row],[amount]]*Table310[[#This Row],[correction]]*Table310[[#This Row],[dilution ]]/1000</f>
        <v>0</v>
      </c>
    </row>
    <row r="23" spans="1:53" s="47" customFormat="1" ht="16" thickBot="1" x14ac:dyDescent="0.4">
      <c r="A23" s="63">
        <f>Table2[[#This Row],[Date]]</f>
        <v>43317</v>
      </c>
      <c r="B23" s="167">
        <f>Table2[[#This Row],[Time]]</f>
        <v>50</v>
      </c>
      <c r="C23" s="54">
        <v>50</v>
      </c>
      <c r="D23" s="106">
        <v>0</v>
      </c>
      <c r="E23" s="106">
        <v>0.2807944415176486</v>
      </c>
      <c r="F23" s="106">
        <v>0</v>
      </c>
      <c r="G23" s="106">
        <v>0</v>
      </c>
      <c r="H23" s="106">
        <v>0</v>
      </c>
      <c r="I23" s="106">
        <v>0</v>
      </c>
      <c r="J23" s="106">
        <v>24.224806835162184</v>
      </c>
      <c r="K23" s="106">
        <v>28.002552645508135</v>
      </c>
      <c r="L23" s="106">
        <v>17.365677976957159</v>
      </c>
      <c r="M23" s="106">
        <v>109.06578377296442</v>
      </c>
      <c r="N23" s="107">
        <v>1.3040540730611401</v>
      </c>
      <c r="O23" s="106">
        <v>6.8303299459917373</v>
      </c>
      <c r="P23" s="106">
        <v>0</v>
      </c>
      <c r="Q23" s="106">
        <v>0.79830518809163031</v>
      </c>
      <c r="R23" s="107">
        <v>0</v>
      </c>
      <c r="S23" s="108">
        <v>0</v>
      </c>
      <c r="T23" s="108"/>
      <c r="U23" s="108"/>
      <c r="V23" s="108"/>
      <c r="W23" s="96"/>
      <c r="X23" s="97"/>
      <c r="Y23" s="96"/>
      <c r="Z23" s="98"/>
      <c r="AA23" s="99"/>
      <c r="AB23" s="97"/>
      <c r="AC23" s="96"/>
      <c r="AD23" s="100"/>
      <c r="AE23" s="55"/>
      <c r="AF23" s="47">
        <v>10</v>
      </c>
      <c r="AG23" s="45">
        <v>1</v>
      </c>
      <c r="AH23" s="47">
        <v>0</v>
      </c>
      <c r="AJ23" s="64">
        <f>IF(D23="nd","nd",D23*$C23/constants!$B$3)</f>
        <v>0</v>
      </c>
      <c r="AK23" s="64">
        <f>IF(E23="nd","nd",E23*$C23/constants!$B$6)</f>
        <v>0.30475421814848225</v>
      </c>
      <c r="AL23" s="64">
        <f>IF(F23="nd","nd",F23*$C23/constants!$B$7)</f>
        <v>0</v>
      </c>
      <c r="AM23" s="64">
        <f>IF(G23="nd","nd",G23*$C23/constants!$B$8)</f>
        <v>0</v>
      </c>
      <c r="AN23" s="64">
        <f>IF(H23="nd","nd",H23*$C23/constants!$B$9)</f>
        <v>0</v>
      </c>
      <c r="AO23" s="64">
        <f>IF(I23="nd","nd",I23*$C23/constants!$B$10)</f>
        <v>0</v>
      </c>
      <c r="AP23" s="162">
        <f>(IF(IFERROR(J23-#REF!,J23)&gt;constants!$D$5,(IFERROR(J23-#REF!,J23)*$C23/1000),0))</f>
        <v>1.2112403417581092</v>
      </c>
      <c r="AQ23" s="162">
        <f>(IF(IFERROR(K23-#REF!,K23)&gt;constants!$D$11,(IFERROR(K23-#REF!,K23)*$C23/1000),0))</f>
        <v>1.4001276322754068</v>
      </c>
      <c r="AR23" s="162">
        <f>(IF(IFERROR(L23-#REF!,L23)&gt;constants!$D$19,(IFERROR(L23-#REF!,L23)*$C23/1000),0))</f>
        <v>0.86828389884785795</v>
      </c>
      <c r="AS23" s="162">
        <f>(IF(IFERROR(M23-#REF!,M23)&gt;constants!$D$4,(IFERROR(M23-#REF!,M23)*$C23/1000),0))</f>
        <v>5.4532891886482213</v>
      </c>
      <c r="AT23" s="162">
        <f>(IF(IFERROR(N23-#REF!,N23)&gt;constants!$D$12,(IFERROR(N23-#REF!,N23)*$C23/1000),0))</f>
        <v>0</v>
      </c>
      <c r="AU23" s="162">
        <f>(IF(IFERROR(O23-#REF!,O23)&gt;constants!$D$12,(IFERROR(O23-#REF!,O23)*$C23/1000),0))</f>
        <v>0.34151649729958689</v>
      </c>
      <c r="AV23" s="162">
        <f>(IF(IFERROR(P23-#REF!,P23)&gt;constants!$D$5,(IFERROR(P23-#REF!,P23)*$C23/1000),0))</f>
        <v>0</v>
      </c>
      <c r="AW23" s="162">
        <f>(IF(IFERROR(Q23-#REF!,Q23)&gt;constants!$D$13,(IFERROR(Q23-#REF!,Q23)*$C23/1000),0))</f>
        <v>0</v>
      </c>
      <c r="AX23" s="162">
        <f>(IF(IFERROR(R23-#REF!,R23)&gt;constants!$D$14,(IFERROR(R23-#REF!,R23)*$C23/1000),0))</f>
        <v>0</v>
      </c>
      <c r="AY23" s="162">
        <f>(IF(IFERROR(S23-#REF!,S23)&gt;constants!$D$15,(IFERROR(S23-#REF!,S23)*$C23/1000),0))</f>
        <v>0</v>
      </c>
      <c r="AZ23" s="64">
        <f>IF(AH23="nd","nd",AH23*Table310[[#This Row],[dilution ]]/constants!$B$23)</f>
        <v>0</v>
      </c>
      <c r="BA23" s="64">
        <f>Table310[[#This Row],[amount]]*Table310[[#This Row],[correction]]*Table310[[#This Row],[dilution ]]/1000</f>
        <v>0</v>
      </c>
    </row>
    <row r="24" spans="1:53" s="66" customFormat="1" ht="16" thickBot="1" x14ac:dyDescent="0.4">
      <c r="A24" s="63" t="str">
        <f>Table2[[#This Row],[Date]]</f>
        <v>16-05-2018</v>
      </c>
      <c r="B24" s="167">
        <f>Table2[[#This Row],[Time]]</f>
        <v>58</v>
      </c>
      <c r="C24" s="79">
        <v>20</v>
      </c>
      <c r="D24" s="106">
        <v>0</v>
      </c>
      <c r="E24" s="106">
        <v>0</v>
      </c>
      <c r="F24" s="106">
        <v>0</v>
      </c>
      <c r="G24" s="106">
        <v>0</v>
      </c>
      <c r="H24" s="106">
        <v>0</v>
      </c>
      <c r="I24" s="106">
        <v>0</v>
      </c>
      <c r="J24" s="106">
        <v>84.554386430038917</v>
      </c>
      <c r="K24" s="106">
        <v>93.427892035094729</v>
      </c>
      <c r="L24" s="106">
        <v>61.768723186694906</v>
      </c>
      <c r="M24" s="106">
        <v>379.26455122965609</v>
      </c>
      <c r="N24" s="107">
        <v>5.5240846267675856</v>
      </c>
      <c r="O24" s="106">
        <v>24.12906519388639</v>
      </c>
      <c r="P24" s="106">
        <v>0.74745361745503613</v>
      </c>
      <c r="Q24" s="106">
        <v>3.3770017250685687</v>
      </c>
      <c r="R24" s="107">
        <v>0.90973014690147247</v>
      </c>
      <c r="S24" s="108">
        <v>0</v>
      </c>
      <c r="T24" s="108"/>
      <c r="U24" s="108"/>
      <c r="V24" s="108"/>
      <c r="AE24" s="65">
        <v>7.61</v>
      </c>
      <c r="AG24" s="45">
        <v>1</v>
      </c>
      <c r="AJ24" s="64">
        <f>IF(D24="nd","nd",D24*$C24/constants!$B$3)</f>
        <v>0</v>
      </c>
      <c r="AK24" s="64">
        <f>IF(E24="nd","nd",E24*$C24/constants!$B$6)</f>
        <v>0</v>
      </c>
      <c r="AL24" s="64">
        <f>IF(F24="nd","nd",F24*$C24/constants!$B$7)</f>
        <v>0</v>
      </c>
      <c r="AM24" s="64">
        <f>IF(G24="nd","nd",G24*$C24/constants!$B$8)</f>
        <v>0</v>
      </c>
      <c r="AN24" s="64">
        <f>IF(H24="nd","nd",H24*$C24/constants!$B$9)</f>
        <v>0</v>
      </c>
      <c r="AO24" s="64">
        <f>IF(I24="nd","nd",I24*$C24/constants!$B$10)</f>
        <v>0</v>
      </c>
      <c r="AP24" s="162">
        <f>(IF(IFERROR(J24-#REF!,J24)&gt;constants!$D$5,(IFERROR(J24-#REF!,J24)*$C24/1000),0))</f>
        <v>1.6910877286007784</v>
      </c>
      <c r="AQ24" s="162">
        <f>(IF(IFERROR(K24-#REF!,K24)&gt;constants!$D$11,(IFERROR(K24-#REF!,K24)*$C24/1000),0))</f>
        <v>1.8685578407018946</v>
      </c>
      <c r="AR24" s="162">
        <f>(IF(IFERROR(L24-#REF!,L24)&gt;constants!$D$19,(IFERROR(L24-#REF!,L24)*$C24/1000),0))</f>
        <v>1.2353744637338981</v>
      </c>
      <c r="AS24" s="162">
        <f>(IF(IFERROR(M24-#REF!,M24)&gt;constants!$D$4,(IFERROR(M24-#REF!,M24)*$C24/1000),0))</f>
        <v>7.585291024593122</v>
      </c>
      <c r="AT24" s="162">
        <f>(IF(IFERROR(N24-#REF!,N24)&gt;constants!$D$12,(IFERROR(N24-#REF!,N24)*$C24/1000),0))</f>
        <v>0.11048169253535171</v>
      </c>
      <c r="AU24" s="162">
        <f>(IF(IFERROR(O24-#REF!,O24)&gt;constants!$D$12,(IFERROR(O24-#REF!,O24)*$C24/1000),0))</f>
        <v>0.4825813038777278</v>
      </c>
      <c r="AV24" s="162">
        <f>(IF(IFERROR(P24-#REF!,P24)&gt;constants!$D$5,(IFERROR(P24-#REF!,P24)*$C24/1000),0))</f>
        <v>0</v>
      </c>
      <c r="AW24" s="162">
        <f>(IF(IFERROR(Q24-#REF!,Q24)&gt;constants!$D$13,(IFERROR(Q24-#REF!,Q24)*$C24/1000),0))</f>
        <v>6.754003450137136E-2</v>
      </c>
      <c r="AX24" s="162">
        <f>(IF(IFERROR(R24-#REF!,R24)&gt;constants!$D$14,(IFERROR(R24-#REF!,R24)*$C24/1000),0))</f>
        <v>0</v>
      </c>
      <c r="AY24" s="162">
        <f>(IF(IFERROR(S24-#REF!,S24)&gt;constants!$D$15,(IFERROR(S24-#REF!,S24)*$C24/1000),0))</f>
        <v>0</v>
      </c>
      <c r="AZ24" s="64">
        <f>IF(AH24="nd","nd",AH24*Table310[[#This Row],[dilution ]]/constants!$B$23)</f>
        <v>0</v>
      </c>
      <c r="BA24" s="64">
        <f>Table310[[#This Row],[amount]]*Table310[[#This Row],[correction]]*Table310[[#This Row],[dilution ]]/1000</f>
        <v>0</v>
      </c>
    </row>
    <row r="25" spans="1:53" s="47" customFormat="1" ht="16" thickBot="1" x14ac:dyDescent="0.4">
      <c r="A25" s="63"/>
      <c r="B25" s="74"/>
      <c r="C25" s="54"/>
      <c r="V25" s="82"/>
      <c r="AE25" s="55"/>
      <c r="AG25" s="32"/>
      <c r="AJ25" s="64"/>
      <c r="AK25" s="64"/>
      <c r="AL25" s="64"/>
      <c r="AM25" s="64"/>
      <c r="AN25" s="64"/>
      <c r="AO25" s="64"/>
      <c r="AP25" s="162"/>
      <c r="AQ25" s="162"/>
      <c r="AR25" s="162"/>
      <c r="AS25" s="162"/>
      <c r="AT25" s="162"/>
      <c r="AU25" s="162"/>
      <c r="AV25" s="162"/>
      <c r="AW25" s="162"/>
      <c r="AX25" s="162"/>
      <c r="AY25" s="162"/>
      <c r="AZ25" s="64"/>
      <c r="BA25" s="64"/>
    </row>
    <row r="26" spans="1:53" s="66" customFormat="1" ht="16" thickBot="1" x14ac:dyDescent="0.4">
      <c r="A26" s="63"/>
      <c r="B26" s="74"/>
      <c r="C26" s="79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1"/>
      <c r="AE26" s="65"/>
      <c r="AG26" s="32"/>
      <c r="AJ26" s="64"/>
      <c r="AK26" s="64"/>
      <c r="AL26" s="64"/>
      <c r="AM26" s="64"/>
      <c r="AN26" s="64"/>
      <c r="AO26" s="6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64"/>
      <c r="BA26" s="64"/>
    </row>
    <row r="27" spans="1:53" s="47" customFormat="1" ht="16" thickBot="1" x14ac:dyDescent="0.4">
      <c r="A27" s="63"/>
      <c r="B27" s="74"/>
      <c r="C27" s="54"/>
      <c r="V27" s="82"/>
      <c r="AE27" s="55"/>
      <c r="AG27" s="32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</row>
    <row r="28" spans="1:53" s="66" customFormat="1" ht="16" thickBot="1" x14ac:dyDescent="0.4">
      <c r="A28" s="63"/>
      <c r="B28" s="74"/>
      <c r="C28" s="79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1"/>
      <c r="AE28" s="65"/>
      <c r="AG28" s="32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</row>
    <row r="29" spans="1:53" s="47" customFormat="1" ht="16" thickBot="1" x14ac:dyDescent="0.4">
      <c r="A29" s="63"/>
      <c r="B29" s="74"/>
      <c r="C29" s="54"/>
      <c r="V29" s="82"/>
      <c r="AE29" s="55"/>
      <c r="AG29" s="32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</row>
    <row r="30" spans="1:53" s="66" customFormat="1" ht="16" thickBot="1" x14ac:dyDescent="0.4">
      <c r="A30" s="63"/>
      <c r="B30" s="74"/>
      <c r="C30" s="79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1"/>
      <c r="AE30" s="65"/>
      <c r="AG30" s="32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</row>
    <row r="31" spans="1:53" s="47" customFormat="1" ht="16" thickBot="1" x14ac:dyDescent="0.4">
      <c r="A31" s="63"/>
      <c r="B31" s="74"/>
      <c r="C31" s="54"/>
      <c r="V31" s="82"/>
      <c r="AE31" s="55"/>
      <c r="AG31" s="32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</row>
    <row r="32" spans="1:53" ht="16" thickBot="1" x14ac:dyDescent="0.4">
      <c r="A32" s="60"/>
      <c r="B32" s="74"/>
      <c r="C32" s="8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84"/>
      <c r="AE32" s="43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</row>
    <row r="33" spans="1:31" x14ac:dyDescent="0.35">
      <c r="A33" s="60"/>
      <c r="AE33" s="43"/>
    </row>
    <row r="34" spans="1:31" x14ac:dyDescent="0.35">
      <c r="AE34" s="43"/>
    </row>
    <row r="35" spans="1:31" x14ac:dyDescent="0.35">
      <c r="AE35" s="43"/>
    </row>
    <row r="36" spans="1:31" ht="15" thickBot="1" x14ac:dyDescent="0.4">
      <c r="AE36" s="44"/>
    </row>
  </sheetData>
  <pageMargins left="0.7" right="0.7" top="0.75" bottom="0.75" header="0.3" footer="0.3"/>
  <pageSetup paperSize="9" orientation="portrait" r:id="rId1"/>
  <tableParts count="4">
    <tablePart r:id="rId2"/>
    <tablePart r:id="rId3"/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A36"/>
  <sheetViews>
    <sheetView zoomScale="80" zoomScaleNormal="80" workbookViewId="0">
      <pane xSplit="2" topLeftCell="C1" activePane="topRight" state="frozen"/>
      <selection pane="topRight"/>
    </sheetView>
  </sheetViews>
  <sheetFormatPr defaultRowHeight="14.5" x14ac:dyDescent="0.35"/>
  <cols>
    <col min="1" max="1" width="16.453125" bestFit="1" customWidth="1"/>
    <col min="2" max="2" width="11" customWidth="1"/>
    <col min="3" max="3" width="10.453125" customWidth="1"/>
    <col min="4" max="4" width="10.7265625" customWidth="1"/>
    <col min="5" max="12" width="11.7265625" customWidth="1"/>
    <col min="13" max="22" width="12.7265625" customWidth="1"/>
    <col min="23" max="23" width="11.81640625" customWidth="1"/>
    <col min="24" max="24" width="12.7265625" customWidth="1"/>
    <col min="25" max="25" width="11.26953125" customWidth="1"/>
    <col min="26" max="26" width="12.7265625" customWidth="1"/>
    <col min="27" max="27" width="13.26953125" customWidth="1"/>
    <col min="28" max="28" width="12.7265625" customWidth="1"/>
    <col min="29" max="29" width="13.26953125" customWidth="1"/>
    <col min="30" max="30" width="12.7265625" customWidth="1"/>
    <col min="32" max="32" width="10.81640625" customWidth="1"/>
    <col min="33" max="33" width="11.26953125" customWidth="1"/>
    <col min="34" max="35" width="10.1796875" customWidth="1"/>
    <col min="36" max="36" width="15.81640625" customWidth="1"/>
    <col min="37" max="44" width="16.81640625" customWidth="1"/>
    <col min="45" max="53" width="17.81640625" customWidth="1"/>
  </cols>
  <sheetData>
    <row r="1" spans="1:53" x14ac:dyDescent="0.35">
      <c r="A1" s="24" t="s">
        <v>28</v>
      </c>
      <c r="B1" s="24" t="s">
        <v>163</v>
      </c>
      <c r="C1" s="24"/>
    </row>
    <row r="2" spans="1:53" x14ac:dyDescent="0.35">
      <c r="A2" s="25" t="s">
        <v>30</v>
      </c>
      <c r="B2" s="25" t="s">
        <v>31</v>
      </c>
      <c r="C2" s="24" t="s">
        <v>75</v>
      </c>
      <c r="AJ2" s="2" t="s">
        <v>2</v>
      </c>
    </row>
    <row r="3" spans="1:53" x14ac:dyDescent="0.35">
      <c r="A3" s="25"/>
      <c r="B3" s="25"/>
      <c r="C3" s="24"/>
      <c r="AP3" s="177"/>
      <c r="AQ3" s="177"/>
      <c r="AR3" s="177"/>
    </row>
    <row r="4" spans="1:53" x14ac:dyDescent="0.35">
      <c r="A4" s="24"/>
      <c r="B4" s="24"/>
      <c r="C4" s="56"/>
      <c r="E4" s="1"/>
      <c r="F4" s="3"/>
      <c r="G4" s="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 t="s">
        <v>60</v>
      </c>
      <c r="X4" s="1"/>
      <c r="Y4" s="1"/>
      <c r="Z4" s="1"/>
      <c r="AA4" s="1"/>
      <c r="AC4" s="1"/>
      <c r="AD4" s="1"/>
      <c r="AE4" s="1"/>
      <c r="AF4" t="s">
        <v>69</v>
      </c>
      <c r="AJ4" s="37" t="s">
        <v>37</v>
      </c>
      <c r="AL4" s="3"/>
      <c r="AM4" s="2"/>
      <c r="AN4" s="1"/>
      <c r="AO4" s="1"/>
      <c r="AP4" s="177"/>
      <c r="AQ4" s="177"/>
      <c r="AR4" s="177"/>
      <c r="AS4" s="1"/>
      <c r="AT4" s="1"/>
      <c r="AU4" s="1"/>
      <c r="AV4" s="1"/>
      <c r="AW4" s="1"/>
      <c r="AX4" s="1"/>
      <c r="AY4" s="1"/>
      <c r="AZ4" s="1"/>
      <c r="BA4" s="1"/>
    </row>
    <row r="5" spans="1:53" ht="15" thickBot="1" x14ac:dyDescent="0.4">
      <c r="A5" s="24"/>
      <c r="B5" s="24"/>
      <c r="C5" s="2" t="s">
        <v>2</v>
      </c>
      <c r="D5" s="2"/>
      <c r="E5" s="1"/>
      <c r="F5" s="3"/>
      <c r="G5" s="2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C5" s="1"/>
      <c r="AD5" s="1"/>
      <c r="AE5" s="1"/>
      <c r="AJ5" s="37"/>
      <c r="AL5" s="3"/>
      <c r="AM5" s="2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</row>
    <row r="6" spans="1:53" x14ac:dyDescent="0.35">
      <c r="C6" s="5" t="s">
        <v>3</v>
      </c>
      <c r="D6" s="6" t="s">
        <v>4</v>
      </c>
      <c r="E6" s="6" t="s">
        <v>90</v>
      </c>
      <c r="F6" s="6" t="s">
        <v>91</v>
      </c>
      <c r="G6" s="6" t="s">
        <v>92</v>
      </c>
      <c r="H6" s="6" t="s">
        <v>93</v>
      </c>
      <c r="I6" s="6" t="s">
        <v>94</v>
      </c>
      <c r="J6" s="6" t="s">
        <v>95</v>
      </c>
      <c r="K6" s="6" t="s">
        <v>96</v>
      </c>
      <c r="L6" s="6" t="s">
        <v>97</v>
      </c>
      <c r="M6" s="6" t="s">
        <v>98</v>
      </c>
      <c r="N6" s="6" t="s">
        <v>99</v>
      </c>
      <c r="O6" s="6" t="s">
        <v>100</v>
      </c>
      <c r="P6" s="6" t="s">
        <v>101</v>
      </c>
      <c r="Q6" s="6" t="s">
        <v>102</v>
      </c>
      <c r="R6" s="6" t="s">
        <v>103</v>
      </c>
      <c r="S6" s="7" t="s">
        <v>104</v>
      </c>
      <c r="T6" s="7" t="s">
        <v>105</v>
      </c>
      <c r="U6" s="7" t="s">
        <v>106</v>
      </c>
      <c r="V6" s="8" t="s">
        <v>107</v>
      </c>
      <c r="W6" s="36" t="s">
        <v>61</v>
      </c>
      <c r="X6" s="33" t="s">
        <v>108</v>
      </c>
      <c r="Y6" s="36" t="s">
        <v>62</v>
      </c>
      <c r="Z6" s="35" t="s">
        <v>109</v>
      </c>
      <c r="AA6" s="34" t="s">
        <v>110</v>
      </c>
      <c r="AB6" s="33" t="s">
        <v>111</v>
      </c>
      <c r="AC6" s="36" t="s">
        <v>112</v>
      </c>
      <c r="AD6" s="35" t="s">
        <v>113</v>
      </c>
      <c r="AE6" s="38" t="s">
        <v>68</v>
      </c>
      <c r="AF6" s="39" t="s">
        <v>70</v>
      </c>
      <c r="AG6" s="39" t="s">
        <v>151</v>
      </c>
      <c r="AH6" s="40" t="s">
        <v>32</v>
      </c>
      <c r="AI6" s="127" t="s">
        <v>136</v>
      </c>
      <c r="AJ6" s="69" t="s">
        <v>35</v>
      </c>
      <c r="AK6" s="70" t="s">
        <v>114</v>
      </c>
      <c r="AL6" s="70" t="s">
        <v>115</v>
      </c>
      <c r="AM6" s="70" t="s">
        <v>116</v>
      </c>
      <c r="AN6" s="70" t="s">
        <v>117</v>
      </c>
      <c r="AO6" s="70" t="s">
        <v>118</v>
      </c>
      <c r="AP6" s="70" t="s">
        <v>119</v>
      </c>
      <c r="AQ6" s="70" t="s">
        <v>120</v>
      </c>
      <c r="AR6" s="70" t="s">
        <v>121</v>
      </c>
      <c r="AS6" s="70" t="s">
        <v>122</v>
      </c>
      <c r="AT6" s="70" t="s">
        <v>123</v>
      </c>
      <c r="AU6" s="70" t="s">
        <v>124</v>
      </c>
      <c r="AV6" s="70" t="s">
        <v>125</v>
      </c>
      <c r="AW6" s="70" t="s">
        <v>126</v>
      </c>
      <c r="AX6" s="70" t="s">
        <v>127</v>
      </c>
      <c r="AY6" s="71" t="s">
        <v>128</v>
      </c>
      <c r="AZ6" s="72" t="s">
        <v>129</v>
      </c>
      <c r="BA6" s="85" t="s">
        <v>148</v>
      </c>
    </row>
    <row r="7" spans="1:53" x14ac:dyDescent="0.35">
      <c r="C7" s="9" t="s">
        <v>5</v>
      </c>
      <c r="D7" s="10" t="s">
        <v>7</v>
      </c>
      <c r="E7" s="10" t="s">
        <v>7</v>
      </c>
      <c r="F7" s="10" t="s">
        <v>7</v>
      </c>
      <c r="G7" s="10" t="s">
        <v>7</v>
      </c>
      <c r="H7" s="10" t="s">
        <v>7</v>
      </c>
      <c r="I7" s="10" t="s">
        <v>7</v>
      </c>
      <c r="J7" s="10" t="s">
        <v>7</v>
      </c>
      <c r="K7" s="10" t="s">
        <v>7</v>
      </c>
      <c r="L7" s="10" t="s">
        <v>7</v>
      </c>
      <c r="M7" s="10" t="s">
        <v>7</v>
      </c>
      <c r="N7" s="10" t="s">
        <v>7</v>
      </c>
      <c r="O7" s="10" t="s">
        <v>7</v>
      </c>
      <c r="P7" s="10" t="s">
        <v>7</v>
      </c>
      <c r="Q7" s="10" t="s">
        <v>7</v>
      </c>
      <c r="R7" s="10" t="s">
        <v>7</v>
      </c>
      <c r="S7" s="11" t="s">
        <v>7</v>
      </c>
      <c r="T7" s="11" t="s">
        <v>6</v>
      </c>
      <c r="U7" s="11" t="s">
        <v>6</v>
      </c>
      <c r="V7" s="12" t="s">
        <v>6</v>
      </c>
      <c r="W7" s="36" t="s">
        <v>63</v>
      </c>
      <c r="X7" s="33" t="s">
        <v>64</v>
      </c>
      <c r="Y7" s="36" t="s">
        <v>63</v>
      </c>
      <c r="Z7" s="35" t="s">
        <v>64</v>
      </c>
      <c r="AA7" s="34" t="s">
        <v>63</v>
      </c>
      <c r="AB7" s="33" t="s">
        <v>64</v>
      </c>
      <c r="AC7" s="36" t="s">
        <v>63</v>
      </c>
      <c r="AD7" s="35" t="s">
        <v>64</v>
      </c>
      <c r="AE7" s="38"/>
      <c r="AF7" s="39" t="s">
        <v>5</v>
      </c>
      <c r="AG7" s="39" t="s">
        <v>5</v>
      </c>
      <c r="AH7" s="40" t="s">
        <v>7</v>
      </c>
      <c r="AI7" s="39" t="s">
        <v>137</v>
      </c>
      <c r="AJ7" s="9" t="s">
        <v>36</v>
      </c>
      <c r="AK7" s="10" t="s">
        <v>36</v>
      </c>
      <c r="AL7" s="10" t="s">
        <v>36</v>
      </c>
      <c r="AM7" s="10" t="s">
        <v>36</v>
      </c>
      <c r="AN7" s="10" t="s">
        <v>36</v>
      </c>
      <c r="AO7" s="10" t="s">
        <v>36</v>
      </c>
      <c r="AP7" s="163" t="s">
        <v>77</v>
      </c>
      <c r="AQ7" s="163" t="s">
        <v>77</v>
      </c>
      <c r="AR7" s="163" t="s">
        <v>77</v>
      </c>
      <c r="AS7" s="163" t="s">
        <v>77</v>
      </c>
      <c r="AT7" s="163" t="s">
        <v>77</v>
      </c>
      <c r="AU7" s="163" t="s">
        <v>77</v>
      </c>
      <c r="AV7" s="163" t="s">
        <v>77</v>
      </c>
      <c r="AW7" s="163" t="s">
        <v>77</v>
      </c>
      <c r="AX7" s="163" t="s">
        <v>77</v>
      </c>
      <c r="AY7" s="163" t="s">
        <v>77</v>
      </c>
      <c r="AZ7" s="58" t="s">
        <v>36</v>
      </c>
      <c r="BA7" s="86" t="s">
        <v>152</v>
      </c>
    </row>
    <row r="8" spans="1:53" ht="16" thickBot="1" x14ac:dyDescent="0.4">
      <c r="A8" s="22" t="s">
        <v>0</v>
      </c>
      <c r="B8" s="73" t="s">
        <v>1</v>
      </c>
      <c r="C8" s="13" t="s">
        <v>6</v>
      </c>
      <c r="D8" s="14" t="s">
        <v>8</v>
      </c>
      <c r="E8" s="14" t="s">
        <v>9</v>
      </c>
      <c r="F8" s="14" t="s">
        <v>10</v>
      </c>
      <c r="G8" s="14" t="s">
        <v>11</v>
      </c>
      <c r="H8" s="14" t="s">
        <v>12</v>
      </c>
      <c r="I8" s="14" t="s">
        <v>13</v>
      </c>
      <c r="J8" s="14" t="s">
        <v>14</v>
      </c>
      <c r="K8" s="14" t="s">
        <v>15</v>
      </c>
      <c r="L8" s="14" t="s">
        <v>16</v>
      </c>
      <c r="M8" s="14" t="s">
        <v>17</v>
      </c>
      <c r="N8" s="14" t="s">
        <v>18</v>
      </c>
      <c r="O8" s="14" t="s">
        <v>19</v>
      </c>
      <c r="P8" s="14" t="s">
        <v>20</v>
      </c>
      <c r="Q8" s="14" t="s">
        <v>21</v>
      </c>
      <c r="R8" s="14" t="s">
        <v>22</v>
      </c>
      <c r="S8" s="15" t="s">
        <v>23</v>
      </c>
      <c r="T8" s="15" t="s">
        <v>24</v>
      </c>
      <c r="U8" s="15" t="s">
        <v>25</v>
      </c>
      <c r="V8" s="16" t="s">
        <v>26</v>
      </c>
      <c r="W8" s="36" t="s">
        <v>65</v>
      </c>
      <c r="X8" s="33" t="s">
        <v>65</v>
      </c>
      <c r="Y8" s="36" t="s">
        <v>66</v>
      </c>
      <c r="Z8" s="35" t="s">
        <v>66</v>
      </c>
      <c r="AA8" s="34" t="s">
        <v>55</v>
      </c>
      <c r="AB8" s="33" t="s">
        <v>55</v>
      </c>
      <c r="AC8" s="36" t="s">
        <v>67</v>
      </c>
      <c r="AD8" s="35" t="s">
        <v>67</v>
      </c>
      <c r="AE8" s="38"/>
      <c r="AF8" s="39"/>
      <c r="AG8" s="39"/>
      <c r="AH8" s="40" t="s">
        <v>73</v>
      </c>
      <c r="AI8" s="39" t="s">
        <v>145</v>
      </c>
      <c r="AJ8" s="13" t="s">
        <v>8</v>
      </c>
      <c r="AK8" s="14" t="s">
        <v>9</v>
      </c>
      <c r="AL8" s="14" t="s">
        <v>10</v>
      </c>
      <c r="AM8" s="14" t="s">
        <v>11</v>
      </c>
      <c r="AN8" s="14" t="s">
        <v>12</v>
      </c>
      <c r="AO8" s="14" t="s">
        <v>13</v>
      </c>
      <c r="AP8" s="164" t="s">
        <v>14</v>
      </c>
      <c r="AQ8" s="164" t="s">
        <v>15</v>
      </c>
      <c r="AR8" s="164" t="s">
        <v>16</v>
      </c>
      <c r="AS8" s="164" t="s">
        <v>17</v>
      </c>
      <c r="AT8" s="164" t="s">
        <v>18</v>
      </c>
      <c r="AU8" s="164" t="s">
        <v>19</v>
      </c>
      <c r="AV8" s="164" t="s">
        <v>20</v>
      </c>
      <c r="AW8" s="164" t="s">
        <v>21</v>
      </c>
      <c r="AX8" s="164" t="s">
        <v>22</v>
      </c>
      <c r="AY8" s="165" t="s">
        <v>23</v>
      </c>
      <c r="AZ8" s="59" t="s">
        <v>78</v>
      </c>
      <c r="BA8" s="87" t="s">
        <v>78</v>
      </c>
    </row>
    <row r="9" spans="1:53" s="47" customFormat="1" ht="16" thickBot="1" x14ac:dyDescent="0.4">
      <c r="A9" s="63" t="str">
        <f>Table2[[#This Row],[Date]]</f>
        <v>20-03-18</v>
      </c>
      <c r="B9" s="74">
        <f>Table2[[#This Row],[Time]]</f>
        <v>0</v>
      </c>
      <c r="C9" s="41">
        <v>0</v>
      </c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76"/>
      <c r="W9" s="45"/>
      <c r="X9" s="45"/>
      <c r="Y9" s="45"/>
      <c r="Z9" s="45"/>
      <c r="AA9" s="45"/>
      <c r="AB9" s="45"/>
      <c r="AC9" s="45"/>
      <c r="AD9" s="46"/>
      <c r="AE9" s="91">
        <v>7</v>
      </c>
      <c r="AF9" s="91">
        <v>0</v>
      </c>
      <c r="AG9" s="45">
        <v>1</v>
      </c>
      <c r="AH9" s="91">
        <v>0</v>
      </c>
      <c r="AI9"/>
      <c r="AJ9" s="64">
        <f>IF(D9="nd","nd",D9*$C9/constants!$B$3)</f>
        <v>0</v>
      </c>
      <c r="AK9" s="64">
        <f>IF(E9="nd","nd",E9*$C9/constants!$B$6)</f>
        <v>0</v>
      </c>
      <c r="AL9" s="64">
        <f>IF(F9="nd","nd",F9*$C9/constants!$B$7)</f>
        <v>0</v>
      </c>
      <c r="AM9" s="64">
        <f>IF(G9="nd","nd",G9*$C9/constants!$B$8)</f>
        <v>0</v>
      </c>
      <c r="AN9" s="64">
        <f>IF(H9="nd","nd",H9*$C9/constants!$B$9)</f>
        <v>0</v>
      </c>
      <c r="AO9" s="64">
        <f>IF(I9="nd","nd",I9*$C9/constants!$B$10)</f>
        <v>0</v>
      </c>
      <c r="AP9" s="177"/>
      <c r="AQ9" s="177"/>
      <c r="AR9" s="177"/>
      <c r="AS9" s="177"/>
      <c r="AT9" s="177"/>
      <c r="AU9" s="177"/>
      <c r="AV9" s="177"/>
      <c r="AW9" s="177"/>
      <c r="AX9" s="177"/>
      <c r="AY9" s="177"/>
      <c r="AZ9" s="64">
        <f>IF(AH9="nd","nd",AH9*Table315[[#This Row],[dilution ]]*Table315[[#This Row],[correction]]/constants!$B$23)</f>
        <v>0</v>
      </c>
      <c r="BA9" s="64">
        <f>Table315[[#This Row],[amount]]*Table315[[#This Row],[correction]]*Table315[[#This Row],[dilution ]]/1000</f>
        <v>0</v>
      </c>
    </row>
    <row r="10" spans="1:53" s="66" customFormat="1" ht="16" thickBot="1" x14ac:dyDescent="0.4">
      <c r="A10" s="63" t="str">
        <f>Table2[[#This Row],[Date]]</f>
        <v>22-03-18</v>
      </c>
      <c r="B10" s="74">
        <f>Table2[[#This Row],[Time]]</f>
        <v>2</v>
      </c>
      <c r="C10" s="77">
        <v>0</v>
      </c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50"/>
      <c r="O10" s="49"/>
      <c r="P10" s="49"/>
      <c r="Q10" s="49"/>
      <c r="R10" s="50"/>
      <c r="S10" s="51"/>
      <c r="T10" s="51"/>
      <c r="U10" s="51"/>
      <c r="V10" s="78"/>
      <c r="W10" s="32"/>
      <c r="X10" s="32"/>
      <c r="Y10" s="32"/>
      <c r="Z10" s="32"/>
      <c r="AA10" s="32"/>
      <c r="AB10" s="32"/>
      <c r="AC10" s="32"/>
      <c r="AD10" s="32"/>
      <c r="AE10" s="92">
        <v>6.61</v>
      </c>
      <c r="AF10">
        <v>10</v>
      </c>
      <c r="AG10" s="45">
        <v>1</v>
      </c>
      <c r="AH10" s="92">
        <v>18.07</v>
      </c>
      <c r="AI10"/>
      <c r="AJ10" s="64">
        <f>IF(D10="nd","nd",D10*$C10/constants!$B$3)</f>
        <v>0</v>
      </c>
      <c r="AK10" s="64">
        <f>IF(E10="nd","nd",E10*$C10/constants!$B$6)</f>
        <v>0</v>
      </c>
      <c r="AL10" s="64">
        <f>IF(F10="nd","nd",F10*$C10/constants!$B$7)</f>
        <v>0</v>
      </c>
      <c r="AM10" s="64">
        <f>IF(G10="nd","nd",G10*$C10/constants!$B$8)</f>
        <v>0</v>
      </c>
      <c r="AN10" s="64">
        <f>IF(H10="nd","nd",H10*$C10/constants!$B$9)</f>
        <v>0</v>
      </c>
      <c r="AO10" s="64">
        <f>IF(I10="nd","nd",I10*$C10/constants!$B$10)</f>
        <v>0</v>
      </c>
      <c r="AP10" s="177"/>
      <c r="AQ10" s="177"/>
      <c r="AR10" s="177"/>
      <c r="AS10" s="177"/>
      <c r="AT10" s="177"/>
      <c r="AU10" s="177"/>
      <c r="AV10" s="177"/>
      <c r="AW10" s="177"/>
      <c r="AX10" s="177"/>
      <c r="AY10" s="177"/>
      <c r="AZ10" s="64">
        <f>IF(AH10="nd","nd",AH10*Table315[[#This Row],[dilution ]]*Table315[[#This Row],[correction]]/constants!$B$23)</f>
        <v>2.0059946714031969</v>
      </c>
      <c r="BA10" s="64">
        <f>Table315[[#This Row],[amount]]*Table315[[#This Row],[correction]]*Table315[[#This Row],[dilution ]]/1000</f>
        <v>0.1807</v>
      </c>
    </row>
    <row r="11" spans="1:53" s="47" customFormat="1" ht="16" thickBot="1" x14ac:dyDescent="0.4">
      <c r="A11" s="63" t="str">
        <f>Table2[[#This Row],[Date]]</f>
        <v>23-03-18</v>
      </c>
      <c r="B11" s="74">
        <f>Table2[[#This Row],[Time]]</f>
        <v>3</v>
      </c>
      <c r="C11" s="41">
        <v>0</v>
      </c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9"/>
      <c r="O11" s="18"/>
      <c r="P11" s="18"/>
      <c r="Q11" s="18"/>
      <c r="R11" s="19"/>
      <c r="S11" s="20"/>
      <c r="T11" s="20"/>
      <c r="U11" s="20"/>
      <c r="V11" s="21"/>
      <c r="W11" s="52"/>
      <c r="X11" s="52"/>
      <c r="Y11" s="52"/>
      <c r="Z11" s="52"/>
      <c r="AA11" s="52"/>
      <c r="AB11" s="52"/>
      <c r="AC11" s="52"/>
      <c r="AD11" s="52"/>
      <c r="AE11" s="92">
        <v>6.11</v>
      </c>
      <c r="AF11">
        <v>10</v>
      </c>
      <c r="AG11" s="45">
        <v>1</v>
      </c>
      <c r="AH11" s="92">
        <v>18.920000000000002</v>
      </c>
      <c r="AI11"/>
      <c r="AJ11" s="64">
        <f>IF(D11="nd","nd",D11*$C11/constants!$B$3)</f>
        <v>0</v>
      </c>
      <c r="AK11" s="64">
        <f>IF(E11="nd","nd",E11*$C11/constants!$B$6)</f>
        <v>0</v>
      </c>
      <c r="AL11" s="64">
        <f>IF(F11="nd","nd",F11*$C11/constants!$B$7)</f>
        <v>0</v>
      </c>
      <c r="AM11" s="64">
        <f>IF(G11="nd","nd",G11*$C11/constants!$B$8)</f>
        <v>0</v>
      </c>
      <c r="AN11" s="64">
        <f>IF(H11="nd","nd",H11*$C11/constants!$B$9)</f>
        <v>0</v>
      </c>
      <c r="AO11" s="64">
        <f>IF(I11="nd","nd",I11*$C11/constants!$B$10)</f>
        <v>0</v>
      </c>
      <c r="AP11" s="177"/>
      <c r="AQ11" s="177"/>
      <c r="AR11" s="177"/>
      <c r="AS11" s="177"/>
      <c r="AT11" s="177"/>
      <c r="AU11" s="177"/>
      <c r="AV11" s="177"/>
      <c r="AW11" s="177"/>
      <c r="AX11" s="177"/>
      <c r="AY11" s="177"/>
      <c r="AZ11" s="64">
        <f>IF(AH11="nd","nd",AH11*Table315[[#This Row],[dilution ]]*Table315[[#This Row],[correction]]/constants!$B$23)</f>
        <v>2.1003552397868566</v>
      </c>
      <c r="BA11" s="64">
        <f>Table315[[#This Row],[amount]]*Table315[[#This Row],[correction]]*Table315[[#This Row],[dilution ]]/1000</f>
        <v>0.18920000000000001</v>
      </c>
    </row>
    <row r="12" spans="1:53" s="66" customFormat="1" ht="16" thickBot="1" x14ac:dyDescent="0.4">
      <c r="A12" s="63" t="str">
        <f>Table2[[#This Row],[Date]]</f>
        <v>26-03-18</v>
      </c>
      <c r="B12" s="74">
        <f>Table2[[#This Row],[Time]]</f>
        <v>6</v>
      </c>
      <c r="C12" s="77">
        <v>0</v>
      </c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50"/>
      <c r="O12" s="49"/>
      <c r="P12" s="49"/>
      <c r="Q12" s="49"/>
      <c r="R12" s="50"/>
      <c r="S12" s="51"/>
      <c r="T12" s="51"/>
      <c r="U12" s="51"/>
      <c r="V12" s="78"/>
      <c r="W12" s="32"/>
      <c r="X12" s="32"/>
      <c r="Y12" s="32"/>
      <c r="Z12" s="32"/>
      <c r="AA12" s="32"/>
      <c r="AB12" s="32"/>
      <c r="AC12" s="32"/>
      <c r="AD12" s="32"/>
      <c r="AE12" s="80">
        <v>3.14</v>
      </c>
      <c r="AF12">
        <v>100</v>
      </c>
      <c r="AG12" s="45">
        <v>1</v>
      </c>
      <c r="AH12" s="80">
        <v>13.177199999999999</v>
      </c>
      <c r="AI12"/>
      <c r="AJ12" s="64">
        <f>IF(D12="nd","nd",D12*$C12/constants!$B$3)</f>
        <v>0</v>
      </c>
      <c r="AK12" s="64">
        <f>IF(E12="nd","nd",E12*$C12/constants!$B$6)</f>
        <v>0</v>
      </c>
      <c r="AL12" s="64">
        <f>IF(F12="nd","nd",F12*$C12/constants!$B$7)</f>
        <v>0</v>
      </c>
      <c r="AM12" s="64">
        <f>IF(G12="nd","nd",G12*$C12/constants!$B$8)</f>
        <v>0</v>
      </c>
      <c r="AN12" s="64">
        <f>IF(H12="nd","nd",H12*$C12/constants!$B$9)</f>
        <v>0</v>
      </c>
      <c r="AO12" s="64">
        <f>IF(I12="nd","nd",I12*$C12/constants!$B$10)</f>
        <v>0</v>
      </c>
      <c r="AP12" s="177"/>
      <c r="AQ12" s="177"/>
      <c r="AR12" s="177"/>
      <c r="AS12" s="177"/>
      <c r="AT12" s="177"/>
      <c r="AU12" s="177"/>
      <c r="AV12" s="177"/>
      <c r="AW12" s="177"/>
      <c r="AX12" s="177"/>
      <c r="AY12" s="177"/>
      <c r="AZ12" s="64">
        <f>IF(AH12="nd","nd",AH12*Table315[[#This Row],[dilution ]]*Table315[[#This Row],[correction]]/constants!$B$23)</f>
        <v>14.628330373001774</v>
      </c>
      <c r="BA12" s="64">
        <f>Table315[[#This Row],[amount]]*Table315[[#This Row],[correction]]*Table315[[#This Row],[dilution ]]/1000</f>
        <v>1.3177199999999998</v>
      </c>
    </row>
    <row r="13" spans="1:53" s="47" customFormat="1" ht="16" thickBot="1" x14ac:dyDescent="0.4">
      <c r="A13" s="63" t="str">
        <f>Table2[[#This Row],[Date]]</f>
        <v>29-03-18</v>
      </c>
      <c r="B13" s="74">
        <f>Table2[[#This Row],[Time]]</f>
        <v>9</v>
      </c>
      <c r="C13" s="41">
        <v>0</v>
      </c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9"/>
      <c r="O13" s="18"/>
      <c r="P13" s="18"/>
      <c r="Q13" s="18"/>
      <c r="R13" s="19"/>
      <c r="S13" s="20"/>
      <c r="T13" s="20"/>
      <c r="U13" s="20"/>
      <c r="V13" s="21"/>
      <c r="W13" s="52"/>
      <c r="X13" s="52"/>
      <c r="Y13" s="52"/>
      <c r="Z13" s="52"/>
      <c r="AA13" s="52"/>
      <c r="AB13" s="52"/>
      <c r="AC13" s="52"/>
      <c r="AD13" s="52"/>
      <c r="AE13" s="80">
        <v>2.65</v>
      </c>
      <c r="AF13">
        <v>100</v>
      </c>
      <c r="AG13" s="45">
        <v>1</v>
      </c>
      <c r="AH13" s="80">
        <v>58.773699999999998</v>
      </c>
      <c r="AI13"/>
      <c r="AJ13" s="64">
        <f>IF(D13="nd","nd",D13*$C13/constants!$B$3)</f>
        <v>0</v>
      </c>
      <c r="AK13" s="64">
        <f>IF(E13="nd","nd",E13*$C13/constants!$B$6)</f>
        <v>0</v>
      </c>
      <c r="AL13" s="64">
        <f>IF(F13="nd","nd",F13*$C13/constants!$B$7)</f>
        <v>0</v>
      </c>
      <c r="AM13" s="64">
        <f>IF(G13="nd","nd",G13*$C13/constants!$B$8)</f>
        <v>0</v>
      </c>
      <c r="AN13" s="64">
        <f>IF(H13="nd","nd",H13*$C13/constants!$B$9)</f>
        <v>0</v>
      </c>
      <c r="AO13" s="64">
        <f>IF(I13="nd","nd",I13*$C13/constants!$B$10)</f>
        <v>0</v>
      </c>
      <c r="AP13" s="177"/>
      <c r="AQ13" s="177"/>
      <c r="AR13" s="177"/>
      <c r="AS13" s="177"/>
      <c r="AT13" s="177"/>
      <c r="AU13" s="177"/>
      <c r="AV13" s="177"/>
      <c r="AW13" s="177"/>
      <c r="AX13" s="177"/>
      <c r="AY13" s="177"/>
      <c r="AZ13" s="64">
        <f>IF(AH13="nd","nd",AH13*Table315[[#This Row],[dilution ]]*Table315[[#This Row],[correction]]/constants!$B$23)</f>
        <v>65.246114564831259</v>
      </c>
      <c r="BA13" s="64">
        <f>Table315[[#This Row],[amount]]*Table315[[#This Row],[correction]]*Table315[[#This Row],[dilution ]]/1000</f>
        <v>5.87737</v>
      </c>
    </row>
    <row r="14" spans="1:53" s="66" customFormat="1" ht="16" thickBot="1" x14ac:dyDescent="0.4">
      <c r="A14" s="63">
        <f>Table2[[#This Row],[Date]]</f>
        <v>43163</v>
      </c>
      <c r="B14" s="74">
        <f>Table2[[#This Row],[Time]]</f>
        <v>15</v>
      </c>
      <c r="C14" s="77">
        <v>0</v>
      </c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50"/>
      <c r="O14" s="49"/>
      <c r="P14" s="49"/>
      <c r="Q14" s="49"/>
      <c r="R14" s="50"/>
      <c r="S14" s="51"/>
      <c r="T14" s="51"/>
      <c r="U14" s="51"/>
      <c r="V14" s="78"/>
      <c r="W14" s="32"/>
      <c r="X14" s="32"/>
      <c r="Y14" s="32"/>
      <c r="Z14" s="32"/>
      <c r="AA14" s="32"/>
      <c r="AB14" s="32"/>
      <c r="AC14" s="32"/>
      <c r="AD14" s="32"/>
      <c r="AE14" s="80">
        <v>2.35</v>
      </c>
      <c r="AF14">
        <f>200</f>
        <v>200</v>
      </c>
      <c r="AG14" s="45">
        <v>1</v>
      </c>
      <c r="AH14" s="92">
        <v>110.788</v>
      </c>
      <c r="AI14"/>
      <c r="AJ14" s="64">
        <f>IF(D14="nd","nd",D14*$C14/constants!$B$3)</f>
        <v>0</v>
      </c>
      <c r="AK14" s="64">
        <f>IF(E14="nd","nd",E14*$C14/constants!$B$6)</f>
        <v>0</v>
      </c>
      <c r="AL14" s="64">
        <f>IF(F14="nd","nd",F14*$C14/constants!$B$7)</f>
        <v>0</v>
      </c>
      <c r="AM14" s="64">
        <f>IF(G14="nd","nd",G14*$C14/constants!$B$8)</f>
        <v>0</v>
      </c>
      <c r="AN14" s="64">
        <f>IF(H14="nd","nd",H14*$C14/constants!$B$9)</f>
        <v>0</v>
      </c>
      <c r="AO14" s="64">
        <f>IF(I14="nd","nd",I14*$C14/constants!$B$10)</f>
        <v>0</v>
      </c>
      <c r="AP14" s="177"/>
      <c r="AQ14" s="177"/>
      <c r="AR14" s="177"/>
      <c r="AS14" s="177"/>
      <c r="AT14" s="177"/>
      <c r="AU14" s="177"/>
      <c r="AV14" s="177"/>
      <c r="AW14" s="177"/>
      <c r="AX14" s="177"/>
      <c r="AY14" s="177"/>
      <c r="AZ14" s="64">
        <f>IF(AH14="nd","nd",AH14*Table315[[#This Row],[dilution ]]*Table315[[#This Row],[correction]]/constants!$B$23)</f>
        <v>245.97690941385434</v>
      </c>
      <c r="BA14" s="64">
        <f>Table315[[#This Row],[amount]]*Table315[[#This Row],[correction]]*Table315[[#This Row],[dilution ]]/1000</f>
        <v>22.157599999999999</v>
      </c>
    </row>
    <row r="15" spans="1:53" s="47" customFormat="1" ht="16" thickBot="1" x14ac:dyDescent="0.4">
      <c r="A15" s="63">
        <f>Table2[[#This Row],[Date]]</f>
        <v>43347</v>
      </c>
      <c r="B15" s="167">
        <f>Table2[[#This Row],[Time]]</f>
        <v>21</v>
      </c>
      <c r="C15" s="41">
        <v>0</v>
      </c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9"/>
      <c r="O15" s="18"/>
      <c r="P15" s="18"/>
      <c r="Q15" s="18"/>
      <c r="R15" s="19"/>
      <c r="S15" s="20"/>
      <c r="T15" s="20"/>
      <c r="U15" s="20"/>
      <c r="V15" s="21"/>
      <c r="W15" s="52"/>
      <c r="X15" s="52"/>
      <c r="Y15" s="52"/>
      <c r="Z15" s="52"/>
      <c r="AA15" s="52"/>
      <c r="AB15" s="52"/>
      <c r="AC15" s="52"/>
      <c r="AD15" s="52"/>
      <c r="AE15" s="23">
        <v>2.37</v>
      </c>
      <c r="AF15" s="52">
        <v>300</v>
      </c>
      <c r="AG15" s="45">
        <v>1</v>
      </c>
      <c r="AH15" s="92">
        <f>90.31</f>
        <v>90.31</v>
      </c>
      <c r="AI15"/>
      <c r="AJ15" s="64">
        <f>IF(D15="nd","nd",D15*$C15/constants!$B$3)</f>
        <v>0</v>
      </c>
      <c r="AK15" s="64">
        <f>IF(E15="nd","nd",E15*$C15/constants!$B$6)</f>
        <v>0</v>
      </c>
      <c r="AL15" s="64">
        <f>IF(F15="nd","nd",F15*$C15/constants!$B$7)</f>
        <v>0</v>
      </c>
      <c r="AM15" s="64">
        <f>IF(G15="nd","nd",G15*$C15/constants!$B$8)</f>
        <v>0</v>
      </c>
      <c r="AN15" s="64">
        <f>IF(H15="nd","nd",H15*$C15/constants!$B$9)</f>
        <v>0</v>
      </c>
      <c r="AO15" s="64">
        <f>IF(I15="nd","nd",I15*$C15/constants!$B$10)</f>
        <v>0</v>
      </c>
      <c r="AP15" s="177"/>
      <c r="AQ15" s="177"/>
      <c r="AR15" s="177"/>
      <c r="AS15" s="177"/>
      <c r="AT15" s="177"/>
      <c r="AU15" s="177"/>
      <c r="AV15" s="177"/>
      <c r="AW15" s="177"/>
      <c r="AX15" s="177"/>
      <c r="AY15" s="177"/>
      <c r="AZ15" s="64">
        <f>IF(AH15="nd","nd",AH15*Table315[[#This Row],[dilution ]]*Table315[[#This Row],[correction]]/constants!$B$23)</f>
        <v>300.76598579040854</v>
      </c>
      <c r="BA15" s="64">
        <f>Table315[[#This Row],[amount]]*Table315[[#This Row],[correction]]*Table315[[#This Row],[dilution ]]/1000</f>
        <v>27.093</v>
      </c>
    </row>
    <row r="16" spans="1:53" s="66" customFormat="1" ht="16" thickBot="1" x14ac:dyDescent="0.4">
      <c r="A16" s="63">
        <f>Table2[[#This Row],[Date]]</f>
        <v>43347</v>
      </c>
      <c r="B16" s="167">
        <f>Table2[[#This Row],[Time]]</f>
        <v>21</v>
      </c>
      <c r="C16" s="77">
        <v>0</v>
      </c>
      <c r="D16" s="106">
        <v>0</v>
      </c>
      <c r="E16" s="106">
        <v>0</v>
      </c>
      <c r="F16" s="106">
        <v>0</v>
      </c>
      <c r="G16" s="106">
        <v>0</v>
      </c>
      <c r="H16" s="106">
        <v>0</v>
      </c>
      <c r="I16" s="106">
        <v>4.9798049577185832</v>
      </c>
      <c r="J16" s="106">
        <v>8.6499534031586514</v>
      </c>
      <c r="K16" s="106">
        <v>37.087804704820073</v>
      </c>
      <c r="L16" s="106">
        <v>8.0246223641015094E-2</v>
      </c>
      <c r="M16" s="106">
        <v>0.63789187981487927</v>
      </c>
      <c r="N16" s="107">
        <v>0</v>
      </c>
      <c r="O16" s="106">
        <v>0</v>
      </c>
      <c r="P16" s="106">
        <v>0</v>
      </c>
      <c r="Q16" s="106">
        <v>2.3831059495248059</v>
      </c>
      <c r="R16" s="107">
        <v>0</v>
      </c>
      <c r="S16" s="108">
        <v>8.5321181718988921</v>
      </c>
      <c r="T16" s="108"/>
      <c r="U16" s="108"/>
      <c r="V16" s="108"/>
      <c r="W16" s="32"/>
      <c r="X16" s="32"/>
      <c r="Y16" s="32"/>
      <c r="Z16" s="32"/>
      <c r="AA16" s="32"/>
      <c r="AB16" s="32"/>
      <c r="AC16" s="32"/>
      <c r="AD16" s="32"/>
      <c r="AE16">
        <v>5.41</v>
      </c>
      <c r="AF16" s="32">
        <v>100</v>
      </c>
      <c r="AG16" s="45">
        <v>1</v>
      </c>
      <c r="AH16" s="80">
        <v>136.87</v>
      </c>
      <c r="AI16" s="80"/>
      <c r="AJ16" s="64">
        <f>IF(D16="nd","nd",D16*$C16/constants!$B$3)</f>
        <v>0</v>
      </c>
      <c r="AK16" s="64">
        <f>IF(E16="nd","nd",E16*$C16/constants!$B$6)</f>
        <v>0</v>
      </c>
      <c r="AL16" s="64">
        <f>IF(F16="nd","nd",F16*$C16/constants!$B$7)</f>
        <v>0</v>
      </c>
      <c r="AM16" s="64">
        <f>IF(G16="nd","nd",G16*$C16/constants!$B$8)</f>
        <v>0</v>
      </c>
      <c r="AN16" s="64">
        <f>IF(H16="nd","nd",H16*$C16/constants!$B$9)</f>
        <v>0</v>
      </c>
      <c r="AO16" s="64">
        <f>IF(I16="nd","nd",I16*$C16/constants!$B$10)</f>
        <v>0</v>
      </c>
      <c r="AP16" s="162">
        <f>(IF(IFERROR(J16-#REF!,J16)&gt;constants!$D$5,(IFERROR(J16-#REF!,J16)*$C16/1000),0))</f>
        <v>0</v>
      </c>
      <c r="AQ16" s="162">
        <f>(IF(IFERROR(K16-#REF!,K16)&gt;constants!$D$11,(IFERROR(K16-#REF!,K16)*$C16/1000),0))</f>
        <v>0</v>
      </c>
      <c r="AR16" s="162">
        <f>(IF(IFERROR(L16-#REF!,L16)&gt;constants!$D$19,(IFERROR(L16-#REF!,L16)*$C16/1000),0))</f>
        <v>0</v>
      </c>
      <c r="AS16" s="162">
        <f>(IF(IFERROR(M16-#REF!,M16)&gt;constants!$D$4,(IFERROR(M16-#REF!,M16)*$C16/1000),0))</f>
        <v>0</v>
      </c>
      <c r="AT16" s="162">
        <f>(IF(IFERROR(N16-#REF!,N16)&gt;constants!$D$5,(IFERROR(N16-#REF!,N16)*$C16/1000),0))</f>
        <v>0</v>
      </c>
      <c r="AU16" s="162">
        <f>(IF(IFERROR(O16-#REF!,O16)&gt;constants!$D$12,(IFERROR(O16-#REF!,O16)*$C16/1000),0))</f>
        <v>0</v>
      </c>
      <c r="AV16" s="162">
        <f>(IF(IFERROR(P16-#REF!,P16)&gt;constants!$D$5,(IFERROR(P16-#REF!,P16)*$C16/1000),0))</f>
        <v>0</v>
      </c>
      <c r="AW16" s="162">
        <f>(IF(IFERROR(Q16-#REF!,Q16)&gt;constants!$D$13,(IFERROR(Q16-#REF!,Q16)*$C16/1000),0))</f>
        <v>0</v>
      </c>
      <c r="AX16" s="162">
        <f>(IF(IFERROR(R16-#REF!,R16)&gt;constants!$D$14,(IFERROR(R16-#REF!,R16)*$C16/1000),0))</f>
        <v>0</v>
      </c>
      <c r="AY16" s="162">
        <f>(IF(IFERROR(S16-#REF!,S16)&gt;constants!$D$15,(IFERROR(S16-#REF!,S16)*$C16/1000),0))</f>
        <v>0</v>
      </c>
      <c r="AZ16" s="64">
        <f>IF(AH16="nd","nd",AH16*Table315[[#This Row],[dilution ]]*Table315[[#This Row],[correction]]/constants!$B$23)</f>
        <v>151.94271758436946</v>
      </c>
      <c r="BA16" s="64">
        <f>Table315[[#This Row],[amount]]*Table315[[#This Row],[correction]]*Table315[[#This Row],[dilution ]]/1000</f>
        <v>13.686999999999999</v>
      </c>
    </row>
    <row r="17" spans="1:53" s="47" customFormat="1" ht="16" thickBot="1" x14ac:dyDescent="0.4">
      <c r="A17" s="63" t="str">
        <f>Table2[[#This Row],[Date]]</f>
        <v>13-04</v>
      </c>
      <c r="B17" s="167">
        <f>Table2[[#This Row],[Time]]</f>
        <v>26</v>
      </c>
      <c r="C17" s="41">
        <v>10</v>
      </c>
      <c r="D17" s="106">
        <v>0</v>
      </c>
      <c r="E17" s="106">
        <v>0</v>
      </c>
      <c r="F17" s="106">
        <v>0</v>
      </c>
      <c r="G17" s="106">
        <v>0</v>
      </c>
      <c r="H17" s="106">
        <v>0</v>
      </c>
      <c r="I17" s="106">
        <v>0</v>
      </c>
      <c r="J17" s="106">
        <v>11.412127556922364</v>
      </c>
      <c r="K17" s="106">
        <v>18.625695074206554</v>
      </c>
      <c r="L17" s="106">
        <v>0</v>
      </c>
      <c r="M17" s="106">
        <v>0</v>
      </c>
      <c r="N17" s="107">
        <v>0</v>
      </c>
      <c r="O17" s="106">
        <v>0</v>
      </c>
      <c r="P17" s="106">
        <v>0</v>
      </c>
      <c r="Q17" s="106">
        <v>1.1831468386244743</v>
      </c>
      <c r="R17" s="107">
        <v>0</v>
      </c>
      <c r="S17" s="108">
        <v>5.325342411792831</v>
      </c>
      <c r="T17" s="108"/>
      <c r="U17" s="108"/>
      <c r="V17" s="108"/>
      <c r="W17" s="17"/>
      <c r="X17" s="17"/>
      <c r="Y17" s="17"/>
      <c r="Z17" s="17"/>
      <c r="AA17" s="17"/>
      <c r="AB17" s="17"/>
      <c r="AC17" s="17"/>
      <c r="AD17" s="17"/>
      <c r="AE17">
        <v>5.51</v>
      </c>
      <c r="AF17" s="32">
        <v>100</v>
      </c>
      <c r="AG17" s="45">
        <v>1</v>
      </c>
      <c r="AH17" s="92">
        <v>109.3447</v>
      </c>
      <c r="AJ17" s="64">
        <f>IF(D17="nd","nd",D17*$C17/constants!$B$3)</f>
        <v>0</v>
      </c>
      <c r="AK17" s="64">
        <f>IF(E17="nd","nd",E17*$C17/constants!$B$6)</f>
        <v>0</v>
      </c>
      <c r="AL17" s="64">
        <f>IF(F17="nd","nd",F17*$C17/constants!$B$7)</f>
        <v>0</v>
      </c>
      <c r="AM17" s="64">
        <f>IF(G17="nd","nd",G17*$C17/constants!$B$8)</f>
        <v>0</v>
      </c>
      <c r="AN17" s="64">
        <f>IF(H17="nd","nd",H17*$C17/constants!$B$9)</f>
        <v>0</v>
      </c>
      <c r="AO17" s="64">
        <f>IF(I17="nd","nd",I17*$C17/constants!$B$10)</f>
        <v>0</v>
      </c>
      <c r="AP17" s="162">
        <f>(IF(IFERROR(J17-#REF!,J17)&gt;constants!$D$5,(IFERROR(J17-#REF!,J17)*$C17/1000),0))</f>
        <v>0.11412127556922363</v>
      </c>
      <c r="AQ17" s="162">
        <f>(IF(IFERROR(K17-#REF!,K17)&gt;constants!$D$11,(IFERROR(K17-#REF!,K17)*$C17/1000),0))</f>
        <v>0.18625695074206555</v>
      </c>
      <c r="AR17" s="162">
        <f>(IF(IFERROR(L17-#REF!,L17)&gt;constants!$D$19,(IFERROR(L17-#REF!,L17)*$C17/1000),0))</f>
        <v>0</v>
      </c>
      <c r="AS17" s="162">
        <f>(IF(IFERROR(M17-#REF!,M17)&gt;constants!$D$4,(IFERROR(M17-#REF!,M17)*$C17/1000),0))</f>
        <v>0</v>
      </c>
      <c r="AT17" s="162">
        <f>(IF(IFERROR(N17-#REF!,N17)&gt;constants!$D$5,(IFERROR(N17-#REF!,N17)*$C17/1000),0))</f>
        <v>0</v>
      </c>
      <c r="AU17" s="162">
        <f>(IF(IFERROR(O17-#REF!,O17)&gt;constants!$D$12,(IFERROR(O17-#REF!,O17)*$C17/1000),0))</f>
        <v>0</v>
      </c>
      <c r="AV17" s="162">
        <f>(IF(IFERROR(P17-#REF!,P17)&gt;constants!$D$5,(IFERROR(P17-#REF!,P17)*$C17/1000),0))</f>
        <v>0</v>
      </c>
      <c r="AW17" s="162">
        <f>(IF(IFERROR(Q17-#REF!,Q17)&gt;constants!$D$13,(IFERROR(Q17-#REF!,Q17)*$C17/1000),0))</f>
        <v>0</v>
      </c>
      <c r="AX17" s="162">
        <f>(IF(IFERROR(R17-#REF!,R17)&gt;constants!$D$14,(IFERROR(R17-#REF!,R17)*$C17/1000),0))</f>
        <v>0</v>
      </c>
      <c r="AY17" s="162">
        <f>(IF(IFERROR(S17-#REF!,S17)&gt;constants!$D$15,(IFERROR(S17-#REF!,S17)*$C17/1000),0))</f>
        <v>5.3253424117928314E-2</v>
      </c>
      <c r="AZ17" s="64">
        <f>IF(AH17="nd","nd",AH17*Table315[[#This Row],[dilution ]]*Table315[[#This Row],[correction]]/constants!$B$23)</f>
        <v>121.38621225577266</v>
      </c>
      <c r="BA17" s="64">
        <f>Table315[[#This Row],[amount]]*Table315[[#This Row],[correction]]*Table315[[#This Row],[dilution ]]/1000</f>
        <v>10.934470000000001</v>
      </c>
    </row>
    <row r="18" spans="1:53" s="66" customFormat="1" ht="16" thickBot="1" x14ac:dyDescent="0.4">
      <c r="A18" s="63" t="str">
        <f>Table2[[#This Row],[Date]]</f>
        <v>16-04</v>
      </c>
      <c r="B18" s="167">
        <f>Table2[[#This Row],[Time]]</f>
        <v>29</v>
      </c>
      <c r="C18" s="41">
        <v>10</v>
      </c>
      <c r="D18" s="106">
        <v>0</v>
      </c>
      <c r="E18" s="106">
        <v>0</v>
      </c>
      <c r="F18" s="106">
        <v>0</v>
      </c>
      <c r="G18" s="106">
        <v>0</v>
      </c>
      <c r="H18" s="106">
        <v>0</v>
      </c>
      <c r="I18" s="141">
        <v>0</v>
      </c>
      <c r="J18" s="141">
        <v>1.7282552083333333E-2</v>
      </c>
      <c r="K18" s="141">
        <v>0.14276196831597221</v>
      </c>
      <c r="L18" s="141">
        <v>0</v>
      </c>
      <c r="M18" s="141">
        <v>6.7167968750000001E-3</v>
      </c>
      <c r="N18" s="141">
        <v>0</v>
      </c>
      <c r="O18" s="141">
        <v>0</v>
      </c>
      <c r="P18" s="141">
        <v>0</v>
      </c>
      <c r="Q18" s="141">
        <v>8.1268446180555558E-3</v>
      </c>
      <c r="R18" s="141">
        <v>5.4245768229166666E-3</v>
      </c>
      <c r="S18" s="141">
        <v>4.166453993055555E-2</v>
      </c>
      <c r="T18" s="80"/>
      <c r="U18" s="80"/>
      <c r="V18" s="81"/>
      <c r="AE18">
        <v>5.37</v>
      </c>
      <c r="AF18" s="32">
        <v>100</v>
      </c>
      <c r="AG18" s="45">
        <v>1</v>
      </c>
      <c r="AH18" s="92">
        <v>98.384500000000003</v>
      </c>
      <c r="AJ18" s="64">
        <f>IF(D18="nd","nd",D18*$C18/constants!$B$3)</f>
        <v>0</v>
      </c>
      <c r="AK18" s="64">
        <f>IF(E18="nd","nd",E18*$C18/constants!$B$6)</f>
        <v>0</v>
      </c>
      <c r="AL18" s="64">
        <f>IF(F18="nd","nd",F18*$C18/constants!$B$7)</f>
        <v>0</v>
      </c>
      <c r="AM18" s="64">
        <f>IF(G18="nd","nd",G18*$C18/constants!$B$8)</f>
        <v>0</v>
      </c>
      <c r="AN18" s="64">
        <f>IF(H18="nd","nd",H18*$C18/constants!$B$9)</f>
        <v>0</v>
      </c>
      <c r="AO18" s="64">
        <f>IF(I18="nd","nd",I18*$C18/constants!$B$10)</f>
        <v>0</v>
      </c>
      <c r="AP18" s="162">
        <f>(IF(IFERROR(J18-#REF!,J18)&gt;constants!$D$5,(IFERROR(J18-#REF!,J18)*$C18/1000),0))</f>
        <v>0</v>
      </c>
      <c r="AQ18" s="162">
        <f>(IF(IFERROR(K18-#REF!,K18)&gt;constants!$D$11,(IFERROR(K18-#REF!,K18)*$C18/1000),0))</f>
        <v>0</v>
      </c>
      <c r="AR18" s="162">
        <f>(IF(IFERROR(L18-#REF!,L18)&gt;constants!$D$19,(IFERROR(L18-#REF!,L18)*$C18/1000),0))</f>
        <v>0</v>
      </c>
      <c r="AS18" s="162">
        <f>(IF(IFERROR(M18-#REF!,M18)&gt;constants!$D$4,(IFERROR(M18-#REF!,M18)*$C18/1000),0))</f>
        <v>0</v>
      </c>
      <c r="AT18" s="162">
        <f>(IF(IFERROR(N18-#REF!,N18)&gt;constants!$D$5,(IFERROR(N18-#REF!,N18)*$C18/1000),0))</f>
        <v>0</v>
      </c>
      <c r="AU18" s="162">
        <f>(IF(IFERROR(O18-#REF!,O18)&gt;constants!$D$12,(IFERROR(O18-#REF!,O18)*$C18/1000),0))</f>
        <v>0</v>
      </c>
      <c r="AV18" s="162">
        <f>(IF(IFERROR(P18-#REF!,P18)&gt;constants!$D$5,(IFERROR(P18-#REF!,P18)*$C18/1000),0))</f>
        <v>0</v>
      </c>
      <c r="AW18" s="162">
        <f>(IF(IFERROR(Q18-#REF!,Q18)&gt;constants!$D$13,(IFERROR(Q18-#REF!,Q18)*$C18/1000),0))</f>
        <v>0</v>
      </c>
      <c r="AX18" s="162">
        <f>(IF(IFERROR(R18-#REF!,R18)&gt;constants!$D$14,(IFERROR(R18-#REF!,R18)*$C18/1000),0))</f>
        <v>0</v>
      </c>
      <c r="AY18" s="162">
        <f>(IF(IFERROR(S18-#REF!,S18)&gt;constants!$D$15,(IFERROR(S18-#REF!,S18)*$C18/1000),0))</f>
        <v>0</v>
      </c>
      <c r="AZ18" s="64">
        <f>IF(AH18="nd","nd",AH18*Table315[[#This Row],[dilution ]]*Table315[[#This Row],[correction]]/constants!$B$23)</f>
        <v>109.2190275310835</v>
      </c>
      <c r="BA18" s="64">
        <f>Table315[[#This Row],[amount]]*Table315[[#This Row],[correction]]*Table315[[#This Row],[dilution ]]/1000</f>
        <v>9.8384499999999999</v>
      </c>
    </row>
    <row r="19" spans="1:53" s="47" customFormat="1" ht="16" thickBot="1" x14ac:dyDescent="0.4">
      <c r="A19" s="63" t="str">
        <f>Table2[[#This Row],[Date]]</f>
        <v>19-04</v>
      </c>
      <c r="B19" s="167">
        <f>Table2[[#This Row],[Time]]</f>
        <v>32</v>
      </c>
      <c r="C19" s="41">
        <v>10</v>
      </c>
      <c r="D19" s="106">
        <v>0</v>
      </c>
      <c r="E19" s="106">
        <v>0</v>
      </c>
      <c r="F19" s="106">
        <v>0</v>
      </c>
      <c r="G19" s="106">
        <v>0</v>
      </c>
      <c r="H19" s="106">
        <v>0</v>
      </c>
      <c r="I19" s="106">
        <v>0.79145241794554955</v>
      </c>
      <c r="J19" s="106">
        <v>7.0219755241826238</v>
      </c>
      <c r="K19" s="106">
        <v>24.528250238155852</v>
      </c>
      <c r="L19" s="106">
        <v>0</v>
      </c>
      <c r="M19" s="106">
        <v>11.317301635651692</v>
      </c>
      <c r="N19" s="107">
        <v>0</v>
      </c>
      <c r="O19" s="106">
        <v>0</v>
      </c>
      <c r="P19" s="106">
        <v>0</v>
      </c>
      <c r="Q19" s="106">
        <v>0.8676692928975468</v>
      </c>
      <c r="R19" s="107">
        <v>0</v>
      </c>
      <c r="S19" s="108">
        <v>7.5505203976857072</v>
      </c>
      <c r="T19" s="108"/>
      <c r="U19" s="108"/>
      <c r="V19" s="108"/>
      <c r="W19" s="96"/>
      <c r="X19" s="97"/>
      <c r="Y19" s="96"/>
      <c r="Z19" s="98"/>
      <c r="AA19" s="99"/>
      <c r="AB19" s="97"/>
      <c r="AC19" s="96"/>
      <c r="AD19" s="100"/>
      <c r="AE19">
        <v>5.46</v>
      </c>
      <c r="AF19" s="32">
        <v>100</v>
      </c>
      <c r="AG19" s="45">
        <v>1</v>
      </c>
      <c r="AH19" s="47">
        <v>91.7</v>
      </c>
      <c r="AI19" s="92"/>
      <c r="AJ19" s="64">
        <f>IF(D19="nd","nd",D19*$C19/constants!$B$3)</f>
        <v>0</v>
      </c>
      <c r="AK19" s="64">
        <f>IF(E19="nd","nd",E19*$C19/constants!$B$6)</f>
        <v>0</v>
      </c>
      <c r="AL19" s="64">
        <f>IF(F19="nd","nd",F19*$C19/constants!$B$7)</f>
        <v>0</v>
      </c>
      <c r="AM19" s="64">
        <f>IF(G19="nd","nd",G19*$C19/constants!$B$8)</f>
        <v>0</v>
      </c>
      <c r="AN19" s="64">
        <f>IF(H19="nd","nd",H19*$C19/constants!$B$9)</f>
        <v>0</v>
      </c>
      <c r="AO19" s="64">
        <f>IF(I19="nd","nd",I19*$C19/constants!$B$10)</f>
        <v>7.7458960230340448E-2</v>
      </c>
      <c r="AP19" s="162">
        <f>(IF(IFERROR(J19-#REF!,J19)&gt;constants!$D$5,(IFERROR(J19-#REF!,J19)*$C19/1000),0))</f>
        <v>7.0219755241826234E-2</v>
      </c>
      <c r="AQ19" s="162">
        <f>(IF(IFERROR(K19-#REF!,K19)&gt;constants!$D$11,(IFERROR(K19-#REF!,K19)*$C19/1000),0))</f>
        <v>0.24528250238155852</v>
      </c>
      <c r="AR19" s="162">
        <f>(IF(IFERROR(L19-#REF!,L19)&gt;constants!$D$19,(IFERROR(L19-#REF!,L19)*$C19/1000),0))</f>
        <v>0</v>
      </c>
      <c r="AS19" s="162">
        <f>(IF(IFERROR(M19-#REF!,M19)&gt;constants!$D$4,(IFERROR(M19-#REF!,M19)*$C19/1000),0))</f>
        <v>0.11317301635651691</v>
      </c>
      <c r="AT19" s="162">
        <f>(IF(IFERROR(N19-#REF!,N19)&gt;constants!$D$5,(IFERROR(N19-#REF!,N19)*$C19/1000),0))</f>
        <v>0</v>
      </c>
      <c r="AU19" s="162">
        <f>(IF(IFERROR(O19-#REF!,O19)&gt;constants!$D$12,(IFERROR(O19-#REF!,O19)*$C19/1000),0))</f>
        <v>0</v>
      </c>
      <c r="AV19" s="162">
        <f>(IF(IFERROR(P19-#REF!,P19)&gt;constants!$D$5,(IFERROR(P19-#REF!,P19)*$C19/1000),0))</f>
        <v>0</v>
      </c>
      <c r="AW19" s="162">
        <f>(IF(IFERROR(Q19-#REF!,Q19)&gt;constants!$D$13,(IFERROR(Q19-#REF!,Q19)*$C19/1000),0))</f>
        <v>0</v>
      </c>
      <c r="AX19" s="162">
        <f>(IF(IFERROR(R19-#REF!,R19)&gt;constants!$D$14,(IFERROR(R19-#REF!,R19)*$C19/1000),0))</f>
        <v>0</v>
      </c>
      <c r="AY19" s="162">
        <f>(IF(IFERROR(S19-#REF!,S19)&gt;constants!$D$15,(IFERROR(S19-#REF!,S19)*$C19/1000),0))</f>
        <v>7.5505203976857074E-2</v>
      </c>
      <c r="AZ19" s="64">
        <f>IF(AH19="nd","nd",AH19*Table315[[#This Row],[dilution ]]*Table315[[#This Row],[correction]]/constants!$B$23)</f>
        <v>101.79840142095915</v>
      </c>
      <c r="BA19" s="64">
        <f>Table315[[#This Row],[amount]]*Table315[[#This Row],[correction]]*Table315[[#This Row],[dilution ]]/1000</f>
        <v>9.17</v>
      </c>
    </row>
    <row r="20" spans="1:53" s="66" customFormat="1" ht="16" thickBot="1" x14ac:dyDescent="0.4">
      <c r="A20" s="63" t="str">
        <f>Table2[[#This Row],[Date]]</f>
        <v>26-04</v>
      </c>
      <c r="B20" s="167">
        <f>Table2[[#This Row],[Time]]</f>
        <v>38</v>
      </c>
      <c r="C20" s="79">
        <v>10</v>
      </c>
      <c r="D20" s="106">
        <v>0</v>
      </c>
      <c r="E20" s="106">
        <v>0</v>
      </c>
      <c r="F20" s="106">
        <v>0</v>
      </c>
      <c r="G20" s="106">
        <v>0</v>
      </c>
      <c r="H20" s="106">
        <v>0</v>
      </c>
      <c r="I20" s="106">
        <v>0</v>
      </c>
      <c r="J20" s="106">
        <v>44.814184083268437</v>
      </c>
      <c r="K20" s="106">
        <v>80.587684659255984</v>
      </c>
      <c r="L20" s="106">
        <v>20.96498269412762</v>
      </c>
      <c r="M20" s="106">
        <v>266.59042228287217</v>
      </c>
      <c r="N20" s="107">
        <v>0</v>
      </c>
      <c r="O20" s="106">
        <v>12.008704648315575</v>
      </c>
      <c r="P20" s="106">
        <v>0</v>
      </c>
      <c r="Q20" s="106">
        <v>5.7355817732803249</v>
      </c>
      <c r="R20" s="107">
        <v>0</v>
      </c>
      <c r="S20" s="108">
        <v>1.1744737037078508</v>
      </c>
      <c r="T20" s="80"/>
      <c r="U20" s="80"/>
      <c r="V20" s="80"/>
      <c r="W20" s="96"/>
      <c r="X20" s="97"/>
      <c r="Y20" s="96"/>
      <c r="Z20" s="98"/>
      <c r="AA20" s="99"/>
      <c r="AB20" s="97"/>
      <c r="AC20" s="96"/>
      <c r="AD20" s="100"/>
      <c r="AF20" s="66">
        <v>50</v>
      </c>
      <c r="AG20" s="45">
        <v>1</v>
      </c>
      <c r="AH20" s="66">
        <v>173.1</v>
      </c>
      <c r="AJ20" s="64">
        <f>IF(D20="nd","nd",D20*$C20/constants!$B$3)</f>
        <v>0</v>
      </c>
      <c r="AK20" s="64">
        <f>IF(E20="nd","nd",E20*$C20/constants!$B$6)</f>
        <v>0</v>
      </c>
      <c r="AL20" s="64">
        <f>IF(F20="nd","nd",F20*$C20/constants!$B$7)</f>
        <v>0</v>
      </c>
      <c r="AM20" s="64">
        <f>IF(G20="nd","nd",G20*$C20/constants!$B$8)</f>
        <v>0</v>
      </c>
      <c r="AN20" s="64">
        <f>IF(H20="nd","nd",H20*$C20/constants!$B$9)</f>
        <v>0</v>
      </c>
      <c r="AO20" s="64">
        <f>IF(I20="nd","nd",I20*$C20/constants!$B$10)</f>
        <v>0</v>
      </c>
      <c r="AP20" s="162">
        <f>(IF(IFERROR(J20-#REF!,J20)&gt;constants!$D$5,(IFERROR(J20-#REF!,J20)*$C20/1000),0))</f>
        <v>0.44814184083268438</v>
      </c>
      <c r="AQ20" s="162">
        <f>(IF(IFERROR(K20-#REF!,K20)&gt;constants!$D$11,(IFERROR(K20-#REF!,K20)*$C20/1000),0))</f>
        <v>0.80587684659255976</v>
      </c>
      <c r="AR20" s="162">
        <f>(IF(IFERROR(L20-#REF!,L20)&gt;constants!$D$19,(IFERROR(L20-#REF!,L20)*$C20/1000),0))</f>
        <v>0.20964982694127621</v>
      </c>
      <c r="AS20" s="162">
        <f>(IF(IFERROR(M20-#REF!,M20)&gt;constants!$D$4,(IFERROR(M20-#REF!,M20)*$C20/1000),0))</f>
        <v>2.6659042228287215</v>
      </c>
      <c r="AT20" s="162">
        <f>(IF(IFERROR(N20-#REF!,N20)&gt;constants!$D$5,(IFERROR(N20-#REF!,N20)*$C20/1000),0))</f>
        <v>0</v>
      </c>
      <c r="AU20" s="162">
        <f>(IF(IFERROR(O20-#REF!,O20)&gt;constants!$D$12,(IFERROR(O20-#REF!,O20)*$C20/1000),0))</f>
        <v>0.12008704648315574</v>
      </c>
      <c r="AV20" s="162">
        <f>(IF(IFERROR(P20-#REF!,P20)&gt;constants!$D$5,(IFERROR(P20-#REF!,P20)*$C20/1000),0))</f>
        <v>0</v>
      </c>
      <c r="AW20" s="162">
        <f>(IF(IFERROR(Q20-#REF!,Q20)&gt;constants!$D$13,(IFERROR(Q20-#REF!,Q20)*$C20/1000),0))</f>
        <v>5.7355817732803245E-2</v>
      </c>
      <c r="AX20" s="162">
        <f>(IF(IFERROR(R20-#REF!,R20)&gt;constants!$D$14,(IFERROR(R20-#REF!,R20)*$C20/1000),0))</f>
        <v>0</v>
      </c>
      <c r="AY20" s="162">
        <f>(IF(IFERROR(S20-#REF!,S20)&gt;constants!$D$15,(IFERROR(S20-#REF!,S20)*$C20/1000),0))</f>
        <v>1.1744737037078509E-2</v>
      </c>
      <c r="AZ20" s="64">
        <f>IF(AH20="nd","nd",AH20*Table315[[#This Row],[dilution ]]*Table315[[#This Row],[correction]]/constants!$B$23)</f>
        <v>96.081261101243342</v>
      </c>
      <c r="BA20" s="64">
        <f>Table315[[#This Row],[amount]]*Table315[[#This Row],[correction]]*Table315[[#This Row],[dilution ]]/1000</f>
        <v>8.6549999999999994</v>
      </c>
    </row>
    <row r="21" spans="1:53" s="47" customFormat="1" ht="16" thickBot="1" x14ac:dyDescent="0.4">
      <c r="A21" s="63">
        <f>Table2[[#This Row],[Date]]</f>
        <v>43105</v>
      </c>
      <c r="B21" s="167">
        <f>Table2[[#This Row],[Time]]</f>
        <v>43</v>
      </c>
      <c r="C21" s="54">
        <v>20</v>
      </c>
      <c r="D21" s="106">
        <v>0</v>
      </c>
      <c r="E21" s="106">
        <v>0</v>
      </c>
      <c r="F21" s="106">
        <v>0</v>
      </c>
      <c r="G21" s="106">
        <v>0</v>
      </c>
      <c r="H21" s="106">
        <v>0</v>
      </c>
      <c r="I21" s="106">
        <v>0</v>
      </c>
      <c r="J21" s="106">
        <v>63.673558494754445</v>
      </c>
      <c r="K21" s="106">
        <v>50.818613759655399</v>
      </c>
      <c r="L21" s="106">
        <v>47.019329535795556</v>
      </c>
      <c r="M21" s="106">
        <v>329.34393344434903</v>
      </c>
      <c r="N21" s="107">
        <v>1.2932590341169674</v>
      </c>
      <c r="O21" s="106">
        <v>14.454764522613178</v>
      </c>
      <c r="P21" s="106">
        <v>0</v>
      </c>
      <c r="Q21" s="106">
        <v>4.1999607527683747</v>
      </c>
      <c r="R21" s="107">
        <v>0</v>
      </c>
      <c r="S21" s="108">
        <v>0</v>
      </c>
      <c r="T21" s="108"/>
      <c r="U21" s="108"/>
      <c r="V21" s="108"/>
      <c r="AE21" s="55">
        <v>7.48</v>
      </c>
      <c r="AF21" s="47">
        <v>20</v>
      </c>
      <c r="AG21" s="45">
        <v>1</v>
      </c>
      <c r="AH21" s="47">
        <v>0</v>
      </c>
      <c r="AJ21" s="64">
        <f>IF(D21="nd","nd",D21*$C21/constants!$B$3)</f>
        <v>0</v>
      </c>
      <c r="AK21" s="64">
        <f>IF(E21="nd","nd",E21*$C21/constants!$B$6)</f>
        <v>0</v>
      </c>
      <c r="AL21" s="64">
        <f>IF(F21="nd","nd",F21*$C21/constants!$B$7)</f>
        <v>0</v>
      </c>
      <c r="AM21" s="64">
        <f>IF(G21="nd","nd",G21*$C21/constants!$B$8)</f>
        <v>0</v>
      </c>
      <c r="AN21" s="64">
        <f>IF(H21="nd","nd",H21*$C21/constants!$B$9)</f>
        <v>0</v>
      </c>
      <c r="AO21" s="64">
        <f>IF(I21="nd","nd",I21*$C21/constants!$B$10)</f>
        <v>0</v>
      </c>
      <c r="AP21" s="162">
        <f>(IF(IFERROR(J21-#REF!,J21)&gt;constants!$D$5,(IFERROR(J21-#REF!,J21)*$C21/1000),0))</f>
        <v>1.2734711698950889</v>
      </c>
      <c r="AQ21" s="162">
        <f>(IF(IFERROR(K21-#REF!,K21)&gt;constants!$D$11,(IFERROR(K21-#REF!,K21)*$C21/1000),0))</f>
        <v>1.0163722751931079</v>
      </c>
      <c r="AR21" s="162">
        <f>(IF(IFERROR(L21-#REF!,L21)&gt;constants!$D$19,(IFERROR(L21-#REF!,L21)*$C21/1000),0))</f>
        <v>0.94038659071591113</v>
      </c>
      <c r="AS21" s="162">
        <f>(IF(IFERROR(M21-#REF!,M21)&gt;constants!$D$4,(IFERROR(M21-#REF!,M21)*$C21/1000),0))</f>
        <v>6.58687866888698</v>
      </c>
      <c r="AT21" s="162">
        <f>(IF(IFERROR(N21-#REF!,N21)&gt;constants!$D$5,(IFERROR(N21-#REF!,N21)*$C21/1000),0))</f>
        <v>0</v>
      </c>
      <c r="AU21" s="162">
        <f>(IF(IFERROR(O21-#REF!,O21)&gt;constants!$D$12,(IFERROR(O21-#REF!,O21)*$C21/1000),0))</f>
        <v>0.28909529045226356</v>
      </c>
      <c r="AV21" s="162">
        <f>(IF(IFERROR(P21-#REF!,P21)&gt;constants!$D$5,(IFERROR(P21-#REF!,P21)*$C21/1000),0))</f>
        <v>0</v>
      </c>
      <c r="AW21" s="162">
        <f>(IF(IFERROR(Q21-#REF!,Q21)&gt;constants!$D$13,(IFERROR(Q21-#REF!,Q21)*$C21/1000),0))</f>
        <v>8.3999215055367504E-2</v>
      </c>
      <c r="AX21" s="162">
        <f>(IF(IFERROR(R21-#REF!,R21)&gt;constants!$D$14,(IFERROR(R21-#REF!,R21)*$C21/1000),0))</f>
        <v>0</v>
      </c>
      <c r="AY21" s="162">
        <f>(IF(IFERROR(S21-#REF!,S21)&gt;constants!$D$15,(IFERROR(S21-#REF!,S21)*$C21/1000),0))</f>
        <v>0</v>
      </c>
      <c r="AZ21" s="64">
        <f>IF(AH21="nd","nd",AH21*Table315[[#This Row],[dilution ]]*Table315[[#This Row],[correction]]/constants!$B$23)</f>
        <v>0</v>
      </c>
      <c r="BA21" s="64">
        <f>Table315[[#This Row],[amount]]*Table315[[#This Row],[correction]]*Table315[[#This Row],[dilution ]]/1000</f>
        <v>0</v>
      </c>
    </row>
    <row r="22" spans="1:53" s="66" customFormat="1" ht="16" thickBot="1" x14ac:dyDescent="0.4">
      <c r="A22" s="63">
        <f>Table2[[#This Row],[Date]]</f>
        <v>43195</v>
      </c>
      <c r="B22" s="167">
        <f>Table2[[#This Row],[Time]]</f>
        <v>46</v>
      </c>
      <c r="C22" s="79">
        <v>20</v>
      </c>
      <c r="D22" s="106">
        <v>0</v>
      </c>
      <c r="E22" s="106">
        <v>0</v>
      </c>
      <c r="F22" s="106">
        <v>0</v>
      </c>
      <c r="G22" s="106">
        <v>0</v>
      </c>
      <c r="H22" s="106">
        <v>0</v>
      </c>
      <c r="I22" s="106">
        <v>0</v>
      </c>
      <c r="J22" s="106">
        <v>64.028181203986477</v>
      </c>
      <c r="K22" s="106">
        <v>50.811197247916603</v>
      </c>
      <c r="L22" s="106">
        <v>49.670758397402274</v>
      </c>
      <c r="M22" s="106">
        <v>338.04910829877957</v>
      </c>
      <c r="N22" s="107">
        <v>2.1920414082827007</v>
      </c>
      <c r="O22" s="106">
        <v>14.796382051682958</v>
      </c>
      <c r="P22" s="106">
        <v>0</v>
      </c>
      <c r="Q22" s="106">
        <v>4.2041716759802936</v>
      </c>
      <c r="R22" s="107">
        <v>0</v>
      </c>
      <c r="S22" s="108">
        <v>0</v>
      </c>
      <c r="T22" s="108"/>
      <c r="U22" s="108"/>
      <c r="V22" s="108"/>
      <c r="AE22" s="65">
        <v>7.28</v>
      </c>
      <c r="AF22" s="66">
        <v>20</v>
      </c>
      <c r="AG22" s="45">
        <v>1</v>
      </c>
      <c r="AH22" s="66">
        <v>3</v>
      </c>
      <c r="AJ22" s="64">
        <f>IF(D22="nd","nd",D22*$C22/constants!$B$3)</f>
        <v>0</v>
      </c>
      <c r="AK22" s="64">
        <f>IF(E22="nd","nd",E22*$C22/constants!$B$6)</f>
        <v>0</v>
      </c>
      <c r="AL22" s="64">
        <f>IF(F22="nd","nd",F22*$C22/constants!$B$7)</f>
        <v>0</v>
      </c>
      <c r="AM22" s="64">
        <f>IF(G22="nd","nd",G22*$C22/constants!$B$8)</f>
        <v>0</v>
      </c>
      <c r="AN22" s="64">
        <f>IF(H22="nd","nd",H22*$C22/constants!$B$9)</f>
        <v>0</v>
      </c>
      <c r="AO22" s="64">
        <f>IF(I22="nd","nd",I22*$C22/constants!$B$10)</f>
        <v>0</v>
      </c>
      <c r="AP22" s="162">
        <f>(IF(IFERROR(J22-#REF!,J22)&gt;constants!$D$5,(IFERROR(J22-#REF!,J22)*$C22/1000),0))</f>
        <v>1.2805636240797296</v>
      </c>
      <c r="AQ22" s="162">
        <f>(IF(IFERROR(K22-#REF!,K22)&gt;constants!$D$11,(IFERROR(K22-#REF!,K22)*$C22/1000),0))</f>
        <v>1.0162239449583321</v>
      </c>
      <c r="AR22" s="162">
        <f>(IF(IFERROR(L22-#REF!,L22)&gt;constants!$D$19,(IFERROR(L22-#REF!,L22)*$C22/1000),0))</f>
        <v>0.99341516794804541</v>
      </c>
      <c r="AS22" s="162">
        <f>(IF(IFERROR(M22-#REF!,M22)&gt;constants!$D$4,(IFERROR(M22-#REF!,M22)*$C22/1000),0))</f>
        <v>6.7609821659755918</v>
      </c>
      <c r="AT22" s="162">
        <f>(IF(IFERROR(N22-#REF!,N22)&gt;constants!$D$5,(IFERROR(N22-#REF!,N22)*$C22/1000),0))</f>
        <v>0</v>
      </c>
      <c r="AU22" s="162">
        <f>(IF(IFERROR(O22-#REF!,O22)&gt;constants!$D$12,(IFERROR(O22-#REF!,O22)*$C22/1000),0))</f>
        <v>0.29592764103365915</v>
      </c>
      <c r="AV22" s="162">
        <f>(IF(IFERROR(P22-#REF!,P22)&gt;constants!$D$5,(IFERROR(P22-#REF!,P22)*$C22/1000),0))</f>
        <v>0</v>
      </c>
      <c r="AW22" s="162">
        <f>(IF(IFERROR(Q22-#REF!,Q22)&gt;constants!$D$13,(IFERROR(Q22-#REF!,Q22)*$C22/1000),0))</f>
        <v>8.4083433519605871E-2</v>
      </c>
      <c r="AX22" s="162">
        <f>(IF(IFERROR(R22-#REF!,R22)&gt;constants!$D$14,(IFERROR(R22-#REF!,R22)*$C22/1000),0))</f>
        <v>0</v>
      </c>
      <c r="AY22" s="162">
        <f>(IF(IFERROR(S22-#REF!,S22)&gt;constants!$D$15,(IFERROR(S22-#REF!,S22)*$C22/1000),0))</f>
        <v>0</v>
      </c>
      <c r="AZ22" s="64">
        <f>IF(AH22="nd","nd",AH22*Table315[[#This Row],[dilution ]]*Table315[[#This Row],[correction]]/constants!$B$23)</f>
        <v>0.6660746003552398</v>
      </c>
      <c r="BA22" s="64">
        <f>Table315[[#This Row],[amount]]*Table315[[#This Row],[correction]]*Table315[[#This Row],[dilution ]]/1000</f>
        <v>0.06</v>
      </c>
    </row>
    <row r="23" spans="1:53" s="47" customFormat="1" ht="16" thickBot="1" x14ac:dyDescent="0.4">
      <c r="A23" s="63">
        <f>Table2[[#This Row],[Date]]</f>
        <v>43317</v>
      </c>
      <c r="B23" s="167">
        <f>Table2[[#This Row],[Time]]</f>
        <v>50</v>
      </c>
      <c r="C23" s="54">
        <v>50</v>
      </c>
      <c r="D23" s="106">
        <v>0</v>
      </c>
      <c r="E23" s="106">
        <v>0</v>
      </c>
      <c r="F23" s="106">
        <v>0</v>
      </c>
      <c r="G23" s="106">
        <v>0</v>
      </c>
      <c r="H23" s="106">
        <v>0</v>
      </c>
      <c r="I23" s="106">
        <v>0</v>
      </c>
      <c r="J23" s="106">
        <v>27.745928999261487</v>
      </c>
      <c r="K23" s="106">
        <v>23.18462253451559</v>
      </c>
      <c r="L23" s="106">
        <v>20.214596395382127</v>
      </c>
      <c r="M23" s="106">
        <v>132.83126860424417</v>
      </c>
      <c r="N23" s="107">
        <v>0</v>
      </c>
      <c r="O23" s="106">
        <v>5.4822558588848951</v>
      </c>
      <c r="P23" s="106">
        <v>0</v>
      </c>
      <c r="Q23" s="106">
        <v>1.884247771818012</v>
      </c>
      <c r="R23" s="107">
        <v>0</v>
      </c>
      <c r="S23" s="108">
        <v>0</v>
      </c>
      <c r="T23" s="108"/>
      <c r="U23" s="108"/>
      <c r="V23" s="108"/>
      <c r="W23" s="96"/>
      <c r="X23" s="97"/>
      <c r="Y23" s="96"/>
      <c r="Z23" s="98"/>
      <c r="AA23" s="99"/>
      <c r="AB23" s="97"/>
      <c r="AC23" s="96"/>
      <c r="AD23" s="100"/>
      <c r="AE23" s="55"/>
      <c r="AF23" s="47">
        <v>10</v>
      </c>
      <c r="AG23" s="45">
        <v>1</v>
      </c>
      <c r="AH23" s="47">
        <v>0</v>
      </c>
      <c r="AJ23" s="64">
        <f>IF(D23="nd","nd",D23*$C23/constants!$B$3)</f>
        <v>0</v>
      </c>
      <c r="AK23" s="64">
        <f>IF(E23="nd","nd",E23*$C23/constants!$B$6)</f>
        <v>0</v>
      </c>
      <c r="AL23" s="64">
        <f>IF(F23="nd","nd",F23*$C23/constants!$B$7)</f>
        <v>0</v>
      </c>
      <c r="AM23" s="64">
        <f>IF(G23="nd","nd",G23*$C23/constants!$B$8)</f>
        <v>0</v>
      </c>
      <c r="AN23" s="64">
        <f>IF(H23="nd","nd",H23*$C23/constants!$B$9)</f>
        <v>0</v>
      </c>
      <c r="AO23" s="64">
        <f>IF(I23="nd","nd",I23*$C23/constants!$B$10)</f>
        <v>0</v>
      </c>
      <c r="AP23" s="162">
        <f>(IF(IFERROR(J23-#REF!,J23)&gt;constants!$D$5,(IFERROR(J23-#REF!,J23)*$C23/1000),0))</f>
        <v>1.3872964499630744</v>
      </c>
      <c r="AQ23" s="162">
        <f>(IF(IFERROR(K23-#REF!,K23)&gt;constants!$D$11,(IFERROR(K23-#REF!,K23)*$C23/1000),0))</f>
        <v>1.1592311267257793</v>
      </c>
      <c r="AR23" s="162">
        <f>(IF(IFERROR(L23-#REF!,L23)&gt;constants!$D$19,(IFERROR(L23-#REF!,L23)*$C23/1000),0))</f>
        <v>1.0107298197691064</v>
      </c>
      <c r="AS23" s="162">
        <f>(IF(IFERROR(M23-#REF!,M23)&gt;constants!$D$4,(IFERROR(M23-#REF!,M23)*$C23/1000),0))</f>
        <v>6.6415634302122086</v>
      </c>
      <c r="AT23" s="162">
        <f>(IF(IFERROR(N23-#REF!,N23)&gt;constants!$D$5,(IFERROR(N23-#REF!,N23)*$C23/1000),0))</f>
        <v>0</v>
      </c>
      <c r="AU23" s="162">
        <f>(IF(IFERROR(O23-#REF!,O23)&gt;constants!$D$12,(IFERROR(O23-#REF!,O23)*$C23/1000),0))</f>
        <v>0.27411279294424473</v>
      </c>
      <c r="AV23" s="162">
        <f>(IF(IFERROR(P23-#REF!,P23)&gt;constants!$D$5,(IFERROR(P23-#REF!,P23)*$C23/1000),0))</f>
        <v>0</v>
      </c>
      <c r="AW23" s="162">
        <f>(IF(IFERROR(Q23-#REF!,Q23)&gt;constants!$D$13,(IFERROR(Q23-#REF!,Q23)*$C23/1000),0))</f>
        <v>0</v>
      </c>
      <c r="AX23" s="162">
        <f>(IF(IFERROR(R23-#REF!,R23)&gt;constants!$D$14,(IFERROR(R23-#REF!,R23)*$C23/1000),0))</f>
        <v>0</v>
      </c>
      <c r="AY23" s="162">
        <f>(IF(IFERROR(S23-#REF!,S23)&gt;constants!$D$15,(IFERROR(S23-#REF!,S23)*$C23/1000),0))</f>
        <v>0</v>
      </c>
      <c r="AZ23" s="64">
        <f>IF(AH23="nd","nd",AH23*Table315[[#This Row],[dilution ]]*Table315[[#This Row],[correction]]/constants!$B$23)</f>
        <v>0</v>
      </c>
      <c r="BA23" s="64">
        <f>Table315[[#This Row],[amount]]*Table315[[#This Row],[correction]]*Table315[[#This Row],[dilution ]]/1000</f>
        <v>0</v>
      </c>
    </row>
    <row r="24" spans="1:53" s="66" customFormat="1" ht="16" thickBot="1" x14ac:dyDescent="0.4">
      <c r="A24" s="63" t="str">
        <f>Table2[[#This Row],[Date]]</f>
        <v>16-05-2018</v>
      </c>
      <c r="B24" s="167">
        <f>Table2[[#This Row],[Time]]</f>
        <v>58</v>
      </c>
      <c r="C24" s="79">
        <v>20</v>
      </c>
      <c r="D24" s="106">
        <v>0</v>
      </c>
      <c r="E24" s="106">
        <v>0</v>
      </c>
      <c r="F24" s="106">
        <v>0</v>
      </c>
      <c r="G24" s="106">
        <v>0</v>
      </c>
      <c r="H24" s="106">
        <v>0</v>
      </c>
      <c r="I24" s="106">
        <v>0</v>
      </c>
      <c r="J24" s="106">
        <v>66.532070501453831</v>
      </c>
      <c r="K24" s="106">
        <v>60.306397024836464</v>
      </c>
      <c r="L24" s="106">
        <v>53.027291398189483</v>
      </c>
      <c r="M24" s="106">
        <v>346.10032515136095</v>
      </c>
      <c r="N24" s="107">
        <v>2.0491186435530917</v>
      </c>
      <c r="O24" s="106">
        <v>14.637236872930757</v>
      </c>
      <c r="P24" s="106">
        <v>0</v>
      </c>
      <c r="Q24" s="106">
        <v>4.8046996806376079</v>
      </c>
      <c r="R24" s="107">
        <v>0</v>
      </c>
      <c r="S24" s="108">
        <v>0</v>
      </c>
      <c r="T24" s="108"/>
      <c r="U24" s="108"/>
      <c r="V24" s="108"/>
      <c r="AE24" s="65">
        <v>7.64</v>
      </c>
      <c r="AG24" s="45">
        <v>1</v>
      </c>
      <c r="AJ24" s="64">
        <f>IF(D24="nd","nd",D24*$C24/constants!$B$3)</f>
        <v>0</v>
      </c>
      <c r="AK24" s="64">
        <f>IF(E24="nd","nd",E24*$C24/constants!$B$6)</f>
        <v>0</v>
      </c>
      <c r="AL24" s="64">
        <f>IF(F24="nd","nd",F24*$C24/constants!$B$7)</f>
        <v>0</v>
      </c>
      <c r="AM24" s="64">
        <f>IF(G24="nd","nd",G24*$C24/constants!$B$8)</f>
        <v>0</v>
      </c>
      <c r="AN24" s="64">
        <f>IF(H24="nd","nd",H24*$C24/constants!$B$9)</f>
        <v>0</v>
      </c>
      <c r="AO24" s="64">
        <f>IF(I24="nd","nd",I24*$C24/constants!$B$10)</f>
        <v>0</v>
      </c>
      <c r="AP24" s="162">
        <f>(IF(IFERROR(J24-#REF!,J24)&gt;constants!$D$5,(IFERROR(J24-#REF!,J24)*$C24/1000),0))</f>
        <v>1.3306414100290767</v>
      </c>
      <c r="AQ24" s="162">
        <f>(IF(IFERROR(K24-#REF!,K24)&gt;constants!$D$11,(IFERROR(K24-#REF!,K24)*$C24/1000),0))</f>
        <v>1.2061279404967293</v>
      </c>
      <c r="AR24" s="162">
        <f>(IF(IFERROR(L24-#REF!,L24)&gt;constants!$D$19,(IFERROR(L24-#REF!,L24)*$C24/1000),0))</f>
        <v>1.0605458279637896</v>
      </c>
      <c r="AS24" s="162">
        <f>(IF(IFERROR(M24-#REF!,M24)&gt;constants!$D$4,(IFERROR(M24-#REF!,M24)*$C24/1000),0))</f>
        <v>6.9220065030272186</v>
      </c>
      <c r="AT24" s="162">
        <f>(IF(IFERROR(N24-#REF!,N24)&gt;constants!$D$5,(IFERROR(N24-#REF!,N24)*$C24/1000),0))</f>
        <v>0</v>
      </c>
      <c r="AU24" s="162">
        <f>(IF(IFERROR(O24-#REF!,O24)&gt;constants!$D$12,(IFERROR(O24-#REF!,O24)*$C24/1000),0))</f>
        <v>0.29274473745861512</v>
      </c>
      <c r="AV24" s="162">
        <f>(IF(IFERROR(P24-#REF!,P24)&gt;constants!$D$5,(IFERROR(P24-#REF!,P24)*$C24/1000),0))</f>
        <v>0</v>
      </c>
      <c r="AW24" s="162">
        <f>(IF(IFERROR(Q24-#REF!,Q24)&gt;constants!$D$13,(IFERROR(Q24-#REF!,Q24)*$C24/1000),0))</f>
        <v>9.6093993612752157E-2</v>
      </c>
      <c r="AX24" s="162">
        <f>(IF(IFERROR(R24-#REF!,R24)&gt;constants!$D$14,(IFERROR(R24-#REF!,R24)*$C24/1000),0))</f>
        <v>0</v>
      </c>
      <c r="AY24" s="162">
        <f>(IF(IFERROR(S24-#REF!,S24)&gt;constants!$D$15,(IFERROR(S24-#REF!,S24)*$C24/1000),0))</f>
        <v>0</v>
      </c>
      <c r="AZ24" s="64">
        <f>IF(AH24="nd","nd",AH24*Table315[[#This Row],[dilution ]]*Table315[[#This Row],[correction]]/constants!$B$23)</f>
        <v>0</v>
      </c>
      <c r="BA24" s="64">
        <f>Table315[[#This Row],[amount]]*Table315[[#This Row],[correction]]*Table315[[#This Row],[dilution ]]/1000</f>
        <v>0</v>
      </c>
    </row>
    <row r="25" spans="1:53" s="47" customFormat="1" ht="16" thickBot="1" x14ac:dyDescent="0.4">
      <c r="A25" s="63"/>
      <c r="B25" s="74"/>
      <c r="C25" s="54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7"/>
      <c r="O25" s="106"/>
      <c r="P25" s="106"/>
      <c r="Q25" s="106"/>
      <c r="R25" s="107"/>
      <c r="S25" s="108"/>
      <c r="T25" s="108"/>
      <c r="U25" s="108"/>
      <c r="V25" s="108"/>
      <c r="AE25" s="55"/>
      <c r="AG25" s="32"/>
      <c r="AJ25" s="64"/>
      <c r="AK25" s="64"/>
      <c r="AL25" s="64"/>
      <c r="AM25" s="64"/>
      <c r="AN25" s="64"/>
      <c r="AO25" s="64"/>
      <c r="AP25" s="162"/>
      <c r="AQ25" s="162"/>
      <c r="AR25" s="162"/>
      <c r="AS25" s="162"/>
      <c r="AT25" s="162"/>
      <c r="AU25" s="162"/>
      <c r="AV25" s="162"/>
      <c r="AW25" s="162"/>
      <c r="AX25" s="162"/>
      <c r="AY25" s="162"/>
      <c r="AZ25" s="64"/>
      <c r="BA25" s="64"/>
    </row>
    <row r="26" spans="1:53" s="66" customFormat="1" ht="16" thickBot="1" x14ac:dyDescent="0.4">
      <c r="A26" s="63"/>
      <c r="B26" s="74"/>
      <c r="C26" s="79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AE26" s="65"/>
      <c r="AG26" s="32"/>
      <c r="AJ26" s="64"/>
      <c r="AK26" s="64"/>
      <c r="AL26" s="64"/>
      <c r="AM26" s="64"/>
      <c r="AN26" s="64"/>
      <c r="AO26" s="6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64"/>
      <c r="BA26" s="64"/>
    </row>
    <row r="27" spans="1:53" s="47" customFormat="1" ht="16" thickBot="1" x14ac:dyDescent="0.4">
      <c r="A27" s="63"/>
      <c r="B27" s="74"/>
      <c r="C27" s="54"/>
      <c r="V27" s="82"/>
      <c r="AE27" s="55"/>
      <c r="AG27" s="32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</row>
    <row r="28" spans="1:53" s="66" customFormat="1" ht="16" thickBot="1" x14ac:dyDescent="0.4">
      <c r="A28" s="63"/>
      <c r="B28" s="74"/>
      <c r="C28" s="79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1"/>
      <c r="AE28" s="65"/>
      <c r="AG28" s="32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</row>
    <row r="29" spans="1:53" s="47" customFormat="1" ht="16" thickBot="1" x14ac:dyDescent="0.4">
      <c r="A29" s="63"/>
      <c r="B29" s="74"/>
      <c r="C29" s="54"/>
      <c r="V29" s="82"/>
      <c r="AE29" s="55"/>
      <c r="AG29" s="32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</row>
    <row r="30" spans="1:53" s="66" customFormat="1" ht="16" thickBot="1" x14ac:dyDescent="0.4">
      <c r="A30" s="63"/>
      <c r="B30" s="74"/>
      <c r="C30" s="79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1"/>
      <c r="AE30" s="65"/>
      <c r="AG30" s="32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</row>
    <row r="31" spans="1:53" s="47" customFormat="1" ht="16" thickBot="1" x14ac:dyDescent="0.4">
      <c r="A31" s="63"/>
      <c r="B31" s="74"/>
      <c r="C31" s="54"/>
      <c r="V31" s="82"/>
      <c r="AE31" s="55"/>
      <c r="AG31" s="32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</row>
    <row r="32" spans="1:53" ht="16" thickBot="1" x14ac:dyDescent="0.4">
      <c r="A32" s="60"/>
      <c r="B32" s="74"/>
      <c r="C32" s="8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84"/>
      <c r="AE32" s="43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</row>
    <row r="33" spans="1:42" x14ac:dyDescent="0.35">
      <c r="A33" s="60"/>
      <c r="AE33" s="43"/>
    </row>
    <row r="34" spans="1:42" x14ac:dyDescent="0.35">
      <c r="AE34" s="43"/>
    </row>
    <row r="35" spans="1:42" x14ac:dyDescent="0.35">
      <c r="AE35" s="43"/>
      <c r="AP35" s="31">
        <f>SUM(AP26:AW26)</f>
        <v>0</v>
      </c>
    </row>
    <row r="36" spans="1:42" ht="15" thickBot="1" x14ac:dyDescent="0.4">
      <c r="AE36" s="44"/>
    </row>
  </sheetData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V36"/>
  <sheetViews>
    <sheetView zoomScale="80" zoomScaleNormal="80" workbookViewId="0">
      <pane xSplit="2" topLeftCell="C1" activePane="topRight" state="frozen"/>
      <selection pane="topRight"/>
    </sheetView>
  </sheetViews>
  <sheetFormatPr defaultRowHeight="14.5" x14ac:dyDescent="0.35"/>
  <cols>
    <col min="1" max="1" width="16.453125" bestFit="1" customWidth="1"/>
    <col min="2" max="2" width="11" customWidth="1"/>
    <col min="3" max="3" width="10.453125" customWidth="1"/>
    <col min="4" max="4" width="10.7265625" customWidth="1"/>
    <col min="5" max="12" width="11.7265625" customWidth="1"/>
    <col min="13" max="22" width="12.7265625" customWidth="1"/>
    <col min="23" max="23" width="11.81640625" customWidth="1"/>
    <col min="24" max="24" width="12.7265625" customWidth="1"/>
    <col min="25" max="25" width="11.26953125" customWidth="1"/>
    <col min="26" max="26" width="12.7265625" customWidth="1"/>
    <col min="27" max="27" width="13.26953125" customWidth="1"/>
    <col min="28" max="28" width="12.7265625" customWidth="1"/>
    <col min="29" max="29" width="13.26953125" customWidth="1"/>
    <col min="30" max="30" width="12.7265625" customWidth="1"/>
    <col min="32" max="32" width="10.81640625" customWidth="1"/>
    <col min="33" max="33" width="11.26953125" customWidth="1"/>
    <col min="34" max="35" width="10.1796875" customWidth="1"/>
    <col min="36" max="36" width="15.81640625" customWidth="1"/>
    <col min="37" max="44" width="16.81640625" customWidth="1"/>
    <col min="45" max="55" width="17.81640625" customWidth="1"/>
    <col min="56" max="56" width="15.81640625" hidden="1" customWidth="1"/>
    <col min="57" max="61" width="16.81640625" hidden="1" customWidth="1"/>
    <col min="62" max="64" width="16.81640625" customWidth="1"/>
    <col min="65" max="72" width="17.81640625" customWidth="1"/>
  </cols>
  <sheetData>
    <row r="1" spans="1:74" x14ac:dyDescent="0.35">
      <c r="A1" s="24" t="s">
        <v>28</v>
      </c>
      <c r="B1" s="24" t="s">
        <v>163</v>
      </c>
      <c r="C1" s="24"/>
      <c r="AP1" s="177"/>
      <c r="AQ1" s="177"/>
    </row>
    <row r="2" spans="1:74" x14ac:dyDescent="0.35">
      <c r="A2" s="25" t="s">
        <v>30</v>
      </c>
      <c r="B2" s="25" t="s">
        <v>180</v>
      </c>
      <c r="C2" s="24" t="s">
        <v>75</v>
      </c>
      <c r="AJ2" s="2" t="s">
        <v>2</v>
      </c>
      <c r="AP2" s="177"/>
      <c r="AQ2" s="177"/>
    </row>
    <row r="3" spans="1:74" x14ac:dyDescent="0.35">
      <c r="A3" s="25"/>
      <c r="B3" s="25"/>
      <c r="C3" s="24"/>
    </row>
    <row r="4" spans="1:74" x14ac:dyDescent="0.35">
      <c r="A4" s="24"/>
      <c r="B4" s="24"/>
      <c r="C4" s="56"/>
      <c r="E4" s="1"/>
      <c r="F4" s="3"/>
      <c r="G4" s="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 t="s">
        <v>60</v>
      </c>
      <c r="X4" s="1"/>
      <c r="Y4" s="1"/>
      <c r="Z4" s="1"/>
      <c r="AA4" s="1"/>
      <c r="AC4" s="1"/>
      <c r="AD4" s="1"/>
      <c r="AE4" s="1"/>
      <c r="AF4" t="s">
        <v>69</v>
      </c>
      <c r="AJ4" s="37" t="s">
        <v>37</v>
      </c>
      <c r="AL4" s="3"/>
      <c r="AM4" s="2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I4" s="1"/>
      <c r="BJ4" s="4"/>
    </row>
    <row r="5" spans="1:74" ht="15" thickBot="1" x14ac:dyDescent="0.4">
      <c r="A5" s="24"/>
      <c r="B5" s="24"/>
      <c r="C5" s="2" t="s">
        <v>2</v>
      </c>
      <c r="D5" s="2"/>
      <c r="E5" s="1"/>
      <c r="F5" s="3"/>
      <c r="G5" s="2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C5" s="1"/>
      <c r="AD5" s="1"/>
      <c r="AE5" s="1"/>
      <c r="AJ5" s="37"/>
      <c r="AL5" s="3"/>
      <c r="AM5" s="2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 t="s">
        <v>60</v>
      </c>
      <c r="BC5" s="1"/>
      <c r="BD5" s="56" t="s">
        <v>79</v>
      </c>
      <c r="BI5" s="1"/>
      <c r="BJ5" s="56" t="s">
        <v>79</v>
      </c>
      <c r="BU5" t="s">
        <v>60</v>
      </c>
    </row>
    <row r="6" spans="1:74" x14ac:dyDescent="0.35">
      <c r="C6" s="5" t="s">
        <v>3</v>
      </c>
      <c r="D6" s="6" t="s">
        <v>4</v>
      </c>
      <c r="E6" s="6" t="s">
        <v>90</v>
      </c>
      <c r="F6" s="6" t="s">
        <v>91</v>
      </c>
      <c r="G6" s="6" t="s">
        <v>92</v>
      </c>
      <c r="H6" s="6" t="s">
        <v>93</v>
      </c>
      <c r="I6" s="6" t="s">
        <v>94</v>
      </c>
      <c r="J6" s="6" t="s">
        <v>95</v>
      </c>
      <c r="K6" s="6" t="s">
        <v>96</v>
      </c>
      <c r="L6" s="6" t="s">
        <v>97</v>
      </c>
      <c r="M6" s="6" t="s">
        <v>98</v>
      </c>
      <c r="N6" s="6" t="s">
        <v>99</v>
      </c>
      <c r="O6" s="6" t="s">
        <v>100</v>
      </c>
      <c r="P6" s="6" t="s">
        <v>101</v>
      </c>
      <c r="Q6" s="6" t="s">
        <v>102</v>
      </c>
      <c r="R6" s="6" t="s">
        <v>103</v>
      </c>
      <c r="S6" s="7" t="s">
        <v>104</v>
      </c>
      <c r="T6" s="7" t="s">
        <v>105</v>
      </c>
      <c r="U6" s="7" t="s">
        <v>106</v>
      </c>
      <c r="V6" s="8" t="s">
        <v>107</v>
      </c>
      <c r="W6" s="36" t="s">
        <v>61</v>
      </c>
      <c r="X6" s="33" t="s">
        <v>108</v>
      </c>
      <c r="Y6" s="36" t="s">
        <v>62</v>
      </c>
      <c r="Z6" s="35" t="s">
        <v>109</v>
      </c>
      <c r="AA6" s="34" t="s">
        <v>110</v>
      </c>
      <c r="AB6" s="33" t="s">
        <v>111</v>
      </c>
      <c r="AC6" s="36" t="s">
        <v>112</v>
      </c>
      <c r="AD6" s="35" t="s">
        <v>113</v>
      </c>
      <c r="AE6" s="38" t="s">
        <v>68</v>
      </c>
      <c r="AF6" s="39" t="s">
        <v>70</v>
      </c>
      <c r="AG6" s="39" t="s">
        <v>151</v>
      </c>
      <c r="AH6" s="40" t="s">
        <v>32</v>
      </c>
      <c r="AI6" s="127" t="s">
        <v>136</v>
      </c>
      <c r="AJ6" s="69" t="s">
        <v>35</v>
      </c>
      <c r="AK6" s="70" t="s">
        <v>114</v>
      </c>
      <c r="AL6" s="70" t="s">
        <v>115</v>
      </c>
      <c r="AM6" s="70" t="s">
        <v>116</v>
      </c>
      <c r="AN6" s="70" t="s">
        <v>117</v>
      </c>
      <c r="AO6" s="70" t="s">
        <v>118</v>
      </c>
      <c r="AP6" s="70" t="s">
        <v>119</v>
      </c>
      <c r="AQ6" s="70" t="s">
        <v>120</v>
      </c>
      <c r="AR6" s="70" t="s">
        <v>121</v>
      </c>
      <c r="AS6" s="70" t="s">
        <v>122</v>
      </c>
      <c r="AT6" s="70" t="s">
        <v>123</v>
      </c>
      <c r="AU6" s="70" t="s">
        <v>124</v>
      </c>
      <c r="AV6" s="70" t="s">
        <v>125</v>
      </c>
      <c r="AW6" s="70" t="s">
        <v>126</v>
      </c>
      <c r="AX6" s="70" t="s">
        <v>127</v>
      </c>
      <c r="AY6" s="71" t="s">
        <v>128</v>
      </c>
      <c r="AZ6" s="72" t="s">
        <v>129</v>
      </c>
      <c r="BA6" s="85" t="s">
        <v>148</v>
      </c>
      <c r="BB6" s="85" t="s">
        <v>134</v>
      </c>
      <c r="BC6" s="88" t="s">
        <v>135</v>
      </c>
      <c r="BD6" s="69" t="s">
        <v>35</v>
      </c>
      <c r="BE6" s="70" t="s">
        <v>114</v>
      </c>
      <c r="BF6" s="70" t="s">
        <v>115</v>
      </c>
      <c r="BG6" s="70" t="s">
        <v>116</v>
      </c>
      <c r="BH6" s="70" t="s">
        <v>117</v>
      </c>
      <c r="BI6" s="70" t="s">
        <v>118</v>
      </c>
      <c r="BJ6" s="70" t="s">
        <v>119</v>
      </c>
      <c r="BK6" s="70" t="s">
        <v>120</v>
      </c>
      <c r="BL6" s="70" t="s">
        <v>121</v>
      </c>
      <c r="BM6" s="70" t="s">
        <v>122</v>
      </c>
      <c r="BN6" s="70" t="s">
        <v>123</v>
      </c>
      <c r="BO6" s="70" t="s">
        <v>124</v>
      </c>
      <c r="BP6" s="70" t="s">
        <v>125</v>
      </c>
      <c r="BQ6" s="70" t="s">
        <v>126</v>
      </c>
      <c r="BR6" s="70" t="s">
        <v>127</v>
      </c>
      <c r="BS6" s="71" t="s">
        <v>128</v>
      </c>
      <c r="BT6" s="72" t="s">
        <v>129</v>
      </c>
      <c r="BU6" s="85" t="s">
        <v>130</v>
      </c>
      <c r="BV6" s="85" t="s">
        <v>132</v>
      </c>
    </row>
    <row r="7" spans="1:74" x14ac:dyDescent="0.35">
      <c r="C7" s="9" t="s">
        <v>5</v>
      </c>
      <c r="D7" s="10" t="s">
        <v>7</v>
      </c>
      <c r="E7" s="10" t="s">
        <v>7</v>
      </c>
      <c r="F7" s="10" t="s">
        <v>7</v>
      </c>
      <c r="G7" s="10" t="s">
        <v>7</v>
      </c>
      <c r="H7" s="10" t="s">
        <v>7</v>
      </c>
      <c r="I7" s="10" t="s">
        <v>7</v>
      </c>
      <c r="J7" s="10" t="s">
        <v>7</v>
      </c>
      <c r="K7" s="10" t="s">
        <v>7</v>
      </c>
      <c r="L7" s="10" t="s">
        <v>7</v>
      </c>
      <c r="M7" s="10" t="s">
        <v>7</v>
      </c>
      <c r="N7" s="10" t="s">
        <v>7</v>
      </c>
      <c r="O7" s="10" t="s">
        <v>7</v>
      </c>
      <c r="P7" s="10" t="s">
        <v>7</v>
      </c>
      <c r="Q7" s="10" t="s">
        <v>7</v>
      </c>
      <c r="R7" s="10" t="s">
        <v>7</v>
      </c>
      <c r="S7" s="11" t="s">
        <v>7</v>
      </c>
      <c r="T7" s="11" t="s">
        <v>6</v>
      </c>
      <c r="U7" s="11" t="s">
        <v>6</v>
      </c>
      <c r="V7" s="12" t="s">
        <v>6</v>
      </c>
      <c r="W7" s="36" t="s">
        <v>63</v>
      </c>
      <c r="X7" s="33" t="s">
        <v>64</v>
      </c>
      <c r="Y7" s="36" t="s">
        <v>63</v>
      </c>
      <c r="Z7" s="35" t="s">
        <v>64</v>
      </c>
      <c r="AA7" s="34" t="s">
        <v>63</v>
      </c>
      <c r="AB7" s="33" t="s">
        <v>64</v>
      </c>
      <c r="AC7" s="36" t="s">
        <v>63</v>
      </c>
      <c r="AD7" s="35" t="s">
        <v>64</v>
      </c>
      <c r="AE7" s="38"/>
      <c r="AF7" s="39" t="s">
        <v>5</v>
      </c>
      <c r="AG7" s="39" t="s">
        <v>5</v>
      </c>
      <c r="AH7" s="40" t="s">
        <v>7</v>
      </c>
      <c r="AI7" s="39" t="s">
        <v>137</v>
      </c>
      <c r="AJ7" s="9" t="s">
        <v>36</v>
      </c>
      <c r="AK7" s="10" t="s">
        <v>36</v>
      </c>
      <c r="AL7" s="10" t="s">
        <v>36</v>
      </c>
      <c r="AM7" s="10" t="s">
        <v>36</v>
      </c>
      <c r="AN7" s="10" t="s">
        <v>36</v>
      </c>
      <c r="AO7" s="10" t="s">
        <v>36</v>
      </c>
      <c r="AP7" s="163" t="s">
        <v>77</v>
      </c>
      <c r="AQ7" s="163" t="s">
        <v>77</v>
      </c>
      <c r="AR7" s="163" t="s">
        <v>77</v>
      </c>
      <c r="AS7" s="163" t="s">
        <v>77</v>
      </c>
      <c r="AT7" s="163" t="s">
        <v>77</v>
      </c>
      <c r="AU7" s="163" t="s">
        <v>77</v>
      </c>
      <c r="AV7" s="163" t="s">
        <v>77</v>
      </c>
      <c r="AW7" s="163" t="s">
        <v>77</v>
      </c>
      <c r="AX7" s="10" t="s">
        <v>36</v>
      </c>
      <c r="AY7" s="12" t="s">
        <v>36</v>
      </c>
      <c r="AZ7" s="58" t="s">
        <v>36</v>
      </c>
      <c r="BA7" s="86" t="s">
        <v>152</v>
      </c>
      <c r="BB7" s="86" t="s">
        <v>36</v>
      </c>
      <c r="BC7" s="86" t="s">
        <v>36</v>
      </c>
      <c r="BD7" s="9" t="s">
        <v>89</v>
      </c>
      <c r="BE7" s="9" t="s">
        <v>89</v>
      </c>
      <c r="BF7" s="9" t="s">
        <v>89</v>
      </c>
      <c r="BG7" s="9" t="s">
        <v>89</v>
      </c>
      <c r="BH7" s="9" t="s">
        <v>89</v>
      </c>
      <c r="BI7" s="9" t="s">
        <v>89</v>
      </c>
      <c r="BJ7" s="9" t="s">
        <v>139</v>
      </c>
      <c r="BK7" s="9" t="s">
        <v>139</v>
      </c>
      <c r="BL7" s="9" t="s">
        <v>139</v>
      </c>
      <c r="BM7" s="9" t="s">
        <v>139</v>
      </c>
      <c r="BN7" s="9" t="s">
        <v>139</v>
      </c>
      <c r="BO7" s="9" t="s">
        <v>139</v>
      </c>
      <c r="BP7" s="9" t="s">
        <v>139</v>
      </c>
      <c r="BQ7" s="9" t="s">
        <v>139</v>
      </c>
      <c r="BR7" s="9" t="s">
        <v>139</v>
      </c>
      <c r="BS7" s="9" t="s">
        <v>139</v>
      </c>
      <c r="BT7" s="9" t="s">
        <v>89</v>
      </c>
      <c r="BU7" s="9" t="s">
        <v>89</v>
      </c>
      <c r="BV7" s="9" t="s">
        <v>89</v>
      </c>
    </row>
    <row r="8" spans="1:74" ht="16" thickBot="1" x14ac:dyDescent="0.4">
      <c r="A8" s="22" t="s">
        <v>0</v>
      </c>
      <c r="B8" s="73" t="s">
        <v>1</v>
      </c>
      <c r="C8" s="13" t="s">
        <v>6</v>
      </c>
      <c r="D8" s="14" t="s">
        <v>8</v>
      </c>
      <c r="E8" s="14" t="s">
        <v>9</v>
      </c>
      <c r="F8" s="14" t="s">
        <v>10</v>
      </c>
      <c r="G8" s="14" t="s">
        <v>11</v>
      </c>
      <c r="H8" s="14" t="s">
        <v>12</v>
      </c>
      <c r="I8" s="14" t="s">
        <v>13</v>
      </c>
      <c r="J8" s="14" t="s">
        <v>14</v>
      </c>
      <c r="K8" s="14" t="s">
        <v>15</v>
      </c>
      <c r="L8" s="14" t="s">
        <v>16</v>
      </c>
      <c r="M8" s="14" t="s">
        <v>17</v>
      </c>
      <c r="N8" s="14" t="s">
        <v>18</v>
      </c>
      <c r="O8" s="14" t="s">
        <v>19</v>
      </c>
      <c r="P8" s="14" t="s">
        <v>20</v>
      </c>
      <c r="Q8" s="14" t="s">
        <v>21</v>
      </c>
      <c r="R8" s="14" t="s">
        <v>22</v>
      </c>
      <c r="S8" s="15" t="s">
        <v>23</v>
      </c>
      <c r="T8" s="15" t="s">
        <v>24</v>
      </c>
      <c r="U8" s="15" t="s">
        <v>25</v>
      </c>
      <c r="V8" s="16" t="s">
        <v>26</v>
      </c>
      <c r="W8" s="36" t="s">
        <v>65</v>
      </c>
      <c r="X8" s="33" t="s">
        <v>65</v>
      </c>
      <c r="Y8" s="36" t="s">
        <v>66</v>
      </c>
      <c r="Z8" s="35" t="s">
        <v>66</v>
      </c>
      <c r="AA8" s="34" t="s">
        <v>55</v>
      </c>
      <c r="AB8" s="33" t="s">
        <v>55</v>
      </c>
      <c r="AC8" s="36" t="s">
        <v>67</v>
      </c>
      <c r="AD8" s="35" t="s">
        <v>67</v>
      </c>
      <c r="AE8" s="38"/>
      <c r="AF8" s="39"/>
      <c r="AG8" s="39"/>
      <c r="AH8" s="40" t="s">
        <v>73</v>
      </c>
      <c r="AI8" s="39" t="s">
        <v>145</v>
      </c>
      <c r="AJ8" s="13" t="s">
        <v>8</v>
      </c>
      <c r="AK8" s="14" t="s">
        <v>9</v>
      </c>
      <c r="AL8" s="14" t="s">
        <v>10</v>
      </c>
      <c r="AM8" s="14" t="s">
        <v>11</v>
      </c>
      <c r="AN8" s="14" t="s">
        <v>12</v>
      </c>
      <c r="AO8" s="14" t="s">
        <v>13</v>
      </c>
      <c r="AP8" s="164" t="s">
        <v>14</v>
      </c>
      <c r="AQ8" s="164" t="s">
        <v>15</v>
      </c>
      <c r="AR8" s="164" t="s">
        <v>16</v>
      </c>
      <c r="AS8" s="164" t="s">
        <v>17</v>
      </c>
      <c r="AT8" s="164" t="s">
        <v>18</v>
      </c>
      <c r="AU8" s="164" t="s">
        <v>19</v>
      </c>
      <c r="AV8" s="164" t="s">
        <v>20</v>
      </c>
      <c r="AW8" s="164" t="s">
        <v>21</v>
      </c>
      <c r="AX8" s="14" t="s">
        <v>22</v>
      </c>
      <c r="AY8" s="16" t="s">
        <v>23</v>
      </c>
      <c r="AZ8" s="59" t="s">
        <v>78</v>
      </c>
      <c r="BA8" s="87" t="s">
        <v>78</v>
      </c>
      <c r="BB8" s="87" t="s">
        <v>131</v>
      </c>
      <c r="BC8" s="87" t="s">
        <v>133</v>
      </c>
      <c r="BD8" s="13" t="s">
        <v>8</v>
      </c>
      <c r="BE8" s="14" t="s">
        <v>9</v>
      </c>
      <c r="BF8" s="14" t="s">
        <v>10</v>
      </c>
      <c r="BG8" s="14" t="s">
        <v>11</v>
      </c>
      <c r="BH8" s="14" t="s">
        <v>12</v>
      </c>
      <c r="BI8" s="14" t="s">
        <v>13</v>
      </c>
      <c r="BJ8" s="14" t="s">
        <v>14</v>
      </c>
      <c r="BK8" s="14" t="s">
        <v>15</v>
      </c>
      <c r="BL8" s="14" t="s">
        <v>16</v>
      </c>
      <c r="BM8" s="14" t="s">
        <v>17</v>
      </c>
      <c r="BN8" s="14" t="s">
        <v>18</v>
      </c>
      <c r="BO8" s="14" t="s">
        <v>19</v>
      </c>
      <c r="BP8" s="14" t="s">
        <v>20</v>
      </c>
      <c r="BQ8" s="14" t="s">
        <v>21</v>
      </c>
      <c r="BR8" s="14" t="s">
        <v>22</v>
      </c>
      <c r="BS8" s="16" t="s">
        <v>23</v>
      </c>
      <c r="BT8" s="59" t="s">
        <v>78</v>
      </c>
      <c r="BU8" t="s">
        <v>131</v>
      </c>
      <c r="BV8" t="s">
        <v>133</v>
      </c>
    </row>
    <row r="9" spans="1:74" s="47" customFormat="1" ht="16" thickBot="1" x14ac:dyDescent="0.4">
      <c r="A9" s="63" t="str">
        <f>Table2[[#This Row],[Date]]</f>
        <v>20-03-18</v>
      </c>
      <c r="B9" s="74">
        <f>Table2[[#This Row],[Time]]</f>
        <v>0</v>
      </c>
      <c r="C9" s="41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76"/>
      <c r="W9" s="45"/>
      <c r="X9" s="45"/>
      <c r="Y9" s="45"/>
      <c r="Z9" s="45"/>
      <c r="AA9" s="45"/>
      <c r="AB9" s="45"/>
      <c r="AC9" s="45"/>
      <c r="AD9" s="46"/>
      <c r="AE9" s="91">
        <v>7</v>
      </c>
      <c r="AF9" s="91">
        <v>0</v>
      </c>
      <c r="AG9" s="45">
        <v>1</v>
      </c>
      <c r="AH9" s="91">
        <v>0</v>
      </c>
      <c r="AI9"/>
      <c r="AJ9" s="64">
        <f>IF(D9="nd","nd",D9*$C9/constants!$B$3)</f>
        <v>0</v>
      </c>
      <c r="AK9" s="64">
        <f>IF(E9="nd","nd",E9*$C9/constants!$B$6)</f>
        <v>0</v>
      </c>
      <c r="AL9" s="64">
        <f>IF(F9="nd","nd",F9*$C9/constants!$B$7)</f>
        <v>0</v>
      </c>
      <c r="AM9" s="64">
        <f>IF(G9="nd","nd",G9*$C9/constants!$B$8)</f>
        <v>0</v>
      </c>
      <c r="AN9" s="64">
        <f>IF(H9="nd","nd",H9*$C9/constants!$B$9)</f>
        <v>0</v>
      </c>
      <c r="AO9" s="64">
        <f>IF(I9="nd","nd",I9*$C9/constants!$B$10)</f>
        <v>0</v>
      </c>
      <c r="AP9" s="177"/>
      <c r="AQ9" s="177"/>
      <c r="AR9" s="177"/>
      <c r="AS9" s="177"/>
      <c r="AT9" s="177"/>
      <c r="AU9" s="177"/>
      <c r="AV9" s="177"/>
      <c r="AW9" s="177"/>
      <c r="AX9" s="64">
        <f>(IF(IFERROR(R9-#REF!,R9)&gt;constants!$D$14,(IFERROR(R9-#REF!,R9)*$C9/constants!$B$14),0))</f>
        <v>0</v>
      </c>
      <c r="AY9" s="64">
        <f>(IF(IFERROR(S9-#REF!,S9)&gt;constants!$D$15,(IFERROR(S9-#REF!,S9)*$C9/constants!$B$15),0))</f>
        <v>0</v>
      </c>
      <c r="AZ9" s="64">
        <f>AF9*Table31520[[#This Row],[amount]]*Table31520[[#This Row],[correction]]/constants!$B$23</f>
        <v>0</v>
      </c>
      <c r="BA9" s="64">
        <f>Table31520[[#This Row],[amount]]*Table31520[[#This Row],[correction]]*Table31520[[#This Row],[dilution ]]/1000</f>
        <v>0</v>
      </c>
      <c r="BB9" s="64" t="e">
        <f>(Table31520[[#This Row],[pressure]]*constants!I9*Table31520[[#This Row],[Amount 25]]/100)/(constants!$I$6*constants!$I$5)</f>
        <v>#DIV/0!</v>
      </c>
      <c r="BC9" s="64"/>
      <c r="BD9" s="64">
        <f>(Table51621[[#This Row],[Concentration]]*constants!$C$3)/1000</f>
        <v>0</v>
      </c>
      <c r="BE9" s="64">
        <f>(Table51621[[#This Row],[Concentration2]]*constants!$C$6)/1000</f>
        <v>0</v>
      </c>
      <c r="BF9" s="64">
        <f>(Table51621[[#This Row],[Concentration3]]*constants!$C$7)/1000</f>
        <v>0</v>
      </c>
      <c r="BG9" s="64">
        <f>(Table51621[[#This Row],[Concentration4]]*constants!$C$8)/1000</f>
        <v>0</v>
      </c>
      <c r="BH9" s="64">
        <f>(Table51621[[#This Row],[Concentration5]]*constants!$C$9)/1000</f>
        <v>0</v>
      </c>
      <c r="BI9" s="64">
        <f>(Table51621[[#This Row],[Concentration6]]*constants!$C$10)/1000</f>
        <v>0</v>
      </c>
      <c r="BJ9" s="64">
        <f>(Table51621[[#This Row],[Concentration7]]*constants!$C$5)</f>
        <v>0</v>
      </c>
      <c r="BK9" s="64">
        <f>(Table51621[[#This Row],[Concentration8]]*3)</f>
        <v>0</v>
      </c>
      <c r="BL9" s="64">
        <f>(Table51621[[#This Row],[Concentration9]]*4)</f>
        <v>0</v>
      </c>
      <c r="BM9" s="64">
        <f>(Table51621[[#This Row],[Concentration10]]*4)</f>
        <v>0</v>
      </c>
      <c r="BN9" s="64">
        <f>(Table51621[[#This Row],[Concentration11]]*5)</f>
        <v>0</v>
      </c>
      <c r="BO9" s="64">
        <f>(Table51621[[#This Row],[Concentration12]]*5)</f>
        <v>0</v>
      </c>
      <c r="BP9" s="64">
        <f>(Table51621[[#This Row],[Concentration13]]*6)</f>
        <v>0</v>
      </c>
      <c r="BQ9" s="64">
        <f>(Table51621[[#This Row],[Concentration14]]*6)</f>
        <v>0</v>
      </c>
      <c r="BR9" s="64">
        <f>(Table51621[[#This Row],[Concentration15]]*7)</f>
        <v>0</v>
      </c>
      <c r="BS9" s="64">
        <f>(Table51621[[#This Row],[Concentration16]]*8)</f>
        <v>0</v>
      </c>
      <c r="BT9" s="64">
        <f>(Table51621[[#This Row],[Concentration17]]*3)/1000</f>
        <v>0</v>
      </c>
      <c r="BU9" s="47" t="e">
        <f>Table51621[[#This Row],[Concentration18]]/1000</f>
        <v>#DIV/0!</v>
      </c>
      <c r="BV9" s="47">
        <f>Table51621[[#This Row],[Concentration19]]/1000</f>
        <v>0</v>
      </c>
    </row>
    <row r="10" spans="1:74" s="66" customFormat="1" ht="16" thickBot="1" x14ac:dyDescent="0.4">
      <c r="A10" s="63" t="str">
        <f>Table2[[#This Row],[Date]]</f>
        <v>22-03-18</v>
      </c>
      <c r="B10" s="74">
        <f>Table2[[#This Row],[Time]]</f>
        <v>2</v>
      </c>
      <c r="C10" s="77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50"/>
      <c r="O10" s="49"/>
      <c r="P10" s="49"/>
      <c r="Q10" s="49"/>
      <c r="R10" s="50"/>
      <c r="S10" s="51"/>
      <c r="T10" s="51"/>
      <c r="U10" s="51"/>
      <c r="V10" s="78"/>
      <c r="W10" s="32"/>
      <c r="X10" s="32"/>
      <c r="Y10" s="32"/>
      <c r="Z10" s="32"/>
      <c r="AA10" s="32"/>
      <c r="AB10" s="32"/>
      <c r="AC10" s="32"/>
      <c r="AD10" s="32"/>
      <c r="AE10" s="92">
        <v>6.76</v>
      </c>
      <c r="AF10">
        <v>10</v>
      </c>
      <c r="AG10" s="45">
        <v>1</v>
      </c>
      <c r="AH10" s="92">
        <v>11.5</v>
      </c>
      <c r="AI10"/>
      <c r="AJ10" s="64">
        <f>IF(D10="nd","nd",D10*$C10/constants!$B$3)</f>
        <v>0</v>
      </c>
      <c r="AK10" s="64">
        <f>IF(E10="nd","nd",E10*$C10/constants!$B$6)</f>
        <v>0</v>
      </c>
      <c r="AL10" s="64">
        <f>IF(F10="nd","nd",F10*$C10/constants!$B$7)</f>
        <v>0</v>
      </c>
      <c r="AM10" s="64">
        <f>IF(G10="nd","nd",G10*$C10/constants!$B$8)</f>
        <v>0</v>
      </c>
      <c r="AN10" s="64">
        <f>IF(H10="nd","nd",H10*$C10/constants!$B$9)</f>
        <v>0</v>
      </c>
      <c r="AO10" s="64">
        <f>IF(I10="nd","nd",I10*$C10/constants!$B$10)</f>
        <v>0</v>
      </c>
      <c r="AP10" s="177"/>
      <c r="AQ10" s="177"/>
      <c r="AR10" s="177"/>
      <c r="AS10" s="177"/>
      <c r="AT10" s="177"/>
      <c r="AU10" s="177"/>
      <c r="AV10" s="177"/>
      <c r="AW10" s="177"/>
      <c r="AX10" s="64">
        <f>(IF(IFERROR(R10-#REF!,R10)&gt;constants!$D$14,(IFERROR(R10-#REF!,R10)*$C10/constants!$B$14),0))</f>
        <v>0</v>
      </c>
      <c r="AY10" s="64">
        <f>(IF(IFERROR(S10-#REF!,S10)&gt;constants!$D$15,(IFERROR(S10-#REF!,S10)*$C10/constants!$B$15),0))</f>
        <v>0</v>
      </c>
      <c r="AZ10" s="64">
        <f>AF10*Table31520[[#This Row],[amount]]*Table31520[[#This Row],[correction]]/constants!$B$23</f>
        <v>1.2766429840142097</v>
      </c>
      <c r="BA10" s="64">
        <f>Table31520[[#This Row],[amount]]*Table31520[[#This Row],[correction]]*Table31520[[#This Row],[dilution ]]/1000</f>
        <v>0.115</v>
      </c>
      <c r="BB10" s="64" t="e">
        <f>(Table31520[[#This Row],[pressure]]*constants!I10*Table31520[[#This Row],[Amount 25]]/100)/(constants!$I$6*constants!$I$5)</f>
        <v>#DIV/0!</v>
      </c>
      <c r="BC10" s="64"/>
      <c r="BD10" s="64">
        <f>(Table51621[[#This Row],[Concentration]]*constants!$C$3)/1000</f>
        <v>0</v>
      </c>
      <c r="BE10" s="64">
        <f>(Table51621[[#This Row],[Concentration2]]*constants!$C$6)/1000</f>
        <v>0</v>
      </c>
      <c r="BF10" s="64">
        <f>(Table51621[[#This Row],[Concentration3]]*constants!$C$7)/1000</f>
        <v>0</v>
      </c>
      <c r="BG10" s="64">
        <f>(Table51621[[#This Row],[Concentration4]]*constants!$C$8)/1000</f>
        <v>0</v>
      </c>
      <c r="BH10" s="64">
        <f>(Table51621[[#This Row],[Concentration5]]*constants!$C$9)/1000</f>
        <v>0</v>
      </c>
      <c r="BI10" s="64">
        <f>(Table51621[[#This Row],[Concentration6]]*constants!$C$10)/1000</f>
        <v>0</v>
      </c>
      <c r="BJ10" s="64">
        <f>(Table51621[[#This Row],[Concentration7]]*constants!$C$5)</f>
        <v>0</v>
      </c>
      <c r="BK10" s="64">
        <f>(Table51621[[#This Row],[Concentration8]]*3)</f>
        <v>0</v>
      </c>
      <c r="BL10" s="64">
        <f>(Table51621[[#This Row],[Concentration9]]*4)</f>
        <v>0</v>
      </c>
      <c r="BM10" s="64">
        <f>(Table51621[[#This Row],[Concentration10]]*4)</f>
        <v>0</v>
      </c>
      <c r="BN10" s="64">
        <f>(Table51621[[#This Row],[Concentration11]]*5)</f>
        <v>0</v>
      </c>
      <c r="BO10" s="64">
        <f>(Table51621[[#This Row],[Concentration12]]*5)</f>
        <v>0</v>
      </c>
      <c r="BP10" s="64">
        <f>(Table51621[[#This Row],[Concentration13]]*6)</f>
        <v>0</v>
      </c>
      <c r="BQ10" s="64">
        <f>(Table51621[[#This Row],[Concentration14]]*6)</f>
        <v>0</v>
      </c>
      <c r="BR10" s="64">
        <f>(Table51621[[#This Row],[Concentration15]]*7)</f>
        <v>0</v>
      </c>
      <c r="BS10" s="64">
        <f>(Table51621[[#This Row],[Concentration16]]*8)</f>
        <v>0</v>
      </c>
      <c r="BT10" s="64">
        <f>(Table51621[[#This Row],[Concentration17]]*3)/1000</f>
        <v>3.8299289520426294E-3</v>
      </c>
      <c r="BU10" s="47" t="e">
        <f>Table51621[[#This Row],[Concentration18]]/1000</f>
        <v>#DIV/0!</v>
      </c>
      <c r="BV10" s="47">
        <f>Table51621[[#This Row],[Concentration19]]/1000</f>
        <v>0</v>
      </c>
    </row>
    <row r="11" spans="1:74" s="47" customFormat="1" ht="16" thickBot="1" x14ac:dyDescent="0.4">
      <c r="A11" s="63" t="str">
        <f>Table2[[#This Row],[Date]]</f>
        <v>23-03-18</v>
      </c>
      <c r="B11" s="74">
        <f>Table2[[#This Row],[Time]]</f>
        <v>3</v>
      </c>
      <c r="C11" s="41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9"/>
      <c r="O11" s="18"/>
      <c r="P11" s="18"/>
      <c r="Q11" s="18"/>
      <c r="R11" s="19"/>
      <c r="S11" s="20"/>
      <c r="T11" s="20"/>
      <c r="U11" s="20"/>
      <c r="V11" s="21"/>
      <c r="W11" s="52"/>
      <c r="X11" s="52"/>
      <c r="Y11" s="52"/>
      <c r="Z11" s="52"/>
      <c r="AA11" s="52"/>
      <c r="AB11" s="52"/>
      <c r="AC11" s="52"/>
      <c r="AD11" s="52"/>
      <c r="AE11" s="92">
        <v>6.31</v>
      </c>
      <c r="AF11">
        <v>10</v>
      </c>
      <c r="AG11" s="45">
        <v>1</v>
      </c>
      <c r="AH11" s="92">
        <v>27.78</v>
      </c>
      <c r="AI11"/>
      <c r="AJ11" s="64">
        <f>IF(D11="nd","nd",D11*$C11/constants!$B$3)</f>
        <v>0</v>
      </c>
      <c r="AK11" s="64">
        <f>IF(E11="nd","nd",E11*$C11/constants!$B$6)</f>
        <v>0</v>
      </c>
      <c r="AL11" s="64">
        <f>IF(F11="nd","nd",F11*$C11/constants!$B$7)</f>
        <v>0</v>
      </c>
      <c r="AM11" s="64">
        <f>IF(G11="nd","nd",G11*$C11/constants!$B$8)</f>
        <v>0</v>
      </c>
      <c r="AN11" s="64">
        <f>IF(H11="nd","nd",H11*$C11/constants!$B$9)</f>
        <v>0</v>
      </c>
      <c r="AO11" s="64">
        <f>IF(I11="nd","nd",I11*$C11/constants!$B$10)</f>
        <v>0</v>
      </c>
      <c r="AP11" s="177"/>
      <c r="AQ11" s="177"/>
      <c r="AR11" s="177"/>
      <c r="AS11" s="177"/>
      <c r="AT11" s="177"/>
      <c r="AU11" s="177"/>
      <c r="AV11" s="177"/>
      <c r="AW11" s="177"/>
      <c r="AX11" s="64">
        <f>(IF(IFERROR(R11-#REF!,R11)&gt;constants!$D$14,(IFERROR(R11-#REF!,R11)*$C11/constants!$B$14),0))</f>
        <v>0</v>
      </c>
      <c r="AY11" s="64">
        <f>(IF(IFERROR(S11-#REF!,S11)&gt;constants!$D$15,(IFERROR(S11-#REF!,S11)*$C11/constants!$B$15),0))</f>
        <v>0</v>
      </c>
      <c r="AZ11" s="64">
        <f>AF11*Table31520[[#This Row],[amount]]*Table31520[[#This Row],[correction]]/constants!$B$23</f>
        <v>3.0839253996447602</v>
      </c>
      <c r="BA11" s="64">
        <f>Table31520[[#This Row],[amount]]*Table31520[[#This Row],[correction]]*Table31520[[#This Row],[dilution ]]/1000</f>
        <v>0.27779999999999999</v>
      </c>
      <c r="BB11" s="64" t="e">
        <f>(Table31520[[#This Row],[pressure]]*constants!I11*Table31520[[#This Row],[Amount 25]]/100)/(constants!$I$6*constants!$I$5)</f>
        <v>#DIV/0!</v>
      </c>
      <c r="BC11" s="64"/>
      <c r="BD11" s="64">
        <f>(Table51621[[#This Row],[Concentration]]*constants!$C$3)/1000</f>
        <v>0</v>
      </c>
      <c r="BE11" s="64">
        <f>(Table51621[[#This Row],[Concentration2]]*constants!$C$6)/1000</f>
        <v>0</v>
      </c>
      <c r="BF11" s="64">
        <f>(Table51621[[#This Row],[Concentration3]]*constants!$C$7)/1000</f>
        <v>0</v>
      </c>
      <c r="BG11" s="64">
        <f>(Table51621[[#This Row],[Concentration4]]*constants!$C$8)/1000</f>
        <v>0</v>
      </c>
      <c r="BH11" s="64">
        <f>(Table51621[[#This Row],[Concentration5]]*constants!$C$9)/1000</f>
        <v>0</v>
      </c>
      <c r="BI11" s="64">
        <f>(Table51621[[#This Row],[Concentration6]]*constants!$C$10)/1000</f>
        <v>0</v>
      </c>
      <c r="BJ11" s="64">
        <f>(Table51621[[#This Row],[Concentration7]]*constants!$C$5)</f>
        <v>0</v>
      </c>
      <c r="BK11" s="64">
        <f>(Table51621[[#This Row],[Concentration8]]*3)</f>
        <v>0</v>
      </c>
      <c r="BL11" s="64">
        <f>(Table51621[[#This Row],[Concentration9]]*4)</f>
        <v>0</v>
      </c>
      <c r="BM11" s="64">
        <f>(Table51621[[#This Row],[Concentration10]]*4)</f>
        <v>0</v>
      </c>
      <c r="BN11" s="64">
        <f>(Table51621[[#This Row],[Concentration11]]*5)</f>
        <v>0</v>
      </c>
      <c r="BO11" s="64">
        <f>(Table51621[[#This Row],[Concentration12]]*5)</f>
        <v>0</v>
      </c>
      <c r="BP11" s="64">
        <f>(Table51621[[#This Row],[Concentration13]]*6)</f>
        <v>0</v>
      </c>
      <c r="BQ11" s="64">
        <f>(Table51621[[#This Row],[Concentration14]]*6)</f>
        <v>0</v>
      </c>
      <c r="BR11" s="64">
        <f>(Table51621[[#This Row],[Concentration15]]*7)</f>
        <v>0</v>
      </c>
      <c r="BS11" s="64">
        <f>(Table51621[[#This Row],[Concentration16]]*8)</f>
        <v>0</v>
      </c>
      <c r="BT11" s="64">
        <f>(Table51621[[#This Row],[Concentration17]]*3)/1000</f>
        <v>9.2517761989342803E-3</v>
      </c>
      <c r="BU11" s="47" t="e">
        <f>Table51621[[#This Row],[Concentration18]]/1000</f>
        <v>#DIV/0!</v>
      </c>
      <c r="BV11" s="47">
        <f>Table51621[[#This Row],[Concentration19]]/1000</f>
        <v>0</v>
      </c>
    </row>
    <row r="12" spans="1:74" s="66" customFormat="1" ht="16" thickBot="1" x14ac:dyDescent="0.4">
      <c r="A12" s="63" t="str">
        <f>Table2[[#This Row],[Date]]</f>
        <v>26-03-18</v>
      </c>
      <c r="B12" s="74">
        <f>Table2[[#This Row],[Time]]</f>
        <v>6</v>
      </c>
      <c r="C12" s="77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50"/>
      <c r="O12" s="49"/>
      <c r="P12" s="49"/>
      <c r="Q12" s="49"/>
      <c r="R12" s="50"/>
      <c r="S12" s="51"/>
      <c r="T12" s="51"/>
      <c r="U12" s="51"/>
      <c r="V12" s="78"/>
      <c r="W12" s="32"/>
      <c r="X12" s="32"/>
      <c r="Y12" s="32"/>
      <c r="Z12" s="32"/>
      <c r="AA12" s="32"/>
      <c r="AB12" s="32"/>
      <c r="AC12" s="32"/>
      <c r="AD12" s="32"/>
      <c r="AE12" s="80">
        <v>3.57</v>
      </c>
      <c r="AF12">
        <v>100</v>
      </c>
      <c r="AG12" s="45">
        <v>1</v>
      </c>
      <c r="AH12" s="80">
        <v>12.7966</v>
      </c>
      <c r="AI12"/>
      <c r="AJ12" s="64">
        <f>IF(D12="nd","nd",D12*$C12/constants!$B$3)</f>
        <v>0</v>
      </c>
      <c r="AK12" s="64">
        <f>IF(E12="nd","nd",E12*$C12/constants!$B$6)</f>
        <v>0</v>
      </c>
      <c r="AL12" s="64">
        <f>IF(F12="nd","nd",F12*$C12/constants!$B$7)</f>
        <v>0</v>
      </c>
      <c r="AM12" s="64">
        <f>IF(G12="nd","nd",G12*$C12/constants!$B$8)</f>
        <v>0</v>
      </c>
      <c r="AN12" s="64">
        <f>IF(H12="nd","nd",H12*$C12/constants!$B$9)</f>
        <v>0</v>
      </c>
      <c r="AO12" s="64">
        <f>IF(I12="nd","nd",I12*$C12/constants!$B$10)</f>
        <v>0</v>
      </c>
      <c r="AP12" s="177"/>
      <c r="AQ12" s="177"/>
      <c r="AR12" s="177"/>
      <c r="AS12" s="177"/>
      <c r="AT12" s="177"/>
      <c r="AU12" s="177"/>
      <c r="AV12" s="177"/>
      <c r="AW12" s="177"/>
      <c r="AX12" s="64">
        <f>(IF(IFERROR(R12-#REF!,R12)&gt;constants!$D$14,(IFERROR(R12-#REF!,R12)*$C12/constants!$B$14),0))</f>
        <v>0</v>
      </c>
      <c r="AY12" s="64">
        <f>(IF(IFERROR(S12-#REF!,S12)&gt;constants!$D$15,(IFERROR(S12-#REF!,S12)*$C12/constants!$B$15),0))</f>
        <v>0</v>
      </c>
      <c r="AZ12" s="64">
        <f>AF12*Table31520[[#This Row],[amount]]*Table31520[[#This Row],[correction]]/constants!$B$23</f>
        <v>14.20581705150977</v>
      </c>
      <c r="BA12" s="64">
        <f>Table31520[[#This Row],[amount]]*Table31520[[#This Row],[correction]]*Table31520[[#This Row],[dilution ]]/1000</f>
        <v>1.27966</v>
      </c>
      <c r="BB12" s="64" t="e">
        <f>(Table31520[[#This Row],[pressure]]*constants!I12*Table31520[[#This Row],[Amount 25]]/100)/(constants!$I$6*constants!$I$5)</f>
        <v>#DIV/0!</v>
      </c>
      <c r="BC12" s="64"/>
      <c r="BD12" s="64">
        <f>(Table51621[[#This Row],[Concentration]]*constants!$C$3)/1000</f>
        <v>0</v>
      </c>
      <c r="BE12" s="64">
        <f>(Table51621[[#This Row],[Concentration2]]*constants!$C$6)/1000</f>
        <v>0</v>
      </c>
      <c r="BF12" s="64">
        <f>(Table51621[[#This Row],[Concentration3]]*constants!$C$7)/1000</f>
        <v>0</v>
      </c>
      <c r="BG12" s="64">
        <f>(Table51621[[#This Row],[Concentration4]]*constants!$C$8)/1000</f>
        <v>0</v>
      </c>
      <c r="BH12" s="64">
        <f>(Table51621[[#This Row],[Concentration5]]*constants!$C$9)/1000</f>
        <v>0</v>
      </c>
      <c r="BI12" s="64">
        <f>(Table51621[[#This Row],[Concentration6]]*constants!$C$10)/1000</f>
        <v>0</v>
      </c>
      <c r="BJ12" s="64">
        <f>(Table51621[[#This Row],[Concentration7]]*constants!$C$5)</f>
        <v>0</v>
      </c>
      <c r="BK12" s="64">
        <f>(Table51621[[#This Row],[Concentration8]]*3)</f>
        <v>0</v>
      </c>
      <c r="BL12" s="64">
        <f>(Table51621[[#This Row],[Concentration9]]*4)</f>
        <v>0</v>
      </c>
      <c r="BM12" s="64">
        <f>(Table51621[[#This Row],[Concentration10]]*4)</f>
        <v>0</v>
      </c>
      <c r="BN12" s="64">
        <f>(Table51621[[#This Row],[Concentration11]]*5)</f>
        <v>0</v>
      </c>
      <c r="BO12" s="64">
        <f>(Table51621[[#This Row],[Concentration12]]*5)</f>
        <v>0</v>
      </c>
      <c r="BP12" s="64">
        <f>(Table51621[[#This Row],[Concentration13]]*6)</f>
        <v>0</v>
      </c>
      <c r="BQ12" s="64">
        <f>(Table51621[[#This Row],[Concentration14]]*6)</f>
        <v>0</v>
      </c>
      <c r="BR12" s="64">
        <f>(Table51621[[#This Row],[Concentration15]]*7)</f>
        <v>0</v>
      </c>
      <c r="BS12" s="64">
        <f>(Table51621[[#This Row],[Concentration16]]*8)</f>
        <v>0</v>
      </c>
      <c r="BT12" s="64">
        <f>(Table51621[[#This Row],[Concentration17]]*3)/1000</f>
        <v>4.2617451154529314E-2</v>
      </c>
      <c r="BU12" s="47" t="e">
        <f>Table51621[[#This Row],[Concentration18]]/1000</f>
        <v>#DIV/0!</v>
      </c>
      <c r="BV12" s="47">
        <f>Table51621[[#This Row],[Concentration19]]/1000</f>
        <v>0</v>
      </c>
    </row>
    <row r="13" spans="1:74" s="47" customFormat="1" ht="16" thickBot="1" x14ac:dyDescent="0.4">
      <c r="A13" s="63" t="str">
        <f>Table2[[#This Row],[Date]]</f>
        <v>29-03-18</v>
      </c>
      <c r="B13" s="74">
        <f>Table2[[#This Row],[Time]]</f>
        <v>9</v>
      </c>
      <c r="C13" s="41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9"/>
      <c r="O13" s="18"/>
      <c r="P13" s="18"/>
      <c r="Q13" s="18"/>
      <c r="R13" s="19"/>
      <c r="S13" s="20"/>
      <c r="T13" s="20"/>
      <c r="U13" s="20"/>
      <c r="V13" s="21"/>
      <c r="W13" s="52"/>
      <c r="X13" s="52"/>
      <c r="Y13" s="52"/>
      <c r="Z13" s="52"/>
      <c r="AA13" s="52"/>
      <c r="AB13" s="52"/>
      <c r="AC13" s="52"/>
      <c r="AD13" s="52"/>
      <c r="AE13" s="80">
        <v>2.99</v>
      </c>
      <c r="AF13">
        <v>100</v>
      </c>
      <c r="AG13" s="45">
        <v>1</v>
      </c>
      <c r="AH13" s="80">
        <v>36.334299999999999</v>
      </c>
      <c r="AI13"/>
      <c r="AJ13" s="64">
        <f>IF(D13="nd","nd",D13*$C13/constants!$B$3)</f>
        <v>0</v>
      </c>
      <c r="AK13" s="64">
        <f>IF(E13="nd","nd",E13*$C13/constants!$B$6)</f>
        <v>0</v>
      </c>
      <c r="AL13" s="64">
        <f>IF(F13="nd","nd",F13*$C13/constants!$B$7)</f>
        <v>0</v>
      </c>
      <c r="AM13" s="64">
        <f>IF(G13="nd","nd",G13*$C13/constants!$B$8)</f>
        <v>0</v>
      </c>
      <c r="AN13" s="64">
        <f>IF(H13="nd","nd",H13*$C13/constants!$B$9)</f>
        <v>0</v>
      </c>
      <c r="AO13" s="64">
        <f>IF(I13="nd","nd",I13*$C13/constants!$B$10)</f>
        <v>0</v>
      </c>
      <c r="AP13" s="177"/>
      <c r="AQ13" s="177"/>
      <c r="AR13" s="177"/>
      <c r="AS13" s="177"/>
      <c r="AT13" s="177"/>
      <c r="AU13" s="177"/>
      <c r="AV13" s="177"/>
      <c r="AW13" s="177"/>
      <c r="AX13" s="64">
        <f>(IF(IFERROR(R13-#REF!,R13)&gt;constants!$D$14,(IFERROR(R13-#REF!,R13)*$C13/constants!$B$14),0))</f>
        <v>0</v>
      </c>
      <c r="AY13" s="64">
        <f>(IF(IFERROR(S13-#REF!,S13)&gt;constants!$D$15,(IFERROR(S13-#REF!,S13)*$C13/constants!$B$15),0))</f>
        <v>0</v>
      </c>
      <c r="AZ13" s="64">
        <f>AF13*Table31520[[#This Row],[amount]]*Table31520[[#This Row],[correction]]/constants!$B$23</f>
        <v>40.335590586145649</v>
      </c>
      <c r="BA13" s="64">
        <f>Table31520[[#This Row],[amount]]*Table31520[[#This Row],[correction]]*Table31520[[#This Row],[dilution ]]/1000</f>
        <v>3.6334299999999997</v>
      </c>
      <c r="BB13" s="64" t="e">
        <f>(Table31520[[#This Row],[pressure]]*constants!I13*Table31520[[#This Row],[Amount 25]]/100)/(constants!$I$6*constants!$I$5)</f>
        <v>#DIV/0!</v>
      </c>
      <c r="BC13" s="64"/>
      <c r="BD13" s="64">
        <f>(Table51621[[#This Row],[Concentration]]*constants!$C$3)/1000</f>
        <v>0</v>
      </c>
      <c r="BE13" s="64">
        <f>(Table51621[[#This Row],[Concentration2]]*constants!$C$6)/1000</f>
        <v>0</v>
      </c>
      <c r="BF13" s="64">
        <f>(Table51621[[#This Row],[Concentration3]]*constants!$C$7)/1000</f>
        <v>0</v>
      </c>
      <c r="BG13" s="64">
        <f>(Table51621[[#This Row],[Concentration4]]*constants!$C$8)/1000</f>
        <v>0</v>
      </c>
      <c r="BH13" s="64">
        <f>(Table51621[[#This Row],[Concentration5]]*constants!$C$9)/1000</f>
        <v>0</v>
      </c>
      <c r="BI13" s="64">
        <f>(Table51621[[#This Row],[Concentration6]]*constants!$C$10)/1000</f>
        <v>0</v>
      </c>
      <c r="BJ13" s="64">
        <f>(Table51621[[#This Row],[Concentration7]]*constants!$C$5)</f>
        <v>0</v>
      </c>
      <c r="BK13" s="64">
        <f>(Table51621[[#This Row],[Concentration8]]*3)</f>
        <v>0</v>
      </c>
      <c r="BL13" s="64">
        <f>(Table51621[[#This Row],[Concentration9]]*4)</f>
        <v>0</v>
      </c>
      <c r="BM13" s="64">
        <f>(Table51621[[#This Row],[Concentration10]]*4)</f>
        <v>0</v>
      </c>
      <c r="BN13" s="64">
        <f>(Table51621[[#This Row],[Concentration11]]*5)</f>
        <v>0</v>
      </c>
      <c r="BO13" s="64">
        <f>(Table51621[[#This Row],[Concentration12]]*5)</f>
        <v>0</v>
      </c>
      <c r="BP13" s="64">
        <f>(Table51621[[#This Row],[Concentration13]]*6)</f>
        <v>0</v>
      </c>
      <c r="BQ13" s="64">
        <f>(Table51621[[#This Row],[Concentration14]]*6)</f>
        <v>0</v>
      </c>
      <c r="BR13" s="64">
        <f>(Table51621[[#This Row],[Concentration15]]*7)</f>
        <v>0</v>
      </c>
      <c r="BS13" s="64">
        <f>(Table51621[[#This Row],[Concentration16]]*8)</f>
        <v>0</v>
      </c>
      <c r="BT13" s="64">
        <f>(Table51621[[#This Row],[Concentration17]]*3)/1000</f>
        <v>0.12100677175843694</v>
      </c>
      <c r="BU13" s="47" t="e">
        <f>Table51621[[#This Row],[Concentration18]]/1000</f>
        <v>#DIV/0!</v>
      </c>
      <c r="BV13" s="47">
        <f>Table51621[[#This Row],[Concentration19]]/1000</f>
        <v>0</v>
      </c>
    </row>
    <row r="14" spans="1:74" s="66" customFormat="1" ht="16" thickBot="1" x14ac:dyDescent="0.4">
      <c r="A14" s="63">
        <f>Table2[[#This Row],[Date]]</f>
        <v>43163</v>
      </c>
      <c r="B14" s="74">
        <f>Table2[[#This Row],[Time]]</f>
        <v>15</v>
      </c>
      <c r="C14" s="77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50"/>
      <c r="O14" s="49"/>
      <c r="P14" s="49"/>
      <c r="Q14" s="49"/>
      <c r="R14" s="50"/>
      <c r="S14" s="51"/>
      <c r="T14" s="51"/>
      <c r="U14" s="51"/>
      <c r="V14" s="78"/>
      <c r="W14" s="32"/>
      <c r="X14" s="32"/>
      <c r="Y14" s="32"/>
      <c r="Z14" s="32"/>
      <c r="AA14" s="32"/>
      <c r="AB14" s="32"/>
      <c r="AC14" s="32"/>
      <c r="AD14" s="32"/>
      <c r="AE14" s="80">
        <v>2.64</v>
      </c>
      <c r="AF14">
        <f>100</f>
        <v>100</v>
      </c>
      <c r="AG14" s="45">
        <v>1</v>
      </c>
      <c r="AH14" s="92">
        <v>115.7196</v>
      </c>
      <c r="AI14"/>
      <c r="AJ14" s="64">
        <f>IF(D14="nd","nd",D14*$C14/constants!$B$3)</f>
        <v>0</v>
      </c>
      <c r="AK14" s="64">
        <f>IF(E14="nd","nd",E14*$C14/constants!$B$6)</f>
        <v>0</v>
      </c>
      <c r="AL14" s="64">
        <f>IF(F14="nd","nd",F14*$C14/constants!$B$7)</f>
        <v>0</v>
      </c>
      <c r="AM14" s="64">
        <f>IF(G14="nd","nd",G14*$C14/constants!$B$8)</f>
        <v>0</v>
      </c>
      <c r="AN14" s="64">
        <f>IF(H14="nd","nd",H14*$C14/constants!$B$9)</f>
        <v>0</v>
      </c>
      <c r="AO14" s="64">
        <f>IF(I14="nd","nd",I14*$C14/constants!$B$10)</f>
        <v>0</v>
      </c>
      <c r="AP14" s="177"/>
      <c r="AQ14" s="177"/>
      <c r="AR14" s="177"/>
      <c r="AS14" s="177"/>
      <c r="AT14" s="177"/>
      <c r="AU14" s="177"/>
      <c r="AV14" s="177"/>
      <c r="AW14" s="177"/>
      <c r="AX14" s="64">
        <f>(IF(IFERROR(R14-#REF!,R14)&gt;constants!$D$14,(IFERROR(R14-#REF!,R14)*$C14/constants!$B$14),0))</f>
        <v>0</v>
      </c>
      <c r="AY14" s="64">
        <f>(IF(IFERROR(S14-#REF!,S14)&gt;constants!$D$15,(IFERROR(S14-#REF!,S14)*$C14/constants!$B$15),0))</f>
        <v>0</v>
      </c>
      <c r="AZ14" s="64">
        <f>AF14*Table31520[[#This Row],[amount]]*Table31520[[#This Row],[correction]]/constants!$B$23</f>
        <v>128.46314387211368</v>
      </c>
      <c r="BA14" s="64">
        <f>Table31520[[#This Row],[amount]]*Table31520[[#This Row],[correction]]*Table31520[[#This Row],[dilution ]]/1000</f>
        <v>11.571959999999999</v>
      </c>
      <c r="BB14" s="64" t="e">
        <f>(Table31520[[#This Row],[pressure]]*constants!I14*Table31520[[#This Row],[Amount 25]]/100)/(constants!$I$6*constants!$I$5)</f>
        <v>#DIV/0!</v>
      </c>
      <c r="BC14" s="64"/>
      <c r="BD14" s="64">
        <f>(Table51621[[#This Row],[Concentration]]*constants!$C$3)/1000</f>
        <v>0</v>
      </c>
      <c r="BE14" s="64">
        <f>(Table51621[[#This Row],[Concentration2]]*constants!$C$6)/1000</f>
        <v>0</v>
      </c>
      <c r="BF14" s="64">
        <f>(Table51621[[#This Row],[Concentration3]]*constants!$C$7)/1000</f>
        <v>0</v>
      </c>
      <c r="BG14" s="64">
        <f>(Table51621[[#This Row],[Concentration4]]*constants!$C$8)/1000</f>
        <v>0</v>
      </c>
      <c r="BH14" s="64">
        <f>(Table51621[[#This Row],[Concentration5]]*constants!$C$9)/1000</f>
        <v>0</v>
      </c>
      <c r="BI14" s="64">
        <f>(Table51621[[#This Row],[Concentration6]]*constants!$C$10)/1000</f>
        <v>0</v>
      </c>
      <c r="BJ14" s="64">
        <f>(Table51621[[#This Row],[Concentration7]]*constants!$C$5)</f>
        <v>0</v>
      </c>
      <c r="BK14" s="64">
        <f>(Table51621[[#This Row],[Concentration8]]*3)</f>
        <v>0</v>
      </c>
      <c r="BL14" s="64">
        <f>(Table51621[[#This Row],[Concentration9]]*4)</f>
        <v>0</v>
      </c>
      <c r="BM14" s="64">
        <f>(Table51621[[#This Row],[Concentration10]]*4)</f>
        <v>0</v>
      </c>
      <c r="BN14" s="64">
        <f>(Table51621[[#This Row],[Concentration11]]*5)</f>
        <v>0</v>
      </c>
      <c r="BO14" s="64">
        <f>(Table51621[[#This Row],[Concentration12]]*5)</f>
        <v>0</v>
      </c>
      <c r="BP14" s="64">
        <f>(Table51621[[#This Row],[Concentration13]]*6)</f>
        <v>0</v>
      </c>
      <c r="BQ14" s="64">
        <f>(Table51621[[#This Row],[Concentration14]]*6)</f>
        <v>0</v>
      </c>
      <c r="BR14" s="64">
        <f>(Table51621[[#This Row],[Concentration15]]*7)</f>
        <v>0</v>
      </c>
      <c r="BS14" s="64">
        <f>(Table51621[[#This Row],[Concentration16]]*8)</f>
        <v>0</v>
      </c>
      <c r="BT14" s="64">
        <f>(Table51621[[#This Row],[Concentration17]]*3)/1000</f>
        <v>0.38538943161634104</v>
      </c>
      <c r="BU14" s="47" t="e">
        <f>Table51621[[#This Row],[Concentration18]]/1000</f>
        <v>#DIV/0!</v>
      </c>
      <c r="BV14" s="47">
        <f>Table51621[[#This Row],[Concentration19]]/1000</f>
        <v>0</v>
      </c>
    </row>
    <row r="15" spans="1:74" s="47" customFormat="1" ht="16" thickBot="1" x14ac:dyDescent="0.4">
      <c r="A15" s="63">
        <f>Table2[[#This Row],[Date]]</f>
        <v>43347</v>
      </c>
      <c r="B15" s="169">
        <f>Table2[[#This Row],[Time]]</f>
        <v>21</v>
      </c>
      <c r="C15" s="41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9"/>
      <c r="O15" s="18"/>
      <c r="P15" s="18"/>
      <c r="Q15" s="18"/>
      <c r="R15" s="19"/>
      <c r="S15" s="20"/>
      <c r="T15" s="20"/>
      <c r="U15" s="20"/>
      <c r="V15" s="21"/>
      <c r="W15" s="52"/>
      <c r="X15" s="52"/>
      <c r="Y15" s="52"/>
      <c r="Z15" s="52"/>
      <c r="AA15" s="52"/>
      <c r="AB15" s="52"/>
      <c r="AC15" s="52"/>
      <c r="AD15" s="52"/>
      <c r="AE15" s="23">
        <v>2.61</v>
      </c>
      <c r="AF15">
        <v>100</v>
      </c>
      <c r="AG15" s="45">
        <v>1</v>
      </c>
      <c r="AH15" s="23">
        <v>143.60069999999999</v>
      </c>
      <c r="AI15"/>
      <c r="AJ15" s="64">
        <f>IF(D15="nd","nd",D15*$C15/constants!$B$3)</f>
        <v>0</v>
      </c>
      <c r="AK15" s="64">
        <f>IF(E15="nd","nd",E15*$C15/constants!$B$6)</f>
        <v>0</v>
      </c>
      <c r="AL15" s="64">
        <f>IF(F15="nd","nd",F15*$C15/constants!$B$7)</f>
        <v>0</v>
      </c>
      <c r="AM15" s="64">
        <f>IF(G15="nd","nd",G15*$C15/constants!$B$8)</f>
        <v>0</v>
      </c>
      <c r="AN15" s="64">
        <f>IF(H15="nd","nd",H15*$C15/constants!$B$9)</f>
        <v>0</v>
      </c>
      <c r="AO15" s="64">
        <f>IF(I15="nd","nd",I15*$C15/constants!$B$10)</f>
        <v>0</v>
      </c>
      <c r="AP15" s="177"/>
      <c r="AQ15" s="177"/>
      <c r="AR15" s="177"/>
      <c r="AS15" s="177"/>
      <c r="AT15" s="177"/>
      <c r="AU15" s="177"/>
      <c r="AV15" s="177"/>
      <c r="AW15" s="177"/>
      <c r="AX15" s="64">
        <f>(IF(IFERROR(R15-#REF!,R15)&gt;constants!$D$14,(IFERROR(R15-#REF!,R15)*$C15/constants!$B$14),0))</f>
        <v>0</v>
      </c>
      <c r="AY15" s="64">
        <f>(IF(IFERROR(S15-#REF!,S15)&gt;constants!$D$15,(IFERROR(S15-#REF!,S15)*$C15/constants!$B$15),0))</f>
        <v>0</v>
      </c>
      <c r="AZ15" s="64">
        <f>AF15*Table31520[[#This Row],[amount]]*Table31520[[#This Row],[correction]]/constants!$B$23</f>
        <v>159.41463143872113</v>
      </c>
      <c r="BA15" s="64">
        <f>Table31520[[#This Row],[amount]]*Table31520[[#This Row],[correction]]*Table31520[[#This Row],[dilution ]]/1000</f>
        <v>14.36007</v>
      </c>
      <c r="BB15" s="64" t="e">
        <f>(Table31520[[#This Row],[pressure]]*constants!I15*Table31520[[#This Row],[Amount 25]]/100)/(constants!$I$6*constants!$I$5)</f>
        <v>#DIV/0!</v>
      </c>
      <c r="BC15" s="64"/>
      <c r="BD15" s="64">
        <f>(Table51621[[#This Row],[Concentration]]*constants!$C$3)/1000</f>
        <v>0</v>
      </c>
      <c r="BE15" s="64">
        <f>(Table51621[[#This Row],[Concentration2]]*constants!$C$6)/1000</f>
        <v>0</v>
      </c>
      <c r="BF15" s="64">
        <f>(Table51621[[#This Row],[Concentration3]]*constants!$C$7)/1000</f>
        <v>0</v>
      </c>
      <c r="BG15" s="64">
        <f>(Table51621[[#This Row],[Concentration4]]*constants!$C$8)/1000</f>
        <v>0</v>
      </c>
      <c r="BH15" s="64">
        <f>(Table51621[[#This Row],[Concentration5]]*constants!$C$9)/1000</f>
        <v>0</v>
      </c>
      <c r="BI15" s="64">
        <f>(Table51621[[#This Row],[Concentration6]]*constants!$C$10)/1000</f>
        <v>0</v>
      </c>
      <c r="BJ15" s="64">
        <f>(Table51621[[#This Row],[Concentration7]]*constants!$C$5)</f>
        <v>0</v>
      </c>
      <c r="BK15" s="64">
        <f>(Table51621[[#This Row],[Concentration8]]*3)</f>
        <v>0</v>
      </c>
      <c r="BL15" s="64">
        <f>(Table51621[[#This Row],[Concentration9]]*4)</f>
        <v>0</v>
      </c>
      <c r="BM15" s="64">
        <f>(Table51621[[#This Row],[Concentration10]]*4)</f>
        <v>0</v>
      </c>
      <c r="BN15" s="64">
        <f>(Table51621[[#This Row],[Concentration11]]*5)</f>
        <v>0</v>
      </c>
      <c r="BO15" s="64">
        <f>(Table51621[[#This Row],[Concentration12]]*5)</f>
        <v>0</v>
      </c>
      <c r="BP15" s="64">
        <f>(Table51621[[#This Row],[Concentration13]]*6)</f>
        <v>0</v>
      </c>
      <c r="BQ15" s="64">
        <f>(Table51621[[#This Row],[Concentration14]]*6)</f>
        <v>0</v>
      </c>
      <c r="BR15" s="64">
        <f>(Table51621[[#This Row],[Concentration15]]*7)</f>
        <v>0</v>
      </c>
      <c r="BS15" s="64">
        <f>(Table51621[[#This Row],[Concentration16]]*8)</f>
        <v>0</v>
      </c>
      <c r="BT15" s="64">
        <f>(Table51621[[#This Row],[Concentration17]]*3)/1000</f>
        <v>0.47824389431616338</v>
      </c>
      <c r="BU15" s="47" t="e">
        <f>Table51621[[#This Row],[Concentration18]]/1000</f>
        <v>#DIV/0!</v>
      </c>
      <c r="BV15" s="47">
        <f>Table51621[[#This Row],[Concentration19]]/1000</f>
        <v>0</v>
      </c>
    </row>
    <row r="16" spans="1:74" s="66" customFormat="1" ht="16" thickBot="1" x14ac:dyDescent="0.4">
      <c r="A16" s="63">
        <f>Table2[[#This Row],[Date]]</f>
        <v>43347</v>
      </c>
      <c r="B16" s="169">
        <f>Table2[[#This Row],[Time]]</f>
        <v>21</v>
      </c>
      <c r="C16" s="77">
        <v>10</v>
      </c>
      <c r="D16" s="106" t="s">
        <v>27</v>
      </c>
      <c r="E16" s="106" t="s">
        <v>27</v>
      </c>
      <c r="F16" s="106" t="s">
        <v>27</v>
      </c>
      <c r="G16" s="106" t="s">
        <v>27</v>
      </c>
      <c r="H16" s="106" t="s">
        <v>27</v>
      </c>
      <c r="I16" s="106" t="s">
        <v>27</v>
      </c>
      <c r="J16" s="106">
        <v>6.8565074546141824</v>
      </c>
      <c r="K16" s="106">
        <v>39.724537254210524</v>
      </c>
      <c r="L16" s="106">
        <v>9.1664699827184309E-2</v>
      </c>
      <c r="M16" s="106">
        <v>0.89063820507227009</v>
      </c>
      <c r="N16" s="107">
        <v>0.21947788256610096</v>
      </c>
      <c r="O16" s="106">
        <v>0</v>
      </c>
      <c r="P16" s="106">
        <v>0</v>
      </c>
      <c r="Q16" s="106">
        <v>2.6802854918066497</v>
      </c>
      <c r="R16" s="107">
        <v>0</v>
      </c>
      <c r="S16" s="108">
        <v>7.0939641987200899</v>
      </c>
      <c r="T16" s="108"/>
      <c r="U16" s="108"/>
      <c r="V16" s="108"/>
      <c r="W16" s="32"/>
      <c r="X16" s="32"/>
      <c r="Y16" s="32"/>
      <c r="Z16" s="32"/>
      <c r="AA16" s="32"/>
      <c r="AB16" s="32"/>
      <c r="AC16" s="32"/>
      <c r="AD16" s="32"/>
      <c r="AE16">
        <v>6.57</v>
      </c>
      <c r="AF16" s="32">
        <v>100</v>
      </c>
      <c r="AG16" s="45">
        <v>1</v>
      </c>
      <c r="AH16" s="80">
        <v>100.53</v>
      </c>
      <c r="AI16" s="80"/>
      <c r="AJ16" s="64" t="e">
        <f>IF(D16="nd","nd",D16*$C16/constants!$B$3)</f>
        <v>#VALUE!</v>
      </c>
      <c r="AK16" s="64" t="e">
        <f>IF(E16="nd","nd",E16*$C16/constants!$B$6)</f>
        <v>#VALUE!</v>
      </c>
      <c r="AL16" s="64" t="e">
        <f>IF(F16="nd","nd",F16*$C16/constants!$B$7)</f>
        <v>#VALUE!</v>
      </c>
      <c r="AM16" s="64" t="e">
        <f>IF(G16="nd","nd",G16*$C16/constants!$B$8)</f>
        <v>#VALUE!</v>
      </c>
      <c r="AN16" s="64" t="e">
        <f>IF(H16="nd","nd",H16*$C16/constants!$B$9)</f>
        <v>#VALUE!</v>
      </c>
      <c r="AO16" s="64" t="e">
        <f>IF(I16="nd","nd",I16*$C16/constants!$B$10)</f>
        <v>#VALUE!</v>
      </c>
      <c r="AP16" s="162">
        <f>(IF(IFERROR(J16-#REF!,J16)&gt;constants!$D$5,(IFERROR(J16-#REF!,J16)*$C16/1000),0))</f>
        <v>6.856507454614183E-2</v>
      </c>
      <c r="AQ16" s="162">
        <f>(IF(IFERROR(K16-#REF!,K16)&gt;constants!$D$11,(IFERROR(K16-#REF!,K16)*$C16/1000),0))</f>
        <v>0.39724537254210524</v>
      </c>
      <c r="AR16" s="162">
        <f>(IF(IFERROR(L16-#REF!,L16)&gt;constants!$D$19,(IFERROR(L16-#REF!,L16)*$C16/1000),0))</f>
        <v>0</v>
      </c>
      <c r="AS16" s="162">
        <f>(IF(IFERROR(M16-#REF!,M16)&gt;constants!$D$4,(IFERROR(M16-#REF!,M16)*$C16/1000),0))</f>
        <v>0</v>
      </c>
      <c r="AT16" s="162">
        <f>(IF(IFERROR(N16-#REF!,N16)&gt;constants!$D$5,(IFERROR(N16-#REF!,N16)*$C16/1000),0))</f>
        <v>0</v>
      </c>
      <c r="AU16" s="162">
        <f>(IF(IFERROR(O16-#REF!,O16)&gt;constants!$D$12,(IFERROR(O16-#REF!,O16)*$C16/1000),0))</f>
        <v>0</v>
      </c>
      <c r="AV16" s="162">
        <f>(IF(IFERROR(P16-#REF!,P16)&gt;constants!$D$5,(IFERROR(P16-#REF!,P16)*$C16/1000),0))</f>
        <v>0</v>
      </c>
      <c r="AW16" s="162">
        <f>(IF(IFERROR(Q16-#REF!,Q16)&gt;constants!$D$13,(IFERROR(Q16-#REF!,Q16)*$C16/1000),0))</f>
        <v>2.6802854918066499E-2</v>
      </c>
      <c r="AX16" s="64">
        <f>(IF(IFERROR(R16-#REF!,R16)&gt;constants!$D$14,(IFERROR(R16-#REF!,R16)*$C16/constants!$B$14),0))</f>
        <v>0</v>
      </c>
      <c r="AY16" s="64">
        <f>(IF(IFERROR(S16-#REF!,S16)&gt;constants!$D$15,(IFERROR(S16-#REF!,S16)*$C16/constants!$B$15),0))</f>
        <v>0.49190537664305062</v>
      </c>
      <c r="AZ16" s="64">
        <f>AF16*Table31520[[#This Row],[amount]]*Table31520[[#This Row],[correction]]/constants!$B$23</f>
        <v>111.60079928952042</v>
      </c>
      <c r="BA16" s="64">
        <f>Table31520[[#This Row],[amount]]*Table31520[[#This Row],[correction]]*Table31520[[#This Row],[dilution ]]/1000</f>
        <v>10.053000000000001</v>
      </c>
      <c r="BB16" s="64" t="e">
        <f>(Table31520[[#This Row],[pressure]]*constants!I16*Table31520[[#This Row],[Amount 25]]/100)/(constants!$I$6*constants!$I$5)</f>
        <v>#DIV/0!</v>
      </c>
      <c r="BC16" s="64"/>
      <c r="BD16" s="64" t="e">
        <f>(Table51621[[#This Row],[Concentration]]*constants!$C$3)/1000</f>
        <v>#VALUE!</v>
      </c>
      <c r="BE16" s="64" t="e">
        <f>(Table51621[[#This Row],[Concentration2]]*constants!$C$6)/1000</f>
        <v>#VALUE!</v>
      </c>
      <c r="BF16" s="64" t="e">
        <f>(Table51621[[#This Row],[Concentration3]]*constants!$C$7)/1000</f>
        <v>#VALUE!</v>
      </c>
      <c r="BG16" s="64" t="e">
        <f>(Table51621[[#This Row],[Concentration4]]*constants!$C$8)/1000</f>
        <v>#VALUE!</v>
      </c>
      <c r="BH16" s="64" t="e">
        <f>(Table51621[[#This Row],[Concentration5]]*constants!$C$9)/1000</f>
        <v>#VALUE!</v>
      </c>
      <c r="BI16" s="64" t="e">
        <f>(Table51621[[#This Row],[Concentration6]]*constants!$C$10)/1000</f>
        <v>#VALUE!</v>
      </c>
      <c r="BJ16" s="64">
        <f>(Table51621[[#This Row],[Concentration7]]*constants!$C$5)</f>
        <v>0.13713014909228366</v>
      </c>
      <c r="BK16" s="64">
        <f>(Table51621[[#This Row],[Concentration8]]*3)</f>
        <v>1.1917361176263157</v>
      </c>
      <c r="BL16" s="64">
        <f>(Table51621[[#This Row],[Concentration9]]*4)</f>
        <v>0</v>
      </c>
      <c r="BM16" s="64">
        <f>(Table51621[[#This Row],[Concentration10]]*4)</f>
        <v>0</v>
      </c>
      <c r="BN16" s="64">
        <f>(Table51621[[#This Row],[Concentration11]]*5)</f>
        <v>0</v>
      </c>
      <c r="BO16" s="64">
        <f>(Table51621[[#This Row],[Concentration12]]*5)</f>
        <v>0</v>
      </c>
      <c r="BP16" s="64">
        <f>(Table51621[[#This Row],[Concentration13]]*6)</f>
        <v>0</v>
      </c>
      <c r="BQ16" s="64">
        <f>(Table51621[[#This Row],[Concentration14]]*6)</f>
        <v>0.16081712950839899</v>
      </c>
      <c r="BR16" s="64">
        <f>(Table51621[[#This Row],[Concentration15]]*7)</f>
        <v>0</v>
      </c>
      <c r="BS16" s="64">
        <f>(Table51621[[#This Row],[Concentration16]]*8)</f>
        <v>3.9352430131444049</v>
      </c>
      <c r="BT16" s="64">
        <f>(Table51621[[#This Row],[Concentration17]]*3)/1000</f>
        <v>0.33480239786856131</v>
      </c>
      <c r="BU16" s="47" t="e">
        <f>Table51621[[#This Row],[Concentration18]]/1000</f>
        <v>#DIV/0!</v>
      </c>
      <c r="BV16" s="47">
        <f>Table51621[[#This Row],[Concentration19]]/1000</f>
        <v>0</v>
      </c>
    </row>
    <row r="17" spans="1:74" s="47" customFormat="1" ht="16" thickBot="1" x14ac:dyDescent="0.4">
      <c r="A17" s="63" t="str">
        <f>Table2[[#This Row],[Date]]</f>
        <v>13-04</v>
      </c>
      <c r="B17" s="169">
        <f>Table2[[#This Row],[Time]]</f>
        <v>26</v>
      </c>
      <c r="C17" s="77">
        <v>10</v>
      </c>
      <c r="D17" s="106" t="s">
        <v>27</v>
      </c>
      <c r="E17" s="106" t="s">
        <v>27</v>
      </c>
      <c r="F17" s="106" t="s">
        <v>27</v>
      </c>
      <c r="G17" s="106" t="s">
        <v>27</v>
      </c>
      <c r="H17" s="106" t="s">
        <v>27</v>
      </c>
      <c r="I17" s="106" t="s">
        <v>27</v>
      </c>
      <c r="J17" s="106">
        <v>10.426482157087531</v>
      </c>
      <c r="K17" s="106">
        <v>22.322584314230028</v>
      </c>
      <c r="L17" s="106">
        <v>0</v>
      </c>
      <c r="M17" s="106">
        <v>0.84479269853937844</v>
      </c>
      <c r="N17" s="107">
        <v>0</v>
      </c>
      <c r="O17" s="106">
        <v>0</v>
      </c>
      <c r="P17" s="106">
        <v>0</v>
      </c>
      <c r="Q17" s="106">
        <v>1.2911600165658883</v>
      </c>
      <c r="R17" s="107">
        <v>0</v>
      </c>
      <c r="S17" s="108">
        <v>2.54591451383288</v>
      </c>
      <c r="T17" s="108"/>
      <c r="U17" s="108"/>
      <c r="V17" s="108"/>
      <c r="W17" s="17"/>
      <c r="X17" s="17"/>
      <c r="Y17" s="17"/>
      <c r="Z17" s="17"/>
      <c r="AA17" s="17"/>
      <c r="AB17" s="17"/>
      <c r="AC17" s="17"/>
      <c r="AD17" s="17"/>
      <c r="AE17">
        <v>6.52</v>
      </c>
      <c r="AF17" s="32">
        <v>100</v>
      </c>
      <c r="AG17" s="45">
        <v>1</v>
      </c>
      <c r="AH17" s="92">
        <v>97.889399999999995</v>
      </c>
      <c r="AI17" s="92"/>
      <c r="AJ17" s="64" t="e">
        <f>IF(D17="nd","nd",D17*$C17/constants!$B$3)</f>
        <v>#VALUE!</v>
      </c>
      <c r="AK17" s="64" t="e">
        <f>IF(E17="nd","nd",E17*$C17/constants!$B$6)</f>
        <v>#VALUE!</v>
      </c>
      <c r="AL17" s="64" t="e">
        <f>IF(F17="nd","nd",F17*$C17/constants!$B$7)</f>
        <v>#VALUE!</v>
      </c>
      <c r="AM17" s="64" t="e">
        <f>IF(G17="nd","nd",G17*$C17/constants!$B$8)</f>
        <v>#VALUE!</v>
      </c>
      <c r="AN17" s="64" t="e">
        <f>IF(H17="nd","nd",H17*$C17/constants!$B$9)</f>
        <v>#VALUE!</v>
      </c>
      <c r="AO17" s="64" t="e">
        <f>IF(I17="nd","nd",I17*$C17/constants!$B$10)</f>
        <v>#VALUE!</v>
      </c>
      <c r="AP17" s="162">
        <f>(IF(IFERROR(J17-#REF!,J17)&gt;constants!$D$5,(IFERROR(J17-#REF!,J17)*$C17/1000),0))</f>
        <v>0.10426482157087531</v>
      </c>
      <c r="AQ17" s="162">
        <f>(IF(IFERROR(K17-#REF!,K17)&gt;constants!$D$11,(IFERROR(K17-#REF!,K17)*$C17/1000),0))</f>
        <v>0.22322584314230029</v>
      </c>
      <c r="AR17" s="162">
        <f>(IF(IFERROR(L17-#REF!,L17)&gt;constants!$D$19,(IFERROR(L17-#REF!,L17)*$C17/1000),0))</f>
        <v>0</v>
      </c>
      <c r="AS17" s="162">
        <f>(IF(IFERROR(M17-#REF!,M17)&gt;constants!$D$4,(IFERROR(M17-#REF!,M17)*$C17/1000),0))</f>
        <v>0</v>
      </c>
      <c r="AT17" s="162">
        <f>(IF(IFERROR(N17-#REF!,N17)&gt;constants!$D$5,(IFERROR(N17-#REF!,N17)*$C17/1000),0))</f>
        <v>0</v>
      </c>
      <c r="AU17" s="162">
        <f>(IF(IFERROR(O17-#REF!,O17)&gt;constants!$D$12,(IFERROR(O17-#REF!,O17)*$C17/1000),0))</f>
        <v>0</v>
      </c>
      <c r="AV17" s="162">
        <f>(IF(IFERROR(P17-#REF!,P17)&gt;constants!$D$5,(IFERROR(P17-#REF!,P17)*$C17/1000),0))</f>
        <v>0</v>
      </c>
      <c r="AW17" s="162">
        <f>(IF(IFERROR(Q17-#REF!,Q17)&gt;constants!$D$13,(IFERROR(Q17-#REF!,Q17)*$C17/1000),0))</f>
        <v>0</v>
      </c>
      <c r="AX17" s="64">
        <f>(IF(IFERROR(R17-#REF!,R17)&gt;constants!$D$14,(IFERROR(R17-#REF!,R17)*$C17/constants!$B$14),0))</f>
        <v>0</v>
      </c>
      <c r="AY17" s="64">
        <f>(IF(IFERROR(S17-#REF!,S17)&gt;constants!$D$15,(IFERROR(S17-#REF!,S17)*$C17/constants!$B$15),0))</f>
        <v>0.17653726502509326</v>
      </c>
      <c r="AZ17" s="64">
        <f>AF17*Table31520[[#This Row],[amount]]*Table31520[[#This Row],[correction]]/constants!$B$23</f>
        <v>108.669404973357</v>
      </c>
      <c r="BA17" s="64">
        <f>Table31520[[#This Row],[amount]]*Table31520[[#This Row],[correction]]*Table31520[[#This Row],[dilution ]]/1000</f>
        <v>9.7889399999999984</v>
      </c>
      <c r="BB17" s="64" t="e">
        <f>(Table31520[[#This Row],[pressure]]*constants!I17*Table31520[[#This Row],[Amount 25]]/100)/(constants!$I$6*constants!$I$5)</f>
        <v>#DIV/0!</v>
      </c>
      <c r="BC17" s="64"/>
      <c r="BD17" s="64" t="e">
        <f>(Table51621[[#This Row],[Concentration]]*constants!$C$3)/1000</f>
        <v>#VALUE!</v>
      </c>
      <c r="BE17" s="64" t="e">
        <f>(Table51621[[#This Row],[Concentration2]]*constants!$C$6)/1000</f>
        <v>#VALUE!</v>
      </c>
      <c r="BF17" s="64" t="e">
        <f>(Table51621[[#This Row],[Concentration3]]*constants!$C$7)/1000</f>
        <v>#VALUE!</v>
      </c>
      <c r="BG17" s="64" t="e">
        <f>(Table51621[[#This Row],[Concentration4]]*constants!$C$8)/1000</f>
        <v>#VALUE!</v>
      </c>
      <c r="BH17" s="64" t="e">
        <f>(Table51621[[#This Row],[Concentration5]]*constants!$C$9)/1000</f>
        <v>#VALUE!</v>
      </c>
      <c r="BI17" s="64" t="e">
        <f>(Table51621[[#This Row],[Concentration6]]*constants!$C$10)/1000</f>
        <v>#VALUE!</v>
      </c>
      <c r="BJ17" s="64">
        <f>(Table51621[[#This Row],[Concentration7]]*constants!$C$5)</f>
        <v>0.20852964314175063</v>
      </c>
      <c r="BK17" s="64">
        <f>(Table51621[[#This Row],[Concentration8]]*3)</f>
        <v>0.66967752942690084</v>
      </c>
      <c r="BL17" s="64">
        <f>(Table51621[[#This Row],[Concentration9]]*4)</f>
        <v>0</v>
      </c>
      <c r="BM17" s="64">
        <f>(Table51621[[#This Row],[Concentration10]]*4)</f>
        <v>0</v>
      </c>
      <c r="BN17" s="64">
        <f>(Table51621[[#This Row],[Concentration11]]*5)</f>
        <v>0</v>
      </c>
      <c r="BO17" s="64">
        <f>(Table51621[[#This Row],[Concentration12]]*5)</f>
        <v>0</v>
      </c>
      <c r="BP17" s="64">
        <f>(Table51621[[#This Row],[Concentration13]]*6)</f>
        <v>0</v>
      </c>
      <c r="BQ17" s="64">
        <f>(Table51621[[#This Row],[Concentration14]]*6)</f>
        <v>0</v>
      </c>
      <c r="BR17" s="64">
        <f>(Table51621[[#This Row],[Concentration15]]*7)</f>
        <v>0</v>
      </c>
      <c r="BS17" s="64">
        <f>(Table51621[[#This Row],[Concentration16]]*8)</f>
        <v>1.4122981202007461</v>
      </c>
      <c r="BT17" s="64">
        <f>(Table51621[[#This Row],[Concentration17]]*3)/1000</f>
        <v>0.32600821492007098</v>
      </c>
      <c r="BU17" s="47" t="e">
        <f>Table51621[[#This Row],[Concentration18]]/1000</f>
        <v>#DIV/0!</v>
      </c>
      <c r="BV17" s="47">
        <f>Table51621[[#This Row],[Concentration19]]/1000</f>
        <v>0</v>
      </c>
    </row>
    <row r="18" spans="1:74" s="66" customFormat="1" ht="16" thickBot="1" x14ac:dyDescent="0.4">
      <c r="A18" s="63" t="str">
        <f>Table2[[#This Row],[Date]]</f>
        <v>16-04</v>
      </c>
      <c r="B18" s="169">
        <f>Table2[[#This Row],[Time]]</f>
        <v>29</v>
      </c>
      <c r="C18" s="77">
        <v>10</v>
      </c>
      <c r="D18" s="141" t="s">
        <v>27</v>
      </c>
      <c r="E18" s="141" t="s">
        <v>27</v>
      </c>
      <c r="F18" s="141" t="s">
        <v>27</v>
      </c>
      <c r="G18" s="141" t="s">
        <v>27</v>
      </c>
      <c r="H18" s="141" t="s">
        <v>27</v>
      </c>
      <c r="I18" s="141">
        <v>5.0643663194444447E-3</v>
      </c>
      <c r="J18" s="141">
        <v>3.0054752604166665E-2</v>
      </c>
      <c r="K18" s="141">
        <v>0.20371332465277778</v>
      </c>
      <c r="L18" s="141">
        <v>0</v>
      </c>
      <c r="M18" s="141">
        <v>8.057194010416666E-3</v>
      </c>
      <c r="N18" s="141">
        <v>0</v>
      </c>
      <c r="O18" s="141">
        <v>0</v>
      </c>
      <c r="P18" s="141">
        <v>0</v>
      </c>
      <c r="Q18" s="141">
        <v>2.1656119791666668E-2</v>
      </c>
      <c r="R18" s="141">
        <v>9.4847873263888879E-3</v>
      </c>
      <c r="S18" s="141">
        <v>2.0466189236111109E-2</v>
      </c>
      <c r="T18" s="142"/>
      <c r="U18" s="142"/>
      <c r="V18" s="143"/>
      <c r="AE18">
        <v>6.35</v>
      </c>
      <c r="AF18" s="66">
        <v>110</v>
      </c>
      <c r="AG18" s="45">
        <v>1</v>
      </c>
      <c r="AH18" s="92">
        <v>78.739999999999995</v>
      </c>
      <c r="AI18" s="92"/>
      <c r="AJ18" s="64" t="e">
        <f>IF(D18="nd","nd",D18*$C18/constants!$B$3)</f>
        <v>#VALUE!</v>
      </c>
      <c r="AK18" s="64" t="e">
        <f>IF(E18="nd","nd",E18*$C18/constants!$B$6)</f>
        <v>#VALUE!</v>
      </c>
      <c r="AL18" s="64" t="e">
        <f>IF(F18="nd","nd",F18*$C18/constants!$B$7)</f>
        <v>#VALUE!</v>
      </c>
      <c r="AM18" s="64" t="e">
        <f>IF(G18="nd","nd",G18*$C18/constants!$B$8)</f>
        <v>#VALUE!</v>
      </c>
      <c r="AN18" s="64" t="e">
        <f>IF(H18="nd","nd",H18*$C18/constants!$B$9)</f>
        <v>#VALUE!</v>
      </c>
      <c r="AO18" s="64">
        <f>IF(I18="nd","nd",I18*$C18/constants!$B$10)</f>
        <v>4.9564640960729359E-4</v>
      </c>
      <c r="AP18" s="162">
        <f>(IF(IFERROR(J18-#REF!,J18)&gt;constants!$D$5,(IFERROR(J18-#REF!,J18)*$C18/1000),0))</f>
        <v>0</v>
      </c>
      <c r="AQ18" s="162">
        <f>(IF(IFERROR(K18-#REF!,K18)&gt;constants!$D$11,(IFERROR(K18-#REF!,K18)*$C18/1000),0))</f>
        <v>0</v>
      </c>
      <c r="AR18" s="162">
        <f>(IF(IFERROR(L18-#REF!,L18)&gt;constants!$D$19,(IFERROR(L18-#REF!,L18)*$C18/1000),0))</f>
        <v>0</v>
      </c>
      <c r="AS18" s="162">
        <f>(IF(IFERROR(M18-#REF!,M18)&gt;constants!$D$4,(IFERROR(M18-#REF!,M18)*$C18/1000),0))</f>
        <v>0</v>
      </c>
      <c r="AT18" s="162">
        <f>(IF(IFERROR(N18-#REF!,N18)&gt;constants!$D$5,(IFERROR(N18-#REF!,N18)*$C18/1000),0))</f>
        <v>0</v>
      </c>
      <c r="AU18" s="162">
        <f>(IF(IFERROR(O18-#REF!,O18)&gt;constants!$D$12,(IFERROR(O18-#REF!,O18)*$C18/1000),0))</f>
        <v>0</v>
      </c>
      <c r="AV18" s="162">
        <f>(IF(IFERROR(P18-#REF!,P18)&gt;constants!$D$5,(IFERROR(P18-#REF!,P18)*$C18/1000),0))</f>
        <v>0</v>
      </c>
      <c r="AW18" s="162">
        <f>(IF(IFERROR(Q18-#REF!,Q18)&gt;constants!$D$13,(IFERROR(Q18-#REF!,Q18)*$C18/1000),0))</f>
        <v>0</v>
      </c>
      <c r="AX18" s="64">
        <f>(IF(IFERROR(R18-#REF!,R18)&gt;constants!$D$14,(IFERROR(R18-#REF!,R18)*$C18/constants!$B$14),0))</f>
        <v>0</v>
      </c>
      <c r="AY18" s="64">
        <f>(IF(IFERROR(S18-#REF!,S18)&gt;constants!$D$15,(IFERROR(S18-#REF!,S18)*$C18/constants!$B$15),0))</f>
        <v>0</v>
      </c>
      <c r="AZ18" s="64">
        <f>AF18*Table31520[[#This Row],[amount]]*Table31520[[#This Row],[correction]]/constants!$B$23</f>
        <v>96.152309058614563</v>
      </c>
      <c r="BA18" s="64">
        <f>Table31520[[#This Row],[amount]]*Table31520[[#This Row],[correction]]*Table31520[[#This Row],[dilution ]]/1000</f>
        <v>8.6614000000000004</v>
      </c>
      <c r="BB18" s="64" t="e">
        <f>(Table31520[[#This Row],[pressure]]*constants!I18*Table31520[[#This Row],[Amount 25]]/100)/(constants!$I$6*constants!$I$5)</f>
        <v>#DIV/0!</v>
      </c>
      <c r="BC18" s="64"/>
      <c r="BD18" s="64" t="e">
        <f>(Table51621[[#This Row],[Concentration]]*constants!$C$3)/1000</f>
        <v>#VALUE!</v>
      </c>
      <c r="BE18" s="64" t="e">
        <f>(Table51621[[#This Row],[Concentration2]]*constants!$C$6)/1000</f>
        <v>#VALUE!</v>
      </c>
      <c r="BF18" s="64" t="e">
        <f>(Table51621[[#This Row],[Concentration3]]*constants!$C$7)/1000</f>
        <v>#VALUE!</v>
      </c>
      <c r="BG18" s="64" t="e">
        <f>(Table51621[[#This Row],[Concentration4]]*constants!$C$8)/1000</f>
        <v>#VALUE!</v>
      </c>
      <c r="BH18" s="64" t="e">
        <f>(Table51621[[#This Row],[Concentration5]]*constants!$C$9)/1000</f>
        <v>#VALUE!</v>
      </c>
      <c r="BI18" s="64">
        <f>(Table51621[[#This Row],[Concentration6]]*constants!$C$10)/1000</f>
        <v>2.9738784576437617E-6</v>
      </c>
      <c r="BJ18" s="64">
        <f>(Table51621[[#This Row],[Concentration7]]*constants!$C$5)</f>
        <v>0</v>
      </c>
      <c r="BK18" s="64">
        <f>(Table51621[[#This Row],[Concentration8]]*3)</f>
        <v>0</v>
      </c>
      <c r="BL18" s="64">
        <f>(Table51621[[#This Row],[Concentration9]]*4)</f>
        <v>0</v>
      </c>
      <c r="BM18" s="64">
        <f>(Table51621[[#This Row],[Concentration10]]*4)</f>
        <v>0</v>
      </c>
      <c r="BN18" s="64">
        <f>(Table51621[[#This Row],[Concentration11]]*5)</f>
        <v>0</v>
      </c>
      <c r="BO18" s="64">
        <f>(Table51621[[#This Row],[Concentration12]]*5)</f>
        <v>0</v>
      </c>
      <c r="BP18" s="64">
        <f>(Table51621[[#This Row],[Concentration13]]*6)</f>
        <v>0</v>
      </c>
      <c r="BQ18" s="64">
        <f>(Table51621[[#This Row],[Concentration14]]*6)</f>
        <v>0</v>
      </c>
      <c r="BR18" s="64">
        <f>(Table51621[[#This Row],[Concentration15]]*7)</f>
        <v>0</v>
      </c>
      <c r="BS18" s="64">
        <f>(Table51621[[#This Row],[Concentration16]]*8)</f>
        <v>0</v>
      </c>
      <c r="BT18" s="64">
        <f>(Table51621[[#This Row],[Concentration17]]*3)/1000</f>
        <v>0.2884569271758437</v>
      </c>
      <c r="BU18" s="47" t="e">
        <f>Table51621[[#This Row],[Concentration18]]/1000</f>
        <v>#DIV/0!</v>
      </c>
      <c r="BV18" s="47">
        <f>Table51621[[#This Row],[Concentration19]]/1000</f>
        <v>0</v>
      </c>
    </row>
    <row r="19" spans="1:74" s="47" customFormat="1" ht="16" thickBot="1" x14ac:dyDescent="0.4">
      <c r="A19" s="63" t="str">
        <f>Table2[[#This Row],[Date]]</f>
        <v>19-04</v>
      </c>
      <c r="B19" s="169">
        <f>Table2[[#This Row],[Time]]</f>
        <v>32</v>
      </c>
      <c r="C19" s="77">
        <v>10</v>
      </c>
      <c r="D19" s="106" t="s">
        <v>27</v>
      </c>
      <c r="E19" s="106" t="s">
        <v>27</v>
      </c>
      <c r="F19" s="106" t="s">
        <v>27</v>
      </c>
      <c r="G19" s="106" t="s">
        <v>27</v>
      </c>
      <c r="H19" s="106" t="s">
        <v>27</v>
      </c>
      <c r="I19" s="106">
        <v>0.75550098400115906</v>
      </c>
      <c r="J19" s="106">
        <v>10.907818398065052</v>
      </c>
      <c r="K19" s="106">
        <v>40.746396057003203</v>
      </c>
      <c r="L19" s="106">
        <v>0</v>
      </c>
      <c r="M19" s="106">
        <v>2.7488326885767207</v>
      </c>
      <c r="N19" s="107">
        <v>0</v>
      </c>
      <c r="O19" s="106">
        <v>0</v>
      </c>
      <c r="P19" s="106">
        <v>0</v>
      </c>
      <c r="Q19" s="106">
        <v>0.74797938473040237</v>
      </c>
      <c r="R19" s="107">
        <v>1.7927931311240881</v>
      </c>
      <c r="S19" s="108">
        <v>2.3759428552598143</v>
      </c>
      <c r="T19" s="108"/>
      <c r="U19" s="108"/>
      <c r="V19" s="108"/>
      <c r="W19" s="96"/>
      <c r="X19" s="97"/>
      <c r="Y19" s="96"/>
      <c r="Z19" s="98"/>
      <c r="AA19" s="99"/>
      <c r="AB19" s="97"/>
      <c r="AC19" s="96"/>
      <c r="AD19" s="100"/>
      <c r="AE19">
        <v>6.36</v>
      </c>
      <c r="AF19" s="47">
        <v>100</v>
      </c>
      <c r="AG19" s="45">
        <v>1</v>
      </c>
      <c r="AH19" s="47">
        <v>86.2</v>
      </c>
      <c r="AJ19" s="64" t="e">
        <f>IF(D19="nd","nd",D19*$C19/constants!$B$3)</f>
        <v>#VALUE!</v>
      </c>
      <c r="AK19" s="64" t="e">
        <f>IF(E19="nd","nd",E19*$C19/constants!$B$6)</f>
        <v>#VALUE!</v>
      </c>
      <c r="AL19" s="64" t="e">
        <f>IF(F19="nd","nd",F19*$C19/constants!$B$7)</f>
        <v>#VALUE!</v>
      </c>
      <c r="AM19" s="64" t="e">
        <f>IF(G19="nd","nd",G19*$C19/constants!$B$8)</f>
        <v>#VALUE!</v>
      </c>
      <c r="AN19" s="64" t="e">
        <f>IF(H19="nd","nd",H19*$C19/constants!$B$9)</f>
        <v>#VALUE!</v>
      </c>
      <c r="AO19" s="64">
        <f>IF(I19="nd","nd",I19*$C19/constants!$B$10)</f>
        <v>7.3940415553515867E-2</v>
      </c>
      <c r="AP19" s="162">
        <f>(IF(IFERROR(J19-#REF!,J19)&gt;constants!$D$5,(IFERROR(J19-#REF!,J19)*$C19/1000),0))</f>
        <v>0.10907818398065053</v>
      </c>
      <c r="AQ19" s="162">
        <f>(IF(IFERROR(K19-#REF!,K19)&gt;constants!$D$11,(IFERROR(K19-#REF!,K19)*$C19/1000),0))</f>
        <v>0.40746396057003204</v>
      </c>
      <c r="AR19" s="162">
        <f>(IF(IFERROR(L19-#REF!,L19)&gt;constants!$D$19,(IFERROR(L19-#REF!,L19)*$C19/1000),0))</f>
        <v>0</v>
      </c>
      <c r="AS19" s="162">
        <f>(IF(IFERROR(M19-#REF!,M19)&gt;constants!$D$4,(IFERROR(M19-#REF!,M19)*$C19/1000),0))</f>
        <v>0</v>
      </c>
      <c r="AT19" s="162">
        <f>(IF(IFERROR(N19-#REF!,N19)&gt;constants!$D$5,(IFERROR(N19-#REF!,N19)*$C19/1000),0))</f>
        <v>0</v>
      </c>
      <c r="AU19" s="162">
        <f>(IF(IFERROR(O19-#REF!,O19)&gt;constants!$D$12,(IFERROR(O19-#REF!,O19)*$C19/1000),0))</f>
        <v>0</v>
      </c>
      <c r="AV19" s="162">
        <f>(IF(IFERROR(P19-#REF!,P19)&gt;constants!$D$5,(IFERROR(P19-#REF!,P19)*$C19/1000),0))</f>
        <v>0</v>
      </c>
      <c r="AW19" s="162">
        <f>(IF(IFERROR(Q19-#REF!,Q19)&gt;constants!$D$13,(IFERROR(Q19-#REF!,Q19)*$C19/1000),0))</f>
        <v>0</v>
      </c>
      <c r="AX19" s="64">
        <f>(IF(IFERROR(R19-#REF!,R19)&gt;constants!$D$14,(IFERROR(R19-#REF!,R19)*$C19/constants!$B$14),0))</f>
        <v>0</v>
      </c>
      <c r="AY19" s="64">
        <f>(IF(IFERROR(S19-#REF!,S19)&gt;constants!$D$15,(IFERROR(S19-#REF!,S19)*$C19/constants!$B$15),0))</f>
        <v>0.1647511930367242</v>
      </c>
      <c r="AZ19" s="64">
        <f>AF19*Table31520[[#This Row],[amount]]*Table31520[[#This Row],[correction]]/constants!$B$23</f>
        <v>95.692717584369447</v>
      </c>
      <c r="BA19" s="64">
        <f>Table31520[[#This Row],[amount]]*Table31520[[#This Row],[correction]]*Table31520[[#This Row],[dilution ]]/1000</f>
        <v>8.6199999999999992</v>
      </c>
      <c r="BB19" s="64" t="e">
        <f>(Table31520[[#This Row],[pressure]]*constants!I19*Table31520[[#This Row],[Amount 25]]/100)/(constants!$I$6*constants!$I$5)</f>
        <v>#DIV/0!</v>
      </c>
      <c r="BC19" s="64"/>
      <c r="BD19" s="64" t="e">
        <f>(Table51621[[#This Row],[Concentration]]*constants!$C$3)/1000</f>
        <v>#VALUE!</v>
      </c>
      <c r="BE19" s="64" t="e">
        <f>(Table51621[[#This Row],[Concentration2]]*constants!$C$6)/1000</f>
        <v>#VALUE!</v>
      </c>
      <c r="BF19" s="64" t="e">
        <f>(Table51621[[#This Row],[Concentration3]]*constants!$C$7)/1000</f>
        <v>#VALUE!</v>
      </c>
      <c r="BG19" s="64" t="e">
        <f>(Table51621[[#This Row],[Concentration4]]*constants!$C$8)/1000</f>
        <v>#VALUE!</v>
      </c>
      <c r="BH19" s="64" t="e">
        <f>(Table51621[[#This Row],[Concentration5]]*constants!$C$9)/1000</f>
        <v>#VALUE!</v>
      </c>
      <c r="BI19" s="64">
        <f>(Table51621[[#This Row],[Concentration6]]*constants!$C$10)/1000</f>
        <v>4.4364249332109519E-4</v>
      </c>
      <c r="BJ19" s="64">
        <f>(Table51621[[#This Row],[Concentration7]]*constants!$C$5)</f>
        <v>0.21815636796130106</v>
      </c>
      <c r="BK19" s="64">
        <f>(Table51621[[#This Row],[Concentration8]]*3)</f>
        <v>1.2223918817100961</v>
      </c>
      <c r="BL19" s="64">
        <f>(Table51621[[#This Row],[Concentration9]]*4)</f>
        <v>0</v>
      </c>
      <c r="BM19" s="64">
        <f>(Table51621[[#This Row],[Concentration10]]*4)</f>
        <v>0</v>
      </c>
      <c r="BN19" s="64">
        <f>(Table51621[[#This Row],[Concentration11]]*5)</f>
        <v>0</v>
      </c>
      <c r="BO19" s="64">
        <f>(Table51621[[#This Row],[Concentration12]]*5)</f>
        <v>0</v>
      </c>
      <c r="BP19" s="64">
        <f>(Table51621[[#This Row],[Concentration13]]*6)</f>
        <v>0</v>
      </c>
      <c r="BQ19" s="64">
        <f>(Table51621[[#This Row],[Concentration14]]*6)</f>
        <v>0</v>
      </c>
      <c r="BR19" s="64">
        <f>(Table51621[[#This Row],[Concentration15]]*7)</f>
        <v>0</v>
      </c>
      <c r="BS19" s="64">
        <f>(Table51621[[#This Row],[Concentration16]]*8)</f>
        <v>1.3180095442937936</v>
      </c>
      <c r="BT19" s="64">
        <f>(Table51621[[#This Row],[Concentration17]]*3)/1000</f>
        <v>0.28707815275310833</v>
      </c>
      <c r="BU19" s="47" t="e">
        <f>Table51621[[#This Row],[Concentration18]]/1000</f>
        <v>#DIV/0!</v>
      </c>
      <c r="BV19" s="47">
        <f>Table51621[[#This Row],[Concentration19]]/1000</f>
        <v>0</v>
      </c>
    </row>
    <row r="20" spans="1:74" s="66" customFormat="1" ht="16" thickBot="1" x14ac:dyDescent="0.4">
      <c r="A20" s="63" t="str">
        <f>Table2[[#This Row],[Date]]</f>
        <v>26-04</v>
      </c>
      <c r="B20" s="169">
        <f>Table2[[#This Row],[Time]]</f>
        <v>38</v>
      </c>
      <c r="C20" s="79">
        <v>10</v>
      </c>
      <c r="D20" s="106" t="s">
        <v>27</v>
      </c>
      <c r="E20" s="106" t="s">
        <v>27</v>
      </c>
      <c r="F20" s="106" t="s">
        <v>27</v>
      </c>
      <c r="G20" s="106" t="s">
        <v>27</v>
      </c>
      <c r="H20" s="106" t="s">
        <v>27</v>
      </c>
      <c r="I20" s="106" t="s">
        <v>27</v>
      </c>
      <c r="J20" s="106">
        <v>12.4293744409414</v>
      </c>
      <c r="K20" s="106">
        <v>14.568739058072151</v>
      </c>
      <c r="L20" s="106">
        <v>1.6078779590762982</v>
      </c>
      <c r="M20" s="106">
        <v>33.250885533007008</v>
      </c>
      <c r="N20" s="107">
        <v>0</v>
      </c>
      <c r="O20" s="106">
        <v>0.97741669295625533</v>
      </c>
      <c r="P20" s="106">
        <v>0</v>
      </c>
      <c r="Q20" s="106">
        <v>1.6410788796763331</v>
      </c>
      <c r="R20" s="107">
        <v>0</v>
      </c>
      <c r="S20" s="108">
        <v>1.9017903367874005</v>
      </c>
      <c r="T20" s="108"/>
      <c r="U20" s="108"/>
      <c r="V20" s="108"/>
      <c r="W20" s="96"/>
      <c r="X20" s="97"/>
      <c r="Y20" s="96"/>
      <c r="Z20" s="98"/>
      <c r="AA20" s="99"/>
      <c r="AB20" s="97"/>
      <c r="AC20" s="96"/>
      <c r="AD20" s="100"/>
      <c r="AF20" s="66">
        <v>40</v>
      </c>
      <c r="AG20" s="45">
        <v>1</v>
      </c>
      <c r="AH20" s="66">
        <v>229.8</v>
      </c>
      <c r="AJ20" s="64" t="e">
        <f>IF(D20="nd","nd",D20*$C20/constants!$B$3)</f>
        <v>#VALUE!</v>
      </c>
      <c r="AK20" s="64" t="e">
        <f>IF(E20="nd","nd",E20*$C20/constants!$B$6)</f>
        <v>#VALUE!</v>
      </c>
      <c r="AL20" s="64" t="e">
        <f>IF(F20="nd","nd",F20*$C20/constants!$B$7)</f>
        <v>#VALUE!</v>
      </c>
      <c r="AM20" s="64" t="e">
        <f>IF(G20="nd","nd",G20*$C20/constants!$B$8)</f>
        <v>#VALUE!</v>
      </c>
      <c r="AN20" s="64" t="e">
        <f>IF(H20="nd","nd",H20*$C20/constants!$B$9)</f>
        <v>#VALUE!</v>
      </c>
      <c r="AO20" s="64" t="e">
        <f>IF(I20="nd","nd",I20*$C20/constants!$B$10)</f>
        <v>#VALUE!</v>
      </c>
      <c r="AP20" s="162">
        <f>(IF(IFERROR(J20-#REF!,J20)&gt;constants!$D$5,(IFERROR(J20-#REF!,J20)*$C20/1000),0))</f>
        <v>0.124293744409414</v>
      </c>
      <c r="AQ20" s="162">
        <f>(IF(IFERROR(K20-#REF!,K20)&gt;constants!$D$11,(IFERROR(K20-#REF!,K20)*$C20/1000),0))</f>
        <v>0.1456873905807215</v>
      </c>
      <c r="AR20" s="162">
        <f>(IF(IFERROR(L20-#REF!,L20)&gt;constants!$D$19,(IFERROR(L20-#REF!,L20)*$C20/1000),0))</f>
        <v>0</v>
      </c>
      <c r="AS20" s="162">
        <f>(IF(IFERROR(M20-#REF!,M20)&gt;constants!$D$4,(IFERROR(M20-#REF!,M20)*$C20/1000),0))</f>
        <v>0.33250885533007013</v>
      </c>
      <c r="AT20" s="162">
        <f>(IF(IFERROR(N20-#REF!,N20)&gt;constants!$D$5,(IFERROR(N20-#REF!,N20)*$C20/1000),0))</f>
        <v>0</v>
      </c>
      <c r="AU20" s="162">
        <f>(IF(IFERROR(O20-#REF!,O20)&gt;constants!$D$12,(IFERROR(O20-#REF!,O20)*$C20/1000),0))</f>
        <v>0</v>
      </c>
      <c r="AV20" s="162">
        <f>(IF(IFERROR(P20-#REF!,P20)&gt;constants!$D$5,(IFERROR(P20-#REF!,P20)*$C20/1000),0))</f>
        <v>0</v>
      </c>
      <c r="AW20" s="162">
        <f>(IF(IFERROR(Q20-#REF!,Q20)&gt;constants!$D$13,(IFERROR(Q20-#REF!,Q20)*$C20/1000),0))</f>
        <v>0</v>
      </c>
      <c r="AX20" s="64">
        <f>(IF(IFERROR(R20-#REF!,R20)&gt;constants!$D$14,(IFERROR(R20-#REF!,R20)*$C20/constants!$B$14),0))</f>
        <v>0</v>
      </c>
      <c r="AY20" s="64">
        <f>(IF(IFERROR(S20-#REF!,S20)&gt;constants!$D$15,(IFERROR(S20-#REF!,S20)*$C20/constants!$B$15),0))</f>
        <v>0.13187279576098024</v>
      </c>
      <c r="AZ20" s="64">
        <f>AF20*Table31520[[#This Row],[amount]]*Table31520[[#This Row],[correction]]/constants!$B$23</f>
        <v>102.04262877442274</v>
      </c>
      <c r="BA20" s="64">
        <f>Table31520[[#This Row],[amount]]*Table31520[[#This Row],[correction]]*Table31520[[#This Row],[dilution ]]/1000</f>
        <v>9.1920000000000002</v>
      </c>
      <c r="BB20" s="64" t="e">
        <f>(Table31520[[#This Row],[Amount 25]]*100*Table31520[[#This Row],[pressure]])/(constants!$I$5*constants!$I$6)</f>
        <v>#DIV/0!</v>
      </c>
      <c r="BC20" s="64"/>
      <c r="BD20" s="64" t="e">
        <f>(Table51621[[#This Row],[Concentration]]*constants!$C$3)/1000</f>
        <v>#VALUE!</v>
      </c>
      <c r="BE20" s="64" t="e">
        <f>(Table51621[[#This Row],[Concentration2]]*constants!$C$6)/1000</f>
        <v>#VALUE!</v>
      </c>
      <c r="BF20" s="64" t="e">
        <f>(Table51621[[#This Row],[Concentration3]]*constants!$C$7)/1000</f>
        <v>#VALUE!</v>
      </c>
      <c r="BG20" s="64" t="e">
        <f>(Table51621[[#This Row],[Concentration4]]*constants!$C$8)/1000</f>
        <v>#VALUE!</v>
      </c>
      <c r="BH20" s="64" t="e">
        <f>(Table51621[[#This Row],[Concentration5]]*constants!$C$9)/1000</f>
        <v>#VALUE!</v>
      </c>
      <c r="BI20" s="64" t="e">
        <f>(Table51621[[#This Row],[Concentration6]]*constants!$C$10)/1000</f>
        <v>#VALUE!</v>
      </c>
      <c r="BJ20" s="64">
        <f>(Table51621[[#This Row],[Concentration7]]*constants!$C$5)</f>
        <v>0.248587488818828</v>
      </c>
      <c r="BK20" s="64">
        <f>(Table51621[[#This Row],[Concentration8]]*3)</f>
        <v>0.4370621717421645</v>
      </c>
      <c r="BL20" s="64">
        <f>(Table51621[[#This Row],[Concentration9]]*4)</f>
        <v>0</v>
      </c>
      <c r="BM20" s="64">
        <f>(Table51621[[#This Row],[Concentration10]]*4)</f>
        <v>1.3300354213202805</v>
      </c>
      <c r="BN20" s="64">
        <f>(Table51621[[#This Row],[Concentration11]]*5)</f>
        <v>0</v>
      </c>
      <c r="BO20" s="64">
        <f>(Table51621[[#This Row],[Concentration12]]*5)</f>
        <v>0</v>
      </c>
      <c r="BP20" s="64">
        <f>(Table51621[[#This Row],[Concentration13]]*6)</f>
        <v>0</v>
      </c>
      <c r="BQ20" s="64">
        <f>(Table51621[[#This Row],[Concentration14]]*6)</f>
        <v>0</v>
      </c>
      <c r="BR20" s="64">
        <f>(Table51621[[#This Row],[Concentration15]]*7)</f>
        <v>0</v>
      </c>
      <c r="BS20" s="64">
        <f>(Table51621[[#This Row],[Concentration16]]*8)</f>
        <v>1.0549823660878419</v>
      </c>
      <c r="BT20" s="64">
        <f>(Table51621[[#This Row],[Concentration17]]*3)/1000</f>
        <v>0.30612788632326821</v>
      </c>
      <c r="BU20" s="47" t="e">
        <f>Table51621[[#This Row],[Concentration18]]</f>
        <v>#DIV/0!</v>
      </c>
      <c r="BV20" s="47">
        <f>Table51621[[#This Row],[Concentration19]]/1000</f>
        <v>0</v>
      </c>
    </row>
    <row r="21" spans="1:74" s="47" customFormat="1" ht="16" thickBot="1" x14ac:dyDescent="0.4">
      <c r="A21" s="63">
        <f>Table2[[#This Row],[Date]]</f>
        <v>43105</v>
      </c>
      <c r="B21" s="169">
        <f>Table2[[#This Row],[Time]]</f>
        <v>43</v>
      </c>
      <c r="C21" s="54">
        <v>20</v>
      </c>
      <c r="D21" s="106" t="s">
        <v>27</v>
      </c>
      <c r="E21" s="106" t="s">
        <v>27</v>
      </c>
      <c r="F21" s="106" t="s">
        <v>27</v>
      </c>
      <c r="G21" s="106" t="s">
        <v>27</v>
      </c>
      <c r="H21" s="106" t="s">
        <v>27</v>
      </c>
      <c r="I21" s="106" t="s">
        <v>27</v>
      </c>
      <c r="J21" s="106">
        <v>8.8363541753855852</v>
      </c>
      <c r="K21" s="106">
        <v>7.154624515379016</v>
      </c>
      <c r="L21" s="106">
        <v>0.92533043810208637</v>
      </c>
      <c r="M21" s="106">
        <v>14.704096904251475</v>
      </c>
      <c r="N21" s="107">
        <v>0</v>
      </c>
      <c r="O21" s="106">
        <v>0</v>
      </c>
      <c r="P21" s="106">
        <v>0</v>
      </c>
      <c r="Q21" s="106">
        <v>0</v>
      </c>
      <c r="R21" s="107">
        <v>0</v>
      </c>
      <c r="S21" s="108">
        <v>0</v>
      </c>
      <c r="T21" s="108"/>
      <c r="U21" s="108"/>
      <c r="V21" s="108"/>
      <c r="AE21" s="55">
        <v>7.1</v>
      </c>
      <c r="AF21" s="47">
        <v>20</v>
      </c>
      <c r="AG21" s="45">
        <v>1</v>
      </c>
      <c r="AH21" s="47">
        <v>449</v>
      </c>
      <c r="AJ21" s="64" t="e">
        <f>IF(D21="nd","nd",D21*$C21/constants!$B$3)</f>
        <v>#VALUE!</v>
      </c>
      <c r="AK21" s="64" t="e">
        <f>IF(E21="nd","nd",E21*$C21/constants!$B$6)</f>
        <v>#VALUE!</v>
      </c>
      <c r="AL21" s="64" t="e">
        <f>IF(F21="nd","nd",F21*$C21/constants!$B$7)</f>
        <v>#VALUE!</v>
      </c>
      <c r="AM21" s="64" t="e">
        <f>IF(G21="nd","nd",G21*$C21/constants!$B$8)</f>
        <v>#VALUE!</v>
      </c>
      <c r="AN21" s="64" t="e">
        <f>IF(H21="nd","nd",H21*$C21/constants!$B$9)</f>
        <v>#VALUE!</v>
      </c>
      <c r="AO21" s="64" t="e">
        <f>IF(I21="nd","nd",I21*$C21/constants!$B$10)</f>
        <v>#VALUE!</v>
      </c>
      <c r="AP21" s="162">
        <f>(IF(IFERROR(J21-#REF!,J21)&gt;constants!$D$5,(IFERROR(J21-#REF!,J21)*$C21/1000),0))</f>
        <v>0.17672708350771171</v>
      </c>
      <c r="AQ21" s="162">
        <f>(IF(IFERROR(K21-#REF!,K21)&gt;constants!$D$11,(IFERROR(K21-#REF!,K21)*$C21/1000),0))</f>
        <v>0.14309249030758031</v>
      </c>
      <c r="AR21" s="162">
        <f>(IF(IFERROR(L21-#REF!,L21)&gt;constants!$D$19,(IFERROR(L21-#REF!,L21)*$C21/1000),0))</f>
        <v>0</v>
      </c>
      <c r="AS21" s="162">
        <f>(IF(IFERROR(M21-#REF!,M21)&gt;constants!$D$4,(IFERROR(M21-#REF!,M21)*$C21/1000),0))</f>
        <v>0.29408193808502947</v>
      </c>
      <c r="AT21" s="162">
        <f>(IF(IFERROR(N21-#REF!,N21)&gt;constants!$D$5,(IFERROR(N21-#REF!,N21)*$C21/1000),0))</f>
        <v>0</v>
      </c>
      <c r="AU21" s="162">
        <f>(IF(IFERROR(O21-#REF!,O21)&gt;constants!$D$12,(IFERROR(O21-#REF!,O21)*$C21/1000),0))</f>
        <v>0</v>
      </c>
      <c r="AV21" s="162">
        <f>(IF(IFERROR(P21-#REF!,P21)&gt;constants!$D$5,(IFERROR(P21-#REF!,P21)*$C21/1000),0))</f>
        <v>0</v>
      </c>
      <c r="AW21" s="162">
        <f>(IF(IFERROR(Q21-#REF!,Q21)&gt;constants!$D$13,(IFERROR(Q21-#REF!,Q21)*$C21/1000),0))</f>
        <v>0</v>
      </c>
      <c r="AX21" s="64">
        <f>(IF(IFERROR(R21-#REF!,R21)&gt;constants!$D$14,(IFERROR(R21-#REF!,R21)*$C21/constants!$B$14),0))</f>
        <v>0</v>
      </c>
      <c r="AY21" s="64">
        <f>(IF(IFERROR(S21-#REF!,S21)&gt;constants!$D$15,(IFERROR(S21-#REF!,S21)*$C21/constants!$B$15),0))</f>
        <v>0</v>
      </c>
      <c r="AZ21" s="64">
        <f>AF21*Table31520[[#This Row],[amount]]*Table31520[[#This Row],[correction]]/constants!$B$23</f>
        <v>99.689165186500887</v>
      </c>
      <c r="BA21" s="64">
        <f>Table31520[[#This Row],[amount]]*Table31520[[#This Row],[correction]]*Table31520[[#This Row],[dilution ]]/1000</f>
        <v>8.98</v>
      </c>
      <c r="BB21" s="64" t="e">
        <f>(Table31520[[#This Row],[Amount 25]]*100*Table31520[[#This Row],[pressure]])/(constants!$I$5*constants!$I$6)</f>
        <v>#DIV/0!</v>
      </c>
      <c r="BC21" s="64"/>
      <c r="BD21" s="64" t="e">
        <f>(Table51621[[#This Row],[Concentration]]*constants!$C$3)/1000</f>
        <v>#VALUE!</v>
      </c>
      <c r="BE21" s="64" t="e">
        <f>(Table51621[[#This Row],[Concentration2]]*constants!$C$6)/1000</f>
        <v>#VALUE!</v>
      </c>
      <c r="BF21" s="64" t="e">
        <f>(Table51621[[#This Row],[Concentration3]]*constants!$C$7)/1000</f>
        <v>#VALUE!</v>
      </c>
      <c r="BG21" s="64" t="e">
        <f>(Table51621[[#This Row],[Concentration4]]*constants!$C$8)/1000</f>
        <v>#VALUE!</v>
      </c>
      <c r="BH21" s="64" t="e">
        <f>(Table51621[[#This Row],[Concentration5]]*constants!$C$9)/1000</f>
        <v>#VALUE!</v>
      </c>
      <c r="BI21" s="64" t="e">
        <f>(Table51621[[#This Row],[Concentration6]]*constants!$C$10)/1000</f>
        <v>#VALUE!</v>
      </c>
      <c r="BJ21" s="64">
        <f>(Table51621[[#This Row],[Concentration7]]*constants!$C$5)</f>
        <v>0.35345416701542343</v>
      </c>
      <c r="BK21" s="64">
        <f>(Table51621[[#This Row],[Concentration8]]*3)</f>
        <v>0.42927747092274093</v>
      </c>
      <c r="BL21" s="64">
        <f>(Table51621[[#This Row],[Concentration9]]*4)</f>
        <v>0</v>
      </c>
      <c r="BM21" s="64">
        <f>(Table51621[[#This Row],[Concentration10]]*4)</f>
        <v>1.1763277523401179</v>
      </c>
      <c r="BN21" s="64">
        <f>(Table51621[[#This Row],[Concentration11]]*5)</f>
        <v>0</v>
      </c>
      <c r="BO21" s="64">
        <f>(Table51621[[#This Row],[Concentration12]]*5)</f>
        <v>0</v>
      </c>
      <c r="BP21" s="64">
        <f>(Table51621[[#This Row],[Concentration13]]*6)</f>
        <v>0</v>
      </c>
      <c r="BQ21" s="64">
        <f>(Table51621[[#This Row],[Concentration14]]*6)</f>
        <v>0</v>
      </c>
      <c r="BR21" s="64">
        <f>(Table51621[[#This Row],[Concentration15]]*7)</f>
        <v>0</v>
      </c>
      <c r="BS21" s="64">
        <f>(Table51621[[#This Row],[Concentration16]]*8)</f>
        <v>0</v>
      </c>
      <c r="BT21" s="64">
        <f>(Table51621[[#This Row],[Concentration17]]*3)/1000</f>
        <v>0.29906749555950268</v>
      </c>
      <c r="BU21" s="47" t="e">
        <f>Table51621[[#This Row],[Concentration18]]/1000</f>
        <v>#DIV/0!</v>
      </c>
      <c r="BV21" s="47">
        <f>Table51621[[#This Row],[Concentration19]]/1000</f>
        <v>0</v>
      </c>
    </row>
    <row r="22" spans="1:74" s="66" customFormat="1" ht="16" thickBot="1" x14ac:dyDescent="0.4">
      <c r="A22" s="63">
        <f>Table2[[#This Row],[Date]]</f>
        <v>43195</v>
      </c>
      <c r="B22" s="169">
        <f>Table2[[#This Row],[Time]]</f>
        <v>46</v>
      </c>
      <c r="C22" s="79">
        <v>20</v>
      </c>
      <c r="D22" s="106" t="s">
        <v>27</v>
      </c>
      <c r="E22" s="106" t="s">
        <v>27</v>
      </c>
      <c r="F22" s="106" t="s">
        <v>27</v>
      </c>
      <c r="G22" s="106" t="s">
        <v>27</v>
      </c>
      <c r="H22" s="106" t="s">
        <v>27</v>
      </c>
      <c r="I22" s="106" t="s">
        <v>27</v>
      </c>
      <c r="J22" s="106">
        <v>8.7996557606323673</v>
      </c>
      <c r="K22" s="106">
        <v>16.958973690788959</v>
      </c>
      <c r="L22" s="106">
        <v>3.0546112415998472</v>
      </c>
      <c r="M22" s="106">
        <v>35.351134447427043</v>
      </c>
      <c r="N22" s="107">
        <v>0</v>
      </c>
      <c r="O22" s="106">
        <v>1.6480735852782051</v>
      </c>
      <c r="P22" s="106">
        <v>0</v>
      </c>
      <c r="Q22" s="106">
        <v>0</v>
      </c>
      <c r="R22" s="107">
        <v>0</v>
      </c>
      <c r="S22" s="108">
        <v>0</v>
      </c>
      <c r="T22" s="108"/>
      <c r="U22" s="108"/>
      <c r="V22" s="108"/>
      <c r="AE22" s="65">
        <v>6.93</v>
      </c>
      <c r="AF22" s="47">
        <v>20</v>
      </c>
      <c r="AG22" s="45">
        <v>1</v>
      </c>
      <c r="AH22" s="66">
        <v>416.4</v>
      </c>
      <c r="AJ22" s="64" t="e">
        <f>IF(D22="nd","nd",D22*$C22/constants!$B$3)</f>
        <v>#VALUE!</v>
      </c>
      <c r="AK22" s="64" t="e">
        <f>IF(E22="nd","nd",E22*$C22/constants!$B$6)</f>
        <v>#VALUE!</v>
      </c>
      <c r="AL22" s="64" t="e">
        <f>IF(F22="nd","nd",F22*$C22/constants!$B$7)</f>
        <v>#VALUE!</v>
      </c>
      <c r="AM22" s="64" t="e">
        <f>IF(G22="nd","nd",G22*$C22/constants!$B$8)</f>
        <v>#VALUE!</v>
      </c>
      <c r="AN22" s="64" t="e">
        <f>IF(H22="nd","nd",H22*$C22/constants!$B$9)</f>
        <v>#VALUE!</v>
      </c>
      <c r="AO22" s="64" t="e">
        <f>IF(I22="nd","nd",I22*$C22/constants!$B$10)</f>
        <v>#VALUE!</v>
      </c>
      <c r="AP22" s="162">
        <f>(IF(IFERROR(J22-#REF!,J22)&gt;constants!$D$5,(IFERROR(J22-#REF!,J22)*$C22/1000),0))</f>
        <v>0.17599311521264735</v>
      </c>
      <c r="AQ22" s="162">
        <f>(IF(IFERROR(K22-#REF!,K22)&gt;constants!$D$11,(IFERROR(K22-#REF!,K22)*$C22/1000),0))</f>
        <v>0.33917947381577912</v>
      </c>
      <c r="AR22" s="162">
        <f>(IF(IFERROR(L22-#REF!,L22)&gt;constants!$D$19,(IFERROR(L22-#REF!,L22)*$C22/1000),0))</f>
        <v>0</v>
      </c>
      <c r="AS22" s="162">
        <f>(IF(IFERROR(M22-#REF!,M22)&gt;constants!$D$4,(IFERROR(M22-#REF!,M22)*$C22/1000),0))</f>
        <v>0.70702268894854092</v>
      </c>
      <c r="AT22" s="162">
        <f>(IF(IFERROR(N22-#REF!,N22)&gt;constants!$D$5,(IFERROR(N22-#REF!,N22)*$C22/1000),0))</f>
        <v>0</v>
      </c>
      <c r="AU22" s="162">
        <f>(IF(IFERROR(O22-#REF!,O22)&gt;constants!$D$12,(IFERROR(O22-#REF!,O22)*$C22/1000),0))</f>
        <v>0</v>
      </c>
      <c r="AV22" s="162">
        <f>(IF(IFERROR(P22-#REF!,P22)&gt;constants!$D$5,(IFERROR(P22-#REF!,P22)*$C22/1000),0))</f>
        <v>0</v>
      </c>
      <c r="AW22" s="162">
        <f>(IF(IFERROR(Q22-#REF!,Q22)&gt;constants!$D$13,(IFERROR(Q22-#REF!,Q22)*$C22/1000),0))</f>
        <v>0</v>
      </c>
      <c r="AX22" s="64">
        <f>(IF(IFERROR(R22-#REF!,R22)&gt;constants!$D$14,(IFERROR(R22-#REF!,R22)*$C22/constants!$B$14),0))</f>
        <v>0</v>
      </c>
      <c r="AY22" s="64">
        <f>(IF(IFERROR(S22-#REF!,S22)&gt;constants!$D$15,(IFERROR(S22-#REF!,S22)*$C22/constants!$B$15),0))</f>
        <v>0</v>
      </c>
      <c r="AZ22" s="64">
        <f>AF22*Table31520[[#This Row],[amount]]*Table31520[[#This Row],[correction]]/constants!$B$23</f>
        <v>92.451154529307288</v>
      </c>
      <c r="BA22" s="64">
        <f>Table31520[[#This Row],[amount]]*Table31520[[#This Row],[correction]]*Table31520[[#This Row],[dilution ]]/1000</f>
        <v>8.3279999999999994</v>
      </c>
      <c r="BB22" s="64" t="e">
        <f>(Table31520[[#This Row],[Amount 25]]*100*Table31520[[#This Row],[pressure]])/(constants!$I$5*constants!$I$6)</f>
        <v>#DIV/0!</v>
      </c>
      <c r="BC22" s="64"/>
      <c r="BD22" s="64" t="e">
        <f>(Table51621[[#This Row],[Concentration]]*constants!$C$3)/1000</f>
        <v>#VALUE!</v>
      </c>
      <c r="BE22" s="64" t="e">
        <f>(Table51621[[#This Row],[Concentration2]]*constants!$C$6)/1000</f>
        <v>#VALUE!</v>
      </c>
      <c r="BF22" s="64" t="e">
        <f>(Table51621[[#This Row],[Concentration3]]*constants!$C$7)/1000</f>
        <v>#VALUE!</v>
      </c>
      <c r="BG22" s="64" t="e">
        <f>(Table51621[[#This Row],[Concentration4]]*constants!$C$8)/1000</f>
        <v>#VALUE!</v>
      </c>
      <c r="BH22" s="64" t="e">
        <f>(Table51621[[#This Row],[Concentration5]]*constants!$C$9)/1000</f>
        <v>#VALUE!</v>
      </c>
      <c r="BI22" s="64" t="e">
        <f>(Table51621[[#This Row],[Concentration6]]*constants!$C$10)/1000</f>
        <v>#VALUE!</v>
      </c>
      <c r="BJ22" s="64">
        <f>(Table51621[[#This Row],[Concentration7]]*constants!$C$5)</f>
        <v>0.3519862304252947</v>
      </c>
      <c r="BK22" s="64">
        <f>(Table51621[[#This Row],[Concentration8]]*3)</f>
        <v>1.0175384214473373</v>
      </c>
      <c r="BL22" s="64">
        <f>(Table51621[[#This Row],[Concentration9]]*4)</f>
        <v>0</v>
      </c>
      <c r="BM22" s="64">
        <f>(Table51621[[#This Row],[Concentration10]]*4)</f>
        <v>2.8280907557941637</v>
      </c>
      <c r="BN22" s="64">
        <f>(Table51621[[#This Row],[Concentration11]]*5)</f>
        <v>0</v>
      </c>
      <c r="BO22" s="64">
        <f>(Table51621[[#This Row],[Concentration12]]*5)</f>
        <v>0</v>
      </c>
      <c r="BP22" s="64">
        <f>(Table51621[[#This Row],[Concentration13]]*6)</f>
        <v>0</v>
      </c>
      <c r="BQ22" s="64">
        <f>(Table51621[[#This Row],[Concentration14]]*6)</f>
        <v>0</v>
      </c>
      <c r="BR22" s="64">
        <f>(Table51621[[#This Row],[Concentration15]]*7)</f>
        <v>0</v>
      </c>
      <c r="BS22" s="64">
        <f>(Table51621[[#This Row],[Concentration16]]*8)</f>
        <v>0</v>
      </c>
      <c r="BT22" s="64">
        <f>(Table51621[[#This Row],[Concentration17]]*3)/1000</f>
        <v>0.27735346358792184</v>
      </c>
      <c r="BU22" s="47" t="e">
        <f>Table51621[[#This Row],[Concentration18]]/1000</f>
        <v>#DIV/0!</v>
      </c>
      <c r="BV22" s="47">
        <f>Table51621[[#This Row],[Concentration19]]/1000</f>
        <v>0</v>
      </c>
    </row>
    <row r="23" spans="1:74" s="47" customFormat="1" ht="16" thickBot="1" x14ac:dyDescent="0.4">
      <c r="A23" s="63">
        <f>Table2[[#This Row],[Date]]</f>
        <v>43317</v>
      </c>
      <c r="B23" s="169">
        <f>Table2[[#This Row],[Time]]</f>
        <v>50</v>
      </c>
      <c r="C23" s="54">
        <v>50</v>
      </c>
      <c r="D23" s="106" t="s">
        <v>27</v>
      </c>
      <c r="E23" s="106" t="s">
        <v>27</v>
      </c>
      <c r="F23" s="106" t="s">
        <v>27</v>
      </c>
      <c r="G23" s="106" t="s">
        <v>27</v>
      </c>
      <c r="H23" s="106" t="s">
        <v>27</v>
      </c>
      <c r="I23" s="106" t="s">
        <v>27</v>
      </c>
      <c r="J23" s="106">
        <v>7.7670480901593493</v>
      </c>
      <c r="K23" s="106">
        <v>11.431010663325548</v>
      </c>
      <c r="L23" s="106">
        <v>3.4312962252013564</v>
      </c>
      <c r="M23" s="106">
        <v>21.130258697416316</v>
      </c>
      <c r="N23" s="107">
        <v>0</v>
      </c>
      <c r="O23" s="106">
        <v>1.5397251801638154</v>
      </c>
      <c r="P23" s="106">
        <v>0</v>
      </c>
      <c r="Q23" s="106">
        <v>0</v>
      </c>
      <c r="R23" s="107">
        <v>0</v>
      </c>
      <c r="S23" s="108">
        <v>0</v>
      </c>
      <c r="T23" s="108"/>
      <c r="U23" s="108"/>
      <c r="V23" s="108"/>
      <c r="W23" s="96"/>
      <c r="X23" s="97"/>
      <c r="Y23" s="96"/>
      <c r="Z23" s="98"/>
      <c r="AA23" s="99"/>
      <c r="AB23" s="97"/>
      <c r="AC23" s="96"/>
      <c r="AD23" s="100"/>
      <c r="AE23" s="55"/>
      <c r="AF23" s="47">
        <v>50</v>
      </c>
      <c r="AG23" s="45">
        <v>1</v>
      </c>
      <c r="AH23" s="47">
        <v>100.1</v>
      </c>
      <c r="AJ23" s="64" t="e">
        <f>IF(D23="nd","nd",D23*$C23/constants!$B$3)</f>
        <v>#VALUE!</v>
      </c>
      <c r="AK23" s="64" t="e">
        <f>IF(E23="nd","nd",E23*$C23/constants!$B$6)</f>
        <v>#VALUE!</v>
      </c>
      <c r="AL23" s="64" t="e">
        <f>IF(F23="nd","nd",F23*$C23/constants!$B$7)</f>
        <v>#VALUE!</v>
      </c>
      <c r="AM23" s="64" t="e">
        <f>IF(G23="nd","nd",G23*$C23/constants!$B$8)</f>
        <v>#VALUE!</v>
      </c>
      <c r="AN23" s="64" t="e">
        <f>IF(H23="nd","nd",H23*$C23/constants!$B$9)</f>
        <v>#VALUE!</v>
      </c>
      <c r="AO23" s="64" t="e">
        <f>IF(I23="nd","nd",I23*$C23/constants!$B$10)</f>
        <v>#VALUE!</v>
      </c>
      <c r="AP23" s="162">
        <f>(IF(IFERROR(J23-#REF!,J23)&gt;constants!$D$5,(IFERROR(J23-#REF!,J23)*$C23/1000),0))</f>
        <v>0.38835240450796743</v>
      </c>
      <c r="AQ23" s="162">
        <f>(IF(IFERROR(K23-#REF!,K23)&gt;constants!$D$11,(IFERROR(K23-#REF!,K23)*$C23/1000),0))</f>
        <v>0.57155053316627746</v>
      </c>
      <c r="AR23" s="162">
        <f>(IF(IFERROR(L23-#REF!,L23)&gt;constants!$D$19,(IFERROR(L23-#REF!,L23)*$C23/1000),0))</f>
        <v>0</v>
      </c>
      <c r="AS23" s="162">
        <f>(IF(IFERROR(M23-#REF!,M23)&gt;constants!$D$4,(IFERROR(M23-#REF!,M23)*$C23/1000),0))</f>
        <v>1.0565129348708158</v>
      </c>
      <c r="AT23" s="162">
        <f>(IF(IFERROR(N23-#REF!,N23)&gt;constants!$D$5,(IFERROR(N23-#REF!,N23)*$C23/1000),0))</f>
        <v>0</v>
      </c>
      <c r="AU23" s="162">
        <f>(IF(IFERROR(O23-#REF!,O23)&gt;constants!$D$12,(IFERROR(O23-#REF!,O23)*$C23/1000),0))</f>
        <v>0</v>
      </c>
      <c r="AV23" s="162">
        <f>(IF(IFERROR(P23-#REF!,P23)&gt;constants!$D$5,(IFERROR(P23-#REF!,P23)*$C23/1000),0))</f>
        <v>0</v>
      </c>
      <c r="AW23" s="162">
        <f>(IF(IFERROR(Q23-#REF!,Q23)&gt;constants!$D$13,(IFERROR(Q23-#REF!,Q23)*$C23/1000),0))</f>
        <v>0</v>
      </c>
      <c r="AX23" s="64">
        <f>(IF(IFERROR(R23-#REF!,R23)&gt;constants!$D$14,(IFERROR(R23-#REF!,R23)*$C23/constants!$B$14),0))</f>
        <v>0</v>
      </c>
      <c r="AY23" s="64">
        <f>(IF(IFERROR(S23-#REF!,S23)&gt;constants!$D$15,(IFERROR(S23-#REF!,S23)*$C23/constants!$B$15),0))</f>
        <v>0</v>
      </c>
      <c r="AZ23" s="64">
        <f>AF23*Table31520[[#This Row],[amount]]*Table31520[[#This Row],[correction]]/constants!$B$23</f>
        <v>55.561722912966253</v>
      </c>
      <c r="BA23" s="64">
        <f>Table31520[[#This Row],[amount]]*Table31520[[#This Row],[correction]]*Table31520[[#This Row],[dilution ]]/1000</f>
        <v>5.0049999999999999</v>
      </c>
      <c r="BB23" s="64" t="e">
        <f>(Table31520[[#This Row],[Amount 25]]*100*Table31520[[#This Row],[pressure]])/(constants!$I$5*constants!$I$6)</f>
        <v>#DIV/0!</v>
      </c>
      <c r="BC23" s="64"/>
      <c r="BD23" s="64" t="e">
        <f>(Table51621[[#This Row],[Concentration]]*constants!$C$3)/1000</f>
        <v>#VALUE!</v>
      </c>
      <c r="BE23" s="64" t="e">
        <f>(Table51621[[#This Row],[Concentration2]]*constants!$C$6)/1000</f>
        <v>#VALUE!</v>
      </c>
      <c r="BF23" s="64" t="e">
        <f>(Table51621[[#This Row],[Concentration3]]*constants!$C$7)/1000</f>
        <v>#VALUE!</v>
      </c>
      <c r="BG23" s="64" t="e">
        <f>(Table51621[[#This Row],[Concentration4]]*constants!$C$8)/1000</f>
        <v>#VALUE!</v>
      </c>
      <c r="BH23" s="64" t="e">
        <f>(Table51621[[#This Row],[Concentration5]]*constants!$C$9)/1000</f>
        <v>#VALUE!</v>
      </c>
      <c r="BI23" s="64" t="e">
        <f>(Table51621[[#This Row],[Concentration6]]*constants!$C$10)/1000</f>
        <v>#VALUE!</v>
      </c>
      <c r="BJ23" s="64">
        <f>(Table51621[[#This Row],[Concentration7]]*constants!$C$5)</f>
        <v>0.77670480901593486</v>
      </c>
      <c r="BK23" s="64">
        <f>(Table51621[[#This Row],[Concentration8]]*3)</f>
        <v>1.7146515994988323</v>
      </c>
      <c r="BL23" s="64">
        <f>(Table51621[[#This Row],[Concentration9]]*4)</f>
        <v>0</v>
      </c>
      <c r="BM23" s="64">
        <f>(Table51621[[#This Row],[Concentration10]]*4)</f>
        <v>4.2260517394832631</v>
      </c>
      <c r="BN23" s="64">
        <f>(Table51621[[#This Row],[Concentration11]]*5)</f>
        <v>0</v>
      </c>
      <c r="BO23" s="64">
        <f>(Table51621[[#This Row],[Concentration12]]*5)</f>
        <v>0</v>
      </c>
      <c r="BP23" s="64">
        <f>(Table51621[[#This Row],[Concentration13]]*6)</f>
        <v>0</v>
      </c>
      <c r="BQ23" s="64">
        <f>(Table51621[[#This Row],[Concentration14]]*6)</f>
        <v>0</v>
      </c>
      <c r="BR23" s="64">
        <f>(Table51621[[#This Row],[Concentration15]]*7)</f>
        <v>0</v>
      </c>
      <c r="BS23" s="64">
        <f>(Table51621[[#This Row],[Concentration16]]*8)</f>
        <v>0</v>
      </c>
      <c r="BT23" s="64">
        <f>(Table51621[[#This Row],[Concentration17]]*3)/1000</f>
        <v>0.16668516873889877</v>
      </c>
      <c r="BU23" s="47" t="e">
        <f>Table51621[[#This Row],[Concentration18]]/1000</f>
        <v>#DIV/0!</v>
      </c>
      <c r="BV23" s="47">
        <f>Table51621[[#This Row],[Concentration19]]/1000</f>
        <v>0</v>
      </c>
    </row>
    <row r="24" spans="1:74" s="66" customFormat="1" ht="16" thickBot="1" x14ac:dyDescent="0.4">
      <c r="A24" s="63" t="str">
        <f>Table2[[#This Row],[Date]]</f>
        <v>16-05-2018</v>
      </c>
      <c r="B24" s="169">
        <f>Table2[[#This Row],[Time]]</f>
        <v>58</v>
      </c>
      <c r="C24" s="79">
        <v>20</v>
      </c>
      <c r="D24" s="106" t="s">
        <v>27</v>
      </c>
      <c r="E24" s="106">
        <v>0.41496728432452656</v>
      </c>
      <c r="F24" s="106" t="s">
        <v>27</v>
      </c>
      <c r="G24" s="106" t="s">
        <v>27</v>
      </c>
      <c r="H24" s="106" t="s">
        <v>27</v>
      </c>
      <c r="I24" s="106" t="s">
        <v>27</v>
      </c>
      <c r="J24" s="106">
        <v>48.533070486768445</v>
      </c>
      <c r="K24" s="106">
        <v>53.33857115660367</v>
      </c>
      <c r="L24" s="106">
        <v>47.919874954136873</v>
      </c>
      <c r="M24" s="106">
        <v>251.60147623792548</v>
      </c>
      <c r="N24" s="107">
        <v>1.0727949793075497</v>
      </c>
      <c r="O24" s="106">
        <v>17.217609943188968</v>
      </c>
      <c r="P24" s="106">
        <v>0</v>
      </c>
      <c r="Q24" s="106">
        <v>2.9102566292355538</v>
      </c>
      <c r="R24" s="107">
        <v>0</v>
      </c>
      <c r="S24" s="108">
        <v>0</v>
      </c>
      <c r="T24" s="108"/>
      <c r="U24" s="108"/>
      <c r="V24" s="108"/>
      <c r="AE24" s="65">
        <v>7.81</v>
      </c>
      <c r="AG24" s="45">
        <v>1</v>
      </c>
      <c r="AJ24" s="64" t="e">
        <f>IF(D24="nd","nd",D24*$C24/constants!$B$3)</f>
        <v>#VALUE!</v>
      </c>
      <c r="AK24" s="64">
        <f>IF(E24="nd","nd",E24*$C24/constants!$B$6)</f>
        <v>0.18015033290261412</v>
      </c>
      <c r="AL24" s="64" t="e">
        <f>IF(F24="nd","nd",F24*$C24/constants!$B$7)</f>
        <v>#VALUE!</v>
      </c>
      <c r="AM24" s="64" t="e">
        <f>IF(G24="nd","nd",G24*$C24/constants!$B$8)</f>
        <v>#VALUE!</v>
      </c>
      <c r="AN24" s="64" t="e">
        <f>IF(H24="nd","nd",H24*$C24/constants!$B$9)</f>
        <v>#VALUE!</v>
      </c>
      <c r="AO24" s="64" t="e">
        <f>IF(I24="nd","nd",I24*$C24/constants!$B$10)</f>
        <v>#VALUE!</v>
      </c>
      <c r="AP24" s="162">
        <f>(IF(IFERROR(J24-#REF!,J24)&gt;constants!$D$5,(IFERROR(J24-#REF!,J24)*$C24/1000),0))</f>
        <v>0.97066140973536896</v>
      </c>
      <c r="AQ24" s="162">
        <f>(IF(IFERROR(K24-#REF!,K24)&gt;constants!$D$11,(IFERROR(K24-#REF!,K24)*$C24/1000),0))</f>
        <v>1.0667714231320733</v>
      </c>
      <c r="AR24" s="162">
        <f>(IF(IFERROR(L24-#REF!,L24)&gt;constants!$D$19,(IFERROR(L24-#REF!,L24)*$C24/1000),0))</f>
        <v>0.95839749908273741</v>
      </c>
      <c r="AS24" s="162">
        <f>(IF(IFERROR(M24-#REF!,M24)&gt;constants!$D$4,(IFERROR(M24-#REF!,M24)*$C24/1000),0))</f>
        <v>5.0320295247585101</v>
      </c>
      <c r="AT24" s="162">
        <f>(IF(IFERROR(N24-#REF!,N24)&gt;constants!$D$5,(IFERROR(N24-#REF!,N24)*$C24/1000),0))</f>
        <v>0</v>
      </c>
      <c r="AU24" s="162">
        <f>(IF(IFERROR(O24-#REF!,O24)&gt;constants!$D$12,(IFERROR(O24-#REF!,O24)*$C24/1000),0))</f>
        <v>0.34435219886377932</v>
      </c>
      <c r="AV24" s="162">
        <f>(IF(IFERROR(P24-#REF!,P24)&gt;constants!$D$5,(IFERROR(P24-#REF!,P24)*$C24/1000),0))</f>
        <v>0</v>
      </c>
      <c r="AW24" s="162">
        <f>(IF(IFERROR(Q24-#REF!,Q24)&gt;constants!$D$13,(IFERROR(Q24-#REF!,Q24)*$C24/1000),0))</f>
        <v>5.8205132584711078E-2</v>
      </c>
      <c r="AX24" s="64">
        <f>(IF(IFERROR(R24-#REF!,R24)&gt;constants!$D$14,(IFERROR(R24-#REF!,R24)*$C24/constants!$B$14),0))</f>
        <v>0</v>
      </c>
      <c r="AY24" s="64">
        <f>(IF(IFERROR(S24-#REF!,S24)&gt;constants!$D$15,(IFERROR(S24-#REF!,S24)*$C24/constants!$B$15),0))</f>
        <v>0</v>
      </c>
      <c r="AZ24" s="64">
        <f>AF24*Table31520[[#This Row],[amount]]*Table31520[[#This Row],[correction]]/constants!$B$23</f>
        <v>0</v>
      </c>
      <c r="BA24" s="64">
        <f>Table31520[[#This Row],[amount]]*Table31520[[#This Row],[correction]]*Table31520[[#This Row],[dilution ]]/1000</f>
        <v>0</v>
      </c>
      <c r="BB24" s="64" t="e">
        <f>(Table31520[[#This Row],[Amount 25]]*100*Table31520[[#This Row],[pressure]])/(constants!$I$5*constants!$I$6)</f>
        <v>#DIV/0!</v>
      </c>
      <c r="BC24" s="64"/>
      <c r="BD24" s="64" t="e">
        <f>(Table51621[[#This Row],[Concentration]]*constants!$C$3)/1000</f>
        <v>#VALUE!</v>
      </c>
      <c r="BE24" s="64">
        <f>(Table51621[[#This Row],[Concentration2]]*constants!$C$6)/1000</f>
        <v>3.6030066580522825E-4</v>
      </c>
      <c r="BF24" s="64" t="e">
        <f>(Table51621[[#This Row],[Concentration3]]*constants!$C$7)/1000</f>
        <v>#VALUE!</v>
      </c>
      <c r="BG24" s="64" t="e">
        <f>(Table51621[[#This Row],[Concentration4]]*constants!$C$8)/1000</f>
        <v>#VALUE!</v>
      </c>
      <c r="BH24" s="64" t="e">
        <f>(Table51621[[#This Row],[Concentration5]]*constants!$C$9)/1000</f>
        <v>#VALUE!</v>
      </c>
      <c r="BI24" s="64" t="e">
        <f>(Table51621[[#This Row],[Concentration6]]*constants!$C$10)/1000</f>
        <v>#VALUE!</v>
      </c>
      <c r="BJ24" s="64">
        <f>(Table51621[[#This Row],[Concentration7]]*constants!$C$5)</f>
        <v>1.9413228194707379</v>
      </c>
      <c r="BK24" s="64">
        <f>(Table51621[[#This Row],[Concentration8]]*3)</f>
        <v>3.2003142693962197</v>
      </c>
      <c r="BL24" s="64">
        <f>(Table51621[[#This Row],[Concentration9]]*4)</f>
        <v>3.8335899963309497</v>
      </c>
      <c r="BM24" s="64">
        <f>(Table51621[[#This Row],[Concentration10]]*4)</f>
        <v>20.12811809903404</v>
      </c>
      <c r="BN24" s="64">
        <f>(Table51621[[#This Row],[Concentration11]]*5)</f>
        <v>0</v>
      </c>
      <c r="BO24" s="64">
        <f>(Table51621[[#This Row],[Concentration12]]*5)</f>
        <v>1.7217609943188967</v>
      </c>
      <c r="BP24" s="64">
        <f>(Table51621[[#This Row],[Concentration13]]*6)</f>
        <v>0</v>
      </c>
      <c r="BQ24" s="64">
        <f>(Table51621[[#This Row],[Concentration14]]*6)</f>
        <v>0.34923079550826647</v>
      </c>
      <c r="BR24" s="64">
        <f>(Table51621[[#This Row],[Concentration15]]*7)</f>
        <v>0</v>
      </c>
      <c r="BS24" s="64">
        <f>(Table51621[[#This Row],[Concentration16]]*8)</f>
        <v>0</v>
      </c>
      <c r="BT24" s="64">
        <f>(Table51621[[#This Row],[Concentration17]]*3)/1000</f>
        <v>0</v>
      </c>
      <c r="BU24" s="47" t="e">
        <f>Table51621[[#This Row],[Concentration18]]/1000</f>
        <v>#DIV/0!</v>
      </c>
      <c r="BV24" s="47">
        <f>Table51621[[#This Row],[Concentration19]]/1000</f>
        <v>0</v>
      </c>
    </row>
    <row r="25" spans="1:74" s="47" customFormat="1" ht="16" thickBot="1" x14ac:dyDescent="0.4">
      <c r="A25" s="63"/>
      <c r="B25" s="74"/>
      <c r="C25" s="54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7"/>
      <c r="O25" s="106"/>
      <c r="P25" s="106"/>
      <c r="Q25" s="106"/>
      <c r="R25" s="107"/>
      <c r="S25" s="108"/>
      <c r="T25" s="108"/>
      <c r="U25" s="108"/>
      <c r="V25" s="108"/>
      <c r="AE25" s="55"/>
      <c r="AG25" s="45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  <c r="BM25" s="64"/>
      <c r="BN25" s="64"/>
      <c r="BO25" s="64"/>
      <c r="BP25" s="64"/>
      <c r="BQ25" s="64"/>
      <c r="BR25" s="64"/>
      <c r="BS25" s="64"/>
      <c r="BT25" s="64"/>
    </row>
    <row r="26" spans="1:74" s="66" customFormat="1" ht="16" thickBot="1" x14ac:dyDescent="0.4">
      <c r="A26" s="63"/>
      <c r="B26" s="74"/>
      <c r="C26" s="79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AE26" s="65"/>
      <c r="AG26" s="32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  <c r="BM26" s="64"/>
      <c r="BN26" s="64"/>
      <c r="BO26" s="64"/>
      <c r="BP26" s="64"/>
      <c r="BQ26" s="64"/>
      <c r="BR26" s="64"/>
      <c r="BS26" s="64"/>
      <c r="BT26" s="64"/>
      <c r="BU26" s="47"/>
      <c r="BV26" s="47"/>
    </row>
    <row r="27" spans="1:74" s="47" customFormat="1" ht="16" thickBot="1" x14ac:dyDescent="0.4">
      <c r="A27" s="63"/>
      <c r="B27" s="74"/>
      <c r="C27" s="54"/>
      <c r="V27" s="82"/>
      <c r="AE27" s="55"/>
      <c r="AG27" s="32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  <c r="BM27" s="64"/>
      <c r="BN27" s="64"/>
      <c r="BO27" s="64"/>
      <c r="BP27" s="64"/>
      <c r="BQ27" s="64"/>
      <c r="BR27" s="64"/>
      <c r="BS27" s="64"/>
      <c r="BT27" s="64"/>
    </row>
    <row r="28" spans="1:74" s="66" customFormat="1" ht="16" thickBot="1" x14ac:dyDescent="0.4">
      <c r="A28" s="63"/>
      <c r="B28" s="74"/>
      <c r="C28" s="79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1"/>
      <c r="AE28" s="65"/>
      <c r="AG28" s="32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  <c r="BM28" s="64"/>
      <c r="BN28" s="64"/>
      <c r="BO28" s="64"/>
      <c r="BP28" s="64"/>
      <c r="BQ28" s="64"/>
      <c r="BR28" s="64"/>
      <c r="BS28" s="64"/>
      <c r="BT28" s="64"/>
      <c r="BU28" s="47"/>
      <c r="BV28" s="47"/>
    </row>
    <row r="29" spans="1:74" s="47" customFormat="1" ht="16" thickBot="1" x14ac:dyDescent="0.4">
      <c r="A29" s="63"/>
      <c r="B29" s="74"/>
      <c r="C29" s="54"/>
      <c r="V29" s="82"/>
      <c r="AE29" s="55"/>
      <c r="AG29" s="32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64"/>
      <c r="BS29" s="64"/>
      <c r="BT29" s="64"/>
    </row>
    <row r="30" spans="1:74" s="66" customFormat="1" ht="16" thickBot="1" x14ac:dyDescent="0.4">
      <c r="A30" s="63"/>
      <c r="B30" s="74"/>
      <c r="C30" s="79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1"/>
      <c r="AE30" s="65"/>
      <c r="AG30" s="32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4"/>
      <c r="BM30" s="64"/>
      <c r="BN30" s="64"/>
      <c r="BO30" s="64"/>
      <c r="BP30" s="64"/>
      <c r="BQ30" s="64"/>
      <c r="BR30" s="64"/>
      <c r="BS30" s="64"/>
      <c r="BT30" s="64"/>
      <c r="BU30" s="47"/>
      <c r="BV30" s="47"/>
    </row>
    <row r="31" spans="1:74" s="47" customFormat="1" ht="16" thickBot="1" x14ac:dyDescent="0.4">
      <c r="A31" s="63"/>
      <c r="B31" s="74"/>
      <c r="C31" s="54"/>
      <c r="V31" s="82"/>
      <c r="AE31" s="55"/>
      <c r="AG31" s="32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4"/>
      <c r="BQ31" s="64"/>
      <c r="BR31" s="64"/>
      <c r="BS31" s="64"/>
      <c r="BT31" s="64"/>
    </row>
    <row r="32" spans="1:74" ht="16" thickBot="1" x14ac:dyDescent="0.4">
      <c r="A32" s="63"/>
      <c r="B32" s="74"/>
      <c r="C32" s="8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84"/>
      <c r="AE32" s="43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4"/>
      <c r="BM32" s="64"/>
      <c r="BN32" s="64"/>
      <c r="BO32" s="64"/>
      <c r="BP32" s="64"/>
      <c r="BQ32" s="64"/>
      <c r="BR32" s="64"/>
      <c r="BS32" s="64"/>
      <c r="BT32" s="64"/>
    </row>
    <row r="33" spans="1:31" x14ac:dyDescent="0.35">
      <c r="A33" s="60"/>
      <c r="AE33" s="43"/>
    </row>
    <row r="34" spans="1:31" x14ac:dyDescent="0.35">
      <c r="AE34" s="43"/>
    </row>
    <row r="35" spans="1:31" x14ac:dyDescent="0.35">
      <c r="AE35" s="43"/>
    </row>
    <row r="36" spans="1:31" ht="15" thickBot="1" x14ac:dyDescent="0.4">
      <c r="AE36" s="44"/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V36"/>
  <sheetViews>
    <sheetView zoomScale="80" zoomScaleNormal="80" workbookViewId="0">
      <pane xSplit="2" topLeftCell="C1" activePane="topRight" state="frozen"/>
      <selection pane="topRight"/>
    </sheetView>
  </sheetViews>
  <sheetFormatPr defaultRowHeight="14.5" x14ac:dyDescent="0.35"/>
  <cols>
    <col min="1" max="1" width="16.453125" bestFit="1" customWidth="1"/>
    <col min="2" max="2" width="11" customWidth="1"/>
    <col min="3" max="3" width="10.453125" customWidth="1"/>
    <col min="4" max="4" width="10.7265625" customWidth="1"/>
    <col min="5" max="12" width="11.7265625" customWidth="1"/>
    <col min="13" max="22" width="12.7265625" customWidth="1"/>
    <col min="23" max="23" width="11.81640625" customWidth="1"/>
    <col min="24" max="24" width="12.7265625" customWidth="1"/>
    <col min="25" max="25" width="11.26953125" customWidth="1"/>
    <col min="26" max="26" width="12.7265625" customWidth="1"/>
    <col min="27" max="27" width="13.26953125" customWidth="1"/>
    <col min="28" max="28" width="12.7265625" customWidth="1"/>
    <col min="29" max="29" width="13.26953125" customWidth="1"/>
    <col min="30" max="30" width="12.7265625" customWidth="1"/>
    <col min="32" max="32" width="10.81640625" customWidth="1"/>
    <col min="33" max="33" width="11.26953125" customWidth="1"/>
    <col min="34" max="35" width="10.1796875" customWidth="1"/>
    <col min="36" max="36" width="15.81640625" customWidth="1"/>
    <col min="37" max="44" width="16.81640625" customWidth="1"/>
    <col min="45" max="55" width="17.81640625" customWidth="1"/>
    <col min="56" max="56" width="15.81640625" customWidth="1"/>
    <col min="57" max="64" width="16.81640625" customWidth="1"/>
    <col min="65" max="72" width="17.81640625" customWidth="1"/>
  </cols>
  <sheetData>
    <row r="1" spans="1:74" x14ac:dyDescent="0.35">
      <c r="A1" s="24" t="s">
        <v>28</v>
      </c>
      <c r="B1" s="24" t="s">
        <v>164</v>
      </c>
      <c r="C1" s="24"/>
    </row>
    <row r="2" spans="1:74" x14ac:dyDescent="0.35">
      <c r="A2" s="25" t="s">
        <v>30</v>
      </c>
      <c r="B2" s="25" t="s">
        <v>180</v>
      </c>
      <c r="C2" s="24" t="s">
        <v>75</v>
      </c>
      <c r="AJ2" s="2" t="s">
        <v>2</v>
      </c>
      <c r="AP2" s="146"/>
    </row>
    <row r="3" spans="1:74" x14ac:dyDescent="0.35">
      <c r="A3" s="25"/>
      <c r="B3" s="25"/>
      <c r="C3" s="24" t="s">
        <v>76</v>
      </c>
    </row>
    <row r="4" spans="1:74" x14ac:dyDescent="0.35">
      <c r="A4" s="24"/>
      <c r="B4" s="24"/>
      <c r="C4" s="56" t="s">
        <v>77</v>
      </c>
      <c r="E4" s="1"/>
      <c r="F4" s="3"/>
      <c r="G4" s="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 t="s">
        <v>60</v>
      </c>
      <c r="X4" s="1"/>
      <c r="Y4" s="1"/>
      <c r="Z4" s="1"/>
      <c r="AA4" s="1"/>
      <c r="AC4" s="1"/>
      <c r="AD4" s="1"/>
      <c r="AE4" s="1"/>
      <c r="AF4" t="s">
        <v>69</v>
      </c>
      <c r="AJ4" s="37" t="s">
        <v>37</v>
      </c>
      <c r="AL4" s="3"/>
      <c r="AM4" s="2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I4" s="1"/>
      <c r="BJ4" s="4"/>
    </row>
    <row r="5" spans="1:74" ht="15" thickBot="1" x14ac:dyDescent="0.4">
      <c r="A5" s="24"/>
      <c r="B5" s="24"/>
      <c r="C5" s="2" t="s">
        <v>2</v>
      </c>
      <c r="D5" s="2"/>
      <c r="E5" s="1"/>
      <c r="F5" s="3"/>
      <c r="G5" s="2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C5" s="1"/>
      <c r="AD5" s="1"/>
      <c r="AE5" s="1"/>
      <c r="AJ5" s="37"/>
      <c r="AL5" s="3"/>
      <c r="AM5" s="2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 t="s">
        <v>60</v>
      </c>
      <c r="BC5" s="1"/>
      <c r="BD5" s="56" t="s">
        <v>79</v>
      </c>
      <c r="BI5" s="1"/>
      <c r="BJ5" s="57"/>
      <c r="BU5" t="s">
        <v>60</v>
      </c>
    </row>
    <row r="6" spans="1:74" x14ac:dyDescent="0.35">
      <c r="C6" s="5" t="s">
        <v>3</v>
      </c>
      <c r="D6" s="6" t="s">
        <v>4</v>
      </c>
      <c r="E6" s="6" t="s">
        <v>90</v>
      </c>
      <c r="F6" s="6" t="s">
        <v>91</v>
      </c>
      <c r="G6" s="6" t="s">
        <v>92</v>
      </c>
      <c r="H6" s="6" t="s">
        <v>93</v>
      </c>
      <c r="I6" s="6" t="s">
        <v>94</v>
      </c>
      <c r="J6" s="6" t="s">
        <v>95</v>
      </c>
      <c r="K6" s="6" t="s">
        <v>96</v>
      </c>
      <c r="L6" s="6" t="s">
        <v>97</v>
      </c>
      <c r="M6" s="6" t="s">
        <v>98</v>
      </c>
      <c r="N6" s="6" t="s">
        <v>99</v>
      </c>
      <c r="O6" s="6" t="s">
        <v>100</v>
      </c>
      <c r="P6" s="6" t="s">
        <v>101</v>
      </c>
      <c r="Q6" s="6" t="s">
        <v>102</v>
      </c>
      <c r="R6" s="6" t="s">
        <v>103</v>
      </c>
      <c r="S6" s="7" t="s">
        <v>104</v>
      </c>
      <c r="T6" s="7" t="s">
        <v>105</v>
      </c>
      <c r="U6" s="7" t="s">
        <v>106</v>
      </c>
      <c r="V6" s="8" t="s">
        <v>107</v>
      </c>
      <c r="W6" s="36" t="s">
        <v>61</v>
      </c>
      <c r="X6" s="33" t="s">
        <v>108</v>
      </c>
      <c r="Y6" s="36" t="s">
        <v>62</v>
      </c>
      <c r="Z6" s="35" t="s">
        <v>109</v>
      </c>
      <c r="AA6" s="34" t="s">
        <v>110</v>
      </c>
      <c r="AB6" s="33" t="s">
        <v>111</v>
      </c>
      <c r="AC6" s="36" t="s">
        <v>112</v>
      </c>
      <c r="AD6" s="35" t="s">
        <v>113</v>
      </c>
      <c r="AE6" s="38" t="s">
        <v>68</v>
      </c>
      <c r="AF6" s="39" t="s">
        <v>70</v>
      </c>
      <c r="AG6" s="39" t="s">
        <v>151</v>
      </c>
      <c r="AH6" s="40" t="s">
        <v>32</v>
      </c>
      <c r="AI6" s="127" t="s">
        <v>136</v>
      </c>
      <c r="AJ6" s="69" t="s">
        <v>35</v>
      </c>
      <c r="AK6" s="70" t="s">
        <v>114</v>
      </c>
      <c r="AL6" s="70" t="s">
        <v>115</v>
      </c>
      <c r="AM6" s="70" t="s">
        <v>116</v>
      </c>
      <c r="AN6" s="70" t="s">
        <v>117</v>
      </c>
      <c r="AO6" s="70" t="s">
        <v>118</v>
      </c>
      <c r="AP6" s="70" t="s">
        <v>119</v>
      </c>
      <c r="AQ6" s="70" t="s">
        <v>120</v>
      </c>
      <c r="AR6" s="70" t="s">
        <v>121</v>
      </c>
      <c r="AS6" s="70" t="s">
        <v>122</v>
      </c>
      <c r="AT6" s="70" t="s">
        <v>123</v>
      </c>
      <c r="AU6" s="70" t="s">
        <v>124</v>
      </c>
      <c r="AV6" s="70" t="s">
        <v>125</v>
      </c>
      <c r="AW6" s="70" t="s">
        <v>126</v>
      </c>
      <c r="AX6" s="70" t="s">
        <v>127</v>
      </c>
      <c r="AY6" s="71" t="s">
        <v>128</v>
      </c>
      <c r="AZ6" s="72" t="s">
        <v>129</v>
      </c>
      <c r="BA6" s="85" t="s">
        <v>148</v>
      </c>
      <c r="BB6" s="85" t="s">
        <v>134</v>
      </c>
      <c r="BC6" s="88" t="s">
        <v>135</v>
      </c>
      <c r="BD6" s="69" t="s">
        <v>35</v>
      </c>
      <c r="BE6" s="70" t="s">
        <v>114</v>
      </c>
      <c r="BF6" s="70" t="s">
        <v>115</v>
      </c>
      <c r="BG6" s="70" t="s">
        <v>116</v>
      </c>
      <c r="BH6" s="70" t="s">
        <v>117</v>
      </c>
      <c r="BI6" s="70" t="s">
        <v>118</v>
      </c>
      <c r="BJ6" s="70" t="s">
        <v>119</v>
      </c>
      <c r="BK6" s="70" t="s">
        <v>120</v>
      </c>
      <c r="BL6" s="70" t="s">
        <v>121</v>
      </c>
      <c r="BM6" s="70" t="s">
        <v>122</v>
      </c>
      <c r="BN6" s="70" t="s">
        <v>123</v>
      </c>
      <c r="BO6" s="70" t="s">
        <v>124</v>
      </c>
      <c r="BP6" s="70" t="s">
        <v>125</v>
      </c>
      <c r="BQ6" s="70" t="s">
        <v>126</v>
      </c>
      <c r="BR6" s="70" t="s">
        <v>127</v>
      </c>
      <c r="BS6" s="71" t="s">
        <v>128</v>
      </c>
      <c r="BT6" s="72" t="s">
        <v>129</v>
      </c>
      <c r="BU6" s="85" t="s">
        <v>130</v>
      </c>
      <c r="BV6" s="85" t="s">
        <v>132</v>
      </c>
    </row>
    <row r="7" spans="1:74" x14ac:dyDescent="0.35">
      <c r="C7" s="9" t="s">
        <v>5</v>
      </c>
      <c r="D7" s="10" t="s">
        <v>7</v>
      </c>
      <c r="E7" s="10" t="s">
        <v>7</v>
      </c>
      <c r="F7" s="10" t="s">
        <v>7</v>
      </c>
      <c r="G7" s="10" t="s">
        <v>7</v>
      </c>
      <c r="H7" s="10" t="s">
        <v>7</v>
      </c>
      <c r="I7" s="10" t="s">
        <v>7</v>
      </c>
      <c r="J7" s="10" t="s">
        <v>7</v>
      </c>
      <c r="K7" s="10" t="s">
        <v>7</v>
      </c>
      <c r="L7" s="10" t="s">
        <v>7</v>
      </c>
      <c r="M7" s="10" t="s">
        <v>7</v>
      </c>
      <c r="N7" s="10" t="s">
        <v>7</v>
      </c>
      <c r="O7" s="10" t="s">
        <v>7</v>
      </c>
      <c r="P7" s="10" t="s">
        <v>7</v>
      </c>
      <c r="Q7" s="10" t="s">
        <v>7</v>
      </c>
      <c r="R7" s="10" t="s">
        <v>7</v>
      </c>
      <c r="S7" s="11" t="s">
        <v>7</v>
      </c>
      <c r="T7" s="11" t="s">
        <v>6</v>
      </c>
      <c r="U7" s="11" t="s">
        <v>6</v>
      </c>
      <c r="V7" s="12" t="s">
        <v>6</v>
      </c>
      <c r="W7" s="36" t="s">
        <v>63</v>
      </c>
      <c r="X7" s="33" t="s">
        <v>64</v>
      </c>
      <c r="Y7" s="36" t="s">
        <v>63</v>
      </c>
      <c r="Z7" s="35" t="s">
        <v>64</v>
      </c>
      <c r="AA7" s="34" t="s">
        <v>63</v>
      </c>
      <c r="AB7" s="33" t="s">
        <v>64</v>
      </c>
      <c r="AC7" s="36" t="s">
        <v>63</v>
      </c>
      <c r="AD7" s="35" t="s">
        <v>64</v>
      </c>
      <c r="AE7" s="38"/>
      <c r="AF7" s="39" t="s">
        <v>5</v>
      </c>
      <c r="AG7" s="39" t="s">
        <v>5</v>
      </c>
      <c r="AH7" s="40" t="s">
        <v>7</v>
      </c>
      <c r="AI7" s="39" t="s">
        <v>137</v>
      </c>
      <c r="AJ7" s="9" t="s">
        <v>36</v>
      </c>
      <c r="AK7" s="10" t="s">
        <v>36</v>
      </c>
      <c r="AL7" s="10" t="s">
        <v>36</v>
      </c>
      <c r="AM7" s="10" t="s">
        <v>36</v>
      </c>
      <c r="AN7" s="10" t="s">
        <v>36</v>
      </c>
      <c r="AO7" s="10" t="s">
        <v>36</v>
      </c>
      <c r="AP7" s="163" t="s">
        <v>77</v>
      </c>
      <c r="AQ7" s="163" t="s">
        <v>77</v>
      </c>
      <c r="AR7" s="163" t="s">
        <v>77</v>
      </c>
      <c r="AS7" s="163" t="s">
        <v>77</v>
      </c>
      <c r="AT7" s="163" t="s">
        <v>77</v>
      </c>
      <c r="AU7" s="163" t="s">
        <v>77</v>
      </c>
      <c r="AV7" s="163" t="s">
        <v>77</v>
      </c>
      <c r="AW7" s="163" t="s">
        <v>77</v>
      </c>
      <c r="AX7" s="163" t="s">
        <v>77</v>
      </c>
      <c r="AY7" s="163" t="s">
        <v>77</v>
      </c>
      <c r="AZ7" s="58" t="s">
        <v>36</v>
      </c>
      <c r="BA7" s="86" t="s">
        <v>152</v>
      </c>
      <c r="BB7" s="86" t="s">
        <v>36</v>
      </c>
      <c r="BC7" s="86" t="s">
        <v>36</v>
      </c>
      <c r="BD7" s="9" t="s">
        <v>89</v>
      </c>
      <c r="BE7" s="9" t="s">
        <v>89</v>
      </c>
      <c r="BF7" s="9" t="s">
        <v>89</v>
      </c>
      <c r="BG7" s="9" t="s">
        <v>89</v>
      </c>
      <c r="BH7" s="9" t="s">
        <v>89</v>
      </c>
      <c r="BI7" s="9" t="s">
        <v>89</v>
      </c>
      <c r="BJ7" s="9" t="s">
        <v>139</v>
      </c>
      <c r="BK7" s="9" t="s">
        <v>139</v>
      </c>
      <c r="BL7" s="9" t="s">
        <v>139</v>
      </c>
      <c r="BM7" s="9" t="s">
        <v>139</v>
      </c>
      <c r="BN7" s="9" t="s">
        <v>139</v>
      </c>
      <c r="BO7" s="9" t="s">
        <v>139</v>
      </c>
      <c r="BP7" s="9" t="s">
        <v>139</v>
      </c>
      <c r="BQ7" s="9" t="s">
        <v>139</v>
      </c>
      <c r="BR7" s="9" t="s">
        <v>139</v>
      </c>
      <c r="BS7" s="9" t="s">
        <v>139</v>
      </c>
      <c r="BT7" s="9" t="s">
        <v>89</v>
      </c>
      <c r="BU7" s="9" t="s">
        <v>139</v>
      </c>
      <c r="BV7" s="9" t="s">
        <v>89</v>
      </c>
    </row>
    <row r="8" spans="1:74" ht="16" thickBot="1" x14ac:dyDescent="0.4">
      <c r="A8" s="22" t="s">
        <v>0</v>
      </c>
      <c r="B8" s="73" t="s">
        <v>1</v>
      </c>
      <c r="C8" s="13" t="s">
        <v>6</v>
      </c>
      <c r="D8" s="14" t="s">
        <v>8</v>
      </c>
      <c r="E8" s="14" t="s">
        <v>9</v>
      </c>
      <c r="F8" s="14" t="s">
        <v>10</v>
      </c>
      <c r="G8" s="14" t="s">
        <v>11</v>
      </c>
      <c r="H8" s="14" t="s">
        <v>12</v>
      </c>
      <c r="I8" s="14" t="s">
        <v>13</v>
      </c>
      <c r="J8" s="14" t="s">
        <v>14</v>
      </c>
      <c r="K8" s="14" t="s">
        <v>15</v>
      </c>
      <c r="L8" s="14" t="s">
        <v>16</v>
      </c>
      <c r="M8" s="14" t="s">
        <v>17</v>
      </c>
      <c r="N8" s="14" t="s">
        <v>18</v>
      </c>
      <c r="O8" s="14" t="s">
        <v>19</v>
      </c>
      <c r="P8" s="14" t="s">
        <v>20</v>
      </c>
      <c r="Q8" s="14" t="s">
        <v>21</v>
      </c>
      <c r="R8" s="14" t="s">
        <v>22</v>
      </c>
      <c r="S8" s="15" t="s">
        <v>23</v>
      </c>
      <c r="T8" s="15" t="s">
        <v>24</v>
      </c>
      <c r="U8" s="15" t="s">
        <v>25</v>
      </c>
      <c r="V8" s="16" t="s">
        <v>26</v>
      </c>
      <c r="W8" s="36" t="s">
        <v>65</v>
      </c>
      <c r="X8" s="33" t="s">
        <v>65</v>
      </c>
      <c r="Y8" s="36" t="s">
        <v>66</v>
      </c>
      <c r="Z8" s="35" t="s">
        <v>66</v>
      </c>
      <c r="AA8" s="34" t="s">
        <v>55</v>
      </c>
      <c r="AB8" s="33" t="s">
        <v>55</v>
      </c>
      <c r="AC8" s="36" t="s">
        <v>67</v>
      </c>
      <c r="AD8" s="35" t="s">
        <v>67</v>
      </c>
      <c r="AE8" s="38"/>
      <c r="AF8" s="39"/>
      <c r="AG8" s="39"/>
      <c r="AH8" s="40" t="s">
        <v>73</v>
      </c>
      <c r="AI8" s="39" t="s">
        <v>145</v>
      </c>
      <c r="AJ8" s="13" t="s">
        <v>8</v>
      </c>
      <c r="AK8" s="14" t="s">
        <v>9</v>
      </c>
      <c r="AL8" s="14" t="s">
        <v>10</v>
      </c>
      <c r="AM8" s="14" t="s">
        <v>11</v>
      </c>
      <c r="AN8" s="14" t="s">
        <v>12</v>
      </c>
      <c r="AO8" s="14" t="s">
        <v>13</v>
      </c>
      <c r="AP8" s="164" t="s">
        <v>14</v>
      </c>
      <c r="AQ8" s="164" t="s">
        <v>15</v>
      </c>
      <c r="AR8" s="164" t="s">
        <v>16</v>
      </c>
      <c r="AS8" s="164" t="s">
        <v>17</v>
      </c>
      <c r="AT8" s="164" t="s">
        <v>18</v>
      </c>
      <c r="AU8" s="164" t="s">
        <v>19</v>
      </c>
      <c r="AV8" s="164" t="s">
        <v>20</v>
      </c>
      <c r="AW8" s="164" t="s">
        <v>21</v>
      </c>
      <c r="AX8" s="164" t="s">
        <v>22</v>
      </c>
      <c r="AY8" s="165" t="s">
        <v>23</v>
      </c>
      <c r="AZ8" s="59" t="s">
        <v>78</v>
      </c>
      <c r="BA8" s="87" t="s">
        <v>78</v>
      </c>
      <c r="BB8" s="87" t="s">
        <v>131</v>
      </c>
      <c r="BC8" s="87" t="s">
        <v>133</v>
      </c>
      <c r="BD8" s="13" t="s">
        <v>8</v>
      </c>
      <c r="BE8" s="14" t="s">
        <v>9</v>
      </c>
      <c r="BF8" s="14" t="s">
        <v>10</v>
      </c>
      <c r="BG8" s="14" t="s">
        <v>11</v>
      </c>
      <c r="BH8" s="14" t="s">
        <v>12</v>
      </c>
      <c r="BI8" s="14" t="s">
        <v>13</v>
      </c>
      <c r="BJ8" s="14" t="s">
        <v>14</v>
      </c>
      <c r="BK8" s="14" t="s">
        <v>15</v>
      </c>
      <c r="BL8" s="14" t="s">
        <v>16</v>
      </c>
      <c r="BM8" s="14" t="s">
        <v>17</v>
      </c>
      <c r="BN8" s="14" t="s">
        <v>18</v>
      </c>
      <c r="BO8" s="14" t="s">
        <v>19</v>
      </c>
      <c r="BP8" s="14" t="s">
        <v>20</v>
      </c>
      <c r="BQ8" s="14" t="s">
        <v>21</v>
      </c>
      <c r="BR8" s="14" t="s">
        <v>22</v>
      </c>
      <c r="BS8" s="16" t="s">
        <v>23</v>
      </c>
      <c r="BT8" s="59" t="s">
        <v>78</v>
      </c>
      <c r="BU8" t="s">
        <v>131</v>
      </c>
      <c r="BV8" t="s">
        <v>133</v>
      </c>
    </row>
    <row r="9" spans="1:74" s="47" customFormat="1" ht="16" thickBot="1" x14ac:dyDescent="0.4">
      <c r="A9" s="63" t="str">
        <f>Table2[[#This Row],[Date]]</f>
        <v>20-03-18</v>
      </c>
      <c r="B9" s="74">
        <f>Table2[[#This Row],[Time]]</f>
        <v>0</v>
      </c>
      <c r="C9" s="41">
        <v>0</v>
      </c>
      <c r="D9" s="18" t="s">
        <v>34</v>
      </c>
      <c r="E9" s="18" t="s">
        <v>34</v>
      </c>
      <c r="F9" s="18" t="s">
        <v>34</v>
      </c>
      <c r="G9" s="18" t="s">
        <v>34</v>
      </c>
      <c r="H9" s="18" t="s">
        <v>34</v>
      </c>
      <c r="I9" s="18" t="s">
        <v>34</v>
      </c>
      <c r="J9" s="18" t="s">
        <v>34</v>
      </c>
      <c r="K9" s="18" t="s">
        <v>34</v>
      </c>
      <c r="L9" s="18" t="s">
        <v>34</v>
      </c>
      <c r="M9" s="18" t="s">
        <v>34</v>
      </c>
      <c r="N9" s="18" t="s">
        <v>34</v>
      </c>
      <c r="O9" s="18" t="s">
        <v>34</v>
      </c>
      <c r="P9" s="18" t="s">
        <v>34</v>
      </c>
      <c r="Q9" s="18" t="s">
        <v>34</v>
      </c>
      <c r="R9" s="18" t="s">
        <v>34</v>
      </c>
      <c r="S9" s="18" t="s">
        <v>34</v>
      </c>
      <c r="T9" s="18" t="s">
        <v>34</v>
      </c>
      <c r="U9" s="18" t="s">
        <v>34</v>
      </c>
      <c r="V9" s="76" t="s">
        <v>34</v>
      </c>
      <c r="W9" s="45"/>
      <c r="X9" s="45"/>
      <c r="Y9" s="45"/>
      <c r="Z9" s="45"/>
      <c r="AA9" s="45"/>
      <c r="AB9" s="45"/>
      <c r="AC9" s="45"/>
      <c r="AD9" s="46"/>
      <c r="AE9" s="91">
        <v>7</v>
      </c>
      <c r="AF9" s="91">
        <v>0</v>
      </c>
      <c r="AG9" s="45">
        <v>1</v>
      </c>
      <c r="AH9" s="91">
        <v>0</v>
      </c>
      <c r="AI9"/>
      <c r="AJ9" s="64" t="str">
        <f>IF(D9="nd","nd",D9*$C9/constants!$B$3)</f>
        <v>nd</v>
      </c>
      <c r="AK9" s="64" t="str">
        <f>IF(E9="nd","nd",E9*$C9/constants!$B$6)</f>
        <v>nd</v>
      </c>
      <c r="AL9" s="64" t="str">
        <f>IF(F9="nd","nd",F9*$C9/constants!$B$7)</f>
        <v>nd</v>
      </c>
      <c r="AM9" s="64" t="str">
        <f>IF(G9="nd","nd",G9*$C9/constants!$B$8)</f>
        <v>nd</v>
      </c>
      <c r="AN9" s="64" t="str">
        <f>IF(H9="nd","nd",H9*$C9/constants!$B$9)</f>
        <v>nd</v>
      </c>
      <c r="AO9" s="64" t="str">
        <f>IF(I9="nd","nd",I9*$C9/constants!$B$10)</f>
        <v>nd</v>
      </c>
      <c r="AP9" s="162" t="e">
        <f>(IF(IFERROR(J9-#REF!,J9)&gt;constants!$D$5,(IFERROR(J9-#REF!,J9)*$C9/1000),0))</f>
        <v>#VALUE!</v>
      </c>
      <c r="AQ9" s="162" t="e">
        <f>(IF(IFERROR(K9-#REF!,K9)&gt;constants!$D$11,(IFERROR(K9-#REF!,K9)*$C9/1000),0))</f>
        <v>#VALUE!</v>
      </c>
      <c r="AR9" s="162" t="e">
        <f>(IF(IFERROR(L9-#REF!,L9)&gt;constants!$D$19,(IFERROR(L9-#REF!,L9)*$C9/1000),0))</f>
        <v>#VALUE!</v>
      </c>
      <c r="AS9" s="162" t="e">
        <f>(IF(IFERROR(M9-#REF!,M9)&gt;constants!$D$4,(IFERROR(M9-#REF!,M9)*$C9/1000),0))</f>
        <v>#VALUE!</v>
      </c>
      <c r="AT9" s="162" t="e">
        <f>(IF(IFERROR(N9-#REF!,N9)&gt;constants!$D$5,(IFERROR(N9-#REF!,N9)*$C9/1000),0))</f>
        <v>#VALUE!</v>
      </c>
      <c r="AU9" s="162" t="e">
        <f>(IF(IFERROR(O9-#REF!,O9)&gt;constants!$D$12,(IFERROR(O9-#REF!,O9)*$C9/1000),0))</f>
        <v>#VALUE!</v>
      </c>
      <c r="AV9" s="162" t="e">
        <f>(IF(IFERROR(P9-#REF!,P9)&gt;constants!$D$5,(IFERROR(P9-#REF!,P9)*$C9/1000),0))</f>
        <v>#VALUE!</v>
      </c>
      <c r="AW9" s="162" t="e">
        <f>(IF(IFERROR(Q9-#REF!,Q9)&gt;constants!$D$13,(IFERROR(Q9-#REF!,Q9)*$C9/1000),0))</f>
        <v>#VALUE!</v>
      </c>
      <c r="AX9" s="162" t="e">
        <f>(IF(IFERROR(R9-#REF!,R9)&gt;constants!$D$14,(IFERROR(R9-#REF!,R9)*$C9/1000),0))</f>
        <v>#VALUE!</v>
      </c>
      <c r="AY9" s="162" t="e">
        <f>(IF(IFERROR(S9-#REF!,S9)&gt;constants!$D$15,(IFERROR(S9-#REF!,S9)*$C9/1000),0))</f>
        <v>#VALUE!</v>
      </c>
      <c r="AZ9" s="64">
        <f>IF(AH9="nd","nd",AH9*Table3152025[[#This Row],[dilution ]]/constants!$B$23)</f>
        <v>0</v>
      </c>
      <c r="BA9" s="64">
        <f>Table3152025[[#This Row],[amount]]*Table3152025[[#This Row],[correction]]*Table3152025[[#This Row],[dilution ]]/1000</f>
        <v>0</v>
      </c>
      <c r="BB9" s="64" t="e">
        <f>(Table3152025[[#This Row],[pressure]]*(Table3152025[[#This Row],[Amount 25]]/100)*constants!I9)/(constants!$I$5*constants!$I$6)</f>
        <v>#DIV/0!</v>
      </c>
      <c r="BC9" s="64"/>
      <c r="BD9" s="64" t="e">
        <f>(Table5162126[[#This Row],[Concentration]]*constants!$C$3)/1000</f>
        <v>#VALUE!</v>
      </c>
      <c r="BE9" s="64" t="e">
        <f>(Table5162126[[#This Row],[Concentration2]]*constants!$C$6)/1000</f>
        <v>#VALUE!</v>
      </c>
      <c r="BF9" s="64" t="e">
        <f>(Table5162126[[#This Row],[Concentration3]]*constants!$C$7)/1000</f>
        <v>#VALUE!</v>
      </c>
      <c r="BG9" s="64" t="e">
        <f>(Table5162126[[#This Row],[Concentration4]]*constants!$C$8)/1000</f>
        <v>#VALUE!</v>
      </c>
      <c r="BH9" s="64" t="e">
        <f>(Table5162126[[#This Row],[Concentration5]]*constants!$C$9)/1000</f>
        <v>#VALUE!</v>
      </c>
      <c r="BI9" s="64" t="e">
        <f>(Table5162126[[#This Row],[Concentration6]]*constants!$C$10)/1000</f>
        <v>#VALUE!</v>
      </c>
      <c r="BJ9" s="64" t="e">
        <f>(Table5162126[[#This Row],[Concentration7]]*constants!$C$5)</f>
        <v>#VALUE!</v>
      </c>
      <c r="BK9" s="64" t="e">
        <f>(Table5162126[[#This Row],[Concentration8]]*3)</f>
        <v>#VALUE!</v>
      </c>
      <c r="BL9" s="64" t="e">
        <f>(Table5162126[[#This Row],[Concentration9]]*4)</f>
        <v>#VALUE!</v>
      </c>
      <c r="BM9" s="64" t="e">
        <f>(Table5162126[[#This Row],[Concentration10]]*4)</f>
        <v>#VALUE!</v>
      </c>
      <c r="BN9" s="64" t="e">
        <f>(Table5162126[[#This Row],[Concentration11]]*5)</f>
        <v>#VALUE!</v>
      </c>
      <c r="BO9" s="64" t="e">
        <f>(Table5162126[[#This Row],[Concentration12]]*5)</f>
        <v>#VALUE!</v>
      </c>
      <c r="BP9" s="64" t="e">
        <f>(Table5162126[[#This Row],[Concentration13]]*6)</f>
        <v>#VALUE!</v>
      </c>
      <c r="BQ9" s="64" t="e">
        <f>(Table5162126[[#This Row],[Concentration14]]*6)</f>
        <v>#VALUE!</v>
      </c>
      <c r="BR9" s="64" t="e">
        <f>(Table5162126[[#This Row],[Concentration15]]*7)</f>
        <v>#VALUE!</v>
      </c>
      <c r="BS9" s="64" t="e">
        <f>(Table5162126[[#This Row],[Concentration16]]*8)</f>
        <v>#VALUE!</v>
      </c>
      <c r="BT9" s="64">
        <f>(Table5162126[[#This Row],[Concentration17]]*3)/1000</f>
        <v>0</v>
      </c>
      <c r="BU9" s="47" t="e">
        <f>Table5162126[[#This Row],[Concentration18]]/1000</f>
        <v>#DIV/0!</v>
      </c>
      <c r="BV9" s="47">
        <f>Table5162126[[#This Row],[Concentration19]]/1000</f>
        <v>0</v>
      </c>
    </row>
    <row r="10" spans="1:74" s="66" customFormat="1" ht="16" thickBot="1" x14ac:dyDescent="0.4">
      <c r="A10" s="63" t="str">
        <f>Table2[[#This Row],[Date]]</f>
        <v>22-03-18</v>
      </c>
      <c r="B10" s="74">
        <f>Table2[[#This Row],[Time]]</f>
        <v>2</v>
      </c>
      <c r="C10" s="77">
        <v>0</v>
      </c>
      <c r="D10" s="49" t="s">
        <v>34</v>
      </c>
      <c r="E10" s="49" t="s">
        <v>34</v>
      </c>
      <c r="F10" s="49" t="s">
        <v>34</v>
      </c>
      <c r="G10" s="49" t="s">
        <v>34</v>
      </c>
      <c r="H10" s="49" t="s">
        <v>34</v>
      </c>
      <c r="I10" s="49" t="s">
        <v>34</v>
      </c>
      <c r="J10" s="49" t="s">
        <v>34</v>
      </c>
      <c r="K10" s="49" t="s">
        <v>34</v>
      </c>
      <c r="L10" s="49" t="s">
        <v>34</v>
      </c>
      <c r="M10" s="49" t="s">
        <v>34</v>
      </c>
      <c r="N10" s="50" t="s">
        <v>34</v>
      </c>
      <c r="O10" s="49" t="s">
        <v>34</v>
      </c>
      <c r="P10" s="49" t="s">
        <v>34</v>
      </c>
      <c r="Q10" s="49" t="s">
        <v>34</v>
      </c>
      <c r="R10" s="50" t="s">
        <v>34</v>
      </c>
      <c r="S10" s="51" t="s">
        <v>34</v>
      </c>
      <c r="T10" s="51" t="s">
        <v>34</v>
      </c>
      <c r="U10" s="51" t="s">
        <v>34</v>
      </c>
      <c r="V10" s="78" t="s">
        <v>34</v>
      </c>
      <c r="W10" s="32"/>
      <c r="X10" s="32"/>
      <c r="Y10" s="32"/>
      <c r="Z10" s="32"/>
      <c r="AA10" s="32"/>
      <c r="AB10" s="32"/>
      <c r="AC10" s="32"/>
      <c r="AD10" s="32"/>
      <c r="AE10" s="92">
        <v>6.78</v>
      </c>
      <c r="AF10">
        <v>10</v>
      </c>
      <c r="AG10" s="45">
        <v>1</v>
      </c>
      <c r="AH10" s="92">
        <v>10.199999999999999</v>
      </c>
      <c r="AI10"/>
      <c r="AJ10" s="64" t="str">
        <f>IF(D10="nd","nd",D10*$C10/constants!$B$3)</f>
        <v>nd</v>
      </c>
      <c r="AK10" s="64" t="str">
        <f>IF(E10="nd","nd",E10*$C10/constants!$B$6)</f>
        <v>nd</v>
      </c>
      <c r="AL10" s="64" t="str">
        <f>IF(F10="nd","nd",F10*$C10/constants!$B$7)</f>
        <v>nd</v>
      </c>
      <c r="AM10" s="64" t="str">
        <f>IF(G10="nd","nd",G10*$C10/constants!$B$8)</f>
        <v>nd</v>
      </c>
      <c r="AN10" s="64" t="str">
        <f>IF(H10="nd","nd",H10*$C10/constants!$B$9)</f>
        <v>nd</v>
      </c>
      <c r="AO10" s="64" t="str">
        <f>IF(I10="nd","nd",I10*$C10/constants!$B$10)</f>
        <v>nd</v>
      </c>
      <c r="AP10" s="162" t="e">
        <f>(IF(IFERROR(J10-#REF!,J10)&gt;constants!$D$5,(IFERROR(J10-#REF!,J10)*$C10/1000),0))</f>
        <v>#VALUE!</v>
      </c>
      <c r="AQ10" s="162" t="e">
        <f>(IF(IFERROR(K10-#REF!,K10)&gt;constants!$D$11,(IFERROR(K10-#REF!,K10)*$C10/1000),0))</f>
        <v>#VALUE!</v>
      </c>
      <c r="AR10" s="162" t="e">
        <f>(IF(IFERROR(L10-#REF!,L10)&gt;constants!$D$19,(IFERROR(L10-#REF!,L10)*$C10/1000),0))</f>
        <v>#VALUE!</v>
      </c>
      <c r="AS10" s="162" t="e">
        <f>(IF(IFERROR(M10-#REF!,M10)&gt;constants!$D$4,(IFERROR(M10-#REF!,M10)*$C10/1000),0))</f>
        <v>#VALUE!</v>
      </c>
      <c r="AT10" s="162" t="e">
        <f>(IF(IFERROR(N10-#REF!,N10)&gt;constants!$D$5,(IFERROR(N10-#REF!,N10)*$C10/1000),0))</f>
        <v>#VALUE!</v>
      </c>
      <c r="AU10" s="162" t="e">
        <f>(IF(IFERROR(O10-#REF!,O10)&gt;constants!$D$12,(IFERROR(O10-#REF!,O10)*$C10/1000),0))</f>
        <v>#VALUE!</v>
      </c>
      <c r="AV10" s="162" t="e">
        <f>(IF(IFERROR(P10-#REF!,P10)&gt;constants!$D$5,(IFERROR(P10-#REF!,P10)*$C10/1000),0))</f>
        <v>#VALUE!</v>
      </c>
      <c r="AW10" s="162" t="e">
        <f>(IF(IFERROR(Q10-#REF!,Q10)&gt;constants!$D$13,(IFERROR(Q10-#REF!,Q10)*$C10/1000),0))</f>
        <v>#VALUE!</v>
      </c>
      <c r="AX10" s="162" t="e">
        <f>(IF(IFERROR(R10-#REF!,R10)&gt;constants!$D$14,(IFERROR(R10-#REF!,R10)*$C10/1000),0))</f>
        <v>#VALUE!</v>
      </c>
      <c r="AY10" s="162" t="e">
        <f>(IF(IFERROR(S10-#REF!,S10)&gt;constants!$D$15,(IFERROR(S10-#REF!,S10)*$C10/1000),0))</f>
        <v>#VALUE!</v>
      </c>
      <c r="AZ10" s="64">
        <f>IF(AH10="nd","nd",AH10*Table3152025[[#This Row],[dilution ]]/constants!$B$23)</f>
        <v>1.1323268206039077</v>
      </c>
      <c r="BA10" s="64">
        <f>Table3152025[[#This Row],[amount]]*Table3152025[[#This Row],[correction]]*Table3152025[[#This Row],[dilution ]]/1000</f>
        <v>0.10199999999999999</v>
      </c>
      <c r="BB10" s="64" t="e">
        <f>(Table3152025[[#This Row],[pressure]]*(Table3152025[[#This Row],[Amount 25]]/100)*constants!I10)/(constants!$I$5*constants!$I$6)</f>
        <v>#DIV/0!</v>
      </c>
      <c r="BC10" s="64"/>
      <c r="BD10" s="64" t="e">
        <f>(Table5162126[[#This Row],[Concentration]]*constants!$C$3)/1000</f>
        <v>#VALUE!</v>
      </c>
      <c r="BE10" s="64" t="e">
        <f>(Table5162126[[#This Row],[Concentration2]]*constants!$C$6)/1000</f>
        <v>#VALUE!</v>
      </c>
      <c r="BF10" s="64" t="e">
        <f>(Table5162126[[#This Row],[Concentration3]]*constants!$C$7)/1000</f>
        <v>#VALUE!</v>
      </c>
      <c r="BG10" s="64" t="e">
        <f>(Table5162126[[#This Row],[Concentration4]]*constants!$C$8)/1000</f>
        <v>#VALUE!</v>
      </c>
      <c r="BH10" s="64" t="e">
        <f>(Table5162126[[#This Row],[Concentration5]]*constants!$C$9)/1000</f>
        <v>#VALUE!</v>
      </c>
      <c r="BI10" s="64" t="e">
        <f>(Table5162126[[#This Row],[Concentration6]]*constants!$C$10)/1000</f>
        <v>#VALUE!</v>
      </c>
      <c r="BJ10" s="64" t="e">
        <f>(Table5162126[[#This Row],[Concentration7]]*constants!$C$5)</f>
        <v>#VALUE!</v>
      </c>
      <c r="BK10" s="64" t="e">
        <f>(Table5162126[[#This Row],[Concentration8]]*3)</f>
        <v>#VALUE!</v>
      </c>
      <c r="BL10" s="64" t="e">
        <f>(Table5162126[[#This Row],[Concentration9]]*4)</f>
        <v>#VALUE!</v>
      </c>
      <c r="BM10" s="64" t="e">
        <f>(Table5162126[[#This Row],[Concentration10]]*4)</f>
        <v>#VALUE!</v>
      </c>
      <c r="BN10" s="64" t="e">
        <f>(Table5162126[[#This Row],[Concentration11]]*5)</f>
        <v>#VALUE!</v>
      </c>
      <c r="BO10" s="64" t="e">
        <f>(Table5162126[[#This Row],[Concentration12]]*5)</f>
        <v>#VALUE!</v>
      </c>
      <c r="BP10" s="64" t="e">
        <f>(Table5162126[[#This Row],[Concentration13]]*6)</f>
        <v>#VALUE!</v>
      </c>
      <c r="BQ10" s="64" t="e">
        <f>(Table5162126[[#This Row],[Concentration14]]*6)</f>
        <v>#VALUE!</v>
      </c>
      <c r="BR10" s="64" t="e">
        <f>(Table5162126[[#This Row],[Concentration15]]*7)</f>
        <v>#VALUE!</v>
      </c>
      <c r="BS10" s="64" t="e">
        <f>(Table5162126[[#This Row],[Concentration16]]*8)</f>
        <v>#VALUE!</v>
      </c>
      <c r="BT10" s="64">
        <f>(Table5162126[[#This Row],[Concentration17]]*3)/1000</f>
        <v>3.3969804618117234E-3</v>
      </c>
      <c r="BU10" s="47" t="e">
        <f>Table5162126[[#This Row],[Concentration18]]/1000</f>
        <v>#DIV/0!</v>
      </c>
      <c r="BV10" s="47">
        <f>Table5162126[[#This Row],[Concentration19]]/1000</f>
        <v>0</v>
      </c>
    </row>
    <row r="11" spans="1:74" s="47" customFormat="1" ht="16" thickBot="1" x14ac:dyDescent="0.4">
      <c r="A11" s="63" t="str">
        <f>Table2[[#This Row],[Date]]</f>
        <v>23-03-18</v>
      </c>
      <c r="B11" s="74">
        <f>Table2[[#This Row],[Time]]</f>
        <v>3</v>
      </c>
      <c r="C11" s="41">
        <v>0</v>
      </c>
      <c r="D11" s="18" t="s">
        <v>34</v>
      </c>
      <c r="E11" s="18" t="s">
        <v>34</v>
      </c>
      <c r="F11" s="18" t="s">
        <v>34</v>
      </c>
      <c r="G11" s="18" t="s">
        <v>34</v>
      </c>
      <c r="H11" s="18" t="s">
        <v>34</v>
      </c>
      <c r="I11" s="18" t="s">
        <v>34</v>
      </c>
      <c r="J11" s="18" t="s">
        <v>34</v>
      </c>
      <c r="K11" s="18" t="s">
        <v>34</v>
      </c>
      <c r="L11" s="18" t="s">
        <v>34</v>
      </c>
      <c r="M11" s="18" t="s">
        <v>34</v>
      </c>
      <c r="N11" s="19" t="s">
        <v>34</v>
      </c>
      <c r="O11" s="18" t="s">
        <v>34</v>
      </c>
      <c r="P11" s="18" t="s">
        <v>34</v>
      </c>
      <c r="Q11" s="18" t="s">
        <v>34</v>
      </c>
      <c r="R11" s="19" t="s">
        <v>34</v>
      </c>
      <c r="S11" s="20" t="s">
        <v>34</v>
      </c>
      <c r="T11" s="20" t="s">
        <v>34</v>
      </c>
      <c r="U11" s="20" t="s">
        <v>34</v>
      </c>
      <c r="V11" s="21" t="s">
        <v>34</v>
      </c>
      <c r="W11" s="52"/>
      <c r="X11" s="52"/>
      <c r="Y11" s="52"/>
      <c r="Z11" s="52"/>
      <c r="AA11" s="52"/>
      <c r="AB11" s="52"/>
      <c r="AC11" s="52"/>
      <c r="AD11" s="52"/>
      <c r="AE11" s="92">
        <v>6.3</v>
      </c>
      <c r="AF11">
        <v>10</v>
      </c>
      <c r="AG11" s="45">
        <v>1</v>
      </c>
      <c r="AH11" s="92">
        <v>29.701000000000001</v>
      </c>
      <c r="AI11"/>
      <c r="AJ11" s="64" t="str">
        <f>IF(D11="nd","nd",D11*$C11/constants!$B$3)</f>
        <v>nd</v>
      </c>
      <c r="AK11" s="64" t="str">
        <f>IF(E11="nd","nd",E11*$C11/constants!$B$6)</f>
        <v>nd</v>
      </c>
      <c r="AL11" s="64" t="str">
        <f>IF(F11="nd","nd",F11*$C11/constants!$B$7)</f>
        <v>nd</v>
      </c>
      <c r="AM11" s="64" t="str">
        <f>IF(G11="nd","nd",G11*$C11/constants!$B$8)</f>
        <v>nd</v>
      </c>
      <c r="AN11" s="64" t="str">
        <f>IF(H11="nd","nd",H11*$C11/constants!$B$9)</f>
        <v>nd</v>
      </c>
      <c r="AO11" s="64" t="str">
        <f>IF(I11="nd","nd",I11*$C11/constants!$B$10)</f>
        <v>nd</v>
      </c>
      <c r="AP11" s="162" t="e">
        <f>(IF(IFERROR(J11-#REF!,J11)&gt;constants!$D$5,(IFERROR(J11-#REF!,J11)*$C11/1000),0))</f>
        <v>#VALUE!</v>
      </c>
      <c r="AQ11" s="162" t="e">
        <f>(IF(IFERROR(K11-#REF!,K11)&gt;constants!$D$11,(IFERROR(K11-#REF!,K11)*$C11/1000),0))</f>
        <v>#VALUE!</v>
      </c>
      <c r="AR11" s="162" t="e">
        <f>(IF(IFERROR(L11-#REF!,L11)&gt;constants!$D$19,(IFERROR(L11-#REF!,L11)*$C11/1000),0))</f>
        <v>#VALUE!</v>
      </c>
      <c r="AS11" s="162" t="e">
        <f>(IF(IFERROR(M11-#REF!,M11)&gt;constants!$D$4,(IFERROR(M11-#REF!,M11)*$C11/1000),0))</f>
        <v>#VALUE!</v>
      </c>
      <c r="AT11" s="162" t="e">
        <f>(IF(IFERROR(N11-#REF!,N11)&gt;constants!$D$5,(IFERROR(N11-#REF!,N11)*$C11/1000),0))</f>
        <v>#VALUE!</v>
      </c>
      <c r="AU11" s="162" t="e">
        <f>(IF(IFERROR(O11-#REF!,O11)&gt;constants!$D$12,(IFERROR(O11-#REF!,O11)*$C11/1000),0))</f>
        <v>#VALUE!</v>
      </c>
      <c r="AV11" s="162" t="e">
        <f>(IF(IFERROR(P11-#REF!,P11)&gt;constants!$D$5,(IFERROR(P11-#REF!,P11)*$C11/1000),0))</f>
        <v>#VALUE!</v>
      </c>
      <c r="AW11" s="162" t="e">
        <f>(IF(IFERROR(Q11-#REF!,Q11)&gt;constants!$D$13,(IFERROR(Q11-#REF!,Q11)*$C11/1000),0))</f>
        <v>#VALUE!</v>
      </c>
      <c r="AX11" s="162" t="e">
        <f>(IF(IFERROR(R11-#REF!,R11)&gt;constants!$D$14,(IFERROR(R11-#REF!,R11)*$C11/1000),0))</f>
        <v>#VALUE!</v>
      </c>
      <c r="AY11" s="162" t="e">
        <f>(IF(IFERROR(S11-#REF!,S11)&gt;constants!$D$15,(IFERROR(S11-#REF!,S11)*$C11/1000),0))</f>
        <v>#VALUE!</v>
      </c>
      <c r="AZ11" s="64">
        <f>IF(AH11="nd","nd",AH11*Table3152025[[#This Row],[dilution ]]/constants!$B$23)</f>
        <v>3.2971802841918296</v>
      </c>
      <c r="BA11" s="64">
        <f>Table3152025[[#This Row],[amount]]*Table3152025[[#This Row],[correction]]*Table3152025[[#This Row],[dilution ]]/1000</f>
        <v>0.29701</v>
      </c>
      <c r="BB11" s="64" t="e">
        <f>(Table3152025[[#This Row],[pressure]]*(Table3152025[[#This Row],[Amount 25]]/100)*constants!I11)/(constants!$I$5*constants!$I$6)</f>
        <v>#DIV/0!</v>
      </c>
      <c r="BC11" s="64"/>
      <c r="BD11" s="64" t="e">
        <f>(Table5162126[[#This Row],[Concentration]]*constants!$C$3)/1000</f>
        <v>#VALUE!</v>
      </c>
      <c r="BE11" s="64" t="e">
        <f>(Table5162126[[#This Row],[Concentration2]]*constants!$C$6)/1000</f>
        <v>#VALUE!</v>
      </c>
      <c r="BF11" s="64" t="e">
        <f>(Table5162126[[#This Row],[Concentration3]]*constants!$C$7)/1000</f>
        <v>#VALUE!</v>
      </c>
      <c r="BG11" s="64" t="e">
        <f>(Table5162126[[#This Row],[Concentration4]]*constants!$C$8)/1000</f>
        <v>#VALUE!</v>
      </c>
      <c r="BH11" s="64" t="e">
        <f>(Table5162126[[#This Row],[Concentration5]]*constants!$C$9)/1000</f>
        <v>#VALUE!</v>
      </c>
      <c r="BI11" s="64" t="e">
        <f>(Table5162126[[#This Row],[Concentration6]]*constants!$C$10)/1000</f>
        <v>#VALUE!</v>
      </c>
      <c r="BJ11" s="64" t="e">
        <f>(Table5162126[[#This Row],[Concentration7]]*constants!$C$5)</f>
        <v>#VALUE!</v>
      </c>
      <c r="BK11" s="64" t="e">
        <f>(Table5162126[[#This Row],[Concentration8]]*3)</f>
        <v>#VALUE!</v>
      </c>
      <c r="BL11" s="64" t="e">
        <f>(Table5162126[[#This Row],[Concentration9]]*4)</f>
        <v>#VALUE!</v>
      </c>
      <c r="BM11" s="64" t="e">
        <f>(Table5162126[[#This Row],[Concentration10]]*4)</f>
        <v>#VALUE!</v>
      </c>
      <c r="BN11" s="64" t="e">
        <f>(Table5162126[[#This Row],[Concentration11]]*5)</f>
        <v>#VALUE!</v>
      </c>
      <c r="BO11" s="64" t="e">
        <f>(Table5162126[[#This Row],[Concentration12]]*5)</f>
        <v>#VALUE!</v>
      </c>
      <c r="BP11" s="64" t="e">
        <f>(Table5162126[[#This Row],[Concentration13]]*6)</f>
        <v>#VALUE!</v>
      </c>
      <c r="BQ11" s="64" t="e">
        <f>(Table5162126[[#This Row],[Concentration14]]*6)</f>
        <v>#VALUE!</v>
      </c>
      <c r="BR11" s="64" t="e">
        <f>(Table5162126[[#This Row],[Concentration15]]*7)</f>
        <v>#VALUE!</v>
      </c>
      <c r="BS11" s="64" t="e">
        <f>(Table5162126[[#This Row],[Concentration16]]*8)</f>
        <v>#VALUE!</v>
      </c>
      <c r="BT11" s="64">
        <f>(Table5162126[[#This Row],[Concentration17]]*3)/1000</f>
        <v>9.8915408525754884E-3</v>
      </c>
      <c r="BU11" s="47" t="e">
        <f>Table5162126[[#This Row],[Concentration18]]/1000</f>
        <v>#DIV/0!</v>
      </c>
      <c r="BV11" s="47">
        <f>Table5162126[[#This Row],[Concentration19]]/1000</f>
        <v>0</v>
      </c>
    </row>
    <row r="12" spans="1:74" s="66" customFormat="1" ht="16" thickBot="1" x14ac:dyDescent="0.4">
      <c r="A12" s="63" t="str">
        <f>Table2[[#This Row],[Date]]</f>
        <v>26-03-18</v>
      </c>
      <c r="B12" s="74">
        <f>Table2[[#This Row],[Time]]</f>
        <v>6</v>
      </c>
      <c r="C12" s="77">
        <v>0</v>
      </c>
      <c r="D12" s="49" t="s">
        <v>34</v>
      </c>
      <c r="E12" s="49" t="s">
        <v>34</v>
      </c>
      <c r="F12" s="49" t="s">
        <v>34</v>
      </c>
      <c r="G12" s="49" t="s">
        <v>34</v>
      </c>
      <c r="H12" s="49" t="s">
        <v>34</v>
      </c>
      <c r="I12" s="49" t="s">
        <v>34</v>
      </c>
      <c r="J12" s="49" t="s">
        <v>34</v>
      </c>
      <c r="K12" s="49" t="s">
        <v>34</v>
      </c>
      <c r="L12" s="49" t="s">
        <v>34</v>
      </c>
      <c r="M12" s="49" t="s">
        <v>34</v>
      </c>
      <c r="N12" s="50" t="s">
        <v>34</v>
      </c>
      <c r="O12" s="49" t="s">
        <v>34</v>
      </c>
      <c r="P12" s="49" t="s">
        <v>34</v>
      </c>
      <c r="Q12" s="49" t="s">
        <v>34</v>
      </c>
      <c r="R12" s="50" t="s">
        <v>34</v>
      </c>
      <c r="S12" s="51" t="s">
        <v>34</v>
      </c>
      <c r="T12" s="51" t="s">
        <v>34</v>
      </c>
      <c r="U12" s="51" t="s">
        <v>34</v>
      </c>
      <c r="V12" s="78" t="s">
        <v>34</v>
      </c>
      <c r="W12" s="32"/>
      <c r="X12" s="32"/>
      <c r="Y12" s="32"/>
      <c r="Z12" s="32"/>
      <c r="AA12" s="32"/>
      <c r="AB12" s="32"/>
      <c r="AC12" s="32"/>
      <c r="AD12" s="32"/>
      <c r="AE12" s="80">
        <v>3.49</v>
      </c>
      <c r="AF12">
        <v>100</v>
      </c>
      <c r="AG12" s="45">
        <v>1</v>
      </c>
      <c r="AH12" s="80">
        <v>15.044700000000001</v>
      </c>
      <c r="AI12"/>
      <c r="AJ12" s="64" t="str">
        <f>IF(D12="nd","nd",D12*$C12/constants!$B$3)</f>
        <v>nd</v>
      </c>
      <c r="AK12" s="64" t="str">
        <f>IF(E12="nd","nd",E12*$C12/constants!$B$6)</f>
        <v>nd</v>
      </c>
      <c r="AL12" s="64" t="str">
        <f>IF(F12="nd","nd",F12*$C12/constants!$B$7)</f>
        <v>nd</v>
      </c>
      <c r="AM12" s="64" t="str">
        <f>IF(G12="nd","nd",G12*$C12/constants!$B$8)</f>
        <v>nd</v>
      </c>
      <c r="AN12" s="64" t="str">
        <f>IF(H12="nd","nd",H12*$C12/constants!$B$9)</f>
        <v>nd</v>
      </c>
      <c r="AO12" s="64" t="str">
        <f>IF(I12="nd","nd",I12*$C12/constants!$B$10)</f>
        <v>nd</v>
      </c>
      <c r="AP12" s="162" t="e">
        <f>(IF(IFERROR(J12-#REF!,J12)&gt;constants!$D$5,(IFERROR(J12-#REF!,J12)*$C12/1000),0))</f>
        <v>#VALUE!</v>
      </c>
      <c r="AQ12" s="162" t="e">
        <f>(IF(IFERROR(K12-#REF!,K12)&gt;constants!$D$11,(IFERROR(K12-#REF!,K12)*$C12/1000),0))</f>
        <v>#VALUE!</v>
      </c>
      <c r="AR12" s="162" t="e">
        <f>(IF(IFERROR(L12-#REF!,L12)&gt;constants!$D$19,(IFERROR(L12-#REF!,L12)*$C12/1000),0))</f>
        <v>#VALUE!</v>
      </c>
      <c r="AS12" s="162" t="e">
        <f>(IF(IFERROR(M12-#REF!,M12)&gt;constants!$D$4,(IFERROR(M12-#REF!,M12)*$C12/1000),0))</f>
        <v>#VALUE!</v>
      </c>
      <c r="AT12" s="162" t="e">
        <f>(IF(IFERROR(N12-#REF!,N12)&gt;constants!$D$5,(IFERROR(N12-#REF!,N12)*$C12/1000),0))</f>
        <v>#VALUE!</v>
      </c>
      <c r="AU12" s="162" t="e">
        <f>(IF(IFERROR(O12-#REF!,O12)&gt;constants!$D$12,(IFERROR(O12-#REF!,O12)*$C12/1000),0))</f>
        <v>#VALUE!</v>
      </c>
      <c r="AV12" s="162" t="e">
        <f>(IF(IFERROR(P12-#REF!,P12)&gt;constants!$D$5,(IFERROR(P12-#REF!,P12)*$C12/1000),0))</f>
        <v>#VALUE!</v>
      </c>
      <c r="AW12" s="162" t="e">
        <f>(IF(IFERROR(Q12-#REF!,Q12)&gt;constants!$D$13,(IFERROR(Q12-#REF!,Q12)*$C12/1000),0))</f>
        <v>#VALUE!</v>
      </c>
      <c r="AX12" s="162" t="e">
        <f>(IF(IFERROR(R12-#REF!,R12)&gt;constants!$D$14,(IFERROR(R12-#REF!,R12)*$C12/1000),0))</f>
        <v>#VALUE!</v>
      </c>
      <c r="AY12" s="162" t="e">
        <f>(IF(IFERROR(S12-#REF!,S12)&gt;constants!$D$15,(IFERROR(S12-#REF!,S12)*$C12/1000),0))</f>
        <v>#VALUE!</v>
      </c>
      <c r="AZ12" s="64">
        <f>IF(AH12="nd","nd",AH12*Table3152025[[#This Row],[dilution ]]/constants!$B$23)</f>
        <v>16.701487566607462</v>
      </c>
      <c r="BA12" s="64">
        <f>Table3152025[[#This Row],[amount]]*Table3152025[[#This Row],[correction]]*Table3152025[[#This Row],[dilution ]]/1000</f>
        <v>1.50447</v>
      </c>
      <c r="BB12" s="64" t="e">
        <f>(Table3152025[[#This Row],[pressure]]*(Table3152025[[#This Row],[Amount 25]]/100)*constants!I12)/(constants!$I$5*constants!$I$6)</f>
        <v>#DIV/0!</v>
      </c>
      <c r="BC12" s="64"/>
      <c r="BD12" s="64" t="e">
        <f>(Table5162126[[#This Row],[Concentration]]*constants!$C$3)/1000</f>
        <v>#VALUE!</v>
      </c>
      <c r="BE12" s="64" t="e">
        <f>(Table5162126[[#This Row],[Concentration2]]*constants!$C$6)/1000</f>
        <v>#VALUE!</v>
      </c>
      <c r="BF12" s="64" t="e">
        <f>(Table5162126[[#This Row],[Concentration3]]*constants!$C$7)/1000</f>
        <v>#VALUE!</v>
      </c>
      <c r="BG12" s="64" t="e">
        <f>(Table5162126[[#This Row],[Concentration4]]*constants!$C$8)/1000</f>
        <v>#VALUE!</v>
      </c>
      <c r="BH12" s="64" t="e">
        <f>(Table5162126[[#This Row],[Concentration5]]*constants!$C$9)/1000</f>
        <v>#VALUE!</v>
      </c>
      <c r="BI12" s="64" t="e">
        <f>(Table5162126[[#This Row],[Concentration6]]*constants!$C$10)/1000</f>
        <v>#VALUE!</v>
      </c>
      <c r="BJ12" s="64" t="e">
        <f>(Table5162126[[#This Row],[Concentration7]]*constants!$C$5)</f>
        <v>#VALUE!</v>
      </c>
      <c r="BK12" s="64" t="e">
        <f>(Table5162126[[#This Row],[Concentration8]]*3)</f>
        <v>#VALUE!</v>
      </c>
      <c r="BL12" s="64" t="e">
        <f>(Table5162126[[#This Row],[Concentration9]]*4)</f>
        <v>#VALUE!</v>
      </c>
      <c r="BM12" s="64" t="e">
        <f>(Table5162126[[#This Row],[Concentration10]]*4)</f>
        <v>#VALUE!</v>
      </c>
      <c r="BN12" s="64" t="e">
        <f>(Table5162126[[#This Row],[Concentration11]]*5)</f>
        <v>#VALUE!</v>
      </c>
      <c r="BO12" s="64" t="e">
        <f>(Table5162126[[#This Row],[Concentration12]]*5)</f>
        <v>#VALUE!</v>
      </c>
      <c r="BP12" s="64" t="e">
        <f>(Table5162126[[#This Row],[Concentration13]]*6)</f>
        <v>#VALUE!</v>
      </c>
      <c r="BQ12" s="64" t="e">
        <f>(Table5162126[[#This Row],[Concentration14]]*6)</f>
        <v>#VALUE!</v>
      </c>
      <c r="BR12" s="64" t="e">
        <f>(Table5162126[[#This Row],[Concentration15]]*7)</f>
        <v>#VALUE!</v>
      </c>
      <c r="BS12" s="64" t="e">
        <f>(Table5162126[[#This Row],[Concentration16]]*8)</f>
        <v>#VALUE!</v>
      </c>
      <c r="BT12" s="64">
        <f>(Table5162126[[#This Row],[Concentration17]]*3)/1000</f>
        <v>5.0104462699822383E-2</v>
      </c>
      <c r="BU12" s="47" t="e">
        <f>Table5162126[[#This Row],[Concentration18]]/1000</f>
        <v>#DIV/0!</v>
      </c>
      <c r="BV12" s="47">
        <f>Table5162126[[#This Row],[Concentration19]]/1000</f>
        <v>0</v>
      </c>
    </row>
    <row r="13" spans="1:74" s="47" customFormat="1" ht="16" thickBot="1" x14ac:dyDescent="0.4">
      <c r="A13" s="63" t="str">
        <f>Table2[[#This Row],[Date]]</f>
        <v>29-03-18</v>
      </c>
      <c r="B13" s="74">
        <f>Table2[[#This Row],[Time]]</f>
        <v>9</v>
      </c>
      <c r="C13" s="41">
        <v>0</v>
      </c>
      <c r="D13" s="18" t="s">
        <v>34</v>
      </c>
      <c r="E13" s="18" t="s">
        <v>34</v>
      </c>
      <c r="F13" s="18" t="s">
        <v>34</v>
      </c>
      <c r="G13" s="18" t="s">
        <v>34</v>
      </c>
      <c r="H13" s="18" t="s">
        <v>34</v>
      </c>
      <c r="I13" s="18" t="s">
        <v>34</v>
      </c>
      <c r="J13" s="18" t="s">
        <v>34</v>
      </c>
      <c r="K13" s="18" t="s">
        <v>34</v>
      </c>
      <c r="L13" s="18" t="s">
        <v>34</v>
      </c>
      <c r="M13" s="18" t="s">
        <v>34</v>
      </c>
      <c r="N13" s="19" t="s">
        <v>34</v>
      </c>
      <c r="O13" s="18" t="s">
        <v>34</v>
      </c>
      <c r="P13" s="18" t="s">
        <v>34</v>
      </c>
      <c r="Q13" s="18" t="s">
        <v>34</v>
      </c>
      <c r="R13" s="19" t="s">
        <v>34</v>
      </c>
      <c r="S13" s="20" t="s">
        <v>34</v>
      </c>
      <c r="T13" s="20" t="s">
        <v>34</v>
      </c>
      <c r="U13" s="20" t="s">
        <v>34</v>
      </c>
      <c r="V13" s="21" t="s">
        <v>34</v>
      </c>
      <c r="W13" s="52"/>
      <c r="X13" s="52"/>
      <c r="Y13" s="52"/>
      <c r="Z13" s="52"/>
      <c r="AA13" s="52"/>
      <c r="AB13" s="52"/>
      <c r="AC13" s="52"/>
      <c r="AD13" s="52"/>
      <c r="AE13" s="80">
        <v>2.95</v>
      </c>
      <c r="AF13">
        <v>100</v>
      </c>
      <c r="AG13" s="45">
        <v>1</v>
      </c>
      <c r="AH13" s="80">
        <v>32.084499999999998</v>
      </c>
      <c r="AI13"/>
      <c r="AJ13" s="64" t="str">
        <f>IF(D13="nd","nd",D13*$C13/constants!$B$3)</f>
        <v>nd</v>
      </c>
      <c r="AK13" s="64" t="str">
        <f>IF(E13="nd","nd",E13*$C13/constants!$B$6)</f>
        <v>nd</v>
      </c>
      <c r="AL13" s="64" t="str">
        <f>IF(F13="nd","nd",F13*$C13/constants!$B$7)</f>
        <v>nd</v>
      </c>
      <c r="AM13" s="64" t="str">
        <f>IF(G13="nd","nd",G13*$C13/constants!$B$8)</f>
        <v>nd</v>
      </c>
      <c r="AN13" s="64" t="str">
        <f>IF(H13="nd","nd",H13*$C13/constants!$B$9)</f>
        <v>nd</v>
      </c>
      <c r="AO13" s="64" t="str">
        <f>IF(I13="nd","nd",I13*$C13/constants!$B$10)</f>
        <v>nd</v>
      </c>
      <c r="AP13" s="162" t="e">
        <f>(IF(IFERROR(J13-#REF!,J13)&gt;constants!$D$5,(IFERROR(J13-#REF!,J13)*$C13/1000),0))</f>
        <v>#VALUE!</v>
      </c>
      <c r="AQ13" s="162" t="e">
        <f>(IF(IFERROR(K13-#REF!,K13)&gt;constants!$D$11,(IFERROR(K13-#REF!,K13)*$C13/1000),0))</f>
        <v>#VALUE!</v>
      </c>
      <c r="AR13" s="162" t="e">
        <f>(IF(IFERROR(L13-#REF!,L13)&gt;constants!$D$19,(IFERROR(L13-#REF!,L13)*$C13/1000),0))</f>
        <v>#VALUE!</v>
      </c>
      <c r="AS13" s="162" t="e">
        <f>(IF(IFERROR(M13-#REF!,M13)&gt;constants!$D$4,(IFERROR(M13-#REF!,M13)*$C13/1000),0))</f>
        <v>#VALUE!</v>
      </c>
      <c r="AT13" s="162" t="e">
        <f>(IF(IFERROR(N13-#REF!,N13)&gt;constants!$D$5,(IFERROR(N13-#REF!,N13)*$C13/1000),0))</f>
        <v>#VALUE!</v>
      </c>
      <c r="AU13" s="162" t="e">
        <f>(IF(IFERROR(O13-#REF!,O13)&gt;constants!$D$12,(IFERROR(O13-#REF!,O13)*$C13/1000),0))</f>
        <v>#VALUE!</v>
      </c>
      <c r="AV13" s="162" t="e">
        <f>(IF(IFERROR(P13-#REF!,P13)&gt;constants!$D$5,(IFERROR(P13-#REF!,P13)*$C13/1000),0))</f>
        <v>#VALUE!</v>
      </c>
      <c r="AW13" s="162" t="e">
        <f>(IF(IFERROR(Q13-#REF!,Q13)&gt;constants!$D$13,(IFERROR(Q13-#REF!,Q13)*$C13/1000),0))</f>
        <v>#VALUE!</v>
      </c>
      <c r="AX13" s="162" t="e">
        <f>(IF(IFERROR(R13-#REF!,R13)&gt;constants!$D$14,(IFERROR(R13-#REF!,R13)*$C13/1000),0))</f>
        <v>#VALUE!</v>
      </c>
      <c r="AY13" s="162" t="e">
        <f>(IF(IFERROR(S13-#REF!,S13)&gt;constants!$D$15,(IFERROR(S13-#REF!,S13)*$C13/1000),0))</f>
        <v>#VALUE!</v>
      </c>
      <c r="AZ13" s="64">
        <f>IF(AH13="nd","nd",AH13*Table3152025[[#This Row],[dilution ]]/constants!$B$23)</f>
        <v>35.617784191829486</v>
      </c>
      <c r="BA13" s="64">
        <f>Table3152025[[#This Row],[amount]]*Table3152025[[#This Row],[correction]]*Table3152025[[#This Row],[dilution ]]/1000</f>
        <v>3.20845</v>
      </c>
      <c r="BB13" s="64" t="e">
        <f>(Table3152025[[#This Row],[pressure]]*(Table3152025[[#This Row],[Amount 25]]/100)*constants!I13)/(constants!$I$5*constants!$I$6)</f>
        <v>#DIV/0!</v>
      </c>
      <c r="BC13" s="64"/>
      <c r="BD13" s="64" t="e">
        <f>(Table5162126[[#This Row],[Concentration]]*constants!$C$3)/1000</f>
        <v>#VALUE!</v>
      </c>
      <c r="BE13" s="64" t="e">
        <f>(Table5162126[[#This Row],[Concentration2]]*constants!$C$6)/1000</f>
        <v>#VALUE!</v>
      </c>
      <c r="BF13" s="64" t="e">
        <f>(Table5162126[[#This Row],[Concentration3]]*constants!$C$7)/1000</f>
        <v>#VALUE!</v>
      </c>
      <c r="BG13" s="64" t="e">
        <f>(Table5162126[[#This Row],[Concentration4]]*constants!$C$8)/1000</f>
        <v>#VALUE!</v>
      </c>
      <c r="BH13" s="64" t="e">
        <f>(Table5162126[[#This Row],[Concentration5]]*constants!$C$9)/1000</f>
        <v>#VALUE!</v>
      </c>
      <c r="BI13" s="64" t="e">
        <f>(Table5162126[[#This Row],[Concentration6]]*constants!$C$10)/1000</f>
        <v>#VALUE!</v>
      </c>
      <c r="BJ13" s="64" t="e">
        <f>(Table5162126[[#This Row],[Concentration7]]*constants!$C$5)</f>
        <v>#VALUE!</v>
      </c>
      <c r="BK13" s="64" t="e">
        <f>(Table5162126[[#This Row],[Concentration8]]*3)</f>
        <v>#VALUE!</v>
      </c>
      <c r="BL13" s="64" t="e">
        <f>(Table5162126[[#This Row],[Concentration9]]*4)</f>
        <v>#VALUE!</v>
      </c>
      <c r="BM13" s="64" t="e">
        <f>(Table5162126[[#This Row],[Concentration10]]*4)</f>
        <v>#VALUE!</v>
      </c>
      <c r="BN13" s="64" t="e">
        <f>(Table5162126[[#This Row],[Concentration11]]*5)</f>
        <v>#VALUE!</v>
      </c>
      <c r="BO13" s="64" t="e">
        <f>(Table5162126[[#This Row],[Concentration12]]*5)</f>
        <v>#VALUE!</v>
      </c>
      <c r="BP13" s="64" t="e">
        <f>(Table5162126[[#This Row],[Concentration13]]*6)</f>
        <v>#VALUE!</v>
      </c>
      <c r="BQ13" s="64" t="e">
        <f>(Table5162126[[#This Row],[Concentration14]]*6)</f>
        <v>#VALUE!</v>
      </c>
      <c r="BR13" s="64" t="e">
        <f>(Table5162126[[#This Row],[Concentration15]]*7)</f>
        <v>#VALUE!</v>
      </c>
      <c r="BS13" s="64" t="e">
        <f>(Table5162126[[#This Row],[Concentration16]]*8)</f>
        <v>#VALUE!</v>
      </c>
      <c r="BT13" s="64">
        <f>(Table5162126[[#This Row],[Concentration17]]*3)/1000</f>
        <v>0.10685335257548846</v>
      </c>
      <c r="BU13" s="47" t="e">
        <f>Table5162126[[#This Row],[Concentration18]]/1000</f>
        <v>#DIV/0!</v>
      </c>
      <c r="BV13" s="47">
        <f>Table5162126[[#This Row],[Concentration19]]/1000</f>
        <v>0</v>
      </c>
    </row>
    <row r="14" spans="1:74" s="66" customFormat="1" ht="16" thickBot="1" x14ac:dyDescent="0.4">
      <c r="A14" s="63">
        <f>Table2[[#This Row],[Date]]</f>
        <v>43163</v>
      </c>
      <c r="B14" s="74">
        <f>Table2[[#This Row],[Time]]</f>
        <v>15</v>
      </c>
      <c r="C14" s="77">
        <v>0</v>
      </c>
      <c r="D14" s="49" t="s">
        <v>34</v>
      </c>
      <c r="E14" s="49" t="s">
        <v>34</v>
      </c>
      <c r="F14" s="49" t="s">
        <v>34</v>
      </c>
      <c r="G14" s="49" t="s">
        <v>34</v>
      </c>
      <c r="H14" s="49" t="s">
        <v>34</v>
      </c>
      <c r="I14" s="49" t="s">
        <v>34</v>
      </c>
      <c r="J14" s="49" t="s">
        <v>34</v>
      </c>
      <c r="K14" s="49" t="s">
        <v>34</v>
      </c>
      <c r="L14" s="49" t="s">
        <v>34</v>
      </c>
      <c r="M14" s="49" t="s">
        <v>34</v>
      </c>
      <c r="N14" s="50" t="s">
        <v>34</v>
      </c>
      <c r="O14" s="49" t="s">
        <v>34</v>
      </c>
      <c r="P14" s="49" t="s">
        <v>34</v>
      </c>
      <c r="Q14" s="49" t="s">
        <v>34</v>
      </c>
      <c r="R14" s="50" t="s">
        <v>34</v>
      </c>
      <c r="S14" s="51" t="s">
        <v>34</v>
      </c>
      <c r="T14" s="51" t="s">
        <v>34</v>
      </c>
      <c r="U14" s="51" t="s">
        <v>34</v>
      </c>
      <c r="V14" s="78" t="s">
        <v>34</v>
      </c>
      <c r="W14" s="32"/>
      <c r="X14" s="32"/>
      <c r="Y14" s="32"/>
      <c r="Z14" s="32"/>
      <c r="AA14" s="32"/>
      <c r="AB14" s="32"/>
      <c r="AC14" s="32"/>
      <c r="AD14" s="32"/>
      <c r="AE14" s="80">
        <v>2.64</v>
      </c>
      <c r="AF14">
        <f>100</f>
        <v>100</v>
      </c>
      <c r="AG14" s="45">
        <v>1</v>
      </c>
      <c r="AH14" s="92">
        <v>87.901499999999999</v>
      </c>
      <c r="AI14"/>
      <c r="AJ14" s="64" t="str">
        <f>IF(D14="nd","nd",D14*$C14/constants!$B$3)</f>
        <v>nd</v>
      </c>
      <c r="AK14" s="64" t="str">
        <f>IF(E14="nd","nd",E14*$C14/constants!$B$6)</f>
        <v>nd</v>
      </c>
      <c r="AL14" s="64" t="str">
        <f>IF(F14="nd","nd",F14*$C14/constants!$B$7)</f>
        <v>nd</v>
      </c>
      <c r="AM14" s="64" t="str">
        <f>IF(G14="nd","nd",G14*$C14/constants!$B$8)</f>
        <v>nd</v>
      </c>
      <c r="AN14" s="64" t="str">
        <f>IF(H14="nd","nd",H14*$C14/constants!$B$9)</f>
        <v>nd</v>
      </c>
      <c r="AO14" s="64" t="str">
        <f>IF(I14="nd","nd",I14*$C14/constants!$B$10)</f>
        <v>nd</v>
      </c>
      <c r="AP14" s="162" t="e">
        <f>(IF(IFERROR(J14-#REF!,J14)&gt;constants!$D$5,(IFERROR(J14-#REF!,J14)*$C14/1000),0))</f>
        <v>#VALUE!</v>
      </c>
      <c r="AQ14" s="162" t="e">
        <f>(IF(IFERROR(K14-#REF!,K14)&gt;constants!$D$11,(IFERROR(K14-#REF!,K14)*$C14/1000),0))</f>
        <v>#VALUE!</v>
      </c>
      <c r="AR14" s="162" t="e">
        <f>(IF(IFERROR(L14-#REF!,L14)&gt;constants!$D$19,(IFERROR(L14-#REF!,L14)*$C14/1000),0))</f>
        <v>#VALUE!</v>
      </c>
      <c r="AS14" s="162" t="e">
        <f>(IF(IFERROR(M14-#REF!,M14)&gt;constants!$D$4,(IFERROR(M14-#REF!,M14)*$C14/1000),0))</f>
        <v>#VALUE!</v>
      </c>
      <c r="AT14" s="162" t="e">
        <f>(IF(IFERROR(N14-#REF!,N14)&gt;constants!$D$5,(IFERROR(N14-#REF!,N14)*$C14/1000),0))</f>
        <v>#VALUE!</v>
      </c>
      <c r="AU14" s="162" t="e">
        <f>(IF(IFERROR(O14-#REF!,O14)&gt;constants!$D$12,(IFERROR(O14-#REF!,O14)*$C14/1000),0))</f>
        <v>#VALUE!</v>
      </c>
      <c r="AV14" s="162" t="e">
        <f>(IF(IFERROR(P14-#REF!,P14)&gt;constants!$D$5,(IFERROR(P14-#REF!,P14)*$C14/1000),0))</f>
        <v>#VALUE!</v>
      </c>
      <c r="AW14" s="162" t="e">
        <f>(IF(IFERROR(Q14-#REF!,Q14)&gt;constants!$D$13,(IFERROR(Q14-#REF!,Q14)*$C14/1000),0))</f>
        <v>#VALUE!</v>
      </c>
      <c r="AX14" s="162" t="e">
        <f>(IF(IFERROR(R14-#REF!,R14)&gt;constants!$D$14,(IFERROR(R14-#REF!,R14)*$C14/1000),0))</f>
        <v>#VALUE!</v>
      </c>
      <c r="AY14" s="162" t="e">
        <f>(IF(IFERROR(S14-#REF!,S14)&gt;constants!$D$15,(IFERROR(S14-#REF!,S14)*$C14/1000),0))</f>
        <v>#VALUE!</v>
      </c>
      <c r="AZ14" s="64">
        <f>IF(AH14="nd","nd",AH14*Table3152025[[#This Row],[dilution ]]/constants!$B$23)</f>
        <v>97.581594138543508</v>
      </c>
      <c r="BA14" s="64">
        <f>Table3152025[[#This Row],[amount]]*Table3152025[[#This Row],[correction]]*Table3152025[[#This Row],[dilution ]]/1000</f>
        <v>8.7901499999999988</v>
      </c>
      <c r="BB14" s="64" t="e">
        <f>(Table3152025[[#This Row],[pressure]]*(Table3152025[[#This Row],[Amount 25]]/100)*constants!I14)/(constants!$I$5*constants!$I$6)</f>
        <v>#DIV/0!</v>
      </c>
      <c r="BC14" s="64"/>
      <c r="BD14" s="64" t="e">
        <f>(Table5162126[[#This Row],[Concentration]]*constants!$C$3)/1000</f>
        <v>#VALUE!</v>
      </c>
      <c r="BE14" s="64" t="e">
        <f>(Table5162126[[#This Row],[Concentration2]]*constants!$C$6)/1000</f>
        <v>#VALUE!</v>
      </c>
      <c r="BF14" s="64" t="e">
        <f>(Table5162126[[#This Row],[Concentration3]]*constants!$C$7)/1000</f>
        <v>#VALUE!</v>
      </c>
      <c r="BG14" s="64" t="e">
        <f>(Table5162126[[#This Row],[Concentration4]]*constants!$C$8)/1000</f>
        <v>#VALUE!</v>
      </c>
      <c r="BH14" s="64" t="e">
        <f>(Table5162126[[#This Row],[Concentration5]]*constants!$C$9)/1000</f>
        <v>#VALUE!</v>
      </c>
      <c r="BI14" s="64" t="e">
        <f>(Table5162126[[#This Row],[Concentration6]]*constants!$C$10)/1000</f>
        <v>#VALUE!</v>
      </c>
      <c r="BJ14" s="64" t="e">
        <f>(Table5162126[[#This Row],[Concentration7]]*constants!$C$5)</f>
        <v>#VALUE!</v>
      </c>
      <c r="BK14" s="64" t="e">
        <f>(Table5162126[[#This Row],[Concentration8]]*3)</f>
        <v>#VALUE!</v>
      </c>
      <c r="BL14" s="64" t="e">
        <f>(Table5162126[[#This Row],[Concentration9]]*4)</f>
        <v>#VALUE!</v>
      </c>
      <c r="BM14" s="64" t="e">
        <f>(Table5162126[[#This Row],[Concentration10]]*4)</f>
        <v>#VALUE!</v>
      </c>
      <c r="BN14" s="64" t="e">
        <f>(Table5162126[[#This Row],[Concentration11]]*5)</f>
        <v>#VALUE!</v>
      </c>
      <c r="BO14" s="64" t="e">
        <f>(Table5162126[[#This Row],[Concentration12]]*5)</f>
        <v>#VALUE!</v>
      </c>
      <c r="BP14" s="64" t="e">
        <f>(Table5162126[[#This Row],[Concentration13]]*6)</f>
        <v>#VALUE!</v>
      </c>
      <c r="BQ14" s="64" t="e">
        <f>(Table5162126[[#This Row],[Concentration14]]*6)</f>
        <v>#VALUE!</v>
      </c>
      <c r="BR14" s="64" t="e">
        <f>(Table5162126[[#This Row],[Concentration15]]*7)</f>
        <v>#VALUE!</v>
      </c>
      <c r="BS14" s="64" t="e">
        <f>(Table5162126[[#This Row],[Concentration16]]*8)</f>
        <v>#VALUE!</v>
      </c>
      <c r="BT14" s="64">
        <f>(Table5162126[[#This Row],[Concentration17]]*3)/1000</f>
        <v>0.29274478241563051</v>
      </c>
      <c r="BU14" s="47" t="e">
        <f>Table5162126[[#This Row],[Concentration18]]/1000</f>
        <v>#DIV/0!</v>
      </c>
      <c r="BV14" s="47">
        <f>Table5162126[[#This Row],[Concentration19]]/1000</f>
        <v>0</v>
      </c>
    </row>
    <row r="15" spans="1:74" s="47" customFormat="1" ht="16" thickBot="1" x14ac:dyDescent="0.4">
      <c r="A15" s="63">
        <f>Table2[[#This Row],[Date]]</f>
        <v>43347</v>
      </c>
      <c r="B15" s="167">
        <f>Table2[[#This Row],[Time]]</f>
        <v>21</v>
      </c>
      <c r="C15" s="41">
        <v>0</v>
      </c>
      <c r="D15" s="18" t="s">
        <v>34</v>
      </c>
      <c r="E15" s="18" t="s">
        <v>34</v>
      </c>
      <c r="F15" s="18" t="s">
        <v>34</v>
      </c>
      <c r="G15" s="18" t="s">
        <v>34</v>
      </c>
      <c r="H15" s="18" t="s">
        <v>34</v>
      </c>
      <c r="I15" s="18" t="s">
        <v>34</v>
      </c>
      <c r="J15" s="18" t="s">
        <v>34</v>
      </c>
      <c r="K15" s="18" t="s">
        <v>34</v>
      </c>
      <c r="L15" s="18" t="s">
        <v>34</v>
      </c>
      <c r="M15" s="18" t="s">
        <v>34</v>
      </c>
      <c r="N15" s="19" t="s">
        <v>34</v>
      </c>
      <c r="O15" s="18" t="s">
        <v>34</v>
      </c>
      <c r="P15" s="18" t="s">
        <v>34</v>
      </c>
      <c r="Q15" s="18" t="s">
        <v>34</v>
      </c>
      <c r="R15" s="19" t="s">
        <v>34</v>
      </c>
      <c r="S15" s="20" t="s">
        <v>34</v>
      </c>
      <c r="T15" s="20" t="s">
        <v>34</v>
      </c>
      <c r="U15" s="20" t="s">
        <v>34</v>
      </c>
      <c r="V15" s="21" t="s">
        <v>34</v>
      </c>
      <c r="W15" s="52"/>
      <c r="X15" s="52"/>
      <c r="Y15" s="52"/>
      <c r="Z15" s="52"/>
      <c r="AA15" s="52"/>
      <c r="AB15" s="52"/>
      <c r="AC15" s="52"/>
      <c r="AD15" s="52"/>
      <c r="AE15" s="23">
        <v>2.63</v>
      </c>
      <c r="AF15">
        <v>100</v>
      </c>
      <c r="AG15" s="45">
        <v>1</v>
      </c>
      <c r="AH15" s="23">
        <v>131.6576</v>
      </c>
      <c r="AI15"/>
      <c r="AJ15" s="64" t="str">
        <f>IF(D15="nd","nd",D15*$C15/constants!$B$3)</f>
        <v>nd</v>
      </c>
      <c r="AK15" s="64" t="str">
        <f>IF(E15="nd","nd",E15*$C15/constants!$B$6)</f>
        <v>nd</v>
      </c>
      <c r="AL15" s="64" t="str">
        <f>IF(F15="nd","nd",F15*$C15/constants!$B$7)</f>
        <v>nd</v>
      </c>
      <c r="AM15" s="64" t="str">
        <f>IF(G15="nd","nd",G15*$C15/constants!$B$8)</f>
        <v>nd</v>
      </c>
      <c r="AN15" s="64" t="str">
        <f>IF(H15="nd","nd",H15*$C15/constants!$B$9)</f>
        <v>nd</v>
      </c>
      <c r="AO15" s="64" t="str">
        <f>IF(I15="nd","nd",I15*$C15/constants!$B$10)</f>
        <v>nd</v>
      </c>
      <c r="AP15" s="162" t="e">
        <f>(IF(IFERROR(J15-#REF!,J15)&gt;constants!$D$5,(IFERROR(J15-#REF!,J15)*$C15/1000),0))</f>
        <v>#VALUE!</v>
      </c>
      <c r="AQ15" s="162" t="e">
        <f>(IF(IFERROR(K15-#REF!,K15)&gt;constants!$D$11,(IFERROR(K15-#REF!,K15)*$C15/1000),0))</f>
        <v>#VALUE!</v>
      </c>
      <c r="AR15" s="162" t="e">
        <f>(IF(IFERROR(L15-#REF!,L15)&gt;constants!$D$19,(IFERROR(L15-#REF!,L15)*$C15/1000),0))</f>
        <v>#VALUE!</v>
      </c>
      <c r="AS15" s="162" t="e">
        <f>(IF(IFERROR(M15-#REF!,M15)&gt;constants!$D$4,(IFERROR(M15-#REF!,M15)*$C15/1000),0))</f>
        <v>#VALUE!</v>
      </c>
      <c r="AT15" s="162" t="e">
        <f>(IF(IFERROR(N15-#REF!,N15)&gt;constants!$D$5,(IFERROR(N15-#REF!,N15)*$C15/1000),0))</f>
        <v>#VALUE!</v>
      </c>
      <c r="AU15" s="162" t="e">
        <f>(IF(IFERROR(O15-#REF!,O15)&gt;constants!$D$12,(IFERROR(O15-#REF!,O15)*$C15/1000),0))</f>
        <v>#VALUE!</v>
      </c>
      <c r="AV15" s="162" t="e">
        <f>(IF(IFERROR(P15-#REF!,P15)&gt;constants!$D$5,(IFERROR(P15-#REF!,P15)*$C15/1000),0))</f>
        <v>#VALUE!</v>
      </c>
      <c r="AW15" s="162" t="e">
        <f>(IF(IFERROR(Q15-#REF!,Q15)&gt;constants!$D$13,(IFERROR(Q15-#REF!,Q15)*$C15/1000),0))</f>
        <v>#VALUE!</v>
      </c>
      <c r="AX15" s="162" t="e">
        <f>(IF(IFERROR(R15-#REF!,R15)&gt;constants!$D$14,(IFERROR(R15-#REF!,R15)*$C15/1000),0))</f>
        <v>#VALUE!</v>
      </c>
      <c r="AY15" s="162" t="e">
        <f>(IF(IFERROR(S15-#REF!,S15)&gt;constants!$D$15,(IFERROR(S15-#REF!,S15)*$C15/1000),0))</f>
        <v>#VALUE!</v>
      </c>
      <c r="AZ15" s="64">
        <f>IF(AH15="nd","nd",AH15*Table3152025[[#This Row],[dilution ]]/constants!$B$23)</f>
        <v>146.15630550621671</v>
      </c>
      <c r="BA15" s="64">
        <f>Table3152025[[#This Row],[amount]]*Table3152025[[#This Row],[correction]]*Table3152025[[#This Row],[dilution ]]/1000</f>
        <v>13.165760000000001</v>
      </c>
      <c r="BB15" s="64" t="e">
        <f>(Table3152025[[#This Row],[pressure]]*(Table3152025[[#This Row],[Amount 25]]/100)*constants!I15)/(constants!$I$5*constants!$I$6)</f>
        <v>#DIV/0!</v>
      </c>
      <c r="BC15" s="64"/>
      <c r="BD15" s="64" t="e">
        <f>(Table5162126[[#This Row],[Concentration]]*constants!$C$3)/1000</f>
        <v>#VALUE!</v>
      </c>
      <c r="BE15" s="64" t="e">
        <f>(Table5162126[[#This Row],[Concentration2]]*constants!$C$6)/1000</f>
        <v>#VALUE!</v>
      </c>
      <c r="BF15" s="64" t="e">
        <f>(Table5162126[[#This Row],[Concentration3]]*constants!$C$7)/1000</f>
        <v>#VALUE!</v>
      </c>
      <c r="BG15" s="64" t="e">
        <f>(Table5162126[[#This Row],[Concentration4]]*constants!$C$8)/1000</f>
        <v>#VALUE!</v>
      </c>
      <c r="BH15" s="64" t="e">
        <f>(Table5162126[[#This Row],[Concentration5]]*constants!$C$9)/1000</f>
        <v>#VALUE!</v>
      </c>
      <c r="BI15" s="64" t="e">
        <f>(Table5162126[[#This Row],[Concentration6]]*constants!$C$10)/1000</f>
        <v>#VALUE!</v>
      </c>
      <c r="BJ15" s="64" t="e">
        <f>(Table5162126[[#This Row],[Concentration7]]*constants!$C$5)</f>
        <v>#VALUE!</v>
      </c>
      <c r="BK15" s="64" t="e">
        <f>(Table5162126[[#This Row],[Concentration8]]*3)</f>
        <v>#VALUE!</v>
      </c>
      <c r="BL15" s="64" t="e">
        <f>(Table5162126[[#This Row],[Concentration9]]*4)</f>
        <v>#VALUE!</v>
      </c>
      <c r="BM15" s="64" t="e">
        <f>(Table5162126[[#This Row],[Concentration10]]*4)</f>
        <v>#VALUE!</v>
      </c>
      <c r="BN15" s="64" t="e">
        <f>(Table5162126[[#This Row],[Concentration11]]*5)</f>
        <v>#VALUE!</v>
      </c>
      <c r="BO15" s="64" t="e">
        <f>(Table5162126[[#This Row],[Concentration12]]*5)</f>
        <v>#VALUE!</v>
      </c>
      <c r="BP15" s="64" t="e">
        <f>(Table5162126[[#This Row],[Concentration13]]*6)</f>
        <v>#VALUE!</v>
      </c>
      <c r="BQ15" s="64" t="e">
        <f>(Table5162126[[#This Row],[Concentration14]]*6)</f>
        <v>#VALUE!</v>
      </c>
      <c r="BR15" s="64" t="e">
        <f>(Table5162126[[#This Row],[Concentration15]]*7)</f>
        <v>#VALUE!</v>
      </c>
      <c r="BS15" s="64" t="e">
        <f>(Table5162126[[#This Row],[Concentration16]]*8)</f>
        <v>#VALUE!</v>
      </c>
      <c r="BT15" s="64">
        <f>(Table5162126[[#This Row],[Concentration17]]*3)/1000</f>
        <v>0.43846891651865011</v>
      </c>
      <c r="BU15" s="47" t="e">
        <f>Table5162126[[#This Row],[Concentration18]]/1000</f>
        <v>#DIV/0!</v>
      </c>
      <c r="BV15" s="47">
        <f>Table5162126[[#This Row],[Concentration19]]/1000</f>
        <v>0</v>
      </c>
    </row>
    <row r="16" spans="1:74" s="66" customFormat="1" ht="16" thickBot="1" x14ac:dyDescent="0.4">
      <c r="A16" s="63">
        <f>Table2[[#This Row],[Date]]</f>
        <v>43347</v>
      </c>
      <c r="B16" s="167">
        <f>Table2[[#This Row],[Time]]</f>
        <v>21</v>
      </c>
      <c r="C16" s="77">
        <v>0</v>
      </c>
      <c r="D16" s="106" t="s">
        <v>27</v>
      </c>
      <c r="E16" s="106" t="s">
        <v>27</v>
      </c>
      <c r="F16" s="106" t="s">
        <v>27</v>
      </c>
      <c r="G16" s="106" t="s">
        <v>27</v>
      </c>
      <c r="H16" s="106" t="s">
        <v>27</v>
      </c>
      <c r="I16" s="106" t="s">
        <v>27</v>
      </c>
      <c r="J16" s="106">
        <v>5.9827415039243883</v>
      </c>
      <c r="K16" s="106">
        <v>37.663483290016202</v>
      </c>
      <c r="L16" s="106">
        <v>0</v>
      </c>
      <c r="M16" s="106">
        <v>0.76265653310991766</v>
      </c>
      <c r="N16" s="107">
        <v>0.1390810499590617</v>
      </c>
      <c r="O16" s="106">
        <v>0</v>
      </c>
      <c r="P16" s="106">
        <v>0</v>
      </c>
      <c r="Q16" s="106">
        <v>1.7597602458357406</v>
      </c>
      <c r="R16" s="107">
        <v>0</v>
      </c>
      <c r="S16" s="108">
        <v>6.3605002433540783</v>
      </c>
      <c r="T16" s="108" t="s">
        <v>27</v>
      </c>
      <c r="U16" s="108" t="s">
        <v>27</v>
      </c>
      <c r="V16" s="108" t="s">
        <v>27</v>
      </c>
      <c r="W16" s="32"/>
      <c r="X16" s="32"/>
      <c r="Y16" s="32"/>
      <c r="Z16" s="32"/>
      <c r="AA16" s="32"/>
      <c r="AB16" s="32"/>
      <c r="AC16" s="32"/>
      <c r="AD16" s="32"/>
      <c r="AE16">
        <v>5.36</v>
      </c>
      <c r="AF16" s="32">
        <v>100</v>
      </c>
      <c r="AG16" s="45">
        <v>1</v>
      </c>
      <c r="AH16" s="80">
        <v>89.346999999999994</v>
      </c>
      <c r="AI16" s="80"/>
      <c r="AJ16" s="64" t="e">
        <f>IF(D16="nd","nd",D16*$C16/constants!$B$3)</f>
        <v>#VALUE!</v>
      </c>
      <c r="AK16" s="64" t="e">
        <f>IF(E16="nd","nd",E16*$C16/constants!$B$6)</f>
        <v>#VALUE!</v>
      </c>
      <c r="AL16" s="64" t="e">
        <f>IF(F16="nd","nd",F16*$C16/constants!$B$7)</f>
        <v>#VALUE!</v>
      </c>
      <c r="AM16" s="64" t="e">
        <f>IF(G16="nd","nd",G16*$C16/constants!$B$8)</f>
        <v>#VALUE!</v>
      </c>
      <c r="AN16" s="64" t="e">
        <f>IF(H16="nd","nd",H16*$C16/constants!$B$9)</f>
        <v>#VALUE!</v>
      </c>
      <c r="AO16" s="64" t="e">
        <f>IF(I16="nd","nd",I16*$C16/constants!$B$10)</f>
        <v>#VALUE!</v>
      </c>
      <c r="AP16" s="162">
        <f>(IF(IFERROR(J16-#REF!,J16)&gt;constants!$D$5,(IFERROR(J16-#REF!,J16)*$C16/1000),0))</f>
        <v>0</v>
      </c>
      <c r="AQ16" s="162">
        <f>(IF(IFERROR(K16-#REF!,K16)&gt;constants!$D$11,(IFERROR(K16-#REF!,K16)*$C16/1000),0))</f>
        <v>0</v>
      </c>
      <c r="AR16" s="162">
        <f>(IF(IFERROR(L16-#REF!,L16)&gt;constants!$D$19,(IFERROR(L16-#REF!,L16)*$C16/1000),0))</f>
        <v>0</v>
      </c>
      <c r="AS16" s="162">
        <f>(IF(IFERROR(M16-#REF!,M16)&gt;constants!$D$4,(IFERROR(M16-#REF!,M16)*$C16/1000),0))</f>
        <v>0</v>
      </c>
      <c r="AT16" s="162">
        <f>(IF(IFERROR(N16-#REF!,N16)&gt;constants!$D$5,(IFERROR(N16-#REF!,N16)*$C16/1000),0))</f>
        <v>0</v>
      </c>
      <c r="AU16" s="162">
        <f>(IF(IFERROR(O16-#REF!,O16)&gt;constants!$D$12,(IFERROR(O16-#REF!,O16)*$C16/1000),0))</f>
        <v>0</v>
      </c>
      <c r="AV16" s="162">
        <f>(IF(IFERROR(P16-#REF!,P16)&gt;constants!$D$5,(IFERROR(P16-#REF!,P16)*$C16/1000),0))</f>
        <v>0</v>
      </c>
      <c r="AW16" s="162">
        <f>(IF(IFERROR(Q16-#REF!,Q16)&gt;constants!$D$13,(IFERROR(Q16-#REF!,Q16)*$C16/1000),0))</f>
        <v>0</v>
      </c>
      <c r="AX16" s="162">
        <f>(IF(IFERROR(R16-#REF!,R16)&gt;constants!$D$14,(IFERROR(R16-#REF!,R16)*$C16/1000),0))</f>
        <v>0</v>
      </c>
      <c r="AY16" s="162">
        <f>(IF(IFERROR(S16-#REF!,S16)&gt;constants!$D$15,(IFERROR(S16-#REF!,S16)*$C16/1000),0))</f>
        <v>0</v>
      </c>
      <c r="AZ16" s="64">
        <f>IF(AH16="nd","nd",AH16*Table3152025[[#This Row],[dilution ]]/constants!$B$23)</f>
        <v>99.186278863232673</v>
      </c>
      <c r="BA16" s="64">
        <f>Table3152025[[#This Row],[amount]]*Table3152025[[#This Row],[correction]]*Table3152025[[#This Row],[dilution ]]/1000</f>
        <v>8.9346999999999994</v>
      </c>
      <c r="BB16" s="64" t="e">
        <f>(Table3152025[[#This Row],[pressure]]*(Table3152025[[#This Row],[Amount 25]]/100)*constants!I16)/(constants!$I$5*constants!$I$6)</f>
        <v>#DIV/0!</v>
      </c>
      <c r="BC16" s="64"/>
      <c r="BD16" s="64" t="e">
        <f>(Table5162126[[#This Row],[Concentration]]*constants!$C$3)/1000</f>
        <v>#VALUE!</v>
      </c>
      <c r="BE16" s="64" t="e">
        <f>(Table5162126[[#This Row],[Concentration2]]*constants!$C$6)/1000</f>
        <v>#VALUE!</v>
      </c>
      <c r="BF16" s="64" t="e">
        <f>(Table5162126[[#This Row],[Concentration3]]*constants!$C$7)/1000</f>
        <v>#VALUE!</v>
      </c>
      <c r="BG16" s="64" t="e">
        <f>(Table5162126[[#This Row],[Concentration4]]*constants!$C$8)/1000</f>
        <v>#VALUE!</v>
      </c>
      <c r="BH16" s="64" t="e">
        <f>(Table5162126[[#This Row],[Concentration5]]*constants!$C$9)/1000</f>
        <v>#VALUE!</v>
      </c>
      <c r="BI16" s="64" t="e">
        <f>(Table5162126[[#This Row],[Concentration6]]*constants!$C$10)/1000</f>
        <v>#VALUE!</v>
      </c>
      <c r="BJ16" s="64">
        <f>(Table5162126[[#This Row],[Concentration7]]*constants!$C$5)</f>
        <v>0</v>
      </c>
      <c r="BK16" s="64">
        <f>(Table5162126[[#This Row],[Concentration8]]*3)</f>
        <v>0</v>
      </c>
      <c r="BL16" s="64">
        <f>(Table5162126[[#This Row],[Concentration9]]*4)</f>
        <v>0</v>
      </c>
      <c r="BM16" s="64">
        <f>(Table5162126[[#This Row],[Concentration10]]*4)</f>
        <v>0</v>
      </c>
      <c r="BN16" s="64">
        <f>(Table5162126[[#This Row],[Concentration11]]*5)</f>
        <v>0</v>
      </c>
      <c r="BO16" s="64">
        <f>(Table5162126[[#This Row],[Concentration12]]*5)</f>
        <v>0</v>
      </c>
      <c r="BP16" s="64">
        <f>(Table5162126[[#This Row],[Concentration13]]*6)</f>
        <v>0</v>
      </c>
      <c r="BQ16" s="64">
        <f>(Table5162126[[#This Row],[Concentration14]]*6)</f>
        <v>0</v>
      </c>
      <c r="BR16" s="64">
        <f>(Table5162126[[#This Row],[Concentration15]]*7)</f>
        <v>0</v>
      </c>
      <c r="BS16" s="64">
        <f>(Table5162126[[#This Row],[Concentration16]]*8)</f>
        <v>0</v>
      </c>
      <c r="BT16" s="64">
        <f>(Table5162126[[#This Row],[Concentration17]]*3)/1000</f>
        <v>0.29755883658969801</v>
      </c>
      <c r="BU16" s="47" t="e">
        <f>Table5162126[[#This Row],[Concentration18]]/1000</f>
        <v>#DIV/0!</v>
      </c>
      <c r="BV16" s="47">
        <f>Table5162126[[#This Row],[Concentration19]]/1000</f>
        <v>0</v>
      </c>
    </row>
    <row r="17" spans="1:74" s="47" customFormat="1" ht="16" thickBot="1" x14ac:dyDescent="0.4">
      <c r="A17" s="63" t="str">
        <f>Table2[[#This Row],[Date]]</f>
        <v>13-04</v>
      </c>
      <c r="B17" s="167">
        <f>Table2[[#This Row],[Time]]</f>
        <v>26</v>
      </c>
      <c r="C17" s="41">
        <v>10</v>
      </c>
      <c r="D17" s="106" t="s">
        <v>27</v>
      </c>
      <c r="E17" s="106" t="s">
        <v>27</v>
      </c>
      <c r="F17" s="106" t="s">
        <v>27</v>
      </c>
      <c r="G17" s="106" t="s">
        <v>27</v>
      </c>
      <c r="H17" s="106" t="s">
        <v>27</v>
      </c>
      <c r="I17" s="106">
        <v>1.0985562898925805</v>
      </c>
      <c r="J17" s="106">
        <v>12.332761953008827</v>
      </c>
      <c r="K17" s="106">
        <v>17.618710961750899</v>
      </c>
      <c r="L17" s="106">
        <v>1.1316955198907472</v>
      </c>
      <c r="M17" s="106">
        <v>15.70033942459694</v>
      </c>
      <c r="N17" s="107">
        <v>0</v>
      </c>
      <c r="O17" s="106">
        <v>0.86120629682230432</v>
      </c>
      <c r="P17" s="106">
        <v>0</v>
      </c>
      <c r="Q17" s="106">
        <v>2.2561459030860078</v>
      </c>
      <c r="R17" s="107">
        <v>0</v>
      </c>
      <c r="S17" s="108">
        <v>2.7462604210683819</v>
      </c>
      <c r="T17" s="108" t="s">
        <v>27</v>
      </c>
      <c r="U17" s="108" t="s">
        <v>27</v>
      </c>
      <c r="V17" s="108" t="s">
        <v>27</v>
      </c>
      <c r="W17" s="17"/>
      <c r="X17" s="17"/>
      <c r="Y17" s="17"/>
      <c r="Z17" s="17"/>
      <c r="AA17" s="17"/>
      <c r="AB17" s="17"/>
      <c r="AC17" s="17"/>
      <c r="AD17" s="17"/>
      <c r="AE17">
        <v>5.57</v>
      </c>
      <c r="AF17" s="17">
        <v>100</v>
      </c>
      <c r="AG17" s="45">
        <v>1</v>
      </c>
      <c r="AH17" s="92">
        <v>79.459999999999994</v>
      </c>
      <c r="AI17" s="92"/>
      <c r="AJ17" s="64" t="e">
        <f>IF(D17="nd","nd",D17*$C17/constants!$B$3)</f>
        <v>#VALUE!</v>
      </c>
      <c r="AK17" s="64" t="e">
        <f>IF(E17="nd","nd",E17*$C17/constants!$B$6)</f>
        <v>#VALUE!</v>
      </c>
      <c r="AL17" s="64" t="e">
        <f>IF(F17="nd","nd",F17*$C17/constants!$B$7)</f>
        <v>#VALUE!</v>
      </c>
      <c r="AM17" s="64" t="e">
        <f>IF(G17="nd","nd",G17*$C17/constants!$B$8)</f>
        <v>#VALUE!</v>
      </c>
      <c r="AN17" s="64" t="e">
        <f>IF(H17="nd","nd",H17*$C17/constants!$B$9)</f>
        <v>#VALUE!</v>
      </c>
      <c r="AO17" s="64">
        <f>IF(I17="nd","nd",I17*$C17/constants!$B$10)</f>
        <v>0.10751502685463268</v>
      </c>
      <c r="AP17" s="162">
        <f>(IF(IFERROR(J17-#REF!,J17)&gt;constants!$D$5,(IFERROR(J17-#REF!,J17)*$C17/1000),0))</f>
        <v>0.12332761953008826</v>
      </c>
      <c r="AQ17" s="162">
        <f>(IF(IFERROR(K17-#REF!,K17)&gt;constants!$D$11,(IFERROR(K17-#REF!,K17)*$C17/1000),0))</f>
        <v>0.176187109617509</v>
      </c>
      <c r="AR17" s="162">
        <f>(IF(IFERROR(L17-#REF!,L17)&gt;constants!$D$19,(IFERROR(L17-#REF!,L17)*$C17/1000),0))</f>
        <v>0</v>
      </c>
      <c r="AS17" s="162">
        <f>(IF(IFERROR(M17-#REF!,M17)&gt;constants!$D$4,(IFERROR(M17-#REF!,M17)*$C17/1000),0))</f>
        <v>0.1570033942459694</v>
      </c>
      <c r="AT17" s="162">
        <f>(IF(IFERROR(N17-#REF!,N17)&gt;constants!$D$5,(IFERROR(N17-#REF!,N17)*$C17/1000),0))</f>
        <v>0</v>
      </c>
      <c r="AU17" s="162">
        <f>(IF(IFERROR(O17-#REF!,O17)&gt;constants!$D$12,(IFERROR(O17-#REF!,O17)*$C17/1000),0))</f>
        <v>0</v>
      </c>
      <c r="AV17" s="162">
        <f>(IF(IFERROR(P17-#REF!,P17)&gt;constants!$D$5,(IFERROR(P17-#REF!,P17)*$C17/1000),0))</f>
        <v>0</v>
      </c>
      <c r="AW17" s="162">
        <f>(IF(IFERROR(Q17-#REF!,Q17)&gt;constants!$D$13,(IFERROR(Q17-#REF!,Q17)*$C17/1000),0))</f>
        <v>2.2561459030860077E-2</v>
      </c>
      <c r="AX17" s="162">
        <f>(IF(IFERROR(R17-#REF!,R17)&gt;constants!$D$14,(IFERROR(R17-#REF!,R17)*$C17/1000),0))</f>
        <v>0</v>
      </c>
      <c r="AY17" s="162">
        <f>(IF(IFERROR(S17-#REF!,S17)&gt;constants!$D$15,(IFERROR(S17-#REF!,S17)*$C17/1000),0))</f>
        <v>2.7462604210683819E-2</v>
      </c>
      <c r="AZ17" s="64">
        <f>IF(AH17="nd","nd",AH17*Table3152025[[#This Row],[dilution ]]/constants!$B$23)</f>
        <v>88.210479573712249</v>
      </c>
      <c r="BA17" s="64">
        <f>Table3152025[[#This Row],[amount]]*Table3152025[[#This Row],[correction]]*Table3152025[[#This Row],[dilution ]]/1000</f>
        <v>7.9459999999999988</v>
      </c>
      <c r="BB17" s="64" t="e">
        <f>(Table3152025[[#This Row],[pressure]]*(Table3152025[[#This Row],[Amount 25]]/100)*constants!I17)/(constants!$I$5*constants!$I$6)</f>
        <v>#DIV/0!</v>
      </c>
      <c r="BC17" s="64"/>
      <c r="BD17" s="64" t="e">
        <f>(Table5162126[[#This Row],[Concentration]]*constants!$C$3)/1000</f>
        <v>#VALUE!</v>
      </c>
      <c r="BE17" s="64" t="e">
        <f>(Table5162126[[#This Row],[Concentration2]]*constants!$C$6)/1000</f>
        <v>#VALUE!</v>
      </c>
      <c r="BF17" s="64" t="e">
        <f>(Table5162126[[#This Row],[Concentration3]]*constants!$C$7)/1000</f>
        <v>#VALUE!</v>
      </c>
      <c r="BG17" s="64" t="e">
        <f>(Table5162126[[#This Row],[Concentration4]]*constants!$C$8)/1000</f>
        <v>#VALUE!</v>
      </c>
      <c r="BH17" s="64" t="e">
        <f>(Table5162126[[#This Row],[Concentration5]]*constants!$C$9)/1000</f>
        <v>#VALUE!</v>
      </c>
      <c r="BI17" s="64">
        <f>(Table5162126[[#This Row],[Concentration6]]*constants!$C$10)/1000</f>
        <v>6.4509016112779618E-4</v>
      </c>
      <c r="BJ17" s="64">
        <f>(Table5162126[[#This Row],[Concentration7]]*constants!$C$5)</f>
        <v>0.24665523906017653</v>
      </c>
      <c r="BK17" s="64">
        <f>(Table5162126[[#This Row],[Concentration8]]*3)</f>
        <v>0.52856132885252705</v>
      </c>
      <c r="BL17" s="64">
        <f>(Table5162126[[#This Row],[Concentration9]]*4)</f>
        <v>0</v>
      </c>
      <c r="BM17" s="64">
        <f>(Table5162126[[#This Row],[Concentration10]]*4)</f>
        <v>0.62801357698387761</v>
      </c>
      <c r="BN17" s="64">
        <f>(Table5162126[[#This Row],[Concentration11]]*5)</f>
        <v>0</v>
      </c>
      <c r="BO17" s="64">
        <f>(Table5162126[[#This Row],[Concentration12]]*5)</f>
        <v>0</v>
      </c>
      <c r="BP17" s="64">
        <f>(Table5162126[[#This Row],[Concentration13]]*6)</f>
        <v>0</v>
      </c>
      <c r="BQ17" s="64">
        <f>(Table5162126[[#This Row],[Concentration14]]*6)</f>
        <v>0.13536875418516048</v>
      </c>
      <c r="BR17" s="64">
        <f>(Table5162126[[#This Row],[Concentration15]]*7)</f>
        <v>0</v>
      </c>
      <c r="BS17" s="64">
        <f>(Table5162126[[#This Row],[Concentration16]]*8)</f>
        <v>0.21970083368547055</v>
      </c>
      <c r="BT17" s="64">
        <f>(Table5162126[[#This Row],[Concentration17]]*3)/1000</f>
        <v>0.26463143872113676</v>
      </c>
      <c r="BU17" s="47" t="e">
        <f>Table5162126[[#This Row],[Concentration18]]/1000</f>
        <v>#DIV/0!</v>
      </c>
      <c r="BV17" s="47">
        <f>Table5162126[[#This Row],[Concentration19]]/1000</f>
        <v>0</v>
      </c>
    </row>
    <row r="18" spans="1:74" s="66" customFormat="1" ht="16" thickBot="1" x14ac:dyDescent="0.4">
      <c r="A18" s="63" t="str">
        <f>Table2[[#This Row],[Date]]</f>
        <v>16-04</v>
      </c>
      <c r="B18" s="167">
        <f>Table2[[#This Row],[Time]]</f>
        <v>29</v>
      </c>
      <c r="C18" s="41">
        <v>10</v>
      </c>
      <c r="D18" s="138" t="s">
        <v>27</v>
      </c>
      <c r="E18" s="138" t="s">
        <v>27</v>
      </c>
      <c r="F18" s="138" t="s">
        <v>27</v>
      </c>
      <c r="G18" s="138" t="s">
        <v>27</v>
      </c>
      <c r="H18" s="138" t="s">
        <v>27</v>
      </c>
      <c r="I18" s="138">
        <v>6.010427517361111E-3</v>
      </c>
      <c r="J18" s="138">
        <v>1.2034754774305554E-2</v>
      </c>
      <c r="K18" s="138">
        <v>0.20194581163194444</v>
      </c>
      <c r="L18" s="138">
        <v>0</v>
      </c>
      <c r="M18" s="138">
        <v>5.6626931423611103E-2</v>
      </c>
      <c r="N18" s="138">
        <v>0</v>
      </c>
      <c r="O18" s="138">
        <v>0</v>
      </c>
      <c r="P18" s="138">
        <v>0</v>
      </c>
      <c r="Q18" s="138">
        <v>4.9531792534722218E-3</v>
      </c>
      <c r="R18" s="138">
        <v>7.6128797743055549E-3</v>
      </c>
      <c r="S18" s="138">
        <v>2.2517154947916666E-2</v>
      </c>
      <c r="T18" s="144" t="s">
        <v>34</v>
      </c>
      <c r="U18" s="144" t="s">
        <v>34</v>
      </c>
      <c r="V18" s="145" t="s">
        <v>34</v>
      </c>
      <c r="AE18">
        <v>5.62</v>
      </c>
      <c r="AF18" s="66">
        <v>110</v>
      </c>
      <c r="AG18" s="45">
        <v>1</v>
      </c>
      <c r="AH18" s="177">
        <v>131.65600000000001</v>
      </c>
      <c r="AI18" s="111"/>
      <c r="AJ18" s="64" t="e">
        <f>IF(D18="nd","nd",D18*$C18/constants!$B$3)</f>
        <v>#VALUE!</v>
      </c>
      <c r="AK18" s="64" t="e">
        <f>IF(E18="nd","nd",E18*$C18/constants!$B$6)</f>
        <v>#VALUE!</v>
      </c>
      <c r="AL18" s="64" t="e">
        <f>IF(F18="nd","nd",F18*$C18/constants!$B$7)</f>
        <v>#VALUE!</v>
      </c>
      <c r="AM18" s="64" t="e">
        <f>IF(G18="nd","nd",G18*$C18/constants!$B$8)</f>
        <v>#VALUE!</v>
      </c>
      <c r="AN18" s="64" t="e">
        <f>IF(H18="nd","nd",H18*$C18/constants!$B$9)</f>
        <v>#VALUE!</v>
      </c>
      <c r="AO18" s="64">
        <f>IF(I18="nd","nd",I18*$C18/constants!$B$10)</f>
        <v>5.8823683582030306E-4</v>
      </c>
      <c r="AP18" s="162">
        <f>(IF(IFERROR(J18-#REF!,J18)&gt;constants!$D$5,(IFERROR(J18-#REF!,J18)*$C18/1000),0))</f>
        <v>0</v>
      </c>
      <c r="AQ18" s="162">
        <f>(IF(IFERROR(K18-#REF!,K18)&gt;constants!$D$11,(IFERROR(K18-#REF!,K18)*$C18/1000),0))</f>
        <v>0</v>
      </c>
      <c r="AR18" s="162">
        <f>(IF(IFERROR(L18-#REF!,L18)&gt;constants!$D$19,(IFERROR(L18-#REF!,L18)*$C18/1000),0))</f>
        <v>0</v>
      </c>
      <c r="AS18" s="162">
        <f>(IF(IFERROR(M18-#REF!,M18)&gt;constants!$D$4,(IFERROR(M18-#REF!,M18)*$C18/1000),0))</f>
        <v>0</v>
      </c>
      <c r="AT18" s="162">
        <f>(IF(IFERROR(N18-#REF!,N18)&gt;constants!$D$5,(IFERROR(N18-#REF!,N18)*$C18/1000),0))</f>
        <v>0</v>
      </c>
      <c r="AU18" s="162">
        <f>(IF(IFERROR(O18-#REF!,O18)&gt;constants!$D$12,(IFERROR(O18-#REF!,O18)*$C18/1000),0))</f>
        <v>0</v>
      </c>
      <c r="AV18" s="162">
        <f>(IF(IFERROR(P18-#REF!,P18)&gt;constants!$D$5,(IFERROR(P18-#REF!,P18)*$C18/1000),0))</f>
        <v>0</v>
      </c>
      <c r="AW18" s="162">
        <f>(IF(IFERROR(Q18-#REF!,Q18)&gt;constants!$D$13,(IFERROR(Q18-#REF!,Q18)*$C18/1000),0))</f>
        <v>0</v>
      </c>
      <c r="AX18" s="162">
        <f>(IF(IFERROR(R18-#REF!,R18)&gt;constants!$D$14,(IFERROR(R18-#REF!,R18)*$C18/1000),0))</f>
        <v>0</v>
      </c>
      <c r="AY18" s="162">
        <f>(IF(IFERROR(S18-#REF!,S18)&gt;constants!$D$15,(IFERROR(S18-#REF!,S18)*$C18/1000),0))</f>
        <v>0</v>
      </c>
      <c r="AZ18" s="186">
        <f>IF(AH18="nd","nd",AH18*Table3152025[[#This Row],[dilution ]]/constants!$B$23)</f>
        <v>160.76998223801067</v>
      </c>
      <c r="BA18" s="186">
        <f>Table3152025[[#This Row],[amount]]*Table3152025[[#This Row],[correction]]*Table3152025[[#This Row],[dilution ]]/1000</f>
        <v>14.48216</v>
      </c>
      <c r="BB18" s="64" t="e">
        <f>(Table3152025[[#This Row],[pressure]]*(Table3152025[[#This Row],[Amount 25]]/100)*constants!I18)/(constants!$I$5*constants!$I$6)</f>
        <v>#DIV/0!</v>
      </c>
      <c r="BC18" s="64"/>
      <c r="BD18" s="64" t="e">
        <f>(Table5162126[[#This Row],[Concentration]]*constants!$C$3)/1000</f>
        <v>#VALUE!</v>
      </c>
      <c r="BE18" s="64" t="e">
        <f>(Table5162126[[#This Row],[Concentration2]]*constants!$C$6)/1000</f>
        <v>#VALUE!</v>
      </c>
      <c r="BF18" s="64" t="e">
        <f>(Table5162126[[#This Row],[Concentration3]]*constants!$C$7)/1000</f>
        <v>#VALUE!</v>
      </c>
      <c r="BG18" s="64" t="e">
        <f>(Table5162126[[#This Row],[Concentration4]]*constants!$C$8)/1000</f>
        <v>#VALUE!</v>
      </c>
      <c r="BH18" s="64" t="e">
        <f>(Table5162126[[#This Row],[Concentration5]]*constants!$C$9)/1000</f>
        <v>#VALUE!</v>
      </c>
      <c r="BI18" s="64">
        <f>(Table5162126[[#This Row],[Concentration6]]*constants!$C$10)/1000</f>
        <v>3.5294210149218186E-6</v>
      </c>
      <c r="BJ18" s="64">
        <f>(Table5162126[[#This Row],[Concentration7]]*constants!$C$5)</f>
        <v>0</v>
      </c>
      <c r="BK18" s="64">
        <f>(Table5162126[[#This Row],[Concentration8]]*3)</f>
        <v>0</v>
      </c>
      <c r="BL18" s="64">
        <f>(Table5162126[[#This Row],[Concentration9]]*4)</f>
        <v>0</v>
      </c>
      <c r="BM18" s="64">
        <f>(Table5162126[[#This Row],[Concentration10]]*4)</f>
        <v>0</v>
      </c>
      <c r="BN18" s="64">
        <f>(Table5162126[[#This Row],[Concentration11]]*5)</f>
        <v>0</v>
      </c>
      <c r="BO18" s="64">
        <f>(Table5162126[[#This Row],[Concentration12]]*5)</f>
        <v>0</v>
      </c>
      <c r="BP18" s="64">
        <f>(Table5162126[[#This Row],[Concentration13]]*6)</f>
        <v>0</v>
      </c>
      <c r="BQ18" s="64">
        <f>(Table5162126[[#This Row],[Concentration14]]*6)</f>
        <v>0</v>
      </c>
      <c r="BR18" s="64">
        <f>(Table5162126[[#This Row],[Concentration15]]*7)</f>
        <v>0</v>
      </c>
      <c r="BS18" s="64">
        <f>(Table5162126[[#This Row],[Concentration16]]*8)</f>
        <v>0</v>
      </c>
      <c r="BT18" s="64">
        <f>(Table5162126[[#This Row],[Concentration17]]*3)/1000</f>
        <v>0.48230994671403199</v>
      </c>
      <c r="BU18" s="47" t="e">
        <f>Table5162126[[#This Row],[Concentration18]]/1000</f>
        <v>#DIV/0!</v>
      </c>
      <c r="BV18" s="47">
        <f>Table5162126[[#This Row],[Concentration19]]/1000</f>
        <v>0</v>
      </c>
    </row>
    <row r="19" spans="1:74" s="47" customFormat="1" ht="16" thickBot="1" x14ac:dyDescent="0.4">
      <c r="A19" s="63" t="str">
        <f>Table2[[#This Row],[Date]]</f>
        <v>19-04</v>
      </c>
      <c r="B19" s="167">
        <f>Table2[[#This Row],[Time]]</f>
        <v>32</v>
      </c>
      <c r="C19" s="41">
        <v>10</v>
      </c>
      <c r="D19" s="106" t="s">
        <v>27</v>
      </c>
      <c r="E19" s="106" t="s">
        <v>27</v>
      </c>
      <c r="F19" s="106" t="s">
        <v>27</v>
      </c>
      <c r="G19" s="106" t="s">
        <v>27</v>
      </c>
      <c r="H19" s="106" t="s">
        <v>27</v>
      </c>
      <c r="I19" s="106" t="s">
        <v>27</v>
      </c>
      <c r="J19" s="106">
        <v>6.2168031476208085</v>
      </c>
      <c r="K19" s="106">
        <v>29.961762699586824</v>
      </c>
      <c r="L19" s="106">
        <v>0</v>
      </c>
      <c r="M19" s="106">
        <v>10.361094220977444</v>
      </c>
      <c r="N19" s="107">
        <v>0</v>
      </c>
      <c r="O19" s="106">
        <v>0</v>
      </c>
      <c r="P19" s="106">
        <v>0</v>
      </c>
      <c r="Q19" s="106">
        <v>2.9054609316234106</v>
      </c>
      <c r="R19" s="107">
        <v>0.98239157858513604</v>
      </c>
      <c r="S19" s="108">
        <v>1.6556337211486658</v>
      </c>
      <c r="T19" s="108" t="s">
        <v>27</v>
      </c>
      <c r="U19" s="108" t="s">
        <v>27</v>
      </c>
      <c r="V19" s="108" t="s">
        <v>27</v>
      </c>
      <c r="AE19">
        <v>5.75</v>
      </c>
      <c r="AF19" s="47">
        <v>100</v>
      </c>
      <c r="AG19" s="45">
        <v>1</v>
      </c>
      <c r="AH19" s="47">
        <v>84</v>
      </c>
      <c r="AJ19" s="64" t="e">
        <f>IF(D19="nd","nd",D19*$C19/constants!$B$3)</f>
        <v>#VALUE!</v>
      </c>
      <c r="AK19" s="64" t="e">
        <f>IF(E19="nd","nd",E19*$C19/constants!$B$6)</f>
        <v>#VALUE!</v>
      </c>
      <c r="AL19" s="64" t="e">
        <f>IF(F19="nd","nd",F19*$C19/constants!$B$7)</f>
        <v>#VALUE!</v>
      </c>
      <c r="AM19" s="64" t="e">
        <f>IF(G19="nd","nd",G19*$C19/constants!$B$8)</f>
        <v>#VALUE!</v>
      </c>
      <c r="AN19" s="64" t="e">
        <f>IF(H19="nd","nd",H19*$C19/constants!$B$9)</f>
        <v>#VALUE!</v>
      </c>
      <c r="AO19" s="64" t="e">
        <f>IF(I19="nd","nd",I19*$C19/constants!$B$10)</f>
        <v>#VALUE!</v>
      </c>
      <c r="AP19" s="162">
        <f>(IF(IFERROR(J19-#REF!,J19)&gt;constants!$D$5,(IFERROR(J19-#REF!,J19)*$C19/1000),0))</f>
        <v>6.2168031476208085E-2</v>
      </c>
      <c r="AQ19" s="162">
        <f>(IF(IFERROR(K19-#REF!,K19)&gt;constants!$D$11,(IFERROR(K19-#REF!,K19)*$C19/1000),0))</f>
        <v>0.29961762699586825</v>
      </c>
      <c r="AR19" s="162">
        <f>(IF(IFERROR(L19-#REF!,L19)&gt;constants!$D$19,(IFERROR(L19-#REF!,L19)*$C19/1000),0))</f>
        <v>0</v>
      </c>
      <c r="AS19" s="162">
        <f>(IF(IFERROR(M19-#REF!,M19)&gt;constants!$D$4,(IFERROR(M19-#REF!,M19)*$C19/1000),0))</f>
        <v>0.10361094220977443</v>
      </c>
      <c r="AT19" s="162">
        <f>(IF(IFERROR(N19-#REF!,N19)&gt;constants!$D$5,(IFERROR(N19-#REF!,N19)*$C19/1000),0))</f>
        <v>0</v>
      </c>
      <c r="AU19" s="162">
        <f>(IF(IFERROR(O19-#REF!,O19)&gt;constants!$D$12,(IFERROR(O19-#REF!,O19)*$C19/1000),0))</f>
        <v>0</v>
      </c>
      <c r="AV19" s="162">
        <f>(IF(IFERROR(P19-#REF!,P19)&gt;constants!$D$5,(IFERROR(P19-#REF!,P19)*$C19/1000),0))</f>
        <v>0</v>
      </c>
      <c r="AW19" s="162">
        <f>(IF(IFERROR(Q19-#REF!,Q19)&gt;constants!$D$13,(IFERROR(Q19-#REF!,Q19)*$C19/1000),0))</f>
        <v>2.9054609316234107E-2</v>
      </c>
      <c r="AX19" s="162">
        <f>(IF(IFERROR(R19-#REF!,R19)&gt;constants!$D$14,(IFERROR(R19-#REF!,R19)*$C19/1000),0))</f>
        <v>0</v>
      </c>
      <c r="AY19" s="162">
        <f>(IF(IFERROR(S19-#REF!,S19)&gt;constants!$D$15,(IFERROR(S19-#REF!,S19)*$C19/1000),0))</f>
        <v>1.6556337211486655E-2</v>
      </c>
      <c r="AZ19" s="64">
        <f>IF(AH19="nd","nd",AH19*Table3152025[[#This Row],[dilution ]]/constants!$B$23)</f>
        <v>93.250444049733574</v>
      </c>
      <c r="BA19" s="64">
        <f>Table3152025[[#This Row],[amount]]*Table3152025[[#This Row],[correction]]*Table3152025[[#This Row],[dilution ]]/1000</f>
        <v>8.4</v>
      </c>
      <c r="BB19" s="64" t="e">
        <f>(Table3152025[[#This Row],[pressure]]*(Table3152025[[#This Row],[Amount 25]]/100)*constants!I19)/(constants!$I$5*constants!$I$6)</f>
        <v>#DIV/0!</v>
      </c>
      <c r="BC19" s="64"/>
      <c r="BD19" s="64" t="e">
        <f>(Table5162126[[#This Row],[Concentration]]*constants!$C$3)/1000</f>
        <v>#VALUE!</v>
      </c>
      <c r="BE19" s="64" t="e">
        <f>(Table5162126[[#This Row],[Concentration2]]*constants!$C$6)/1000</f>
        <v>#VALUE!</v>
      </c>
      <c r="BF19" s="64" t="e">
        <f>(Table5162126[[#This Row],[Concentration3]]*constants!$C$7)/1000</f>
        <v>#VALUE!</v>
      </c>
      <c r="BG19" s="64" t="e">
        <f>(Table5162126[[#This Row],[Concentration4]]*constants!$C$8)/1000</f>
        <v>#VALUE!</v>
      </c>
      <c r="BH19" s="64" t="e">
        <f>(Table5162126[[#This Row],[Concentration5]]*constants!$C$9)/1000</f>
        <v>#VALUE!</v>
      </c>
      <c r="BI19" s="64" t="e">
        <f>(Table5162126[[#This Row],[Concentration6]]*constants!$C$10)/1000</f>
        <v>#VALUE!</v>
      </c>
      <c r="BJ19" s="64">
        <f>(Table5162126[[#This Row],[Concentration7]]*constants!$C$5)</f>
        <v>0.12433606295241617</v>
      </c>
      <c r="BK19" s="64">
        <f>(Table5162126[[#This Row],[Concentration8]]*3)</f>
        <v>0.89885288098760474</v>
      </c>
      <c r="BL19" s="64">
        <f>(Table5162126[[#This Row],[Concentration9]]*4)</f>
        <v>0</v>
      </c>
      <c r="BM19" s="64">
        <f>(Table5162126[[#This Row],[Concentration10]]*4)</f>
        <v>0.41444376883909773</v>
      </c>
      <c r="BN19" s="64">
        <f>(Table5162126[[#This Row],[Concentration11]]*5)</f>
        <v>0</v>
      </c>
      <c r="BO19" s="64">
        <f>(Table5162126[[#This Row],[Concentration12]]*5)</f>
        <v>0</v>
      </c>
      <c r="BP19" s="64">
        <f>(Table5162126[[#This Row],[Concentration13]]*6)</f>
        <v>0</v>
      </c>
      <c r="BQ19" s="64">
        <f>(Table5162126[[#This Row],[Concentration14]]*6)</f>
        <v>0.17432765589740465</v>
      </c>
      <c r="BR19" s="64">
        <f>(Table5162126[[#This Row],[Concentration15]]*7)</f>
        <v>0</v>
      </c>
      <c r="BS19" s="64">
        <f>(Table5162126[[#This Row],[Concentration16]]*8)</f>
        <v>0.13245069769189324</v>
      </c>
      <c r="BT19" s="64">
        <f>(Table5162126[[#This Row],[Concentration17]]*3)/1000</f>
        <v>0.27975133214920073</v>
      </c>
      <c r="BU19" s="47" t="e">
        <f>Table5162126[[#This Row],[Concentration18]]/1000</f>
        <v>#DIV/0!</v>
      </c>
      <c r="BV19" s="47">
        <f>Table5162126[[#This Row],[Concentration19]]/1000</f>
        <v>0</v>
      </c>
    </row>
    <row r="20" spans="1:74" s="66" customFormat="1" ht="16" thickBot="1" x14ac:dyDescent="0.4">
      <c r="A20" s="63" t="str">
        <f>Table2[[#This Row],[Date]]</f>
        <v>26-04</v>
      </c>
      <c r="B20" s="167">
        <f>Table2[[#This Row],[Time]]</f>
        <v>38</v>
      </c>
      <c r="C20" s="79">
        <v>10</v>
      </c>
      <c r="D20" s="106" t="s">
        <v>27</v>
      </c>
      <c r="E20" s="106" t="s">
        <v>27</v>
      </c>
      <c r="F20" s="106" t="s">
        <v>27</v>
      </c>
      <c r="G20" s="106" t="s">
        <v>27</v>
      </c>
      <c r="H20" s="106" t="s">
        <v>27</v>
      </c>
      <c r="I20" s="106" t="s">
        <v>27</v>
      </c>
      <c r="J20" s="106">
        <v>11.088289635589975</v>
      </c>
      <c r="K20" s="106">
        <v>14.439607272313355</v>
      </c>
      <c r="L20" s="106">
        <v>0.76252714143902223</v>
      </c>
      <c r="M20" s="106">
        <v>24.931413805570806</v>
      </c>
      <c r="N20" s="107">
        <v>0.67340290689569815</v>
      </c>
      <c r="O20" s="106">
        <v>1.1491991458064832</v>
      </c>
      <c r="P20" s="106">
        <v>0</v>
      </c>
      <c r="Q20" s="106">
        <v>6.4062918007167049</v>
      </c>
      <c r="R20" s="107">
        <v>0</v>
      </c>
      <c r="S20" s="108">
        <v>2.0512574392156484</v>
      </c>
      <c r="T20" s="108" t="s">
        <v>27</v>
      </c>
      <c r="U20" s="108" t="s">
        <v>27</v>
      </c>
      <c r="V20" s="108" t="s">
        <v>27</v>
      </c>
      <c r="W20" s="96">
        <v>0.97616666666666663</v>
      </c>
      <c r="X20" s="97">
        <v>0.13348499696311875</v>
      </c>
      <c r="Y20" s="96">
        <v>1.3479999999999999</v>
      </c>
      <c r="Z20" s="98">
        <v>89.292600635323893</v>
      </c>
      <c r="AA20" s="99" t="s">
        <v>27</v>
      </c>
      <c r="AB20" s="97" t="s">
        <v>27</v>
      </c>
      <c r="AC20" s="96">
        <v>2.5233333333333334</v>
      </c>
      <c r="AD20" s="100">
        <v>3.310891869878215</v>
      </c>
      <c r="AF20" s="66">
        <v>30</v>
      </c>
      <c r="AG20" s="45">
        <v>1</v>
      </c>
      <c r="AH20" s="66">
        <v>267.3</v>
      </c>
      <c r="AJ20" s="64" t="e">
        <f>IF(D20="nd","nd",D20*$C20/constants!$B$3)</f>
        <v>#VALUE!</v>
      </c>
      <c r="AK20" s="64" t="e">
        <f>IF(E20="nd","nd",E20*$C20/constants!$B$6)</f>
        <v>#VALUE!</v>
      </c>
      <c r="AL20" s="64" t="e">
        <f>IF(F20="nd","nd",F20*$C20/constants!$B$7)</f>
        <v>#VALUE!</v>
      </c>
      <c r="AM20" s="64" t="e">
        <f>IF(G20="nd","nd",G20*$C20/constants!$B$8)</f>
        <v>#VALUE!</v>
      </c>
      <c r="AN20" s="64" t="e">
        <f>IF(H20="nd","nd",H20*$C20/constants!$B$9)</f>
        <v>#VALUE!</v>
      </c>
      <c r="AO20" s="64" t="e">
        <f>IF(I20="nd","nd",I20*$C20/constants!$B$10)</f>
        <v>#VALUE!</v>
      </c>
      <c r="AP20" s="162">
        <f>(IF(IFERROR(J20-#REF!,J20)&gt;constants!$D$5,(IFERROR(J20-#REF!,J20)*$C20/1000),0))</f>
        <v>0.11088289635589975</v>
      </c>
      <c r="AQ20" s="162">
        <f>(IF(IFERROR(K20-#REF!,K20)&gt;constants!$D$11,(IFERROR(K20-#REF!,K20)*$C20/1000),0))</f>
        <v>0.14439607272313357</v>
      </c>
      <c r="AR20" s="162">
        <f>(IF(IFERROR(L20-#REF!,L20)&gt;constants!$D$19,(IFERROR(L20-#REF!,L20)*$C20/1000),0))</f>
        <v>0</v>
      </c>
      <c r="AS20" s="162">
        <f>(IF(IFERROR(M20-#REF!,M20)&gt;constants!$D$4,(IFERROR(M20-#REF!,M20)*$C20/1000),0))</f>
        <v>0.24931413805570804</v>
      </c>
      <c r="AT20" s="162">
        <f>(IF(IFERROR(N20-#REF!,N20)&gt;constants!$D$5,(IFERROR(N20-#REF!,N20)*$C20/1000),0))</f>
        <v>0</v>
      </c>
      <c r="AU20" s="162">
        <f>(IF(IFERROR(O20-#REF!,O20)&gt;constants!$D$12,(IFERROR(O20-#REF!,O20)*$C20/1000),0))</f>
        <v>0</v>
      </c>
      <c r="AV20" s="162">
        <f>(IF(IFERROR(P20-#REF!,P20)&gt;constants!$D$5,(IFERROR(P20-#REF!,P20)*$C20/1000),0))</f>
        <v>0</v>
      </c>
      <c r="AW20" s="162">
        <f>(IF(IFERROR(Q20-#REF!,Q20)&gt;constants!$D$13,(IFERROR(Q20-#REF!,Q20)*$C20/1000),0))</f>
        <v>6.4062918007167041E-2</v>
      </c>
      <c r="AX20" s="162">
        <f>(IF(IFERROR(R20-#REF!,R20)&gt;constants!$D$14,(IFERROR(R20-#REF!,R20)*$C20/1000),0))</f>
        <v>0</v>
      </c>
      <c r="AY20" s="162">
        <f>(IF(IFERROR(S20-#REF!,S20)&gt;constants!$D$15,(IFERROR(S20-#REF!,S20)*$C20/1000),0))</f>
        <v>2.0512574392156483E-2</v>
      </c>
      <c r="AZ20" s="64">
        <f>IF(AH20="nd","nd",AH20*Table3152025[[#This Row],[dilution ]]/constants!$B$23)</f>
        <v>89.020870337477803</v>
      </c>
      <c r="BA20" s="64">
        <f>Table3152025[[#This Row],[amount]]*Table3152025[[#This Row],[correction]]*Table3152025[[#This Row],[dilution ]]/1000</f>
        <v>8.0190000000000001</v>
      </c>
      <c r="BB20" s="64" t="e">
        <f>(100*Table3152025[[#This Row],[pressure]]*Table3152025[[#This Row],[Amount 25]])/(constants!$I$6*constants!$I$5)</f>
        <v>#DIV/0!</v>
      </c>
      <c r="BC20" s="64"/>
      <c r="BD20" s="64" t="e">
        <f>(Table5162126[[#This Row],[Concentration]]*constants!$C$3)/1000</f>
        <v>#VALUE!</v>
      </c>
      <c r="BE20" s="64" t="e">
        <f>(Table5162126[[#This Row],[Concentration2]]*constants!$C$6)/1000</f>
        <v>#VALUE!</v>
      </c>
      <c r="BF20" s="64" t="e">
        <f>(Table5162126[[#This Row],[Concentration3]]*constants!$C$7)/1000</f>
        <v>#VALUE!</v>
      </c>
      <c r="BG20" s="64" t="e">
        <f>(Table5162126[[#This Row],[Concentration4]]*constants!$C$8)/1000</f>
        <v>#VALUE!</v>
      </c>
      <c r="BH20" s="64" t="e">
        <f>(Table5162126[[#This Row],[Concentration5]]*constants!$C$9)/1000</f>
        <v>#VALUE!</v>
      </c>
      <c r="BI20" s="64" t="e">
        <f>(Table5162126[[#This Row],[Concentration6]]*constants!$C$10)/1000</f>
        <v>#VALUE!</v>
      </c>
      <c r="BJ20" s="64">
        <f>(Table5162126[[#This Row],[Concentration7]]*constants!$C$5)</f>
        <v>0.2217657927117995</v>
      </c>
      <c r="BK20" s="64">
        <f>(Table5162126[[#This Row],[Concentration8]]*3)</f>
        <v>0.43318821816940067</v>
      </c>
      <c r="BL20" s="64">
        <f>(Table5162126[[#This Row],[Concentration9]]*4)</f>
        <v>0</v>
      </c>
      <c r="BM20" s="64">
        <f>(Table5162126[[#This Row],[Concentration10]]*4)</f>
        <v>0.99725655222283216</v>
      </c>
      <c r="BN20" s="64">
        <f>(Table5162126[[#This Row],[Concentration11]]*5)</f>
        <v>0</v>
      </c>
      <c r="BO20" s="64">
        <f>(Table5162126[[#This Row],[Concentration12]]*5)</f>
        <v>0</v>
      </c>
      <c r="BP20" s="64">
        <f>(Table5162126[[#This Row],[Concentration13]]*6)</f>
        <v>0</v>
      </c>
      <c r="BQ20" s="64">
        <f>(Table5162126[[#This Row],[Concentration14]]*6)</f>
        <v>0.38437750804300225</v>
      </c>
      <c r="BR20" s="64">
        <f>(Table5162126[[#This Row],[Concentration15]]*7)</f>
        <v>0</v>
      </c>
      <c r="BS20" s="64">
        <f>(Table5162126[[#This Row],[Concentration16]]*8)</f>
        <v>0.16410059513725186</v>
      </c>
      <c r="BT20" s="64">
        <f>(Table5162126[[#This Row],[Concentration17]]*3)/1000</f>
        <v>0.26706261101243345</v>
      </c>
      <c r="BU20" s="47" t="e">
        <f>Table5162126[[#This Row],[Concentration18]]</f>
        <v>#DIV/0!</v>
      </c>
      <c r="BV20" s="47">
        <f>Table5162126[[#This Row],[Concentration19]]/1000</f>
        <v>0</v>
      </c>
    </row>
    <row r="21" spans="1:74" s="47" customFormat="1" ht="16" thickBot="1" x14ac:dyDescent="0.4">
      <c r="A21" s="63">
        <f>Table2[[#This Row],[Date]]</f>
        <v>43105</v>
      </c>
      <c r="B21" s="167">
        <f>Table2[[#This Row],[Time]]</f>
        <v>43</v>
      </c>
      <c r="C21" s="54">
        <v>20</v>
      </c>
      <c r="D21" s="106" t="s">
        <v>27</v>
      </c>
      <c r="E21" s="106" t="s">
        <v>27</v>
      </c>
      <c r="F21" s="106" t="s">
        <v>27</v>
      </c>
      <c r="G21" s="106" t="s">
        <v>27</v>
      </c>
      <c r="H21" s="106" t="s">
        <v>27</v>
      </c>
      <c r="I21" s="106" t="s">
        <v>27</v>
      </c>
      <c r="J21" s="106">
        <v>11.209471054508118</v>
      </c>
      <c r="K21" s="106">
        <v>7.2086352691438309</v>
      </c>
      <c r="L21" s="106">
        <v>0</v>
      </c>
      <c r="M21" s="106">
        <v>11.055540941904024</v>
      </c>
      <c r="N21" s="107">
        <v>0</v>
      </c>
      <c r="O21" s="106">
        <v>0.74043254051217222</v>
      </c>
      <c r="P21" s="106">
        <v>0</v>
      </c>
      <c r="Q21" s="106">
        <v>2.546268349964834</v>
      </c>
      <c r="R21" s="107">
        <v>0</v>
      </c>
      <c r="S21" s="108">
        <v>0</v>
      </c>
      <c r="T21" s="108" t="s">
        <v>27</v>
      </c>
      <c r="U21" s="108" t="s">
        <v>27</v>
      </c>
      <c r="V21" s="108" t="s">
        <v>27</v>
      </c>
      <c r="W21" s="96"/>
      <c r="X21" s="97"/>
      <c r="Y21" s="96"/>
      <c r="Z21" s="98"/>
      <c r="AA21" s="99"/>
      <c r="AB21" s="97"/>
      <c r="AC21" s="96"/>
      <c r="AD21" s="100"/>
      <c r="AE21" s="55">
        <v>6.54</v>
      </c>
      <c r="AF21" s="47">
        <v>20</v>
      </c>
      <c r="AG21" s="45">
        <v>1</v>
      </c>
      <c r="AH21" s="47">
        <v>407.6</v>
      </c>
      <c r="AJ21" s="64" t="e">
        <f>IF(D21="nd","nd",D21*$C21/constants!$B$3)</f>
        <v>#VALUE!</v>
      </c>
      <c r="AK21" s="64" t="e">
        <f>IF(E21="nd","nd",E21*$C21/constants!$B$6)</f>
        <v>#VALUE!</v>
      </c>
      <c r="AL21" s="64" t="e">
        <f>IF(F21="nd","nd",F21*$C21/constants!$B$7)</f>
        <v>#VALUE!</v>
      </c>
      <c r="AM21" s="64" t="e">
        <f>IF(G21="nd","nd",G21*$C21/constants!$B$8)</f>
        <v>#VALUE!</v>
      </c>
      <c r="AN21" s="64" t="e">
        <f>IF(H21="nd","nd",H21*$C21/constants!$B$9)</f>
        <v>#VALUE!</v>
      </c>
      <c r="AO21" s="64" t="e">
        <f>IF(I21="nd","nd",I21*$C21/constants!$B$10)</f>
        <v>#VALUE!</v>
      </c>
      <c r="AP21" s="162">
        <f>(IF(IFERROR(J21-#REF!,J21)&gt;constants!$D$5,(IFERROR(J21-#REF!,J21)*$C21/1000),0))</f>
        <v>0.22418942109016235</v>
      </c>
      <c r="AQ21" s="162">
        <f>(IF(IFERROR(K21-#REF!,K21)&gt;constants!$D$11,(IFERROR(K21-#REF!,K21)*$C21/1000),0))</f>
        <v>0.1441727053828766</v>
      </c>
      <c r="AR21" s="162">
        <f>(IF(IFERROR(L21-#REF!,L21)&gt;constants!$D$19,(IFERROR(L21-#REF!,L21)*$C21/1000),0))</f>
        <v>0</v>
      </c>
      <c r="AS21" s="162">
        <f>(IF(IFERROR(M21-#REF!,M21)&gt;constants!$D$4,(IFERROR(M21-#REF!,M21)*$C21/1000),0))</f>
        <v>0.22111081883808048</v>
      </c>
      <c r="AT21" s="162">
        <f>(IF(IFERROR(N21-#REF!,N21)&gt;constants!$D$5,(IFERROR(N21-#REF!,N21)*$C21/1000),0))</f>
        <v>0</v>
      </c>
      <c r="AU21" s="162">
        <f>(IF(IFERROR(O21-#REF!,O21)&gt;constants!$D$12,(IFERROR(O21-#REF!,O21)*$C21/1000),0))</f>
        <v>0</v>
      </c>
      <c r="AV21" s="162">
        <f>(IF(IFERROR(P21-#REF!,P21)&gt;constants!$D$5,(IFERROR(P21-#REF!,P21)*$C21/1000),0))</f>
        <v>0</v>
      </c>
      <c r="AW21" s="162">
        <f>(IF(IFERROR(Q21-#REF!,Q21)&gt;constants!$D$13,(IFERROR(Q21-#REF!,Q21)*$C21/1000),0))</f>
        <v>5.092536699929668E-2</v>
      </c>
      <c r="AX21" s="162">
        <f>(IF(IFERROR(R21-#REF!,R21)&gt;constants!$D$14,(IFERROR(R21-#REF!,R21)*$C21/1000),0))</f>
        <v>0</v>
      </c>
      <c r="AY21" s="162">
        <f>(IF(IFERROR(S21-#REF!,S21)&gt;constants!$D$15,(IFERROR(S21-#REF!,S21)*$C21/1000),0))</f>
        <v>0</v>
      </c>
      <c r="AZ21" s="64">
        <f>IF(AH21="nd","nd",AH21*Table3152025[[#This Row],[dilution ]]/constants!$B$23)</f>
        <v>90.497335701598587</v>
      </c>
      <c r="BA21" s="64">
        <f>Table3152025[[#This Row],[amount]]*Table3152025[[#This Row],[correction]]*Table3152025[[#This Row],[dilution ]]/1000</f>
        <v>8.1519999999999992</v>
      </c>
      <c r="BB21" s="64" t="e">
        <f>(100*Table3152025[[#This Row],[pressure]]*Table3152025[[#This Row],[Amount 25]])/(constants!$I$6*constants!$I$5)</f>
        <v>#DIV/0!</v>
      </c>
      <c r="BC21" s="64"/>
      <c r="BD21" s="64" t="e">
        <f>(Table5162126[[#This Row],[Concentration]]*constants!$C$3)/1000</f>
        <v>#VALUE!</v>
      </c>
      <c r="BE21" s="64" t="e">
        <f>(Table5162126[[#This Row],[Concentration2]]*constants!$C$6)/1000</f>
        <v>#VALUE!</v>
      </c>
      <c r="BF21" s="64" t="e">
        <f>(Table5162126[[#This Row],[Concentration3]]*constants!$C$7)/1000</f>
        <v>#VALUE!</v>
      </c>
      <c r="BG21" s="64" t="e">
        <f>(Table5162126[[#This Row],[Concentration4]]*constants!$C$8)/1000</f>
        <v>#VALUE!</v>
      </c>
      <c r="BH21" s="64" t="e">
        <f>(Table5162126[[#This Row],[Concentration5]]*constants!$C$9)/1000</f>
        <v>#VALUE!</v>
      </c>
      <c r="BI21" s="64" t="e">
        <f>(Table5162126[[#This Row],[Concentration6]]*constants!$C$10)/1000</f>
        <v>#VALUE!</v>
      </c>
      <c r="BJ21" s="64">
        <f>(Table5162126[[#This Row],[Concentration7]]*constants!$C$5)</f>
        <v>0.4483788421803247</v>
      </c>
      <c r="BK21" s="64">
        <f>(Table5162126[[#This Row],[Concentration8]]*3)</f>
        <v>0.43251811614862978</v>
      </c>
      <c r="BL21" s="64">
        <f>(Table5162126[[#This Row],[Concentration9]]*4)</f>
        <v>0</v>
      </c>
      <c r="BM21" s="64">
        <f>(Table5162126[[#This Row],[Concentration10]]*4)</f>
        <v>0.88444327535232192</v>
      </c>
      <c r="BN21" s="64">
        <f>(Table5162126[[#This Row],[Concentration11]]*5)</f>
        <v>0</v>
      </c>
      <c r="BO21" s="64">
        <f>(Table5162126[[#This Row],[Concentration12]]*5)</f>
        <v>0</v>
      </c>
      <c r="BP21" s="64">
        <f>(Table5162126[[#This Row],[Concentration13]]*6)</f>
        <v>0</v>
      </c>
      <c r="BQ21" s="64">
        <f>(Table5162126[[#This Row],[Concentration14]]*6)</f>
        <v>0.30555220199578009</v>
      </c>
      <c r="BR21" s="64">
        <f>(Table5162126[[#This Row],[Concentration15]]*7)</f>
        <v>0</v>
      </c>
      <c r="BS21" s="64">
        <f>(Table5162126[[#This Row],[Concentration16]]*8)</f>
        <v>0</v>
      </c>
      <c r="BT21" s="64">
        <f>(Table5162126[[#This Row],[Concentration17]]*3)/1000</f>
        <v>0.27149200710479576</v>
      </c>
      <c r="BU21" s="47" t="e">
        <f>Table5162126[[#This Row],[Concentration18]]/1000</f>
        <v>#DIV/0!</v>
      </c>
      <c r="BV21" s="47">
        <f>Table5162126[[#This Row],[Concentration19]]/1000</f>
        <v>0</v>
      </c>
    </row>
    <row r="22" spans="1:74" s="66" customFormat="1" ht="16" thickBot="1" x14ac:dyDescent="0.4">
      <c r="A22" s="63">
        <f>Table2[[#This Row],[Date]]</f>
        <v>43195</v>
      </c>
      <c r="B22" s="167">
        <f>Table2[[#This Row],[Time]]</f>
        <v>46</v>
      </c>
      <c r="C22" s="79">
        <v>20</v>
      </c>
      <c r="D22" s="106" t="s">
        <v>27</v>
      </c>
      <c r="E22" s="106" t="s">
        <v>27</v>
      </c>
      <c r="F22" s="106" t="s">
        <v>27</v>
      </c>
      <c r="G22" s="106" t="s">
        <v>27</v>
      </c>
      <c r="H22" s="106" t="s">
        <v>27</v>
      </c>
      <c r="I22" s="106" t="s">
        <v>27</v>
      </c>
      <c r="J22" s="106">
        <v>14.999853300256435</v>
      </c>
      <c r="K22" s="106">
        <v>9.8235670192185776</v>
      </c>
      <c r="L22" s="106">
        <v>1.4554021317978378</v>
      </c>
      <c r="M22" s="106">
        <v>25.276328954122253</v>
      </c>
      <c r="N22" s="107">
        <v>0</v>
      </c>
      <c r="O22" s="106">
        <v>1.5888854412565394</v>
      </c>
      <c r="P22" s="106">
        <v>0</v>
      </c>
      <c r="Q22" s="106">
        <v>4.6884233744742998</v>
      </c>
      <c r="R22" s="107">
        <v>0</v>
      </c>
      <c r="S22" s="108">
        <v>0.21950403831404311</v>
      </c>
      <c r="T22" s="108" t="s">
        <v>27</v>
      </c>
      <c r="U22" s="108" t="s">
        <v>27</v>
      </c>
      <c r="V22" s="108" t="s">
        <v>27</v>
      </c>
      <c r="AE22" s="65">
        <v>6.58</v>
      </c>
      <c r="AF22" s="66">
        <v>20</v>
      </c>
      <c r="AG22" s="45">
        <v>1</v>
      </c>
      <c r="AH22" s="66">
        <v>350.9</v>
      </c>
      <c r="AJ22" s="64" t="e">
        <f>IF(D22="nd","nd",D22*$C22/constants!$B$3)</f>
        <v>#VALUE!</v>
      </c>
      <c r="AK22" s="64" t="e">
        <f>IF(E22="nd","nd",E22*$C22/constants!$B$6)</f>
        <v>#VALUE!</v>
      </c>
      <c r="AL22" s="64" t="e">
        <f>IF(F22="nd","nd",F22*$C22/constants!$B$7)</f>
        <v>#VALUE!</v>
      </c>
      <c r="AM22" s="64" t="e">
        <f>IF(G22="nd","nd",G22*$C22/constants!$B$8)</f>
        <v>#VALUE!</v>
      </c>
      <c r="AN22" s="64" t="e">
        <f>IF(H22="nd","nd",H22*$C22/constants!$B$9)</f>
        <v>#VALUE!</v>
      </c>
      <c r="AO22" s="64" t="e">
        <f>IF(I22="nd","nd",I22*$C22/constants!$B$10)</f>
        <v>#VALUE!</v>
      </c>
      <c r="AP22" s="162">
        <f>(IF(IFERROR(J22-#REF!,J22)&gt;constants!$D$5,(IFERROR(J22-#REF!,J22)*$C22/1000),0))</f>
        <v>0.29999706600512871</v>
      </c>
      <c r="AQ22" s="162">
        <f>(IF(IFERROR(K22-#REF!,K22)&gt;constants!$D$11,(IFERROR(K22-#REF!,K22)*$C22/1000),0))</f>
        <v>0.19647134038437156</v>
      </c>
      <c r="AR22" s="162">
        <f>(IF(IFERROR(L22-#REF!,L22)&gt;constants!$D$19,(IFERROR(L22-#REF!,L22)*$C22/1000),0))</f>
        <v>0</v>
      </c>
      <c r="AS22" s="162">
        <f>(IF(IFERROR(M22-#REF!,M22)&gt;constants!$D$4,(IFERROR(M22-#REF!,M22)*$C22/1000),0))</f>
        <v>0.50552657908244503</v>
      </c>
      <c r="AT22" s="162">
        <f>(IF(IFERROR(N22-#REF!,N22)&gt;constants!$D$5,(IFERROR(N22-#REF!,N22)*$C22/1000),0))</f>
        <v>0</v>
      </c>
      <c r="AU22" s="162">
        <f>(IF(IFERROR(O22-#REF!,O22)&gt;constants!$D$12,(IFERROR(O22-#REF!,O22)*$C22/1000),0))</f>
        <v>0</v>
      </c>
      <c r="AV22" s="162">
        <f>(IF(IFERROR(P22-#REF!,P22)&gt;constants!$D$5,(IFERROR(P22-#REF!,P22)*$C22/1000),0))</f>
        <v>0</v>
      </c>
      <c r="AW22" s="162">
        <f>(IF(IFERROR(Q22-#REF!,Q22)&gt;constants!$D$13,(IFERROR(Q22-#REF!,Q22)*$C22/1000),0))</f>
        <v>9.3768467489486002E-2</v>
      </c>
      <c r="AX22" s="162">
        <f>(IF(IFERROR(R22-#REF!,R22)&gt;constants!$D$14,(IFERROR(R22-#REF!,R22)*$C22/1000),0))</f>
        <v>0</v>
      </c>
      <c r="AY22" s="162">
        <f>(IF(IFERROR(S22-#REF!,S22)&gt;constants!$D$15,(IFERROR(S22-#REF!,S22)*$C22/1000),0))</f>
        <v>0</v>
      </c>
      <c r="AZ22" s="64">
        <f>IF(AH22="nd","nd",AH22*Table3152025[[#This Row],[dilution ]]/constants!$B$23)</f>
        <v>77.90852575488455</v>
      </c>
      <c r="BA22" s="64">
        <f>Table3152025[[#This Row],[amount]]*Table3152025[[#This Row],[correction]]*Table3152025[[#This Row],[dilution ]]/1000</f>
        <v>7.0179999999999998</v>
      </c>
      <c r="BB22" s="64" t="e">
        <f>(100*Table3152025[[#This Row],[pressure]]*Table3152025[[#This Row],[Amount 25]])/(constants!$I$6*constants!$I$5)</f>
        <v>#DIV/0!</v>
      </c>
      <c r="BC22" s="64"/>
      <c r="BD22" s="64" t="e">
        <f>(Table5162126[[#This Row],[Concentration]]*constants!$C$3)/1000</f>
        <v>#VALUE!</v>
      </c>
      <c r="BE22" s="64" t="e">
        <f>(Table5162126[[#This Row],[Concentration2]]*constants!$C$6)/1000</f>
        <v>#VALUE!</v>
      </c>
      <c r="BF22" s="64" t="e">
        <f>(Table5162126[[#This Row],[Concentration3]]*constants!$C$7)/1000</f>
        <v>#VALUE!</v>
      </c>
      <c r="BG22" s="64" t="e">
        <f>(Table5162126[[#This Row],[Concentration4]]*constants!$C$8)/1000</f>
        <v>#VALUE!</v>
      </c>
      <c r="BH22" s="64" t="e">
        <f>(Table5162126[[#This Row],[Concentration5]]*constants!$C$9)/1000</f>
        <v>#VALUE!</v>
      </c>
      <c r="BI22" s="64" t="e">
        <f>(Table5162126[[#This Row],[Concentration6]]*constants!$C$10)/1000</f>
        <v>#VALUE!</v>
      </c>
      <c r="BJ22" s="64">
        <f>(Table5162126[[#This Row],[Concentration7]]*constants!$C$5)</f>
        <v>0.59999413201025742</v>
      </c>
      <c r="BK22" s="64">
        <f>(Table5162126[[#This Row],[Concentration8]]*3)</f>
        <v>0.5894140211531147</v>
      </c>
      <c r="BL22" s="64">
        <f>(Table5162126[[#This Row],[Concentration9]]*4)</f>
        <v>0</v>
      </c>
      <c r="BM22" s="64">
        <f>(Table5162126[[#This Row],[Concentration10]]*4)</f>
        <v>2.0221063163297801</v>
      </c>
      <c r="BN22" s="64">
        <f>(Table5162126[[#This Row],[Concentration11]]*5)</f>
        <v>0</v>
      </c>
      <c r="BO22" s="64">
        <f>(Table5162126[[#This Row],[Concentration12]]*5)</f>
        <v>0</v>
      </c>
      <c r="BP22" s="64">
        <f>(Table5162126[[#This Row],[Concentration13]]*6)</f>
        <v>0</v>
      </c>
      <c r="BQ22" s="64">
        <f>(Table5162126[[#This Row],[Concentration14]]*6)</f>
        <v>0.56261080493691606</v>
      </c>
      <c r="BR22" s="64">
        <f>(Table5162126[[#This Row],[Concentration15]]*7)</f>
        <v>0</v>
      </c>
      <c r="BS22" s="64">
        <f>(Table5162126[[#This Row],[Concentration16]]*8)</f>
        <v>0</v>
      </c>
      <c r="BT22" s="64">
        <f>(Table5162126[[#This Row],[Concentration17]]*3)/1000</f>
        <v>0.23372557726465365</v>
      </c>
      <c r="BU22" s="47" t="e">
        <f>Table5162126[[#This Row],[Concentration18]]/1000</f>
        <v>#DIV/0!</v>
      </c>
      <c r="BV22" s="47">
        <f>Table5162126[[#This Row],[Concentration19]]/1000</f>
        <v>0</v>
      </c>
    </row>
    <row r="23" spans="1:74" s="47" customFormat="1" ht="16" thickBot="1" x14ac:dyDescent="0.4">
      <c r="A23" s="63">
        <f>Table2[[#This Row],[Date]]</f>
        <v>43317</v>
      </c>
      <c r="B23" s="167">
        <f>Table2[[#This Row],[Time]]</f>
        <v>50</v>
      </c>
      <c r="C23" s="54">
        <v>50</v>
      </c>
      <c r="D23" s="106">
        <v>1.1548369332099033</v>
      </c>
      <c r="E23" s="106" t="s">
        <v>27</v>
      </c>
      <c r="F23" s="106">
        <v>3.0612884218881944</v>
      </c>
      <c r="G23" s="106">
        <v>1.5893246711346265</v>
      </c>
      <c r="H23" s="106">
        <v>0.56908285103823175</v>
      </c>
      <c r="I23" s="106" t="s">
        <v>27</v>
      </c>
      <c r="J23" s="106">
        <v>7.4573386132860202</v>
      </c>
      <c r="K23" s="106">
        <v>8.2809057932742807</v>
      </c>
      <c r="L23" s="106">
        <v>3.6570523043336682</v>
      </c>
      <c r="M23" s="106">
        <v>18.311958456643968</v>
      </c>
      <c r="N23" s="107">
        <v>0.71946750588330133</v>
      </c>
      <c r="O23" s="106">
        <v>1.9593004739058948</v>
      </c>
      <c r="P23" s="106">
        <v>0</v>
      </c>
      <c r="Q23" s="106">
        <v>2.2674331564859487</v>
      </c>
      <c r="R23" s="107">
        <v>0</v>
      </c>
      <c r="S23" s="108">
        <v>0</v>
      </c>
      <c r="T23" s="108" t="s">
        <v>27</v>
      </c>
      <c r="U23" s="108" t="s">
        <v>27</v>
      </c>
      <c r="V23" s="108" t="s">
        <v>27</v>
      </c>
      <c r="W23" s="96"/>
      <c r="X23" s="97"/>
      <c r="Y23" s="96"/>
      <c r="Z23" s="98"/>
      <c r="AA23" s="99"/>
      <c r="AB23" s="97"/>
      <c r="AC23" s="96"/>
      <c r="AD23" s="100"/>
      <c r="AE23" s="55"/>
      <c r="AF23" s="47">
        <v>50</v>
      </c>
      <c r="AG23" s="45">
        <v>1</v>
      </c>
      <c r="AH23" s="47">
        <v>107.2</v>
      </c>
      <c r="AJ23" s="64">
        <f>IF(D23="nd","nd",D23*$C23/constants!$B$3)</f>
        <v>1.8020674945538717</v>
      </c>
      <c r="AK23" s="64" t="e">
        <f>IF(E23="nd","nd",E23*$C23/constants!$B$6)</f>
        <v>#VALUE!</v>
      </c>
      <c r="AL23" s="64">
        <f>IF(F23="nd","nd",F23*$C23/constants!$B$7)</f>
        <v>2.5469984873271052</v>
      </c>
      <c r="AM23" s="64">
        <f>IF(G23="nd","nd",G23*$C23/constants!$B$8)</f>
        <v>1.0720860401863297</v>
      </c>
      <c r="AN23" s="64">
        <f>IF(H23="nd","nd",H23*$C23/constants!$B$9)</f>
        <v>0.32279231482599646</v>
      </c>
      <c r="AO23" s="64" t="e">
        <f>IF(I23="nd","nd",I23*$C23/constants!$B$10)</f>
        <v>#VALUE!</v>
      </c>
      <c r="AP23" s="162">
        <f>(IF(IFERROR(J23-#REF!,J23)&gt;constants!$D$5,(IFERROR(J23-#REF!,J23)*$C23/1000),0))</f>
        <v>0.37286693066430104</v>
      </c>
      <c r="AQ23" s="162">
        <f>(IF(IFERROR(K23-#REF!,K23)&gt;constants!$D$11,(IFERROR(K23-#REF!,K23)*$C23/1000),0))</f>
        <v>0.41404528966371401</v>
      </c>
      <c r="AR23" s="162">
        <f>(IF(IFERROR(L23-#REF!,L23)&gt;constants!$D$19,(IFERROR(L23-#REF!,L23)*$C23/1000),0))</f>
        <v>0</v>
      </c>
      <c r="AS23" s="162">
        <f>(IF(IFERROR(M23-#REF!,M23)&gt;constants!$D$4,(IFERROR(M23-#REF!,M23)*$C23/1000),0))</f>
        <v>0.91559792283219843</v>
      </c>
      <c r="AT23" s="162">
        <f>(IF(IFERROR(N23-#REF!,N23)&gt;constants!$D$5,(IFERROR(N23-#REF!,N23)*$C23/1000),0))</f>
        <v>0</v>
      </c>
      <c r="AU23" s="162">
        <f>(IF(IFERROR(O23-#REF!,O23)&gt;constants!$D$12,(IFERROR(O23-#REF!,O23)*$C23/1000),0))</f>
        <v>0</v>
      </c>
      <c r="AV23" s="162">
        <f>(IF(IFERROR(P23-#REF!,P23)&gt;constants!$D$5,(IFERROR(P23-#REF!,P23)*$C23/1000),0))</f>
        <v>0</v>
      </c>
      <c r="AW23" s="162">
        <f>(IF(IFERROR(Q23-#REF!,Q23)&gt;constants!$D$13,(IFERROR(Q23-#REF!,Q23)*$C23/1000),0))</f>
        <v>0.11337165782429742</v>
      </c>
      <c r="AX23" s="162">
        <f>(IF(IFERROR(R23-#REF!,R23)&gt;constants!$D$14,(IFERROR(R23-#REF!,R23)*$C23/1000),0))</f>
        <v>0</v>
      </c>
      <c r="AY23" s="162">
        <f>(IF(IFERROR(S23-#REF!,S23)&gt;constants!$D$15,(IFERROR(S23-#REF!,S23)*$C23/1000),0))</f>
        <v>0</v>
      </c>
      <c r="AZ23" s="64">
        <f>IF(AH23="nd","nd",AH23*Table3152025[[#This Row],[dilution ]]/constants!$B$23)</f>
        <v>59.50266429840142</v>
      </c>
      <c r="BA23" s="64">
        <f>Table3152025[[#This Row],[amount]]*Table3152025[[#This Row],[correction]]*Table3152025[[#This Row],[dilution ]]/1000</f>
        <v>5.36</v>
      </c>
      <c r="BB23" s="64" t="e">
        <f>(100*Table3152025[[#This Row],[pressure]]*Table3152025[[#This Row],[Amount 25]])/(constants!$I$6*constants!$I$5)</f>
        <v>#DIV/0!</v>
      </c>
      <c r="BC23" s="64"/>
      <c r="BD23" s="64">
        <f>(Table5162126[[#This Row],[Concentration]]*constants!$C$3)/1000</f>
        <v>1.8020674945538717E-3</v>
      </c>
      <c r="BE23" s="64" t="e">
        <f>(Table5162126[[#This Row],[Concentration2]]*constants!$C$6)/1000</f>
        <v>#VALUE!</v>
      </c>
      <c r="BF23" s="64">
        <f>(Table5162126[[#This Row],[Concentration3]]*constants!$C$7)/1000</f>
        <v>7.6409954619813154E-3</v>
      </c>
      <c r="BG23" s="64">
        <f>(Table5162126[[#This Row],[Concentration4]]*constants!$C$8)/1000</f>
        <v>4.2883441607453185E-3</v>
      </c>
      <c r="BH23" s="64">
        <f>(Table5162126[[#This Row],[Concentration5]]*constants!$C$9)/1000</f>
        <v>1.6139615741299824E-3</v>
      </c>
      <c r="BI23" s="64" t="e">
        <f>(Table5162126[[#This Row],[Concentration6]]*constants!$C$10)/1000</f>
        <v>#VALUE!</v>
      </c>
      <c r="BJ23" s="64">
        <f>(Table5162126[[#This Row],[Concentration7]]*constants!$C$5)</f>
        <v>0.74573386132860209</v>
      </c>
      <c r="BK23" s="64">
        <f>(Table5162126[[#This Row],[Concentration8]]*3)</f>
        <v>1.2421358689911419</v>
      </c>
      <c r="BL23" s="64">
        <f>(Table5162126[[#This Row],[Concentration9]]*4)</f>
        <v>0</v>
      </c>
      <c r="BM23" s="64">
        <f>(Table5162126[[#This Row],[Concentration10]]*4)</f>
        <v>3.6623916913287937</v>
      </c>
      <c r="BN23" s="64">
        <f>(Table5162126[[#This Row],[Concentration11]]*5)</f>
        <v>0</v>
      </c>
      <c r="BO23" s="64">
        <f>(Table5162126[[#This Row],[Concentration12]]*5)</f>
        <v>0</v>
      </c>
      <c r="BP23" s="64">
        <f>(Table5162126[[#This Row],[Concentration13]]*6)</f>
        <v>0</v>
      </c>
      <c r="BQ23" s="64">
        <f>(Table5162126[[#This Row],[Concentration14]]*6)</f>
        <v>0.68022994694578454</v>
      </c>
      <c r="BR23" s="64">
        <f>(Table5162126[[#This Row],[Concentration15]]*7)</f>
        <v>0</v>
      </c>
      <c r="BS23" s="64">
        <f>(Table5162126[[#This Row],[Concentration16]]*8)</f>
        <v>0</v>
      </c>
      <c r="BT23" s="64">
        <f>(Table5162126[[#This Row],[Concentration17]]*3)/1000</f>
        <v>0.17850799289520428</v>
      </c>
      <c r="BU23" s="47" t="e">
        <f>Table5162126[[#This Row],[Concentration18]]/1000</f>
        <v>#DIV/0!</v>
      </c>
      <c r="BV23" s="47">
        <f>Table5162126[[#This Row],[Concentration19]]/1000</f>
        <v>0</v>
      </c>
    </row>
    <row r="24" spans="1:74" s="66" customFormat="1" ht="16" thickBot="1" x14ac:dyDescent="0.4">
      <c r="A24" s="63" t="str">
        <f>Table2[[#This Row],[Date]]</f>
        <v>16-05-2018</v>
      </c>
      <c r="B24" s="167">
        <f>Table2[[#This Row],[Time]]</f>
        <v>58</v>
      </c>
      <c r="C24" s="79">
        <v>20</v>
      </c>
      <c r="D24" s="106" t="s">
        <v>27</v>
      </c>
      <c r="E24" s="106" t="s">
        <v>27</v>
      </c>
      <c r="F24" s="106" t="s">
        <v>27</v>
      </c>
      <c r="G24" s="106" t="s">
        <v>27</v>
      </c>
      <c r="H24" s="106" t="s">
        <v>27</v>
      </c>
      <c r="I24" s="106" t="s">
        <v>27</v>
      </c>
      <c r="J24" s="106">
        <v>43.499846242577078</v>
      </c>
      <c r="K24" s="106">
        <v>27.726258601918939</v>
      </c>
      <c r="L24" s="106">
        <v>42.719070868766366</v>
      </c>
      <c r="M24" s="106">
        <v>245.19767219652383</v>
      </c>
      <c r="N24" s="107">
        <v>0.91094338459750857</v>
      </c>
      <c r="O24" s="106">
        <v>14.826676971094635</v>
      </c>
      <c r="P24" s="106">
        <v>0</v>
      </c>
      <c r="Q24" s="106">
        <v>8.0385778263664882</v>
      </c>
      <c r="R24" s="107">
        <v>0</v>
      </c>
      <c r="S24" s="108">
        <v>0.71018459161011149</v>
      </c>
      <c r="T24" s="108" t="s">
        <v>27</v>
      </c>
      <c r="U24" s="108" t="s">
        <v>27</v>
      </c>
      <c r="V24" s="108" t="s">
        <v>27</v>
      </c>
      <c r="AE24" s="65">
        <v>7.54</v>
      </c>
      <c r="AG24" s="45">
        <v>1</v>
      </c>
      <c r="AJ24" s="64" t="e">
        <f>IF(D24="nd","nd",D24*$C24/constants!$B$3)</f>
        <v>#VALUE!</v>
      </c>
      <c r="AK24" s="64" t="e">
        <f>IF(E24="nd","nd",E24*$C24/constants!$B$6)</f>
        <v>#VALUE!</v>
      </c>
      <c r="AL24" s="64" t="e">
        <f>IF(F24="nd","nd",F24*$C24/constants!$B$7)</f>
        <v>#VALUE!</v>
      </c>
      <c r="AM24" s="64" t="e">
        <f>IF(G24="nd","nd",G24*$C24/constants!$B$8)</f>
        <v>#VALUE!</v>
      </c>
      <c r="AN24" s="64" t="e">
        <f>IF(H24="nd","nd",H24*$C24/constants!$B$9)</f>
        <v>#VALUE!</v>
      </c>
      <c r="AO24" s="64" t="e">
        <f>IF(I24="nd","nd",I24*$C24/constants!$B$10)</f>
        <v>#VALUE!</v>
      </c>
      <c r="AP24" s="162">
        <f>(IF(IFERROR(J24-#REF!,J24)&gt;constants!$D$5,(IFERROR(J24-#REF!,J24)*$C24/1000),0))</f>
        <v>0.86999692485154145</v>
      </c>
      <c r="AQ24" s="162">
        <f>(IF(IFERROR(K24-#REF!,K24)&gt;constants!$D$11,(IFERROR(K24-#REF!,K24)*$C24/1000),0))</f>
        <v>0.5545251720383787</v>
      </c>
      <c r="AR24" s="162">
        <f>(IF(IFERROR(L24-#REF!,L24)&gt;constants!$D$19,(IFERROR(L24-#REF!,L24)*$C24/1000),0))</f>
        <v>0.85438141737532736</v>
      </c>
      <c r="AS24" s="162">
        <f>(IF(IFERROR(M24-#REF!,M24)&gt;constants!$D$4,(IFERROR(M24-#REF!,M24)*$C24/1000),0))</f>
        <v>4.9039534439304759</v>
      </c>
      <c r="AT24" s="162">
        <f>(IF(IFERROR(N24-#REF!,N24)&gt;constants!$D$5,(IFERROR(N24-#REF!,N24)*$C24/1000),0))</f>
        <v>0</v>
      </c>
      <c r="AU24" s="162">
        <f>(IF(IFERROR(O24-#REF!,O24)&gt;constants!$D$12,(IFERROR(O24-#REF!,O24)*$C24/1000),0))</f>
        <v>0.29653353942189264</v>
      </c>
      <c r="AV24" s="162">
        <f>(IF(IFERROR(P24-#REF!,P24)&gt;constants!$D$5,(IFERROR(P24-#REF!,P24)*$C24/1000),0))</f>
        <v>0</v>
      </c>
      <c r="AW24" s="162">
        <f>(IF(IFERROR(Q24-#REF!,Q24)&gt;constants!$D$13,(IFERROR(Q24-#REF!,Q24)*$C24/1000),0))</f>
        <v>0.16077155652732977</v>
      </c>
      <c r="AX24" s="162">
        <f>(IF(IFERROR(R24-#REF!,R24)&gt;constants!$D$14,(IFERROR(R24-#REF!,R24)*$C24/1000),0))</f>
        <v>0</v>
      </c>
      <c r="AY24" s="162">
        <f>(IF(IFERROR(S24-#REF!,S24)&gt;constants!$D$15,(IFERROR(S24-#REF!,S24)*$C24/1000),0))</f>
        <v>1.420369183220223E-2</v>
      </c>
      <c r="AZ24" s="64">
        <f>IF(AH24="nd","nd",AH24*Table3152025[[#This Row],[dilution ]]/constants!$B$23)</f>
        <v>0</v>
      </c>
      <c r="BA24" s="64">
        <f>Table3152025[[#This Row],[amount]]*Table3152025[[#This Row],[correction]]*Table3152025[[#This Row],[dilution ]]/1000</f>
        <v>0</v>
      </c>
      <c r="BB24" s="64" t="e">
        <f>(100*Table3152025[[#This Row],[pressure]]*Table3152025[[#This Row],[Amount 25]])/(constants!$I$6*constants!$I$5)</f>
        <v>#DIV/0!</v>
      </c>
      <c r="BC24" s="64"/>
      <c r="BD24" s="64" t="e">
        <f>(Table5162126[[#This Row],[Concentration]]*constants!$C$3)/1000</f>
        <v>#VALUE!</v>
      </c>
      <c r="BE24" s="64" t="e">
        <f>(Table5162126[[#This Row],[Concentration2]]*constants!$C$6)/1000</f>
        <v>#VALUE!</v>
      </c>
      <c r="BF24" s="64" t="e">
        <f>(Table5162126[[#This Row],[Concentration3]]*constants!$C$7)/1000</f>
        <v>#VALUE!</v>
      </c>
      <c r="BG24" s="64" t="e">
        <f>(Table5162126[[#This Row],[Concentration4]]*constants!$C$8)/1000</f>
        <v>#VALUE!</v>
      </c>
      <c r="BH24" s="64" t="e">
        <f>(Table5162126[[#This Row],[Concentration5]]*constants!$C$9)/1000</f>
        <v>#VALUE!</v>
      </c>
      <c r="BI24" s="64" t="e">
        <f>(Table5162126[[#This Row],[Concentration6]]*constants!$C$10)/1000</f>
        <v>#VALUE!</v>
      </c>
      <c r="BJ24" s="64">
        <f>(Table5162126[[#This Row],[Concentration7]]*constants!$C$5)</f>
        <v>1.7399938497030829</v>
      </c>
      <c r="BK24" s="64">
        <f>(Table5162126[[#This Row],[Concentration8]]*3)</f>
        <v>1.6635755161151362</v>
      </c>
      <c r="BL24" s="64">
        <f>(Table5162126[[#This Row],[Concentration9]]*4)</f>
        <v>3.4175256695013094</v>
      </c>
      <c r="BM24" s="64">
        <f>(Table5162126[[#This Row],[Concentration10]]*4)</f>
        <v>19.615813775721904</v>
      </c>
      <c r="BN24" s="64">
        <f>(Table5162126[[#This Row],[Concentration11]]*5)</f>
        <v>0</v>
      </c>
      <c r="BO24" s="64">
        <f>(Table5162126[[#This Row],[Concentration12]]*5)</f>
        <v>1.4826676971094632</v>
      </c>
      <c r="BP24" s="64">
        <f>(Table5162126[[#This Row],[Concentration13]]*6)</f>
        <v>0</v>
      </c>
      <c r="BQ24" s="64">
        <f>(Table5162126[[#This Row],[Concentration14]]*6)</f>
        <v>0.96462933916397864</v>
      </c>
      <c r="BR24" s="64">
        <f>(Table5162126[[#This Row],[Concentration15]]*7)</f>
        <v>0</v>
      </c>
      <c r="BS24" s="64">
        <f>(Table5162126[[#This Row],[Concentration16]]*8)</f>
        <v>0.11362953465761784</v>
      </c>
      <c r="BT24" s="64">
        <f>(Table5162126[[#This Row],[Concentration17]]*3)/1000</f>
        <v>0</v>
      </c>
      <c r="BU24" s="47" t="e">
        <f>Table5162126[[#This Row],[Concentration18]]/1000</f>
        <v>#DIV/0!</v>
      </c>
      <c r="BV24" s="47">
        <f>Table5162126[[#This Row],[Concentration19]]/1000</f>
        <v>0</v>
      </c>
    </row>
    <row r="25" spans="1:74" s="47" customFormat="1" ht="16" thickBot="1" x14ac:dyDescent="0.4">
      <c r="A25" s="63">
        <f>Table2[[#This Row],[Date]]</f>
        <v>0</v>
      </c>
      <c r="B25" s="74">
        <f>Table2[[#This Row],[Time]]</f>
        <v>0</v>
      </c>
      <c r="C25" s="54">
        <v>20</v>
      </c>
      <c r="D25" s="106" t="s">
        <v>27</v>
      </c>
      <c r="E25" s="106" t="s">
        <v>27</v>
      </c>
      <c r="F25" s="106" t="s">
        <v>27</v>
      </c>
      <c r="G25" s="106" t="s">
        <v>27</v>
      </c>
      <c r="H25" s="106" t="s">
        <v>27</v>
      </c>
      <c r="I25" s="106" t="s">
        <v>27</v>
      </c>
      <c r="J25" s="106">
        <v>34.016155361613833</v>
      </c>
      <c r="K25" s="106">
        <v>23.232735755759123</v>
      </c>
      <c r="L25" s="106">
        <v>34.78642407145044</v>
      </c>
      <c r="M25" s="106">
        <v>186.4302954552264</v>
      </c>
      <c r="N25" s="107">
        <v>0</v>
      </c>
      <c r="O25" s="106">
        <v>6.9695196535907895</v>
      </c>
      <c r="P25" s="106">
        <v>0</v>
      </c>
      <c r="Q25" s="106">
        <v>0</v>
      </c>
      <c r="R25" s="107">
        <v>0.69759677015442012</v>
      </c>
      <c r="S25" s="108">
        <v>0</v>
      </c>
      <c r="T25" s="108" t="s">
        <v>27</v>
      </c>
      <c r="U25" s="108" t="s">
        <v>27</v>
      </c>
      <c r="V25" s="108" t="s">
        <v>27</v>
      </c>
      <c r="AE25" s="55">
        <v>8.8699999999999992</v>
      </c>
      <c r="AG25" s="45">
        <v>1</v>
      </c>
      <c r="AJ25" s="64" t="e">
        <f>IF(D25="nd","nd",D25*$C25/constants!$B$3)</f>
        <v>#VALUE!</v>
      </c>
      <c r="AK25" s="64" t="e">
        <f>IF(E25="nd","nd",E25*$C25/constants!$B$6)</f>
        <v>#VALUE!</v>
      </c>
      <c r="AL25" s="64" t="e">
        <f>IF(F25="nd","nd",F25*$C25/constants!$B$7)</f>
        <v>#VALUE!</v>
      </c>
      <c r="AM25" s="64" t="e">
        <f>IF(G25="nd","nd",G25*$C25/constants!$B$8)</f>
        <v>#VALUE!</v>
      </c>
      <c r="AN25" s="64" t="e">
        <f>IF(H25="nd","nd",H25*$C25/constants!$B$9)</f>
        <v>#VALUE!</v>
      </c>
      <c r="AO25" s="64" t="e">
        <f>IF(I25="nd","nd",I25*$C25/constants!$B$10)</f>
        <v>#VALUE!</v>
      </c>
      <c r="AP25" s="162">
        <f>(IF(IFERROR(J25-#REF!,J25)&gt;constants!$D$5,(IFERROR(J25-#REF!,J25)*$C25/1000),0))</f>
        <v>0.68032310723227674</v>
      </c>
      <c r="AQ25" s="162">
        <f>(IF(IFERROR(K25-#REF!,K25)&gt;constants!$D$11,(IFERROR(K25-#REF!,K25)*$C25/1000),0))</f>
        <v>0.46465471511518247</v>
      </c>
      <c r="AR25" s="162">
        <f>(IF(IFERROR(L25-#REF!,L25)&gt;constants!$D$19,(IFERROR(L25-#REF!,L25)*$C25/1000),0))</f>
        <v>0.69572848142900878</v>
      </c>
      <c r="AS25" s="162">
        <f>(IF(IFERROR(M25-#REF!,M25)&gt;constants!$D$4,(IFERROR(M25-#REF!,M25)*$C25/1000),0))</f>
        <v>3.728605909104528</v>
      </c>
      <c r="AT25" s="162">
        <f>(IF(IFERROR(N25-#REF!,N25)&gt;constants!$D$5,(IFERROR(N25-#REF!,N25)*$C25/1000),0))</f>
        <v>0</v>
      </c>
      <c r="AU25" s="162">
        <f>(IF(IFERROR(O25-#REF!,O25)&gt;constants!$D$12,(IFERROR(O25-#REF!,O25)*$C25/1000),0))</f>
        <v>0.1393903930718158</v>
      </c>
      <c r="AV25" s="162">
        <f>(IF(IFERROR(P25-#REF!,P25)&gt;constants!$D$5,(IFERROR(P25-#REF!,P25)*$C25/1000),0))</f>
        <v>0</v>
      </c>
      <c r="AW25" s="162">
        <f>(IF(IFERROR(Q25-#REF!,Q25)&gt;constants!$D$13,(IFERROR(Q25-#REF!,Q25)*$C25/1000),0))</f>
        <v>0</v>
      </c>
      <c r="AX25" s="162">
        <f>(IF(IFERROR(R25-#REF!,R25)&gt;constants!$D$14,(IFERROR(R25-#REF!,R25)*$C25/1000),0))</f>
        <v>0</v>
      </c>
      <c r="AY25" s="162">
        <f>(IF(IFERROR(S25-#REF!,S25)&gt;constants!$D$15,(IFERROR(S25-#REF!,S25)*$C25/1000),0))</f>
        <v>0</v>
      </c>
      <c r="AZ25" s="64">
        <f>IF(AH25="nd","nd",AH25*Table3152025[[#This Row],[dilution ]]/constants!$B$23)</f>
        <v>0</v>
      </c>
      <c r="BA25" s="64">
        <f>Table3152025[[#This Row],[amount]]*Table3152025[[#This Row],[correction]]*Table3152025[[#This Row],[dilution ]]/1000</f>
        <v>0</v>
      </c>
      <c r="BB25" s="64" t="e">
        <f>(100*Table3152025[[#This Row],[pressure]]*Table3152025[[#This Row],[Amount 25]])/(constants!$I$6*constants!$I$5)</f>
        <v>#DIV/0!</v>
      </c>
      <c r="BC25" s="64"/>
      <c r="BD25" s="64" t="e">
        <f>(Table5162126[[#This Row],[Concentration]]*constants!$C$3)/1000</f>
        <v>#VALUE!</v>
      </c>
      <c r="BE25" s="64" t="e">
        <f>(Table5162126[[#This Row],[Concentration2]]*constants!$C$6)/1000</f>
        <v>#VALUE!</v>
      </c>
      <c r="BF25" s="64" t="e">
        <f>(Table5162126[[#This Row],[Concentration3]]*constants!$C$7)/1000</f>
        <v>#VALUE!</v>
      </c>
      <c r="BG25" s="64" t="e">
        <f>(Table5162126[[#This Row],[Concentration4]]*constants!$C$8)/1000</f>
        <v>#VALUE!</v>
      </c>
      <c r="BH25" s="64" t="e">
        <f>(Table5162126[[#This Row],[Concentration5]]*constants!$C$9)/1000</f>
        <v>#VALUE!</v>
      </c>
      <c r="BI25" s="64" t="e">
        <f>(Table5162126[[#This Row],[Concentration6]]*constants!$C$10)/1000</f>
        <v>#VALUE!</v>
      </c>
      <c r="BJ25" s="64">
        <f>(Table5162126[[#This Row],[Concentration7]]*constants!$C$5)</f>
        <v>1.3606462144645535</v>
      </c>
      <c r="BK25" s="64">
        <f>(Table5162126[[#This Row],[Concentration8]]*3)</f>
        <v>1.3939641453455474</v>
      </c>
      <c r="BL25" s="64">
        <f>(Table5162126[[#This Row],[Concentration9]]*4)</f>
        <v>2.7829139257160351</v>
      </c>
      <c r="BM25" s="64">
        <f>(Table5162126[[#This Row],[Concentration10]]*4)</f>
        <v>14.914423636418112</v>
      </c>
      <c r="BN25" s="64">
        <f>(Table5162126[[#This Row],[Concentration11]]*5)</f>
        <v>0</v>
      </c>
      <c r="BO25" s="64">
        <f>(Table5162126[[#This Row],[Concentration12]]*5)</f>
        <v>0.696951965359079</v>
      </c>
      <c r="BP25" s="64">
        <f>(Table5162126[[#This Row],[Concentration13]]*6)</f>
        <v>0</v>
      </c>
      <c r="BQ25" s="64">
        <f>(Table5162126[[#This Row],[Concentration14]]*6)</f>
        <v>0</v>
      </c>
      <c r="BR25" s="64">
        <f>(Table5162126[[#This Row],[Concentration15]]*7)</f>
        <v>0</v>
      </c>
      <c r="BS25" s="64">
        <f>(Table5162126[[#This Row],[Concentration16]]*8)</f>
        <v>0</v>
      </c>
      <c r="BT25" s="64">
        <f>(Table5162126[[#This Row],[Concentration17]]*3)/1000</f>
        <v>0</v>
      </c>
      <c r="BU25" s="47" t="e">
        <f>Table5162126[[#This Row],[Concentration18]]/1000</f>
        <v>#DIV/0!</v>
      </c>
      <c r="BV25" s="47">
        <f>Table5162126[[#This Row],[Concentration19]]/1000</f>
        <v>0</v>
      </c>
    </row>
    <row r="26" spans="1:74" s="66" customFormat="1" ht="16" thickBot="1" x14ac:dyDescent="0.4">
      <c r="A26" s="63">
        <f>Table2[[#This Row],[Date]]</f>
        <v>0</v>
      </c>
      <c r="B26" s="74">
        <f>Table2[[#This Row],[Time]]</f>
        <v>0</v>
      </c>
      <c r="C26" s="79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1"/>
      <c r="AE26" s="65"/>
      <c r="AG26" s="45">
        <v>1</v>
      </c>
      <c r="AJ26" s="154" t="e">
        <f>AJ24-AJ25</f>
        <v>#VALUE!</v>
      </c>
      <c r="AK26" s="154" t="e">
        <f t="shared" ref="AK26:AY26" si="0">AK24-AK25</f>
        <v>#VALUE!</v>
      </c>
      <c r="AL26" s="154" t="e">
        <f t="shared" si="0"/>
        <v>#VALUE!</v>
      </c>
      <c r="AM26" s="154" t="e">
        <f t="shared" si="0"/>
        <v>#VALUE!</v>
      </c>
      <c r="AN26" s="154" t="e">
        <f t="shared" si="0"/>
        <v>#VALUE!</v>
      </c>
      <c r="AO26" s="154" t="e">
        <f t="shared" si="0"/>
        <v>#VALUE!</v>
      </c>
      <c r="AP26" s="154">
        <f t="shared" si="0"/>
        <v>0.18967381761926472</v>
      </c>
      <c r="AQ26" s="154">
        <f t="shared" si="0"/>
        <v>8.9870456923196229E-2</v>
      </c>
      <c r="AR26" s="154">
        <f t="shared" si="0"/>
        <v>0.15865293594631857</v>
      </c>
      <c r="AS26" s="154">
        <f t="shared" si="0"/>
        <v>1.1753475348259479</v>
      </c>
      <c r="AT26" s="154">
        <f t="shared" si="0"/>
        <v>0</v>
      </c>
      <c r="AU26" s="154">
        <f t="shared" si="0"/>
        <v>0.15714314635007684</v>
      </c>
      <c r="AV26" s="154">
        <f t="shared" si="0"/>
        <v>0</v>
      </c>
      <c r="AW26" s="154">
        <f t="shared" si="0"/>
        <v>0.16077155652732977</v>
      </c>
      <c r="AX26" s="154">
        <f t="shared" si="0"/>
        <v>0</v>
      </c>
      <c r="AY26" s="154">
        <f t="shared" si="0"/>
        <v>1.420369183220223E-2</v>
      </c>
      <c r="AZ26" s="64">
        <f>IF(AH26="nd","nd",AH26*Table3152025[[#This Row],[dilution ]]/constants!$B$23)</f>
        <v>0</v>
      </c>
      <c r="BA26" s="64">
        <f>Table3152025[[#This Row],[amount]]*Table3152025[[#This Row],[correction]]*Table3152025[[#This Row],[dilution ]]/1000</f>
        <v>0</v>
      </c>
      <c r="BB26" s="64" t="e">
        <f>(Table3152025[[#This Row],[pressure]]*(Table3152025[[#This Row],[Amount 25]]/100)*constants!I26)/(constants!$I$5*constants!$I$6)</f>
        <v>#DIV/0!</v>
      </c>
      <c r="BC26" s="64"/>
      <c r="BD26" s="64" t="e">
        <f>(Table5162126[[#This Row],[Concentration]]*constants!$C$3)/1000</f>
        <v>#VALUE!</v>
      </c>
      <c r="BE26" s="64" t="e">
        <f>(Table5162126[[#This Row],[Concentration2]]*constants!$C$6)/1000</f>
        <v>#VALUE!</v>
      </c>
      <c r="BF26" s="64" t="e">
        <f>(Table5162126[[#This Row],[Concentration3]]*constants!$C$7)/1000</f>
        <v>#VALUE!</v>
      </c>
      <c r="BG26" s="64" t="e">
        <f>(Table5162126[[#This Row],[Concentration4]]*constants!$C$8)/1000</f>
        <v>#VALUE!</v>
      </c>
      <c r="BH26" s="64" t="e">
        <f>(Table5162126[[#This Row],[Concentration5]]*constants!$C$9)/1000</f>
        <v>#VALUE!</v>
      </c>
      <c r="BI26" s="64" t="e">
        <f>(Table5162126[[#This Row],[Concentration6]]*constants!$C$10)/1000</f>
        <v>#VALUE!</v>
      </c>
      <c r="BJ26" s="64">
        <f>(Table5162126[[#This Row],[Concentration7]]*constants!$C$5)</f>
        <v>0.37934763523852943</v>
      </c>
      <c r="BK26" s="64">
        <f>(Table5162126[[#This Row],[Concentration8]]*3)</f>
        <v>0.26961137076958869</v>
      </c>
      <c r="BL26" s="64">
        <f>(Table5162126[[#This Row],[Concentration9]]*4)</f>
        <v>0.6346117437852743</v>
      </c>
      <c r="BM26" s="64">
        <f>(Table5162126[[#This Row],[Concentration10]]*4)</f>
        <v>4.7013901393037916</v>
      </c>
      <c r="BN26" s="64">
        <f>(Table5162126[[#This Row],[Concentration11]]*5)</f>
        <v>0</v>
      </c>
      <c r="BO26" s="64">
        <f>(Table5162126[[#This Row],[Concentration12]]*5)</f>
        <v>0.78571573175038423</v>
      </c>
      <c r="BP26" s="64">
        <f>(Table5162126[[#This Row],[Concentration13]]*6)</f>
        <v>0</v>
      </c>
      <c r="BQ26" s="64">
        <f>(Table5162126[[#This Row],[Concentration14]]*6)</f>
        <v>0.96462933916397864</v>
      </c>
      <c r="BR26" s="64">
        <f>(Table5162126[[#This Row],[Concentration15]]*7)</f>
        <v>0</v>
      </c>
      <c r="BS26" s="64">
        <f>(Table5162126[[#This Row],[Concentration16]]*8)</f>
        <v>0.11362953465761784</v>
      </c>
      <c r="BT26" s="64">
        <f>(Table5162126[[#This Row],[Concentration17]]*3)/1000</f>
        <v>0</v>
      </c>
      <c r="BU26" s="47" t="e">
        <f>Table5162126[[#This Row],[Concentration18]]/1000</f>
        <v>#DIV/0!</v>
      </c>
      <c r="BV26" s="47">
        <f>Table5162126[[#This Row],[Concentration19]]/1000</f>
        <v>0</v>
      </c>
    </row>
    <row r="27" spans="1:74" s="47" customFormat="1" ht="16" thickBot="1" x14ac:dyDescent="0.4">
      <c r="A27" s="63">
        <f>Table2[[#This Row],[Date]]</f>
        <v>0</v>
      </c>
      <c r="B27" s="74">
        <f>Table2[[#This Row],[Time]]</f>
        <v>0</v>
      </c>
      <c r="C27" s="54"/>
      <c r="V27" s="82"/>
      <c r="AE27" s="55"/>
      <c r="AG27" s="45">
        <v>1</v>
      </c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  <c r="BM27" s="64"/>
      <c r="BN27" s="64"/>
      <c r="BO27" s="64"/>
      <c r="BP27" s="64"/>
      <c r="BQ27" s="64"/>
      <c r="BR27" s="64"/>
      <c r="BS27" s="64"/>
      <c r="BT27" s="64"/>
    </row>
    <row r="28" spans="1:74" s="66" customFormat="1" ht="16" thickBot="1" x14ac:dyDescent="0.4">
      <c r="A28" s="63">
        <f>Table2[[#This Row],[Date]]</f>
        <v>0</v>
      </c>
      <c r="B28" s="74">
        <f>Table2[[#This Row],[Time]]</f>
        <v>0</v>
      </c>
      <c r="C28" s="79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1"/>
      <c r="AE28" s="65"/>
      <c r="AG28" s="45">
        <v>1</v>
      </c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  <c r="BM28" s="64"/>
      <c r="BN28" s="64"/>
      <c r="BO28" s="64"/>
      <c r="BP28" s="64"/>
      <c r="BQ28" s="64"/>
      <c r="BR28" s="64"/>
      <c r="BS28" s="64"/>
      <c r="BT28" s="64"/>
      <c r="BU28" s="47"/>
      <c r="BV28" s="47"/>
    </row>
    <row r="29" spans="1:74" s="47" customFormat="1" ht="16" thickBot="1" x14ac:dyDescent="0.4">
      <c r="A29" s="63">
        <f>Table2[[#This Row],[Date]]</f>
        <v>0</v>
      </c>
      <c r="B29" s="74">
        <f>Table2[[#This Row],[Time]]</f>
        <v>0</v>
      </c>
      <c r="C29" s="54"/>
      <c r="V29" s="82"/>
      <c r="AE29" s="55"/>
      <c r="AG29" s="45">
        <v>1</v>
      </c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64"/>
      <c r="BS29" s="64"/>
      <c r="BT29" s="64"/>
    </row>
    <row r="30" spans="1:74" s="66" customFormat="1" ht="16" thickBot="1" x14ac:dyDescent="0.4">
      <c r="A30" s="63">
        <f>Table2[[#This Row],[Date]]</f>
        <v>0</v>
      </c>
      <c r="B30" s="74">
        <f>Table2[[#This Row],[Time]]</f>
        <v>0</v>
      </c>
      <c r="C30" s="79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1"/>
      <c r="AE30" s="65"/>
      <c r="AG30" s="45">
        <v>1</v>
      </c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4"/>
      <c r="BM30" s="64"/>
      <c r="BN30" s="64"/>
      <c r="BO30" s="64"/>
      <c r="BP30" s="64"/>
      <c r="BQ30" s="64"/>
      <c r="BR30" s="64"/>
      <c r="BS30" s="64"/>
      <c r="BT30" s="64"/>
      <c r="BU30" s="47"/>
      <c r="BV30" s="47"/>
    </row>
    <row r="31" spans="1:74" s="47" customFormat="1" ht="16" thickBot="1" x14ac:dyDescent="0.4">
      <c r="A31" s="63">
        <f>Table2[[#This Row],[Date]]</f>
        <v>0</v>
      </c>
      <c r="B31" s="74">
        <f>Table2[[#This Row],[Time]]</f>
        <v>0</v>
      </c>
      <c r="C31" s="54"/>
      <c r="V31" s="82"/>
      <c r="AE31" s="55"/>
      <c r="AG31" s="45">
        <v>1</v>
      </c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4"/>
      <c r="BQ31" s="64"/>
      <c r="BR31" s="64"/>
      <c r="BS31" s="64"/>
      <c r="BT31" s="64"/>
    </row>
    <row r="32" spans="1:74" ht="16" thickBot="1" x14ac:dyDescent="0.4">
      <c r="A32" s="63">
        <f>Table2[[#This Row],[Date]]</f>
        <v>0</v>
      </c>
      <c r="B32" s="74">
        <f>Table2[[#This Row],[Time]]</f>
        <v>0</v>
      </c>
      <c r="C32" s="8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84"/>
      <c r="AE32" s="43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4"/>
      <c r="BM32" s="64"/>
      <c r="BN32" s="64"/>
      <c r="BO32" s="64"/>
      <c r="BP32" s="64"/>
      <c r="BQ32" s="64"/>
      <c r="BR32" s="64"/>
      <c r="BS32" s="64"/>
      <c r="BT32" s="64"/>
    </row>
    <row r="33" spans="1:31" x14ac:dyDescent="0.35">
      <c r="A33" s="60"/>
      <c r="AE33" s="43"/>
    </row>
    <row r="34" spans="1:31" x14ac:dyDescent="0.35">
      <c r="AE34" s="43"/>
    </row>
    <row r="35" spans="1:31" x14ac:dyDescent="0.35">
      <c r="AE35" s="43"/>
    </row>
    <row r="36" spans="1:31" ht="15" thickBot="1" x14ac:dyDescent="0.4">
      <c r="AE36" s="44"/>
    </row>
  </sheetData>
  <pageMargins left="0.7" right="0.7" top="0.75" bottom="0.75" header="0.3" footer="0.3"/>
  <pageSetup paperSize="9" orientation="portrait" r:id="rId1"/>
  <tableParts count="5">
    <tablePart r:id="rId2"/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V36"/>
  <sheetViews>
    <sheetView zoomScale="80" zoomScaleNormal="80" workbookViewId="0">
      <pane xSplit="2" topLeftCell="C1" activePane="topRight" state="frozen"/>
      <selection pane="topRight"/>
    </sheetView>
  </sheetViews>
  <sheetFormatPr defaultRowHeight="14.5" x14ac:dyDescent="0.35"/>
  <cols>
    <col min="1" max="1" width="16.453125" bestFit="1" customWidth="1"/>
    <col min="2" max="2" width="11" customWidth="1"/>
    <col min="3" max="3" width="10.453125" customWidth="1"/>
    <col min="4" max="4" width="10.7265625" customWidth="1"/>
    <col min="5" max="12" width="11.7265625" customWidth="1"/>
    <col min="13" max="22" width="12.7265625" customWidth="1"/>
    <col min="23" max="23" width="11.81640625" customWidth="1"/>
    <col min="24" max="24" width="12.7265625" customWidth="1"/>
    <col min="25" max="25" width="11.26953125" customWidth="1"/>
    <col min="26" max="26" width="12.7265625" customWidth="1"/>
    <col min="27" max="27" width="13.26953125" customWidth="1"/>
    <col min="28" max="28" width="12.7265625" customWidth="1"/>
    <col min="29" max="29" width="13.26953125" customWidth="1"/>
    <col min="30" max="30" width="12.7265625" customWidth="1"/>
    <col min="32" max="32" width="10.81640625" customWidth="1"/>
    <col min="33" max="33" width="11.26953125" customWidth="1"/>
    <col min="34" max="35" width="10.1796875" customWidth="1"/>
    <col min="36" max="36" width="15.81640625" customWidth="1"/>
    <col min="37" max="44" width="16.81640625" customWidth="1"/>
    <col min="45" max="55" width="17.81640625" customWidth="1"/>
    <col min="56" max="56" width="15.81640625" hidden="1" customWidth="1"/>
    <col min="57" max="61" width="16.81640625" hidden="1" customWidth="1"/>
    <col min="62" max="64" width="16.81640625" customWidth="1"/>
    <col min="65" max="72" width="17.81640625" customWidth="1"/>
  </cols>
  <sheetData>
    <row r="1" spans="1:74" x14ac:dyDescent="0.35">
      <c r="A1" s="24" t="s">
        <v>28</v>
      </c>
      <c r="B1" s="24" t="s">
        <v>165</v>
      </c>
      <c r="C1" s="24"/>
    </row>
    <row r="2" spans="1:74" x14ac:dyDescent="0.35">
      <c r="A2" s="25" t="s">
        <v>30</v>
      </c>
      <c r="B2" s="25" t="s">
        <v>180</v>
      </c>
      <c r="C2" s="24" t="s">
        <v>75</v>
      </c>
      <c r="AJ2" s="2" t="s">
        <v>2</v>
      </c>
      <c r="AP2" s="146"/>
    </row>
    <row r="3" spans="1:74" x14ac:dyDescent="0.35">
      <c r="A3" s="25"/>
      <c r="B3" s="25"/>
      <c r="C3" s="24" t="s">
        <v>76</v>
      </c>
    </row>
    <row r="4" spans="1:74" x14ac:dyDescent="0.35">
      <c r="A4" s="24"/>
      <c r="B4" s="24"/>
      <c r="C4" s="56" t="s">
        <v>77</v>
      </c>
      <c r="E4" s="1"/>
      <c r="F4" s="3"/>
      <c r="G4" s="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 t="s">
        <v>60</v>
      </c>
      <c r="X4" s="1"/>
      <c r="Y4" s="1"/>
      <c r="Z4" s="1"/>
      <c r="AA4" s="1"/>
      <c r="AC4" s="1"/>
      <c r="AD4" s="1"/>
      <c r="AE4" s="1"/>
      <c r="AF4" t="s">
        <v>69</v>
      </c>
      <c r="AJ4" s="37" t="s">
        <v>37</v>
      </c>
      <c r="AL4" s="3"/>
      <c r="AM4" s="2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I4" s="1"/>
      <c r="BJ4" s="4"/>
    </row>
    <row r="5" spans="1:74" ht="15" thickBot="1" x14ac:dyDescent="0.4">
      <c r="A5" s="24"/>
      <c r="B5" s="24"/>
      <c r="C5" s="2" t="s">
        <v>2</v>
      </c>
      <c r="D5" s="2"/>
      <c r="E5" s="1"/>
      <c r="F5" s="3"/>
      <c r="G5" s="2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C5" s="1"/>
      <c r="AD5" s="1"/>
      <c r="AE5" s="1"/>
      <c r="AJ5" s="37"/>
      <c r="AL5" s="3"/>
      <c r="AM5" s="2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 t="s">
        <v>60</v>
      </c>
      <c r="BC5" s="1"/>
      <c r="BD5" s="56" t="s">
        <v>79</v>
      </c>
      <c r="BI5" s="1"/>
      <c r="BJ5" s="56" t="s">
        <v>79</v>
      </c>
      <c r="BU5" t="s">
        <v>60</v>
      </c>
    </row>
    <row r="6" spans="1:74" x14ac:dyDescent="0.35">
      <c r="C6" s="5" t="s">
        <v>3</v>
      </c>
      <c r="D6" s="6" t="s">
        <v>4</v>
      </c>
      <c r="E6" s="6" t="s">
        <v>90</v>
      </c>
      <c r="F6" s="6" t="s">
        <v>91</v>
      </c>
      <c r="G6" s="6" t="s">
        <v>92</v>
      </c>
      <c r="H6" s="6" t="s">
        <v>93</v>
      </c>
      <c r="I6" s="6" t="s">
        <v>94</v>
      </c>
      <c r="J6" s="6" t="s">
        <v>95</v>
      </c>
      <c r="K6" s="6" t="s">
        <v>96</v>
      </c>
      <c r="L6" s="6" t="s">
        <v>97</v>
      </c>
      <c r="M6" s="6" t="s">
        <v>98</v>
      </c>
      <c r="N6" s="6" t="s">
        <v>99</v>
      </c>
      <c r="O6" s="6" t="s">
        <v>100</v>
      </c>
      <c r="P6" s="6" t="s">
        <v>101</v>
      </c>
      <c r="Q6" s="6" t="s">
        <v>102</v>
      </c>
      <c r="R6" s="6" t="s">
        <v>103</v>
      </c>
      <c r="S6" s="7" t="s">
        <v>104</v>
      </c>
      <c r="T6" s="7" t="s">
        <v>105</v>
      </c>
      <c r="U6" s="7" t="s">
        <v>106</v>
      </c>
      <c r="V6" s="8" t="s">
        <v>107</v>
      </c>
      <c r="W6" s="36" t="s">
        <v>61</v>
      </c>
      <c r="X6" s="33" t="s">
        <v>108</v>
      </c>
      <c r="Y6" s="36" t="s">
        <v>62</v>
      </c>
      <c r="Z6" s="35" t="s">
        <v>109</v>
      </c>
      <c r="AA6" s="34" t="s">
        <v>110</v>
      </c>
      <c r="AB6" s="33" t="s">
        <v>111</v>
      </c>
      <c r="AC6" s="36" t="s">
        <v>112</v>
      </c>
      <c r="AD6" s="35" t="s">
        <v>113</v>
      </c>
      <c r="AE6" s="38" t="s">
        <v>68</v>
      </c>
      <c r="AF6" s="39" t="s">
        <v>70</v>
      </c>
      <c r="AG6" s="39" t="s">
        <v>150</v>
      </c>
      <c r="AH6" s="40" t="s">
        <v>32</v>
      </c>
      <c r="AI6" s="127" t="s">
        <v>136</v>
      </c>
      <c r="AJ6" s="69" t="s">
        <v>35</v>
      </c>
      <c r="AK6" s="70" t="s">
        <v>114</v>
      </c>
      <c r="AL6" s="70" t="s">
        <v>115</v>
      </c>
      <c r="AM6" s="70" t="s">
        <v>116</v>
      </c>
      <c r="AN6" s="70" t="s">
        <v>117</v>
      </c>
      <c r="AO6" s="70" t="s">
        <v>118</v>
      </c>
      <c r="AP6" s="70" t="s">
        <v>119</v>
      </c>
      <c r="AQ6" s="70" t="s">
        <v>120</v>
      </c>
      <c r="AR6" s="70" t="s">
        <v>121</v>
      </c>
      <c r="AS6" s="70" t="s">
        <v>122</v>
      </c>
      <c r="AT6" s="70" t="s">
        <v>123</v>
      </c>
      <c r="AU6" s="70" t="s">
        <v>124</v>
      </c>
      <c r="AV6" s="70" t="s">
        <v>125</v>
      </c>
      <c r="AW6" s="70" t="s">
        <v>126</v>
      </c>
      <c r="AX6" s="70" t="s">
        <v>127</v>
      </c>
      <c r="AY6" s="71" t="s">
        <v>128</v>
      </c>
      <c r="AZ6" s="72" t="s">
        <v>129</v>
      </c>
      <c r="BA6" s="85" t="s">
        <v>148</v>
      </c>
      <c r="BB6" s="85" t="s">
        <v>134</v>
      </c>
      <c r="BC6" s="88" t="s">
        <v>135</v>
      </c>
      <c r="BD6" s="69" t="s">
        <v>35</v>
      </c>
      <c r="BE6" s="70" t="s">
        <v>114</v>
      </c>
      <c r="BF6" s="70" t="s">
        <v>115</v>
      </c>
      <c r="BG6" s="70" t="s">
        <v>116</v>
      </c>
      <c r="BH6" s="70" t="s">
        <v>117</v>
      </c>
      <c r="BI6" s="70" t="s">
        <v>118</v>
      </c>
      <c r="BJ6" s="70" t="s">
        <v>119</v>
      </c>
      <c r="BK6" s="70" t="s">
        <v>120</v>
      </c>
      <c r="BL6" s="70" t="s">
        <v>121</v>
      </c>
      <c r="BM6" s="70" t="s">
        <v>122</v>
      </c>
      <c r="BN6" s="70" t="s">
        <v>123</v>
      </c>
      <c r="BO6" s="70" t="s">
        <v>124</v>
      </c>
      <c r="BP6" s="70" t="s">
        <v>125</v>
      </c>
      <c r="BQ6" s="70" t="s">
        <v>126</v>
      </c>
      <c r="BR6" s="70" t="s">
        <v>127</v>
      </c>
      <c r="BS6" s="71" t="s">
        <v>128</v>
      </c>
      <c r="BT6" s="72" t="s">
        <v>129</v>
      </c>
      <c r="BU6" s="85" t="s">
        <v>130</v>
      </c>
      <c r="BV6" s="85" t="s">
        <v>132</v>
      </c>
    </row>
    <row r="7" spans="1:74" x14ac:dyDescent="0.35">
      <c r="C7" s="9" t="s">
        <v>5</v>
      </c>
      <c r="D7" s="10" t="s">
        <v>7</v>
      </c>
      <c r="E7" s="10" t="s">
        <v>7</v>
      </c>
      <c r="F7" s="10" t="s">
        <v>7</v>
      </c>
      <c r="G7" s="10" t="s">
        <v>7</v>
      </c>
      <c r="H7" s="10" t="s">
        <v>7</v>
      </c>
      <c r="I7" s="10" t="s">
        <v>7</v>
      </c>
      <c r="J7" s="10" t="s">
        <v>7</v>
      </c>
      <c r="K7" s="10" t="s">
        <v>7</v>
      </c>
      <c r="L7" s="10" t="s">
        <v>7</v>
      </c>
      <c r="M7" s="10" t="s">
        <v>7</v>
      </c>
      <c r="N7" s="10" t="s">
        <v>7</v>
      </c>
      <c r="O7" s="10" t="s">
        <v>7</v>
      </c>
      <c r="P7" s="10" t="s">
        <v>7</v>
      </c>
      <c r="Q7" s="10" t="s">
        <v>7</v>
      </c>
      <c r="R7" s="10" t="s">
        <v>7</v>
      </c>
      <c r="S7" s="11" t="s">
        <v>7</v>
      </c>
      <c r="T7" s="11" t="s">
        <v>6</v>
      </c>
      <c r="U7" s="11" t="s">
        <v>6</v>
      </c>
      <c r="V7" s="12" t="s">
        <v>6</v>
      </c>
      <c r="W7" s="36" t="s">
        <v>63</v>
      </c>
      <c r="X7" s="33" t="s">
        <v>64</v>
      </c>
      <c r="Y7" s="36" t="s">
        <v>63</v>
      </c>
      <c r="Z7" s="35" t="s">
        <v>64</v>
      </c>
      <c r="AA7" s="34" t="s">
        <v>63</v>
      </c>
      <c r="AB7" s="33" t="s">
        <v>64</v>
      </c>
      <c r="AC7" s="36" t="s">
        <v>63</v>
      </c>
      <c r="AD7" s="35" t="s">
        <v>64</v>
      </c>
      <c r="AE7" s="38"/>
      <c r="AF7" s="39" t="s">
        <v>5</v>
      </c>
      <c r="AG7" s="39"/>
      <c r="AH7" s="40" t="s">
        <v>7</v>
      </c>
      <c r="AI7" s="39" t="s">
        <v>137</v>
      </c>
      <c r="AJ7" s="9" t="s">
        <v>36</v>
      </c>
      <c r="AK7" s="10" t="s">
        <v>36</v>
      </c>
      <c r="AL7" s="10" t="s">
        <v>36</v>
      </c>
      <c r="AM7" s="10" t="s">
        <v>36</v>
      </c>
      <c r="AN7" s="10" t="s">
        <v>36</v>
      </c>
      <c r="AO7" s="10" t="s">
        <v>36</v>
      </c>
      <c r="AP7" s="163" t="s">
        <v>77</v>
      </c>
      <c r="AQ7" s="163" t="s">
        <v>77</v>
      </c>
      <c r="AR7" s="163" t="s">
        <v>77</v>
      </c>
      <c r="AS7" s="163" t="s">
        <v>77</v>
      </c>
      <c r="AT7" s="163" t="s">
        <v>77</v>
      </c>
      <c r="AU7" s="163" t="s">
        <v>77</v>
      </c>
      <c r="AV7" s="163" t="s">
        <v>77</v>
      </c>
      <c r="AW7" s="163" t="s">
        <v>77</v>
      </c>
      <c r="AX7" s="163" t="s">
        <v>77</v>
      </c>
      <c r="AY7" s="12" t="s">
        <v>36</v>
      </c>
      <c r="AZ7" s="58" t="s">
        <v>36</v>
      </c>
      <c r="BA7" s="86" t="s">
        <v>152</v>
      </c>
      <c r="BB7" s="86" t="s">
        <v>36</v>
      </c>
      <c r="BC7" s="86" t="s">
        <v>36</v>
      </c>
      <c r="BD7" s="9" t="s">
        <v>139</v>
      </c>
      <c r="BE7" s="9" t="s">
        <v>89</v>
      </c>
      <c r="BF7" s="9" t="s">
        <v>89</v>
      </c>
      <c r="BG7" s="9" t="s">
        <v>89</v>
      </c>
      <c r="BH7" s="9" t="s">
        <v>89</v>
      </c>
      <c r="BI7" s="9" t="s">
        <v>89</v>
      </c>
      <c r="BJ7" s="9" t="s">
        <v>139</v>
      </c>
      <c r="BK7" s="9" t="s">
        <v>139</v>
      </c>
      <c r="BL7" s="9" t="s">
        <v>139</v>
      </c>
      <c r="BM7" s="9" t="s">
        <v>139</v>
      </c>
      <c r="BN7" s="9" t="s">
        <v>139</v>
      </c>
      <c r="BO7" s="9" t="s">
        <v>139</v>
      </c>
      <c r="BP7" s="9" t="s">
        <v>139</v>
      </c>
      <c r="BQ7" s="9" t="s">
        <v>139</v>
      </c>
      <c r="BR7" s="9" t="s">
        <v>139</v>
      </c>
      <c r="BS7" s="9" t="s">
        <v>139</v>
      </c>
      <c r="BT7" s="9" t="s">
        <v>89</v>
      </c>
      <c r="BU7" s="9" t="s">
        <v>89</v>
      </c>
      <c r="BV7" s="9" t="s">
        <v>89</v>
      </c>
    </row>
    <row r="8" spans="1:74" ht="16" thickBot="1" x14ac:dyDescent="0.4">
      <c r="A8" s="22" t="s">
        <v>0</v>
      </c>
      <c r="B8" s="73" t="s">
        <v>1</v>
      </c>
      <c r="C8" s="13" t="s">
        <v>6</v>
      </c>
      <c r="D8" s="14" t="s">
        <v>8</v>
      </c>
      <c r="E8" s="14" t="s">
        <v>9</v>
      </c>
      <c r="F8" s="14" t="s">
        <v>10</v>
      </c>
      <c r="G8" s="14" t="s">
        <v>11</v>
      </c>
      <c r="H8" s="14" t="s">
        <v>12</v>
      </c>
      <c r="I8" s="14" t="s">
        <v>13</v>
      </c>
      <c r="J8" s="14" t="s">
        <v>14</v>
      </c>
      <c r="K8" s="14" t="s">
        <v>15</v>
      </c>
      <c r="L8" s="14" t="s">
        <v>16</v>
      </c>
      <c r="M8" s="14" t="s">
        <v>17</v>
      </c>
      <c r="N8" s="14" t="s">
        <v>18</v>
      </c>
      <c r="O8" s="14" t="s">
        <v>19</v>
      </c>
      <c r="P8" s="14" t="s">
        <v>20</v>
      </c>
      <c r="Q8" s="14" t="s">
        <v>21</v>
      </c>
      <c r="R8" s="14" t="s">
        <v>22</v>
      </c>
      <c r="S8" s="15" t="s">
        <v>23</v>
      </c>
      <c r="T8" s="15" t="s">
        <v>24</v>
      </c>
      <c r="U8" s="15" t="s">
        <v>25</v>
      </c>
      <c r="V8" s="16" t="s">
        <v>26</v>
      </c>
      <c r="W8" s="36" t="s">
        <v>65</v>
      </c>
      <c r="X8" s="33" t="s">
        <v>65</v>
      </c>
      <c r="Y8" s="36" t="s">
        <v>66</v>
      </c>
      <c r="Z8" s="35" t="s">
        <v>66</v>
      </c>
      <c r="AA8" s="34" t="s">
        <v>55</v>
      </c>
      <c r="AB8" s="33" t="s">
        <v>55</v>
      </c>
      <c r="AC8" s="36" t="s">
        <v>67</v>
      </c>
      <c r="AD8" s="35" t="s">
        <v>67</v>
      </c>
      <c r="AE8" s="38"/>
      <c r="AF8" s="39"/>
      <c r="AG8" s="39"/>
      <c r="AH8" s="40" t="s">
        <v>73</v>
      </c>
      <c r="AI8" s="39" t="s">
        <v>145</v>
      </c>
      <c r="AJ8" s="13" t="s">
        <v>8</v>
      </c>
      <c r="AK8" s="14" t="s">
        <v>9</v>
      </c>
      <c r="AL8" s="14" t="s">
        <v>10</v>
      </c>
      <c r="AM8" s="14" t="s">
        <v>11</v>
      </c>
      <c r="AN8" s="14" t="s">
        <v>12</v>
      </c>
      <c r="AO8" s="14" t="s">
        <v>13</v>
      </c>
      <c r="AP8" s="14" t="s">
        <v>14</v>
      </c>
      <c r="AQ8" s="14" t="s">
        <v>15</v>
      </c>
      <c r="AR8" s="14" t="s">
        <v>16</v>
      </c>
      <c r="AS8" s="14" t="s">
        <v>17</v>
      </c>
      <c r="AT8" s="14" t="s">
        <v>18</v>
      </c>
      <c r="AU8" s="14" t="s">
        <v>19</v>
      </c>
      <c r="AV8" s="14" t="s">
        <v>20</v>
      </c>
      <c r="AW8" s="14" t="s">
        <v>21</v>
      </c>
      <c r="AX8" s="14" t="s">
        <v>22</v>
      </c>
      <c r="AY8" s="16" t="s">
        <v>23</v>
      </c>
      <c r="AZ8" s="59" t="s">
        <v>78</v>
      </c>
      <c r="BA8" s="87" t="s">
        <v>78</v>
      </c>
      <c r="BB8" s="87" t="s">
        <v>131</v>
      </c>
      <c r="BC8" s="87" t="s">
        <v>133</v>
      </c>
      <c r="BD8" s="13" t="s">
        <v>8</v>
      </c>
      <c r="BE8" s="14" t="s">
        <v>9</v>
      </c>
      <c r="BF8" s="14" t="s">
        <v>10</v>
      </c>
      <c r="BG8" s="14" t="s">
        <v>11</v>
      </c>
      <c r="BH8" s="14" t="s">
        <v>12</v>
      </c>
      <c r="BI8" s="14" t="s">
        <v>13</v>
      </c>
      <c r="BJ8" s="14" t="s">
        <v>14</v>
      </c>
      <c r="BK8" s="14" t="s">
        <v>15</v>
      </c>
      <c r="BL8" s="14" t="s">
        <v>16</v>
      </c>
      <c r="BM8" s="14" t="s">
        <v>17</v>
      </c>
      <c r="BN8" s="14" t="s">
        <v>18</v>
      </c>
      <c r="BO8" s="14" t="s">
        <v>19</v>
      </c>
      <c r="BP8" s="14" t="s">
        <v>20</v>
      </c>
      <c r="BQ8" s="14" t="s">
        <v>21</v>
      </c>
      <c r="BR8" s="14" t="s">
        <v>22</v>
      </c>
      <c r="BS8" s="16" t="s">
        <v>23</v>
      </c>
      <c r="BT8" s="59" t="s">
        <v>78</v>
      </c>
      <c r="BU8" t="s">
        <v>131</v>
      </c>
      <c r="BV8" t="s">
        <v>133</v>
      </c>
    </row>
    <row r="9" spans="1:74" s="47" customFormat="1" ht="16" thickBot="1" x14ac:dyDescent="0.4">
      <c r="A9" s="63" t="str">
        <f>'B1'!A9</f>
        <v>20-03-18</v>
      </c>
      <c r="B9" s="74">
        <f>Table2[[#This Row],[Time]]</f>
        <v>0</v>
      </c>
      <c r="C9" s="41">
        <v>0</v>
      </c>
      <c r="D9" s="18" t="s">
        <v>34</v>
      </c>
      <c r="E9" s="18" t="s">
        <v>34</v>
      </c>
      <c r="F9" s="18" t="s">
        <v>34</v>
      </c>
      <c r="G9" s="18" t="s">
        <v>34</v>
      </c>
      <c r="H9" s="18" t="s">
        <v>34</v>
      </c>
      <c r="I9" s="18" t="s">
        <v>34</v>
      </c>
      <c r="J9" s="18" t="s">
        <v>34</v>
      </c>
      <c r="K9" s="18" t="s">
        <v>34</v>
      </c>
      <c r="L9" s="18" t="s">
        <v>34</v>
      </c>
      <c r="M9" s="18" t="s">
        <v>34</v>
      </c>
      <c r="N9" s="18" t="s">
        <v>34</v>
      </c>
      <c r="O9" s="18" t="s">
        <v>34</v>
      </c>
      <c r="P9" s="18" t="s">
        <v>34</v>
      </c>
      <c r="Q9" s="18" t="s">
        <v>34</v>
      </c>
      <c r="R9" s="18" t="s">
        <v>34</v>
      </c>
      <c r="S9" s="18" t="s">
        <v>34</v>
      </c>
      <c r="T9" s="18" t="s">
        <v>34</v>
      </c>
      <c r="U9" s="18" t="s">
        <v>34</v>
      </c>
      <c r="V9" s="76" t="s">
        <v>34</v>
      </c>
      <c r="W9" s="45"/>
      <c r="X9" s="45"/>
      <c r="Y9" s="45"/>
      <c r="Z9" s="45"/>
      <c r="AA9" s="45"/>
      <c r="AB9" s="45"/>
      <c r="AC9" s="45"/>
      <c r="AD9" s="46"/>
      <c r="AE9" s="91">
        <v>7</v>
      </c>
      <c r="AF9" s="91">
        <v>0</v>
      </c>
      <c r="AG9" s="45">
        <v>1</v>
      </c>
      <c r="AH9" s="91">
        <v>0</v>
      </c>
      <c r="AI9"/>
      <c r="AJ9" s="64" t="str">
        <f>IF(D9="nd","nd",D9*$C9/constants!$B$3)</f>
        <v>nd</v>
      </c>
      <c r="AK9" s="64" t="str">
        <f>IF(E9="nd","nd",E9*$C9/constants!$B$6)</f>
        <v>nd</v>
      </c>
      <c r="AL9" s="64" t="str">
        <f>IF(F9="nd","nd",F9*$C9/constants!$B$7)</f>
        <v>nd</v>
      </c>
      <c r="AM9" s="64" t="str">
        <f>IF(G9="nd","nd",G9*$C9/constants!$B$8)</f>
        <v>nd</v>
      </c>
      <c r="AN9" s="64" t="str">
        <f>IF(H9="nd","nd",H9*$C9/constants!$B$9)</f>
        <v>nd</v>
      </c>
      <c r="AO9" s="64" t="str">
        <f>IF(I9="nd","nd",I9*$C9/constants!$B$10)</f>
        <v>nd</v>
      </c>
      <c r="AP9" s="162" t="e">
        <f>(IF(IFERROR(J9-#REF!,J9)&gt;constants!$D$5,(IFERROR(J9-#REF!,J9)*$C9/1000),0))</f>
        <v>#VALUE!</v>
      </c>
      <c r="AQ9" s="162" t="e">
        <f>(IF(IFERROR(K9-#REF!,K9)&gt;constants!$D$11,(IFERROR(K9-#REF!,K9)*$C9/1000),0))</f>
        <v>#VALUE!</v>
      </c>
      <c r="AR9" s="162" t="e">
        <f>(IF(IFERROR(L9-#REF!,L9)&gt;constants!$D$19,(IFERROR(L9-#REF!,L9)*$C9/1000),0))</f>
        <v>#VALUE!</v>
      </c>
      <c r="AS9" s="162" t="e">
        <f>(IF(IFERROR(M9-#REF!,M9)&gt;constants!$D$4,(IFERROR(M9-#REF!,M9)*$C9/1000),0))</f>
        <v>#VALUE!</v>
      </c>
      <c r="AT9" s="162" t="e">
        <f>(IF(IFERROR(N9-#REF!,N9)&gt;constants!$D$5,(IFERROR(N9-#REF!,N9)*$C9/1000),0))</f>
        <v>#VALUE!</v>
      </c>
      <c r="AU9" s="162" t="e">
        <f>(IF(IFERROR(O9-#REF!,O9)&gt;constants!$D$12,(IFERROR(O9-#REF!,O9)*$C9/1000),0))</f>
        <v>#VALUE!</v>
      </c>
      <c r="AV9" s="162" t="e">
        <f>(IF(IFERROR(P9-#REF!,P9)&gt;constants!$D$5,(IFERROR(P9-#REF!,P9)*$C9/1000),0))</f>
        <v>#VALUE!</v>
      </c>
      <c r="AW9" s="162" t="e">
        <f>(IF(IFERROR(Q9-#REF!,Q9)&gt;constants!$D$13,(IFERROR(Q9-#REF!,Q9)*$C9/1000),0))</f>
        <v>#VALUE!</v>
      </c>
      <c r="AX9" s="162" t="e">
        <f>(IF(IFERROR(R9-#REF!,R9)&gt;constants!$D$14,(IFERROR(R9-#REF!,R9)*$C9/constants!$B$14),0))</f>
        <v>#VALUE!</v>
      </c>
      <c r="AY9" s="64" t="e">
        <f>(IF(IFERROR(S9-#REF!,S9)&gt;constants!$D$15,(IFERROR(S9-#REF!,S9)*$C9/constants!$B$15),0))</f>
        <v>#VALUE!</v>
      </c>
      <c r="AZ9" s="64">
        <f>IF(AH9="nd","nd",AH9*Table315202530[[#This Row],[dilution ]]/constants!$B$23)</f>
        <v>0</v>
      </c>
      <c r="BA9" s="64">
        <f>Table315202530[[#This Row],[dilution ]]*Table315202530[[#This Row],[correction factor]]*Table315202530[[#This Row],[amount]]/1000</f>
        <v>0</v>
      </c>
      <c r="BB9" s="64" t="e">
        <f>(Table315202530[[#This Row],[pressure]]*(Table315202530[[#This Row],[Amount 25]]/100)*constants!I9)/(constants!$I$6*constants!$I$5)</f>
        <v>#DIV/0!</v>
      </c>
      <c r="BC9" s="64"/>
      <c r="BD9" s="64" t="e">
        <f>(Table516212631[[#This Row],[Concentration]]*constants!$C$3)/1000</f>
        <v>#VALUE!</v>
      </c>
      <c r="BE9" s="64" t="e">
        <f>(Table516212631[[#This Row],[Concentration2]]*constants!$C$6)/1000</f>
        <v>#VALUE!</v>
      </c>
      <c r="BF9" s="64" t="e">
        <f>(Table516212631[[#This Row],[Concentration3]]*constants!$C$7)/1000</f>
        <v>#VALUE!</v>
      </c>
      <c r="BG9" s="64" t="e">
        <f>(Table516212631[[#This Row],[Concentration4]]*constants!$C$8)/1000</f>
        <v>#VALUE!</v>
      </c>
      <c r="BH9" s="64" t="e">
        <f>(Table516212631[[#This Row],[Concentration5]]*constants!$C$9)/1000</f>
        <v>#VALUE!</v>
      </c>
      <c r="BI9" s="64" t="e">
        <f>(Table516212631[[#This Row],[Concentration6]]*constants!$C$10)/1000</f>
        <v>#VALUE!</v>
      </c>
      <c r="BJ9" s="64" t="e">
        <f>(Table516212631[[#This Row],[Concentration7]]*constants!$C$5)</f>
        <v>#VALUE!</v>
      </c>
      <c r="BK9" s="64" t="e">
        <f>(Table516212631[[#This Row],[Concentration8]]*3)</f>
        <v>#VALUE!</v>
      </c>
      <c r="BL9" s="64" t="e">
        <f>(Table516212631[[#This Row],[Concentration9]]*4)</f>
        <v>#VALUE!</v>
      </c>
      <c r="BM9" s="64" t="e">
        <f>(Table516212631[[#This Row],[Concentration10]]*4)</f>
        <v>#VALUE!</v>
      </c>
      <c r="BN9" s="64" t="e">
        <f>(Table516212631[[#This Row],[Concentration11]]*5)</f>
        <v>#VALUE!</v>
      </c>
      <c r="BO9" s="64" t="e">
        <f>(Table516212631[[#This Row],[Concentration12]]*5)</f>
        <v>#VALUE!</v>
      </c>
      <c r="BP9" s="64" t="e">
        <f>(Table516212631[[#This Row],[Concentration13]]*6)</f>
        <v>#VALUE!</v>
      </c>
      <c r="BQ9" s="64" t="e">
        <f>(Table516212631[[#This Row],[Concentration14]]*6)</f>
        <v>#VALUE!</v>
      </c>
      <c r="BR9" s="64" t="e">
        <f>(Table516212631[[#This Row],[Concentration15]]*7)</f>
        <v>#VALUE!</v>
      </c>
      <c r="BS9" s="64" t="e">
        <f>(Table516212631[[#This Row],[Concentration16]]*8)</f>
        <v>#VALUE!</v>
      </c>
      <c r="BT9" s="64">
        <f>(Table516212631[[#This Row],[Concentration17]]*3)/1000</f>
        <v>0</v>
      </c>
      <c r="BU9" s="47" t="e">
        <f>Table516212631[[#This Row],[Concentration18]]/1000</f>
        <v>#DIV/0!</v>
      </c>
      <c r="BV9" s="47">
        <f>Table516212631[[#This Row],[Concentration19]]/1000</f>
        <v>0</v>
      </c>
    </row>
    <row r="10" spans="1:74" s="66" customFormat="1" ht="16" thickBot="1" x14ac:dyDescent="0.4">
      <c r="A10" s="63" t="str">
        <f>'B1'!A10</f>
        <v>22-03-18</v>
      </c>
      <c r="B10" s="74">
        <f>Table2[[#This Row],[Time]]</f>
        <v>2</v>
      </c>
      <c r="C10" s="77">
        <v>0</v>
      </c>
      <c r="D10" s="49" t="s">
        <v>34</v>
      </c>
      <c r="E10" s="49" t="s">
        <v>34</v>
      </c>
      <c r="F10" s="49" t="s">
        <v>34</v>
      </c>
      <c r="G10" s="49" t="s">
        <v>34</v>
      </c>
      <c r="H10" s="49" t="s">
        <v>34</v>
      </c>
      <c r="I10" s="49" t="s">
        <v>34</v>
      </c>
      <c r="J10" s="49" t="s">
        <v>34</v>
      </c>
      <c r="K10" s="49" t="s">
        <v>34</v>
      </c>
      <c r="L10" s="49" t="s">
        <v>34</v>
      </c>
      <c r="M10" s="49" t="s">
        <v>34</v>
      </c>
      <c r="N10" s="50" t="s">
        <v>34</v>
      </c>
      <c r="O10" s="49" t="s">
        <v>34</v>
      </c>
      <c r="P10" s="49" t="s">
        <v>34</v>
      </c>
      <c r="Q10" s="49" t="s">
        <v>34</v>
      </c>
      <c r="R10" s="50" t="s">
        <v>34</v>
      </c>
      <c r="S10" s="51" t="s">
        <v>34</v>
      </c>
      <c r="T10" s="51" t="s">
        <v>34</v>
      </c>
      <c r="U10" s="51" t="s">
        <v>34</v>
      </c>
      <c r="V10" s="78" t="s">
        <v>34</v>
      </c>
      <c r="W10" s="32"/>
      <c r="X10" s="32"/>
      <c r="Y10" s="32"/>
      <c r="Z10" s="32"/>
      <c r="AA10" s="32"/>
      <c r="AB10" s="32"/>
      <c r="AC10" s="32"/>
      <c r="AD10" s="32"/>
      <c r="AE10" s="92">
        <v>6.78</v>
      </c>
      <c r="AF10">
        <v>10</v>
      </c>
      <c r="AG10" s="45">
        <v>1</v>
      </c>
      <c r="AH10" s="92">
        <v>9.8800000000000008</v>
      </c>
      <c r="AI10"/>
      <c r="AJ10" s="64" t="str">
        <f>IF(D10="nd","nd",D10*$C10/constants!$B$3)</f>
        <v>nd</v>
      </c>
      <c r="AK10" s="64" t="str">
        <f>IF(E10="nd","nd",E10*$C10/constants!$B$6)</f>
        <v>nd</v>
      </c>
      <c r="AL10" s="64" t="str">
        <f>IF(F10="nd","nd",F10*$C10/constants!$B$7)</f>
        <v>nd</v>
      </c>
      <c r="AM10" s="64" t="str">
        <f>IF(G10="nd","nd",G10*$C10/constants!$B$8)</f>
        <v>nd</v>
      </c>
      <c r="AN10" s="64" t="str">
        <f>IF(H10="nd","nd",H10*$C10/constants!$B$9)</f>
        <v>nd</v>
      </c>
      <c r="AO10" s="64" t="str">
        <f>IF(I10="nd","nd",I10*$C10/constants!$B$10)</f>
        <v>nd</v>
      </c>
      <c r="AP10" s="162" t="e">
        <f>(IF(IFERROR(J10-#REF!,J10)&gt;constants!$D$5,(IFERROR(J10-#REF!,J10)*$C10/1000),0))</f>
        <v>#VALUE!</v>
      </c>
      <c r="AQ10" s="162" t="e">
        <f>(IF(IFERROR(K10-#REF!,K10)&gt;constants!$D$11,(IFERROR(K10-#REF!,K10)*$C10/1000),0))</f>
        <v>#VALUE!</v>
      </c>
      <c r="AR10" s="162" t="e">
        <f>(IF(IFERROR(L10-#REF!,L10)&gt;constants!$D$19,(IFERROR(L10-#REF!,L10)*$C10/1000),0))</f>
        <v>#VALUE!</v>
      </c>
      <c r="AS10" s="162" t="e">
        <f>(IF(IFERROR(M10-#REF!,M10)&gt;constants!$D$4,(IFERROR(M10-#REF!,M10)*$C10/1000),0))</f>
        <v>#VALUE!</v>
      </c>
      <c r="AT10" s="162" t="e">
        <f>(IF(IFERROR(N10-#REF!,N10)&gt;constants!$D$5,(IFERROR(N10-#REF!,N10)*$C10/1000),0))</f>
        <v>#VALUE!</v>
      </c>
      <c r="AU10" s="162" t="e">
        <f>(IF(IFERROR(O10-#REF!,O10)&gt;constants!$D$12,(IFERROR(O10-#REF!,O10)*$C10/1000),0))</f>
        <v>#VALUE!</v>
      </c>
      <c r="AV10" s="162" t="e">
        <f>(IF(IFERROR(P10-#REF!,P10)&gt;constants!$D$5,(IFERROR(P10-#REF!,P10)*$C10/1000),0))</f>
        <v>#VALUE!</v>
      </c>
      <c r="AW10" s="162" t="e">
        <f>(IF(IFERROR(Q10-#REF!,Q10)&gt;constants!$D$13,(IFERROR(Q10-#REF!,Q10)*$C10/1000),0))</f>
        <v>#VALUE!</v>
      </c>
      <c r="AX10" s="162" t="e">
        <f>(IF(IFERROR(R10-#REF!,R10)&gt;constants!$D$14,(IFERROR(R10-#REF!,R10)*$C10/constants!$B$14),0))</f>
        <v>#VALUE!</v>
      </c>
      <c r="AY10" s="64" t="e">
        <f>(IF(IFERROR(S10-#REF!,S10)&gt;constants!$D$15,(IFERROR(S10-#REF!,S10)*$C10/constants!$B$15),0))</f>
        <v>#VALUE!</v>
      </c>
      <c r="AZ10" s="64">
        <f>IF(AH10="nd","nd",AH10*Table315202530[[#This Row],[dilution ]]/constants!$B$23)</f>
        <v>1.0968028419182949</v>
      </c>
      <c r="BA10" s="64">
        <f>Table315202530[[#This Row],[dilution ]]*Table315202530[[#This Row],[correction factor]]*Table315202530[[#This Row],[amount]]/1000</f>
        <v>9.8800000000000013E-2</v>
      </c>
      <c r="BB10" s="64" t="e">
        <f>(Table315202530[[#This Row],[pressure]]*(Table315202530[[#This Row],[Amount 25]]/100)*constants!I10)/(constants!$I$6*constants!$I$5)</f>
        <v>#DIV/0!</v>
      </c>
      <c r="BC10" s="64"/>
      <c r="BD10" s="64" t="e">
        <f>(Table516212631[[#This Row],[Concentration]]*constants!$C$3)/1000</f>
        <v>#VALUE!</v>
      </c>
      <c r="BE10" s="64" t="e">
        <f>(Table516212631[[#This Row],[Concentration2]]*constants!$C$6)/1000</f>
        <v>#VALUE!</v>
      </c>
      <c r="BF10" s="64" t="e">
        <f>(Table516212631[[#This Row],[Concentration3]]*constants!$C$7)/1000</f>
        <v>#VALUE!</v>
      </c>
      <c r="BG10" s="64" t="e">
        <f>(Table516212631[[#This Row],[Concentration4]]*constants!$C$8)/1000</f>
        <v>#VALUE!</v>
      </c>
      <c r="BH10" s="64" t="e">
        <f>(Table516212631[[#This Row],[Concentration5]]*constants!$C$9)/1000</f>
        <v>#VALUE!</v>
      </c>
      <c r="BI10" s="64" t="e">
        <f>(Table516212631[[#This Row],[Concentration6]]*constants!$C$10)/1000</f>
        <v>#VALUE!</v>
      </c>
      <c r="BJ10" s="64" t="e">
        <f>(Table516212631[[#This Row],[Concentration7]]*constants!$C$5)</f>
        <v>#VALUE!</v>
      </c>
      <c r="BK10" s="64" t="e">
        <f>(Table516212631[[#This Row],[Concentration8]]*3)</f>
        <v>#VALUE!</v>
      </c>
      <c r="BL10" s="64" t="e">
        <f>(Table516212631[[#This Row],[Concentration9]]*4)</f>
        <v>#VALUE!</v>
      </c>
      <c r="BM10" s="64" t="e">
        <f>(Table516212631[[#This Row],[Concentration10]]*4)</f>
        <v>#VALUE!</v>
      </c>
      <c r="BN10" s="64" t="e">
        <f>(Table516212631[[#This Row],[Concentration11]]*5)</f>
        <v>#VALUE!</v>
      </c>
      <c r="BO10" s="64" t="e">
        <f>(Table516212631[[#This Row],[Concentration12]]*5)</f>
        <v>#VALUE!</v>
      </c>
      <c r="BP10" s="64" t="e">
        <f>(Table516212631[[#This Row],[Concentration13]]*6)</f>
        <v>#VALUE!</v>
      </c>
      <c r="BQ10" s="64" t="e">
        <f>(Table516212631[[#This Row],[Concentration14]]*6)</f>
        <v>#VALUE!</v>
      </c>
      <c r="BR10" s="64" t="e">
        <f>(Table516212631[[#This Row],[Concentration15]]*7)</f>
        <v>#VALUE!</v>
      </c>
      <c r="BS10" s="64" t="e">
        <f>(Table516212631[[#This Row],[Concentration16]]*8)</f>
        <v>#VALUE!</v>
      </c>
      <c r="BT10" s="64">
        <f>(Table516212631[[#This Row],[Concentration17]]*3)/1000</f>
        <v>3.2904085257548848E-3</v>
      </c>
      <c r="BU10" s="47" t="e">
        <f>Table516212631[[#This Row],[Concentration18]]/1000</f>
        <v>#DIV/0!</v>
      </c>
      <c r="BV10" s="47">
        <f>Table516212631[[#This Row],[Concentration19]]/1000</f>
        <v>0</v>
      </c>
    </row>
    <row r="11" spans="1:74" s="47" customFormat="1" ht="16" thickBot="1" x14ac:dyDescent="0.4">
      <c r="A11" s="63" t="str">
        <f>'B1'!A11</f>
        <v>23-03-18</v>
      </c>
      <c r="B11" s="74">
        <f>Table2[[#This Row],[Time]]</f>
        <v>3</v>
      </c>
      <c r="C11" s="41">
        <v>0</v>
      </c>
      <c r="D11" s="18" t="s">
        <v>34</v>
      </c>
      <c r="E11" s="18" t="s">
        <v>34</v>
      </c>
      <c r="F11" s="18" t="s">
        <v>34</v>
      </c>
      <c r="G11" s="18" t="s">
        <v>34</v>
      </c>
      <c r="H11" s="18" t="s">
        <v>34</v>
      </c>
      <c r="I11" s="18" t="s">
        <v>34</v>
      </c>
      <c r="J11" s="18" t="s">
        <v>34</v>
      </c>
      <c r="K11" s="18" t="s">
        <v>34</v>
      </c>
      <c r="L11" s="18" t="s">
        <v>34</v>
      </c>
      <c r="M11" s="18" t="s">
        <v>34</v>
      </c>
      <c r="N11" s="19" t="s">
        <v>34</v>
      </c>
      <c r="O11" s="18" t="s">
        <v>34</v>
      </c>
      <c r="P11" s="18" t="s">
        <v>34</v>
      </c>
      <c r="Q11" s="18" t="s">
        <v>34</v>
      </c>
      <c r="R11" s="19" t="s">
        <v>34</v>
      </c>
      <c r="S11" s="20" t="s">
        <v>34</v>
      </c>
      <c r="T11" s="20" t="s">
        <v>34</v>
      </c>
      <c r="U11" s="20" t="s">
        <v>34</v>
      </c>
      <c r="V11" s="21" t="s">
        <v>34</v>
      </c>
      <c r="W11" s="52"/>
      <c r="X11" s="52"/>
      <c r="Y11" s="52"/>
      <c r="Z11" s="52"/>
      <c r="AA11" s="52"/>
      <c r="AB11" s="52"/>
      <c r="AC11" s="52"/>
      <c r="AD11" s="52"/>
      <c r="AE11" s="92">
        <v>6.31</v>
      </c>
      <c r="AF11">
        <v>10</v>
      </c>
      <c r="AG11" s="45">
        <v>1</v>
      </c>
      <c r="AH11" s="92">
        <v>28.6843</v>
      </c>
      <c r="AI11"/>
      <c r="AJ11" s="64" t="str">
        <f>IF(D11="nd","nd",D11*$C11/constants!$B$3)</f>
        <v>nd</v>
      </c>
      <c r="AK11" s="64" t="str">
        <f>IF(E11="nd","nd",E11*$C11/constants!$B$6)</f>
        <v>nd</v>
      </c>
      <c r="AL11" s="64" t="str">
        <f>IF(F11="nd","nd",F11*$C11/constants!$B$7)</f>
        <v>nd</v>
      </c>
      <c r="AM11" s="64" t="str">
        <f>IF(G11="nd","nd",G11*$C11/constants!$B$8)</f>
        <v>nd</v>
      </c>
      <c r="AN11" s="64" t="str">
        <f>IF(H11="nd","nd",H11*$C11/constants!$B$9)</f>
        <v>nd</v>
      </c>
      <c r="AO11" s="64" t="str">
        <f>IF(I11="nd","nd",I11*$C11/constants!$B$10)</f>
        <v>nd</v>
      </c>
      <c r="AP11" s="162" t="e">
        <f>(IF(IFERROR(J11-#REF!,J11)&gt;constants!$D$5,(IFERROR(J11-#REF!,J11)*$C11/1000),0))</f>
        <v>#VALUE!</v>
      </c>
      <c r="AQ11" s="162" t="e">
        <f>(IF(IFERROR(K11-#REF!,K11)&gt;constants!$D$11,(IFERROR(K11-#REF!,K11)*$C11/1000),0))</f>
        <v>#VALUE!</v>
      </c>
      <c r="AR11" s="162" t="e">
        <f>(IF(IFERROR(L11-#REF!,L11)&gt;constants!$D$19,(IFERROR(L11-#REF!,L11)*$C11/1000),0))</f>
        <v>#VALUE!</v>
      </c>
      <c r="AS11" s="162" t="e">
        <f>(IF(IFERROR(M11-#REF!,M11)&gt;constants!$D$4,(IFERROR(M11-#REF!,M11)*$C11/1000),0))</f>
        <v>#VALUE!</v>
      </c>
      <c r="AT11" s="162" t="e">
        <f>(IF(IFERROR(N11-#REF!,N11)&gt;constants!$D$5,(IFERROR(N11-#REF!,N11)*$C11/1000),0))</f>
        <v>#VALUE!</v>
      </c>
      <c r="AU11" s="162" t="e">
        <f>(IF(IFERROR(O11-#REF!,O11)&gt;constants!$D$12,(IFERROR(O11-#REF!,O11)*$C11/1000),0))</f>
        <v>#VALUE!</v>
      </c>
      <c r="AV11" s="162" t="e">
        <f>(IF(IFERROR(P11-#REF!,P11)&gt;constants!$D$5,(IFERROR(P11-#REF!,P11)*$C11/1000),0))</f>
        <v>#VALUE!</v>
      </c>
      <c r="AW11" s="162" t="e">
        <f>(IF(IFERROR(Q11-#REF!,Q11)&gt;constants!$D$13,(IFERROR(Q11-#REF!,Q11)*$C11/1000),0))</f>
        <v>#VALUE!</v>
      </c>
      <c r="AX11" s="162" t="e">
        <f>(IF(IFERROR(R11-#REF!,R11)&gt;constants!$D$14,(IFERROR(R11-#REF!,R11)*$C11/constants!$B$14),0))</f>
        <v>#VALUE!</v>
      </c>
      <c r="AY11" s="64" t="e">
        <f>(IF(IFERROR(S11-#REF!,S11)&gt;constants!$D$15,(IFERROR(S11-#REF!,S11)*$C11/constants!$B$15),0))</f>
        <v>#VALUE!</v>
      </c>
      <c r="AZ11" s="64">
        <f>IF(AH11="nd","nd",AH11*Table315202530[[#This Row],[dilution ]]/constants!$B$23)</f>
        <v>3.1843139431616345</v>
      </c>
      <c r="BA11" s="64">
        <f>Table315202530[[#This Row],[dilution ]]*Table315202530[[#This Row],[correction factor]]*Table315202530[[#This Row],[amount]]/1000</f>
        <v>0.28684300000000001</v>
      </c>
      <c r="BB11" s="64" t="e">
        <f>(Table315202530[[#This Row],[pressure]]*(Table315202530[[#This Row],[Amount 25]]/100)*constants!I11)/(constants!$I$6*constants!$I$5)</f>
        <v>#DIV/0!</v>
      </c>
      <c r="BC11" s="64"/>
      <c r="BD11" s="64" t="e">
        <f>(Table516212631[[#This Row],[Concentration]]*constants!$C$3)/1000</f>
        <v>#VALUE!</v>
      </c>
      <c r="BE11" s="64" t="e">
        <f>(Table516212631[[#This Row],[Concentration2]]*constants!$C$6)/1000</f>
        <v>#VALUE!</v>
      </c>
      <c r="BF11" s="64" t="e">
        <f>(Table516212631[[#This Row],[Concentration3]]*constants!$C$7)/1000</f>
        <v>#VALUE!</v>
      </c>
      <c r="BG11" s="64" t="e">
        <f>(Table516212631[[#This Row],[Concentration4]]*constants!$C$8)/1000</f>
        <v>#VALUE!</v>
      </c>
      <c r="BH11" s="64" t="e">
        <f>(Table516212631[[#This Row],[Concentration5]]*constants!$C$9)/1000</f>
        <v>#VALUE!</v>
      </c>
      <c r="BI11" s="64" t="e">
        <f>(Table516212631[[#This Row],[Concentration6]]*constants!$C$10)/1000</f>
        <v>#VALUE!</v>
      </c>
      <c r="BJ11" s="64" t="e">
        <f>(Table516212631[[#This Row],[Concentration7]]*constants!$C$5)</f>
        <v>#VALUE!</v>
      </c>
      <c r="BK11" s="64" t="e">
        <f>(Table516212631[[#This Row],[Concentration8]]*3)</f>
        <v>#VALUE!</v>
      </c>
      <c r="BL11" s="64" t="e">
        <f>(Table516212631[[#This Row],[Concentration9]]*4)</f>
        <v>#VALUE!</v>
      </c>
      <c r="BM11" s="64" t="e">
        <f>(Table516212631[[#This Row],[Concentration10]]*4)</f>
        <v>#VALUE!</v>
      </c>
      <c r="BN11" s="64" t="e">
        <f>(Table516212631[[#This Row],[Concentration11]]*5)</f>
        <v>#VALUE!</v>
      </c>
      <c r="BO11" s="64" t="e">
        <f>(Table516212631[[#This Row],[Concentration12]]*5)</f>
        <v>#VALUE!</v>
      </c>
      <c r="BP11" s="64" t="e">
        <f>(Table516212631[[#This Row],[Concentration13]]*6)</f>
        <v>#VALUE!</v>
      </c>
      <c r="BQ11" s="64" t="e">
        <f>(Table516212631[[#This Row],[Concentration14]]*6)</f>
        <v>#VALUE!</v>
      </c>
      <c r="BR11" s="64" t="e">
        <f>(Table516212631[[#This Row],[Concentration15]]*7)</f>
        <v>#VALUE!</v>
      </c>
      <c r="BS11" s="64" t="e">
        <f>(Table516212631[[#This Row],[Concentration16]]*8)</f>
        <v>#VALUE!</v>
      </c>
      <c r="BT11" s="64">
        <f>(Table516212631[[#This Row],[Concentration17]]*3)/1000</f>
        <v>9.5529418294849049E-3</v>
      </c>
      <c r="BU11" s="47" t="e">
        <f>Table516212631[[#This Row],[Concentration18]]/1000</f>
        <v>#DIV/0!</v>
      </c>
      <c r="BV11" s="47">
        <f>Table516212631[[#This Row],[Concentration19]]/1000</f>
        <v>0</v>
      </c>
    </row>
    <row r="12" spans="1:74" s="66" customFormat="1" ht="16" thickBot="1" x14ac:dyDescent="0.4">
      <c r="A12" s="63" t="str">
        <f>'B1'!A12</f>
        <v>26-03-18</v>
      </c>
      <c r="B12" s="74">
        <f>Table2[[#This Row],[Time]]</f>
        <v>6</v>
      </c>
      <c r="C12" s="77">
        <v>0</v>
      </c>
      <c r="D12" s="49" t="s">
        <v>34</v>
      </c>
      <c r="E12" s="49" t="s">
        <v>34</v>
      </c>
      <c r="F12" s="49" t="s">
        <v>34</v>
      </c>
      <c r="G12" s="49" t="s">
        <v>34</v>
      </c>
      <c r="H12" s="49" t="s">
        <v>34</v>
      </c>
      <c r="I12" s="49" t="s">
        <v>34</v>
      </c>
      <c r="J12" s="49" t="s">
        <v>34</v>
      </c>
      <c r="K12" s="49" t="s">
        <v>34</v>
      </c>
      <c r="L12" s="49" t="s">
        <v>34</v>
      </c>
      <c r="M12" s="49" t="s">
        <v>34</v>
      </c>
      <c r="N12" s="50" t="s">
        <v>34</v>
      </c>
      <c r="O12" s="49" t="s">
        <v>34</v>
      </c>
      <c r="P12" s="49" t="s">
        <v>34</v>
      </c>
      <c r="Q12" s="49" t="s">
        <v>34</v>
      </c>
      <c r="R12" s="50" t="s">
        <v>34</v>
      </c>
      <c r="S12" s="51" t="s">
        <v>34</v>
      </c>
      <c r="T12" s="51" t="s">
        <v>34</v>
      </c>
      <c r="U12" s="51" t="s">
        <v>34</v>
      </c>
      <c r="V12" s="78" t="s">
        <v>34</v>
      </c>
      <c r="W12" s="32"/>
      <c r="X12" s="32"/>
      <c r="Y12" s="32"/>
      <c r="Z12" s="32"/>
      <c r="AA12" s="32"/>
      <c r="AB12" s="32"/>
      <c r="AC12" s="32"/>
      <c r="AD12" s="32"/>
      <c r="AE12" s="80">
        <v>3.69</v>
      </c>
      <c r="AF12">
        <v>100</v>
      </c>
      <c r="AG12" s="45">
        <v>1</v>
      </c>
      <c r="AH12" s="80">
        <v>9.5200999999999993</v>
      </c>
      <c r="AI12"/>
      <c r="AJ12" s="64" t="str">
        <f>IF(D12="nd","nd",D12*$C12/constants!$B$3)</f>
        <v>nd</v>
      </c>
      <c r="AK12" s="64" t="str">
        <f>IF(E12="nd","nd",E12*$C12/constants!$B$6)</f>
        <v>nd</v>
      </c>
      <c r="AL12" s="64" t="str">
        <f>IF(F12="nd","nd",F12*$C12/constants!$B$7)</f>
        <v>nd</v>
      </c>
      <c r="AM12" s="64" t="str">
        <f>IF(G12="nd","nd",G12*$C12/constants!$B$8)</f>
        <v>nd</v>
      </c>
      <c r="AN12" s="64" t="str">
        <f>IF(H12="nd","nd",H12*$C12/constants!$B$9)</f>
        <v>nd</v>
      </c>
      <c r="AO12" s="64" t="str">
        <f>IF(I12="nd","nd",I12*$C12/constants!$B$10)</f>
        <v>nd</v>
      </c>
      <c r="AP12" s="162" t="e">
        <f>(IF(IFERROR(J12-#REF!,J12)&gt;constants!$D$5,(IFERROR(J12-#REF!,J12)*$C12/1000),0))</f>
        <v>#VALUE!</v>
      </c>
      <c r="AQ12" s="162" t="e">
        <f>(IF(IFERROR(K12-#REF!,K12)&gt;constants!$D$11,(IFERROR(K12-#REF!,K12)*$C12/1000),0))</f>
        <v>#VALUE!</v>
      </c>
      <c r="AR12" s="162" t="e">
        <f>(IF(IFERROR(L12-#REF!,L12)&gt;constants!$D$19,(IFERROR(L12-#REF!,L12)*$C12/1000),0))</f>
        <v>#VALUE!</v>
      </c>
      <c r="AS12" s="162" t="e">
        <f>(IF(IFERROR(M12-#REF!,M12)&gt;constants!$D$4,(IFERROR(M12-#REF!,M12)*$C12/1000),0))</f>
        <v>#VALUE!</v>
      </c>
      <c r="AT12" s="162" t="e">
        <f>(IF(IFERROR(N12-#REF!,N12)&gt;constants!$D$5,(IFERROR(N12-#REF!,N12)*$C12/1000),0))</f>
        <v>#VALUE!</v>
      </c>
      <c r="AU12" s="162" t="e">
        <f>(IF(IFERROR(O12-#REF!,O12)&gt;constants!$D$12,(IFERROR(O12-#REF!,O12)*$C12/1000),0))</f>
        <v>#VALUE!</v>
      </c>
      <c r="AV12" s="162" t="e">
        <f>(IF(IFERROR(P12-#REF!,P12)&gt;constants!$D$5,(IFERROR(P12-#REF!,P12)*$C12/1000),0))</f>
        <v>#VALUE!</v>
      </c>
      <c r="AW12" s="162" t="e">
        <f>(IF(IFERROR(Q12-#REF!,Q12)&gt;constants!$D$13,(IFERROR(Q12-#REF!,Q12)*$C12/1000),0))</f>
        <v>#VALUE!</v>
      </c>
      <c r="AX12" s="162" t="e">
        <f>(IF(IFERROR(R12-#REF!,R12)&gt;constants!$D$14,(IFERROR(R12-#REF!,R12)*$C12/constants!$B$14),0))</f>
        <v>#VALUE!</v>
      </c>
      <c r="AY12" s="64" t="e">
        <f>(IF(IFERROR(S12-#REF!,S12)&gt;constants!$D$15,(IFERROR(S12-#REF!,S12)*$C12/constants!$B$15),0))</f>
        <v>#VALUE!</v>
      </c>
      <c r="AZ12" s="64">
        <f>IF(AH12="nd","nd",AH12*Table315202530[[#This Row],[dilution ]]/constants!$B$23)</f>
        <v>10.568494671403197</v>
      </c>
      <c r="BA12" s="64">
        <f>Table315202530[[#This Row],[dilution ]]*Table315202530[[#This Row],[correction factor]]*Table315202530[[#This Row],[amount]]/1000</f>
        <v>0.95201000000000002</v>
      </c>
      <c r="BB12" s="64" t="e">
        <f>(Table315202530[[#This Row],[pressure]]*(Table315202530[[#This Row],[Amount 25]]/100)*constants!I12)/(constants!$I$6*constants!$I$5)</f>
        <v>#DIV/0!</v>
      </c>
      <c r="BC12" s="64"/>
      <c r="BD12" s="64" t="e">
        <f>(Table516212631[[#This Row],[Concentration]]*constants!$C$3)/1000</f>
        <v>#VALUE!</v>
      </c>
      <c r="BE12" s="64" t="e">
        <f>(Table516212631[[#This Row],[Concentration2]]*constants!$C$6)/1000</f>
        <v>#VALUE!</v>
      </c>
      <c r="BF12" s="64" t="e">
        <f>(Table516212631[[#This Row],[Concentration3]]*constants!$C$7)/1000</f>
        <v>#VALUE!</v>
      </c>
      <c r="BG12" s="64" t="e">
        <f>(Table516212631[[#This Row],[Concentration4]]*constants!$C$8)/1000</f>
        <v>#VALUE!</v>
      </c>
      <c r="BH12" s="64" t="e">
        <f>(Table516212631[[#This Row],[Concentration5]]*constants!$C$9)/1000</f>
        <v>#VALUE!</v>
      </c>
      <c r="BI12" s="64" t="e">
        <f>(Table516212631[[#This Row],[Concentration6]]*constants!$C$10)/1000</f>
        <v>#VALUE!</v>
      </c>
      <c r="BJ12" s="64" t="e">
        <f>(Table516212631[[#This Row],[Concentration7]]*constants!$C$5)</f>
        <v>#VALUE!</v>
      </c>
      <c r="BK12" s="64" t="e">
        <f>(Table516212631[[#This Row],[Concentration8]]*3)</f>
        <v>#VALUE!</v>
      </c>
      <c r="BL12" s="64" t="e">
        <f>(Table516212631[[#This Row],[Concentration9]]*4)</f>
        <v>#VALUE!</v>
      </c>
      <c r="BM12" s="64" t="e">
        <f>(Table516212631[[#This Row],[Concentration10]]*4)</f>
        <v>#VALUE!</v>
      </c>
      <c r="BN12" s="64" t="e">
        <f>(Table516212631[[#This Row],[Concentration11]]*5)</f>
        <v>#VALUE!</v>
      </c>
      <c r="BO12" s="64" t="e">
        <f>(Table516212631[[#This Row],[Concentration12]]*5)</f>
        <v>#VALUE!</v>
      </c>
      <c r="BP12" s="64" t="e">
        <f>(Table516212631[[#This Row],[Concentration13]]*6)</f>
        <v>#VALUE!</v>
      </c>
      <c r="BQ12" s="64" t="e">
        <f>(Table516212631[[#This Row],[Concentration14]]*6)</f>
        <v>#VALUE!</v>
      </c>
      <c r="BR12" s="64" t="e">
        <f>(Table516212631[[#This Row],[Concentration15]]*7)</f>
        <v>#VALUE!</v>
      </c>
      <c r="BS12" s="64" t="e">
        <f>(Table516212631[[#This Row],[Concentration16]]*8)</f>
        <v>#VALUE!</v>
      </c>
      <c r="BT12" s="64">
        <f>(Table516212631[[#This Row],[Concentration17]]*3)/1000</f>
        <v>3.1705484014209591E-2</v>
      </c>
      <c r="BU12" s="47" t="e">
        <f>Table516212631[[#This Row],[Concentration18]]/1000</f>
        <v>#DIV/0!</v>
      </c>
      <c r="BV12" s="47">
        <f>Table516212631[[#This Row],[Concentration19]]/1000</f>
        <v>0</v>
      </c>
    </row>
    <row r="13" spans="1:74" s="47" customFormat="1" ht="16" thickBot="1" x14ac:dyDescent="0.4">
      <c r="A13" s="63" t="str">
        <f>'B1'!A13</f>
        <v>29-03-18</v>
      </c>
      <c r="B13" s="74">
        <f>Table2[[#This Row],[Time]]</f>
        <v>9</v>
      </c>
      <c r="C13" s="41">
        <v>0</v>
      </c>
      <c r="D13" s="18" t="s">
        <v>34</v>
      </c>
      <c r="E13" s="18" t="s">
        <v>34</v>
      </c>
      <c r="F13" s="18" t="s">
        <v>34</v>
      </c>
      <c r="G13" s="18" t="s">
        <v>34</v>
      </c>
      <c r="H13" s="18" t="s">
        <v>34</v>
      </c>
      <c r="I13" s="18" t="s">
        <v>34</v>
      </c>
      <c r="J13" s="18" t="s">
        <v>34</v>
      </c>
      <c r="K13" s="18" t="s">
        <v>34</v>
      </c>
      <c r="L13" s="18" t="s">
        <v>34</v>
      </c>
      <c r="M13" s="18" t="s">
        <v>34</v>
      </c>
      <c r="N13" s="19" t="s">
        <v>34</v>
      </c>
      <c r="O13" s="18" t="s">
        <v>34</v>
      </c>
      <c r="P13" s="18" t="s">
        <v>34</v>
      </c>
      <c r="Q13" s="18" t="s">
        <v>34</v>
      </c>
      <c r="R13" s="19" t="s">
        <v>34</v>
      </c>
      <c r="S13" s="20" t="s">
        <v>34</v>
      </c>
      <c r="T13" s="20" t="s">
        <v>34</v>
      </c>
      <c r="U13" s="20" t="s">
        <v>34</v>
      </c>
      <c r="V13" s="21" t="s">
        <v>34</v>
      </c>
      <c r="W13" s="52"/>
      <c r="X13" s="52"/>
      <c r="Y13" s="52"/>
      <c r="Z13" s="52"/>
      <c r="AA13" s="52"/>
      <c r="AB13" s="52"/>
      <c r="AC13" s="52"/>
      <c r="AD13" s="52"/>
      <c r="AE13" s="80">
        <v>2.97</v>
      </c>
      <c r="AF13">
        <v>100</v>
      </c>
      <c r="AG13" s="45">
        <v>1</v>
      </c>
      <c r="AH13" s="80">
        <v>26.4072</v>
      </c>
      <c r="AI13"/>
      <c r="AJ13" s="64" t="str">
        <f>IF(D13="nd","nd",D13*$C13/constants!$B$3)</f>
        <v>nd</v>
      </c>
      <c r="AK13" s="64" t="str">
        <f>IF(E13="nd","nd",E13*$C13/constants!$B$6)</f>
        <v>nd</v>
      </c>
      <c r="AL13" s="64" t="str">
        <f>IF(F13="nd","nd",F13*$C13/constants!$B$7)</f>
        <v>nd</v>
      </c>
      <c r="AM13" s="64" t="str">
        <f>IF(G13="nd","nd",G13*$C13/constants!$B$8)</f>
        <v>nd</v>
      </c>
      <c r="AN13" s="64" t="str">
        <f>IF(H13="nd","nd",H13*$C13/constants!$B$9)</f>
        <v>nd</v>
      </c>
      <c r="AO13" s="64" t="str">
        <f>IF(I13="nd","nd",I13*$C13/constants!$B$10)</f>
        <v>nd</v>
      </c>
      <c r="AP13" s="162" t="e">
        <f>(IF(IFERROR(J13-#REF!,J13)&gt;constants!$D$5,(IFERROR(J13-#REF!,J13)*$C13/1000),0))</f>
        <v>#VALUE!</v>
      </c>
      <c r="AQ13" s="162" t="e">
        <f>(IF(IFERROR(K13-#REF!,K13)&gt;constants!$D$11,(IFERROR(K13-#REF!,K13)*$C13/1000),0))</f>
        <v>#VALUE!</v>
      </c>
      <c r="AR13" s="162" t="e">
        <f>(IF(IFERROR(L13-#REF!,L13)&gt;constants!$D$19,(IFERROR(L13-#REF!,L13)*$C13/1000),0))</f>
        <v>#VALUE!</v>
      </c>
      <c r="AS13" s="162" t="e">
        <f>(IF(IFERROR(M13-#REF!,M13)&gt;constants!$D$4,(IFERROR(M13-#REF!,M13)*$C13/1000),0))</f>
        <v>#VALUE!</v>
      </c>
      <c r="AT13" s="162" t="e">
        <f>(IF(IFERROR(N13-#REF!,N13)&gt;constants!$D$5,(IFERROR(N13-#REF!,N13)*$C13/1000),0))</f>
        <v>#VALUE!</v>
      </c>
      <c r="AU13" s="162" t="e">
        <f>(IF(IFERROR(O13-#REF!,O13)&gt;constants!$D$12,(IFERROR(O13-#REF!,O13)*$C13/1000),0))</f>
        <v>#VALUE!</v>
      </c>
      <c r="AV13" s="162" t="e">
        <f>(IF(IFERROR(P13-#REF!,P13)&gt;constants!$D$5,(IFERROR(P13-#REF!,P13)*$C13/1000),0))</f>
        <v>#VALUE!</v>
      </c>
      <c r="AW13" s="162" t="e">
        <f>(IF(IFERROR(Q13-#REF!,Q13)&gt;constants!$D$13,(IFERROR(Q13-#REF!,Q13)*$C13/1000),0))</f>
        <v>#VALUE!</v>
      </c>
      <c r="AX13" s="162" t="e">
        <f>(IF(IFERROR(R13-#REF!,R13)&gt;constants!$D$14,(IFERROR(R13-#REF!,R13)*$C13/constants!$B$14),0))</f>
        <v>#VALUE!</v>
      </c>
      <c r="AY13" s="64" t="e">
        <f>(IF(IFERROR(S13-#REF!,S13)&gt;constants!$D$15,(IFERROR(S13-#REF!,S13)*$C13/constants!$B$15),0))</f>
        <v>#VALUE!</v>
      </c>
      <c r="AZ13" s="64">
        <f>IF(AH13="nd","nd",AH13*Table315202530[[#This Row],[dilution ]]/constants!$B$23)</f>
        <v>29.31527531083481</v>
      </c>
      <c r="BA13" s="64">
        <f>Table315202530[[#This Row],[dilution ]]*Table315202530[[#This Row],[correction factor]]*Table315202530[[#This Row],[amount]]/1000</f>
        <v>2.64072</v>
      </c>
      <c r="BB13" s="64" t="e">
        <f>(Table315202530[[#This Row],[pressure]]*(Table315202530[[#This Row],[Amount 25]]/100)*constants!I13)/(constants!$I$6*constants!$I$5)</f>
        <v>#DIV/0!</v>
      </c>
      <c r="BC13" s="64"/>
      <c r="BD13" s="64" t="e">
        <f>(Table516212631[[#This Row],[Concentration]]*constants!$C$3)/1000</f>
        <v>#VALUE!</v>
      </c>
      <c r="BE13" s="64" t="e">
        <f>(Table516212631[[#This Row],[Concentration2]]*constants!$C$6)/1000</f>
        <v>#VALUE!</v>
      </c>
      <c r="BF13" s="64" t="e">
        <f>(Table516212631[[#This Row],[Concentration3]]*constants!$C$7)/1000</f>
        <v>#VALUE!</v>
      </c>
      <c r="BG13" s="64" t="e">
        <f>(Table516212631[[#This Row],[Concentration4]]*constants!$C$8)/1000</f>
        <v>#VALUE!</v>
      </c>
      <c r="BH13" s="64" t="e">
        <f>(Table516212631[[#This Row],[Concentration5]]*constants!$C$9)/1000</f>
        <v>#VALUE!</v>
      </c>
      <c r="BI13" s="64" t="e">
        <f>(Table516212631[[#This Row],[Concentration6]]*constants!$C$10)/1000</f>
        <v>#VALUE!</v>
      </c>
      <c r="BJ13" s="64" t="e">
        <f>(Table516212631[[#This Row],[Concentration7]]*constants!$C$5)</f>
        <v>#VALUE!</v>
      </c>
      <c r="BK13" s="64" t="e">
        <f>(Table516212631[[#This Row],[Concentration8]]*3)</f>
        <v>#VALUE!</v>
      </c>
      <c r="BL13" s="64" t="e">
        <f>(Table516212631[[#This Row],[Concentration9]]*4)</f>
        <v>#VALUE!</v>
      </c>
      <c r="BM13" s="64" t="e">
        <f>(Table516212631[[#This Row],[Concentration10]]*4)</f>
        <v>#VALUE!</v>
      </c>
      <c r="BN13" s="64" t="e">
        <f>(Table516212631[[#This Row],[Concentration11]]*5)</f>
        <v>#VALUE!</v>
      </c>
      <c r="BO13" s="64" t="e">
        <f>(Table516212631[[#This Row],[Concentration12]]*5)</f>
        <v>#VALUE!</v>
      </c>
      <c r="BP13" s="64" t="e">
        <f>(Table516212631[[#This Row],[Concentration13]]*6)</f>
        <v>#VALUE!</v>
      </c>
      <c r="BQ13" s="64" t="e">
        <f>(Table516212631[[#This Row],[Concentration14]]*6)</f>
        <v>#VALUE!</v>
      </c>
      <c r="BR13" s="64" t="e">
        <f>(Table516212631[[#This Row],[Concentration15]]*7)</f>
        <v>#VALUE!</v>
      </c>
      <c r="BS13" s="64" t="e">
        <f>(Table516212631[[#This Row],[Concentration16]]*8)</f>
        <v>#VALUE!</v>
      </c>
      <c r="BT13" s="64">
        <f>(Table516212631[[#This Row],[Concentration17]]*3)/1000</f>
        <v>8.794582593250444E-2</v>
      </c>
      <c r="BU13" s="47" t="e">
        <f>Table516212631[[#This Row],[Concentration18]]/1000</f>
        <v>#DIV/0!</v>
      </c>
      <c r="BV13" s="47">
        <f>Table516212631[[#This Row],[Concentration19]]/1000</f>
        <v>0</v>
      </c>
    </row>
    <row r="14" spans="1:74" s="66" customFormat="1" ht="16" thickBot="1" x14ac:dyDescent="0.4">
      <c r="A14" s="63">
        <f>'B1'!A14</f>
        <v>43163</v>
      </c>
      <c r="B14" s="74">
        <f>Table2[[#This Row],[Time]]</f>
        <v>15</v>
      </c>
      <c r="C14" s="77">
        <v>0</v>
      </c>
      <c r="D14" s="49" t="s">
        <v>34</v>
      </c>
      <c r="E14" s="49" t="s">
        <v>34</v>
      </c>
      <c r="F14" s="49" t="s">
        <v>34</v>
      </c>
      <c r="G14" s="49" t="s">
        <v>34</v>
      </c>
      <c r="H14" s="49" t="s">
        <v>34</v>
      </c>
      <c r="I14" s="49" t="s">
        <v>34</v>
      </c>
      <c r="J14" s="49" t="s">
        <v>34</v>
      </c>
      <c r="K14" s="49" t="s">
        <v>34</v>
      </c>
      <c r="L14" s="49" t="s">
        <v>34</v>
      </c>
      <c r="M14" s="49" t="s">
        <v>34</v>
      </c>
      <c r="N14" s="50" t="s">
        <v>34</v>
      </c>
      <c r="O14" s="49" t="s">
        <v>34</v>
      </c>
      <c r="P14" s="49" t="s">
        <v>34</v>
      </c>
      <c r="Q14" s="49" t="s">
        <v>34</v>
      </c>
      <c r="R14" s="50" t="s">
        <v>34</v>
      </c>
      <c r="S14" s="51" t="s">
        <v>34</v>
      </c>
      <c r="T14" s="51" t="s">
        <v>34</v>
      </c>
      <c r="U14" s="51" t="s">
        <v>34</v>
      </c>
      <c r="V14" s="78" t="s">
        <v>34</v>
      </c>
      <c r="W14" s="32"/>
      <c r="X14" s="32"/>
      <c r="Y14" s="32"/>
      <c r="Z14" s="32"/>
      <c r="AA14" s="32"/>
      <c r="AB14" s="32"/>
      <c r="AC14" s="32"/>
      <c r="AD14" s="32"/>
      <c r="AE14" s="80">
        <v>2.68</v>
      </c>
      <c r="AF14">
        <f>100</f>
        <v>100</v>
      </c>
      <c r="AG14" s="45">
        <v>1</v>
      </c>
      <c r="AH14" s="92">
        <v>95.779200000000003</v>
      </c>
      <c r="AI14"/>
      <c r="AJ14" s="64" t="str">
        <f>IF(D14="nd","nd",D14*$C14/constants!$B$3)</f>
        <v>nd</v>
      </c>
      <c r="AK14" s="64" t="str">
        <f>IF(E14="nd","nd",E14*$C14/constants!$B$6)</f>
        <v>nd</v>
      </c>
      <c r="AL14" s="64" t="str">
        <f>IF(F14="nd","nd",F14*$C14/constants!$B$7)</f>
        <v>nd</v>
      </c>
      <c r="AM14" s="64" t="str">
        <f>IF(G14="nd","nd",G14*$C14/constants!$B$8)</f>
        <v>nd</v>
      </c>
      <c r="AN14" s="64" t="str">
        <f>IF(H14="nd","nd",H14*$C14/constants!$B$9)</f>
        <v>nd</v>
      </c>
      <c r="AO14" s="64" t="str">
        <f>IF(I14="nd","nd",I14*$C14/constants!$B$10)</f>
        <v>nd</v>
      </c>
      <c r="AP14" s="162" t="e">
        <f>(IF(IFERROR(J14-#REF!,J14)&gt;constants!$D$5,(IFERROR(J14-#REF!,J14)*$C14/1000),0))</f>
        <v>#VALUE!</v>
      </c>
      <c r="AQ14" s="162" t="e">
        <f>(IF(IFERROR(K14-#REF!,K14)&gt;constants!$D$11,(IFERROR(K14-#REF!,K14)*$C14/1000),0))</f>
        <v>#VALUE!</v>
      </c>
      <c r="AR14" s="162" t="e">
        <f>(IF(IFERROR(L14-#REF!,L14)&gt;constants!$D$19,(IFERROR(L14-#REF!,L14)*$C14/1000),0))</f>
        <v>#VALUE!</v>
      </c>
      <c r="AS14" s="162" t="e">
        <f>(IF(IFERROR(M14-#REF!,M14)&gt;constants!$D$4,(IFERROR(M14-#REF!,M14)*$C14/1000),0))</f>
        <v>#VALUE!</v>
      </c>
      <c r="AT14" s="162" t="e">
        <f>(IF(IFERROR(N14-#REF!,N14)&gt;constants!$D$5,(IFERROR(N14-#REF!,N14)*$C14/1000),0))</f>
        <v>#VALUE!</v>
      </c>
      <c r="AU14" s="162" t="e">
        <f>(IF(IFERROR(O14-#REF!,O14)&gt;constants!$D$12,(IFERROR(O14-#REF!,O14)*$C14/1000),0))</f>
        <v>#VALUE!</v>
      </c>
      <c r="AV14" s="162" t="e">
        <f>(IF(IFERROR(P14-#REF!,P14)&gt;constants!$D$5,(IFERROR(P14-#REF!,P14)*$C14/1000),0))</f>
        <v>#VALUE!</v>
      </c>
      <c r="AW14" s="162" t="e">
        <f>(IF(IFERROR(Q14-#REF!,Q14)&gt;constants!$D$13,(IFERROR(Q14-#REF!,Q14)*$C14/1000),0))</f>
        <v>#VALUE!</v>
      </c>
      <c r="AX14" s="162" t="e">
        <f>(IF(IFERROR(R14-#REF!,R14)&gt;constants!$D$14,(IFERROR(R14-#REF!,R14)*$C14/constants!$B$14),0))</f>
        <v>#VALUE!</v>
      </c>
      <c r="AY14" s="64" t="e">
        <f>(IF(IFERROR(S14-#REF!,S14)&gt;constants!$D$15,(IFERROR(S14-#REF!,S14)*$C14/constants!$B$15),0))</f>
        <v>#VALUE!</v>
      </c>
      <c r="AZ14" s="64">
        <f>IF(AH14="nd","nd",AH14*Table315202530[[#This Row],[dilution ]]/constants!$B$23)</f>
        <v>106.32682060390763</v>
      </c>
      <c r="BA14" s="64">
        <f>Table315202530[[#This Row],[dilution ]]*Table315202530[[#This Row],[correction factor]]*Table315202530[[#This Row],[amount]]/1000</f>
        <v>9.5779200000000007</v>
      </c>
      <c r="BB14" s="64" t="e">
        <f>(Table315202530[[#This Row],[pressure]]*(Table315202530[[#This Row],[Amount 25]]/100)*constants!I14)/(constants!$I$6*constants!$I$5)</f>
        <v>#DIV/0!</v>
      </c>
      <c r="BC14" s="64"/>
      <c r="BD14" s="64" t="e">
        <f>(Table516212631[[#This Row],[Concentration]]*constants!$C$3)/1000</f>
        <v>#VALUE!</v>
      </c>
      <c r="BE14" s="64" t="e">
        <f>(Table516212631[[#This Row],[Concentration2]]*constants!$C$6)/1000</f>
        <v>#VALUE!</v>
      </c>
      <c r="BF14" s="64" t="e">
        <f>(Table516212631[[#This Row],[Concentration3]]*constants!$C$7)/1000</f>
        <v>#VALUE!</v>
      </c>
      <c r="BG14" s="64" t="e">
        <f>(Table516212631[[#This Row],[Concentration4]]*constants!$C$8)/1000</f>
        <v>#VALUE!</v>
      </c>
      <c r="BH14" s="64" t="e">
        <f>(Table516212631[[#This Row],[Concentration5]]*constants!$C$9)/1000</f>
        <v>#VALUE!</v>
      </c>
      <c r="BI14" s="64" t="e">
        <f>(Table516212631[[#This Row],[Concentration6]]*constants!$C$10)/1000</f>
        <v>#VALUE!</v>
      </c>
      <c r="BJ14" s="64" t="e">
        <f>(Table516212631[[#This Row],[Concentration7]]*constants!$C$5)</f>
        <v>#VALUE!</v>
      </c>
      <c r="BK14" s="64" t="e">
        <f>(Table516212631[[#This Row],[Concentration8]]*3)</f>
        <v>#VALUE!</v>
      </c>
      <c r="BL14" s="64" t="e">
        <f>(Table516212631[[#This Row],[Concentration9]]*4)</f>
        <v>#VALUE!</v>
      </c>
      <c r="BM14" s="64" t="e">
        <f>(Table516212631[[#This Row],[Concentration10]]*4)</f>
        <v>#VALUE!</v>
      </c>
      <c r="BN14" s="64" t="e">
        <f>(Table516212631[[#This Row],[Concentration11]]*5)</f>
        <v>#VALUE!</v>
      </c>
      <c r="BO14" s="64" t="e">
        <f>(Table516212631[[#This Row],[Concentration12]]*5)</f>
        <v>#VALUE!</v>
      </c>
      <c r="BP14" s="64" t="e">
        <f>(Table516212631[[#This Row],[Concentration13]]*6)</f>
        <v>#VALUE!</v>
      </c>
      <c r="BQ14" s="64" t="e">
        <f>(Table516212631[[#This Row],[Concentration14]]*6)</f>
        <v>#VALUE!</v>
      </c>
      <c r="BR14" s="64" t="e">
        <f>(Table516212631[[#This Row],[Concentration15]]*7)</f>
        <v>#VALUE!</v>
      </c>
      <c r="BS14" s="64" t="e">
        <f>(Table516212631[[#This Row],[Concentration16]]*8)</f>
        <v>#VALUE!</v>
      </c>
      <c r="BT14" s="64">
        <f>(Table516212631[[#This Row],[Concentration17]]*3)/1000</f>
        <v>0.31898046181172285</v>
      </c>
      <c r="BU14" s="47" t="e">
        <f>Table516212631[[#This Row],[Concentration18]]/1000</f>
        <v>#DIV/0!</v>
      </c>
      <c r="BV14" s="47">
        <f>Table516212631[[#This Row],[Concentration19]]/1000</f>
        <v>0</v>
      </c>
    </row>
    <row r="15" spans="1:74" s="47" customFormat="1" ht="16" thickBot="1" x14ac:dyDescent="0.4">
      <c r="A15" s="63">
        <f>'B1'!A15</f>
        <v>43347</v>
      </c>
      <c r="B15" s="167">
        <f>Table2[[#This Row],[Time]]</f>
        <v>21</v>
      </c>
      <c r="C15" s="41">
        <v>0</v>
      </c>
      <c r="D15" s="18" t="s">
        <v>34</v>
      </c>
      <c r="E15" s="18" t="s">
        <v>34</v>
      </c>
      <c r="F15" s="18" t="s">
        <v>34</v>
      </c>
      <c r="G15" s="18" t="s">
        <v>34</v>
      </c>
      <c r="H15" s="18" t="s">
        <v>34</v>
      </c>
      <c r="I15" s="18" t="s">
        <v>34</v>
      </c>
      <c r="J15" s="18" t="s">
        <v>34</v>
      </c>
      <c r="K15" s="18" t="s">
        <v>34</v>
      </c>
      <c r="L15" s="18" t="s">
        <v>34</v>
      </c>
      <c r="M15" s="18" t="s">
        <v>34</v>
      </c>
      <c r="N15" s="19" t="s">
        <v>34</v>
      </c>
      <c r="O15" s="18" t="s">
        <v>34</v>
      </c>
      <c r="P15" s="18" t="s">
        <v>34</v>
      </c>
      <c r="Q15" s="18" t="s">
        <v>34</v>
      </c>
      <c r="R15" s="19" t="s">
        <v>34</v>
      </c>
      <c r="S15" s="20" t="s">
        <v>34</v>
      </c>
      <c r="T15" s="20" t="s">
        <v>34</v>
      </c>
      <c r="U15" s="20" t="s">
        <v>34</v>
      </c>
      <c r="V15" s="21" t="s">
        <v>34</v>
      </c>
      <c r="W15" s="52"/>
      <c r="X15" s="52"/>
      <c r="Y15" s="52"/>
      <c r="Z15" s="52"/>
      <c r="AA15" s="52"/>
      <c r="AB15" s="52"/>
      <c r="AC15" s="52"/>
      <c r="AD15" s="52"/>
      <c r="AE15" s="23">
        <v>2.61</v>
      </c>
      <c r="AF15">
        <f>100</f>
        <v>100</v>
      </c>
      <c r="AG15" s="45">
        <v>1</v>
      </c>
      <c r="AH15" s="23">
        <v>137.845</v>
      </c>
      <c r="AI15"/>
      <c r="AJ15" s="64" t="str">
        <f>IF(D15="nd","nd",D15*$C15/constants!$B$3)</f>
        <v>nd</v>
      </c>
      <c r="AK15" s="64" t="str">
        <f>IF(E15="nd","nd",E15*$C15/constants!$B$6)</f>
        <v>nd</v>
      </c>
      <c r="AL15" s="64" t="str">
        <f>IF(F15="nd","nd",F15*$C15/constants!$B$7)</f>
        <v>nd</v>
      </c>
      <c r="AM15" s="64" t="str">
        <f>IF(G15="nd","nd",G15*$C15/constants!$B$8)</f>
        <v>nd</v>
      </c>
      <c r="AN15" s="64" t="str">
        <f>IF(H15="nd","nd",H15*$C15/constants!$B$9)</f>
        <v>nd</v>
      </c>
      <c r="AO15" s="64" t="str">
        <f>IF(I15="nd","nd",I15*$C15/constants!$B$10)</f>
        <v>nd</v>
      </c>
      <c r="AP15" s="162" t="e">
        <f>(IF(IFERROR(J15-#REF!,J15)&gt;constants!$D$5,(IFERROR(J15-#REF!,J15)*$C15/1000),0))</f>
        <v>#VALUE!</v>
      </c>
      <c r="AQ15" s="162" t="e">
        <f>(IF(IFERROR(K15-#REF!,K15)&gt;constants!$D$11,(IFERROR(K15-#REF!,K15)*$C15/1000),0))</f>
        <v>#VALUE!</v>
      </c>
      <c r="AR15" s="162" t="e">
        <f>(IF(IFERROR(L15-#REF!,L15)&gt;constants!$D$19,(IFERROR(L15-#REF!,L15)*$C15/1000),0))</f>
        <v>#VALUE!</v>
      </c>
      <c r="AS15" s="162" t="e">
        <f>(IF(IFERROR(M15-#REF!,M15)&gt;constants!$D$4,(IFERROR(M15-#REF!,M15)*$C15/1000),0))</f>
        <v>#VALUE!</v>
      </c>
      <c r="AT15" s="162" t="e">
        <f>(IF(IFERROR(N15-#REF!,N15)&gt;constants!$D$5,(IFERROR(N15-#REF!,N15)*$C15/1000),0))</f>
        <v>#VALUE!</v>
      </c>
      <c r="AU15" s="162" t="e">
        <f>(IF(IFERROR(O15-#REF!,O15)&gt;constants!$D$12,(IFERROR(O15-#REF!,O15)*$C15/1000),0))</f>
        <v>#VALUE!</v>
      </c>
      <c r="AV15" s="162" t="e">
        <f>(IF(IFERROR(P15-#REF!,P15)&gt;constants!$D$5,(IFERROR(P15-#REF!,P15)*$C15/1000),0))</f>
        <v>#VALUE!</v>
      </c>
      <c r="AW15" s="162" t="e">
        <f>(IF(IFERROR(Q15-#REF!,Q15)&gt;constants!$D$13,(IFERROR(Q15-#REF!,Q15)*$C15/1000),0))</f>
        <v>#VALUE!</v>
      </c>
      <c r="AX15" s="162" t="e">
        <f>(IF(IFERROR(R15-#REF!,R15)&gt;constants!$D$14,(IFERROR(R15-#REF!,R15)*$C15/constants!$B$14),0))</f>
        <v>#VALUE!</v>
      </c>
      <c r="AY15" s="64" t="e">
        <f>(IF(IFERROR(S15-#REF!,S15)&gt;constants!$D$15,(IFERROR(S15-#REF!,S15)*$C15/constants!$B$15),0))</f>
        <v>#VALUE!</v>
      </c>
      <c r="AZ15" s="64">
        <f>IF(AH15="nd","nd",AH15*Table315202530[[#This Row],[dilution ]]/constants!$B$23)</f>
        <v>153.02508880994671</v>
      </c>
      <c r="BA15" s="64">
        <f>Table315202530[[#This Row],[dilution ]]*Table315202530[[#This Row],[correction factor]]*Table315202530[[#This Row],[amount]]/1000</f>
        <v>13.7845</v>
      </c>
      <c r="BB15" s="64" t="e">
        <f>(Table315202530[[#This Row],[pressure]]*(Table315202530[[#This Row],[Amount 25]]/100)*constants!I15)/(constants!$I$6*constants!$I$5)</f>
        <v>#DIV/0!</v>
      </c>
      <c r="BC15" s="64"/>
      <c r="BD15" s="64" t="e">
        <f>(Table516212631[[#This Row],[Concentration]]*constants!$C$3)/1000</f>
        <v>#VALUE!</v>
      </c>
      <c r="BE15" s="64" t="e">
        <f>(Table516212631[[#This Row],[Concentration2]]*constants!$C$6)/1000</f>
        <v>#VALUE!</v>
      </c>
      <c r="BF15" s="64" t="e">
        <f>(Table516212631[[#This Row],[Concentration3]]*constants!$C$7)/1000</f>
        <v>#VALUE!</v>
      </c>
      <c r="BG15" s="64" t="e">
        <f>(Table516212631[[#This Row],[Concentration4]]*constants!$C$8)/1000</f>
        <v>#VALUE!</v>
      </c>
      <c r="BH15" s="64" t="e">
        <f>(Table516212631[[#This Row],[Concentration5]]*constants!$C$9)/1000</f>
        <v>#VALUE!</v>
      </c>
      <c r="BI15" s="64" t="e">
        <f>(Table516212631[[#This Row],[Concentration6]]*constants!$C$10)/1000</f>
        <v>#VALUE!</v>
      </c>
      <c r="BJ15" s="64" t="e">
        <f>(Table516212631[[#This Row],[Concentration7]]*constants!$C$5)</f>
        <v>#VALUE!</v>
      </c>
      <c r="BK15" s="64" t="e">
        <f>(Table516212631[[#This Row],[Concentration8]]*3)</f>
        <v>#VALUE!</v>
      </c>
      <c r="BL15" s="64" t="e">
        <f>(Table516212631[[#This Row],[Concentration9]]*4)</f>
        <v>#VALUE!</v>
      </c>
      <c r="BM15" s="64" t="e">
        <f>(Table516212631[[#This Row],[Concentration10]]*4)</f>
        <v>#VALUE!</v>
      </c>
      <c r="BN15" s="64" t="e">
        <f>(Table516212631[[#This Row],[Concentration11]]*5)</f>
        <v>#VALUE!</v>
      </c>
      <c r="BO15" s="64" t="e">
        <f>(Table516212631[[#This Row],[Concentration12]]*5)</f>
        <v>#VALUE!</v>
      </c>
      <c r="BP15" s="64" t="e">
        <f>(Table516212631[[#This Row],[Concentration13]]*6)</f>
        <v>#VALUE!</v>
      </c>
      <c r="BQ15" s="64" t="e">
        <f>(Table516212631[[#This Row],[Concentration14]]*6)</f>
        <v>#VALUE!</v>
      </c>
      <c r="BR15" s="64" t="e">
        <f>(Table516212631[[#This Row],[Concentration15]]*7)</f>
        <v>#VALUE!</v>
      </c>
      <c r="BS15" s="64" t="e">
        <f>(Table516212631[[#This Row],[Concentration16]]*8)</f>
        <v>#VALUE!</v>
      </c>
      <c r="BT15" s="64">
        <f>(Table516212631[[#This Row],[Concentration17]]*3)/1000</f>
        <v>0.45907526642984009</v>
      </c>
      <c r="BU15" s="47" t="e">
        <f>Table516212631[[#This Row],[Concentration18]]/1000</f>
        <v>#DIV/0!</v>
      </c>
      <c r="BV15" s="47">
        <f>Table516212631[[#This Row],[Concentration19]]/1000</f>
        <v>0</v>
      </c>
    </row>
    <row r="16" spans="1:74" s="66" customFormat="1" ht="16" thickBot="1" x14ac:dyDescent="0.4">
      <c r="A16" s="63">
        <f>'B1'!A16</f>
        <v>43347</v>
      </c>
      <c r="B16" s="167">
        <f>Table2[[#This Row],[Time]]</f>
        <v>21</v>
      </c>
      <c r="C16" s="77">
        <v>10</v>
      </c>
      <c r="D16" s="106" t="s">
        <v>27</v>
      </c>
      <c r="E16" s="106" t="s">
        <v>27</v>
      </c>
      <c r="F16" s="106" t="s">
        <v>27</v>
      </c>
      <c r="G16" s="106" t="s">
        <v>27</v>
      </c>
      <c r="H16" s="106" t="s">
        <v>27</v>
      </c>
      <c r="I16" s="106" t="s">
        <v>27</v>
      </c>
      <c r="J16" s="106">
        <v>7.7603885766798122</v>
      </c>
      <c r="K16" s="106">
        <v>35.360451389468814</v>
      </c>
      <c r="L16" s="106">
        <v>0</v>
      </c>
      <c r="M16" s="106">
        <v>0.7425554785572146</v>
      </c>
      <c r="N16" s="107">
        <v>0</v>
      </c>
      <c r="O16" s="106">
        <v>0</v>
      </c>
      <c r="P16" s="106">
        <v>0</v>
      </c>
      <c r="Q16" s="106">
        <v>2.807459313273116</v>
      </c>
      <c r="R16" s="107">
        <v>0</v>
      </c>
      <c r="S16" s="108">
        <v>5.0561010676382709</v>
      </c>
      <c r="T16" s="51" t="s">
        <v>34</v>
      </c>
      <c r="U16" s="51" t="s">
        <v>34</v>
      </c>
      <c r="V16" s="78" t="s">
        <v>34</v>
      </c>
      <c r="W16" s="32"/>
      <c r="X16" s="32"/>
      <c r="Y16" s="32"/>
      <c r="Z16" s="32"/>
      <c r="AA16" s="32"/>
      <c r="AB16" s="32"/>
      <c r="AC16" s="32"/>
      <c r="AD16" s="32"/>
      <c r="AE16">
        <v>5.31</v>
      </c>
      <c r="AF16">
        <f>100</f>
        <v>100</v>
      </c>
      <c r="AG16" s="45">
        <v>1</v>
      </c>
      <c r="AH16" s="111">
        <v>71.599999999999994</v>
      </c>
      <c r="AI16" s="111"/>
      <c r="AJ16" s="64" t="e">
        <f>IF(D16="nd","nd",D16*$C16/constants!$B$3)</f>
        <v>#VALUE!</v>
      </c>
      <c r="AK16" s="64" t="e">
        <f>IF(E16="nd","nd",E16*$C16/constants!$B$6)</f>
        <v>#VALUE!</v>
      </c>
      <c r="AL16" s="64" t="e">
        <f>IF(F16="nd","nd",F16*$C16/constants!$B$7)</f>
        <v>#VALUE!</v>
      </c>
      <c r="AM16" s="64" t="e">
        <f>IF(G16="nd","nd",G16*$C16/constants!$B$8)</f>
        <v>#VALUE!</v>
      </c>
      <c r="AN16" s="64" t="e">
        <f>IF(H16="nd","nd",H16*$C16/constants!$B$9)</f>
        <v>#VALUE!</v>
      </c>
      <c r="AO16" s="64" t="e">
        <f>IF(I16="nd","nd",I16*$C16/constants!$B$10)</f>
        <v>#VALUE!</v>
      </c>
      <c r="AP16" s="162">
        <f>(IF(IFERROR(J16-#REF!,J16)&gt;constants!$D$5,(IFERROR(J16-#REF!,J16)*$C16/1000),0))</f>
        <v>7.7603885766798122E-2</v>
      </c>
      <c r="AQ16" s="162">
        <f>(IF(IFERROR(K16-#REF!,K16)&gt;constants!$D$11,(IFERROR(K16-#REF!,K16)*$C16/1000),0))</f>
        <v>0.35360451389468811</v>
      </c>
      <c r="AR16" s="162">
        <f>(IF(IFERROR(L16-#REF!,L16)&gt;constants!$D$19,(IFERROR(L16-#REF!,L16)*$C16/1000),0))</f>
        <v>0</v>
      </c>
      <c r="AS16" s="162">
        <f>(IF(IFERROR(M16-#REF!,M16)&gt;constants!$D$4,(IFERROR(M16-#REF!,M16)*$C16/1000),0))</f>
        <v>0</v>
      </c>
      <c r="AT16" s="162">
        <f>(IF(IFERROR(N16-#REF!,N16)&gt;constants!$D$5,(IFERROR(N16-#REF!,N16)*$C16/1000),0))</f>
        <v>0</v>
      </c>
      <c r="AU16" s="162">
        <f>(IF(IFERROR(O16-#REF!,O16)&gt;constants!$D$12,(IFERROR(O16-#REF!,O16)*$C16/1000),0))</f>
        <v>0</v>
      </c>
      <c r="AV16" s="162">
        <f>(IF(IFERROR(P16-#REF!,P16)&gt;constants!$D$5,(IFERROR(P16-#REF!,P16)*$C16/1000),0))</f>
        <v>0</v>
      </c>
      <c r="AW16" s="162">
        <f>(IF(IFERROR(Q16-#REF!,Q16)&gt;constants!$D$13,(IFERROR(Q16-#REF!,Q16)*$C16/1000),0))</f>
        <v>2.8074593132731161E-2</v>
      </c>
      <c r="AX16" s="162">
        <f>(IF(IFERROR(R16-#REF!,R16)&gt;constants!$D$14,(IFERROR(R16-#REF!,R16)*$C16/constants!$B$14),0))</f>
        <v>0</v>
      </c>
      <c r="AY16" s="64">
        <f>(IF(IFERROR(S16-#REF!,S16)&gt;constants!$D$15,(IFERROR(S16-#REF!,S16)*$C16/constants!$B$15),0))</f>
        <v>0.35059710344614747</v>
      </c>
      <c r="AZ16" s="64">
        <f>IF(AH16="nd","nd",AH16*Table315202530[[#This Row],[dilution ]]/constants!$B$23)</f>
        <v>79.484902309058612</v>
      </c>
      <c r="BA16" s="64">
        <f>Table315202530[[#This Row],[dilution ]]*Table315202530[[#This Row],[correction factor]]*Table315202530[[#This Row],[amount]]/1000</f>
        <v>7.1599999999999993</v>
      </c>
      <c r="BB16" s="64" t="e">
        <f>(Table315202530[[#This Row],[pressure]]*(Table315202530[[#This Row],[Amount 25]]/100)*constants!I16)/(constants!$I$6*constants!$I$5)</f>
        <v>#DIV/0!</v>
      </c>
      <c r="BC16" s="64"/>
      <c r="BD16" s="64" t="e">
        <f>(Table516212631[[#This Row],[Concentration]]*constants!$C$3)/1000</f>
        <v>#VALUE!</v>
      </c>
      <c r="BE16" s="64" t="e">
        <f>(Table516212631[[#This Row],[Concentration2]]*constants!$C$6)/1000</f>
        <v>#VALUE!</v>
      </c>
      <c r="BF16" s="64" t="e">
        <f>(Table516212631[[#This Row],[Concentration3]]*constants!$C$7)/1000</f>
        <v>#VALUE!</v>
      </c>
      <c r="BG16" s="64" t="e">
        <f>(Table516212631[[#This Row],[Concentration4]]*constants!$C$8)/1000</f>
        <v>#VALUE!</v>
      </c>
      <c r="BH16" s="64" t="e">
        <f>(Table516212631[[#This Row],[Concentration5]]*constants!$C$9)/1000</f>
        <v>#VALUE!</v>
      </c>
      <c r="BI16" s="64" t="e">
        <f>(Table516212631[[#This Row],[Concentration6]]*constants!$C$10)/1000</f>
        <v>#VALUE!</v>
      </c>
      <c r="BJ16" s="64">
        <f>(Table516212631[[#This Row],[Concentration7]]*constants!$C$5)</f>
        <v>0.15520777153359624</v>
      </c>
      <c r="BK16" s="64">
        <f>(Table516212631[[#This Row],[Concentration8]]*3)</f>
        <v>1.0608135416840643</v>
      </c>
      <c r="BL16" s="64">
        <f>(Table516212631[[#This Row],[Concentration9]]*4)</f>
        <v>0</v>
      </c>
      <c r="BM16" s="64">
        <f>(Table516212631[[#This Row],[Concentration10]]*4)</f>
        <v>0</v>
      </c>
      <c r="BN16" s="64">
        <f>(Table516212631[[#This Row],[Concentration11]]*5)</f>
        <v>0</v>
      </c>
      <c r="BO16" s="64">
        <f>(Table516212631[[#This Row],[Concentration12]]*5)</f>
        <v>0</v>
      </c>
      <c r="BP16" s="64">
        <f>(Table516212631[[#This Row],[Concentration13]]*6)</f>
        <v>0</v>
      </c>
      <c r="BQ16" s="64">
        <f>(Table516212631[[#This Row],[Concentration14]]*6)</f>
        <v>0.16844755879638695</v>
      </c>
      <c r="BR16" s="64">
        <f>(Table516212631[[#This Row],[Concentration15]]*7)</f>
        <v>0</v>
      </c>
      <c r="BS16" s="64">
        <f>(Table516212631[[#This Row],[Concentration16]]*8)</f>
        <v>2.8047768275691798</v>
      </c>
      <c r="BT16" s="64">
        <f>(Table516212631[[#This Row],[Concentration17]]*3)/1000</f>
        <v>0.23845470692717582</v>
      </c>
      <c r="BU16" s="47" t="e">
        <f>Table516212631[[#This Row],[Concentration18]]/1000</f>
        <v>#DIV/0!</v>
      </c>
      <c r="BV16" s="47">
        <f>Table516212631[[#This Row],[Concentration19]]/1000</f>
        <v>0</v>
      </c>
    </row>
    <row r="17" spans="1:74" s="47" customFormat="1" ht="16" thickBot="1" x14ac:dyDescent="0.4">
      <c r="A17" s="63" t="str">
        <f>'B1'!A17</f>
        <v>13-04</v>
      </c>
      <c r="B17" s="167">
        <f>Table2[[#This Row],[Time]]</f>
        <v>26</v>
      </c>
      <c r="C17" s="77">
        <v>10</v>
      </c>
      <c r="D17" s="106" t="s">
        <v>27</v>
      </c>
      <c r="E17" s="106" t="s">
        <v>27</v>
      </c>
      <c r="F17" s="106" t="s">
        <v>27</v>
      </c>
      <c r="G17" s="106" t="s">
        <v>27</v>
      </c>
      <c r="H17" s="106" t="s">
        <v>27</v>
      </c>
      <c r="I17" s="106" t="s">
        <v>27</v>
      </c>
      <c r="J17" s="106">
        <v>14.070921853070134</v>
      </c>
      <c r="K17" s="106">
        <v>19.81412582538502</v>
      </c>
      <c r="L17" s="106">
        <v>0.87197953247298854</v>
      </c>
      <c r="M17" s="106">
        <v>5.8847002425205615</v>
      </c>
      <c r="N17" s="107">
        <v>0</v>
      </c>
      <c r="O17" s="106">
        <v>0</v>
      </c>
      <c r="P17" s="106">
        <v>0</v>
      </c>
      <c r="Q17" s="106">
        <v>1.5644339927336215</v>
      </c>
      <c r="R17" s="107">
        <v>0</v>
      </c>
      <c r="S17" s="108">
        <v>3.6763574754535648</v>
      </c>
      <c r="T17" s="108" t="s">
        <v>27</v>
      </c>
      <c r="U17" s="108" t="s">
        <v>27</v>
      </c>
      <c r="V17" s="108" t="s">
        <v>27</v>
      </c>
      <c r="W17" s="17"/>
      <c r="X17" s="17"/>
      <c r="Y17" s="17"/>
      <c r="Z17" s="17"/>
      <c r="AA17" s="17"/>
      <c r="AB17" s="17"/>
      <c r="AC17" s="17"/>
      <c r="AD17" s="17"/>
      <c r="AE17">
        <v>5.39</v>
      </c>
      <c r="AF17">
        <f>100</f>
        <v>100</v>
      </c>
      <c r="AG17" s="45">
        <v>1</v>
      </c>
      <c r="AH17" s="111">
        <v>106.645</v>
      </c>
      <c r="AI17" s="111"/>
      <c r="AJ17" s="64" t="e">
        <f>IF(D17="nd","nd",D17*$C17/constants!$B$3)</f>
        <v>#VALUE!</v>
      </c>
      <c r="AK17" s="64" t="e">
        <f>IF(E17="nd","nd",E17*$C17/constants!$B$6)</f>
        <v>#VALUE!</v>
      </c>
      <c r="AL17" s="64" t="e">
        <f>IF(F17="nd","nd",F17*$C17/constants!$B$7)</f>
        <v>#VALUE!</v>
      </c>
      <c r="AM17" s="64" t="e">
        <f>IF(G17="nd","nd",G17*$C17/constants!$B$8)</f>
        <v>#VALUE!</v>
      </c>
      <c r="AN17" s="64" t="e">
        <f>IF(H17="nd","nd",H17*$C17/constants!$B$9)</f>
        <v>#VALUE!</v>
      </c>
      <c r="AO17" s="64" t="e">
        <f>IF(I17="nd","nd",I17*$C17/constants!$B$10)</f>
        <v>#VALUE!</v>
      </c>
      <c r="AP17" s="162">
        <f>(IF(IFERROR(J17-#REF!,J17)&gt;constants!$D$5,(IFERROR(J17-#REF!,J17)*$C17/1000),0))</f>
        <v>0.14070921853070134</v>
      </c>
      <c r="AQ17" s="162">
        <f>(IF(IFERROR(K17-#REF!,K17)&gt;constants!$D$11,(IFERROR(K17-#REF!,K17)*$C17/1000),0))</f>
        <v>0.19814125825385021</v>
      </c>
      <c r="AR17" s="162">
        <f>(IF(IFERROR(L17-#REF!,L17)&gt;constants!$D$19,(IFERROR(L17-#REF!,L17)*$C17/1000),0))</f>
        <v>0</v>
      </c>
      <c r="AS17" s="162">
        <f>(IF(IFERROR(M17-#REF!,M17)&gt;constants!$D$4,(IFERROR(M17-#REF!,M17)*$C17/1000),0))</f>
        <v>5.8847002425205616E-2</v>
      </c>
      <c r="AT17" s="162">
        <f>(IF(IFERROR(N17-#REF!,N17)&gt;constants!$D$5,(IFERROR(N17-#REF!,N17)*$C17/1000),0))</f>
        <v>0</v>
      </c>
      <c r="AU17" s="162">
        <f>(IF(IFERROR(O17-#REF!,O17)&gt;constants!$D$12,(IFERROR(O17-#REF!,O17)*$C17/1000),0))</f>
        <v>0</v>
      </c>
      <c r="AV17" s="162">
        <f>(IF(IFERROR(P17-#REF!,P17)&gt;constants!$D$5,(IFERROR(P17-#REF!,P17)*$C17/1000),0))</f>
        <v>0</v>
      </c>
      <c r="AW17" s="162">
        <f>(IF(IFERROR(Q17-#REF!,Q17)&gt;constants!$D$13,(IFERROR(Q17-#REF!,Q17)*$C17/1000),0))</f>
        <v>0</v>
      </c>
      <c r="AX17" s="162">
        <f>(IF(IFERROR(R17-#REF!,R17)&gt;constants!$D$14,(IFERROR(R17-#REF!,R17)*$C17/constants!$B$14),0))</f>
        <v>0</v>
      </c>
      <c r="AY17" s="64">
        <f>(IF(IFERROR(S17-#REF!,S17)&gt;constants!$D$15,(IFERROR(S17-#REF!,S17)*$C17/constants!$B$15),0))</f>
        <v>0.25492375743364476</v>
      </c>
      <c r="AZ17" s="189">
        <f>IF(AH17="nd","nd",AH17*Table315202530[[#This Row],[dilution ]]/constants!$B$23)</f>
        <v>118.38920959147424</v>
      </c>
      <c r="BA17" s="189">
        <f>Table315202530[[#This Row],[dilution ]]*Table315202530[[#This Row],[correction factor]]*Table315202530[[#This Row],[amount]]/1000</f>
        <v>10.6645</v>
      </c>
      <c r="BB17" s="64" t="e">
        <f>(Table315202530[[#This Row],[pressure]]*(Table315202530[[#This Row],[Amount 25]]/100)*constants!I17)/(constants!$I$6*constants!$I$5)</f>
        <v>#DIV/0!</v>
      </c>
      <c r="BC17" s="64"/>
      <c r="BD17" s="64" t="e">
        <f>(Table516212631[[#This Row],[Concentration]]*constants!$C$3)/1000</f>
        <v>#VALUE!</v>
      </c>
      <c r="BE17" s="64" t="e">
        <f>(Table516212631[[#This Row],[Concentration2]]*constants!$C$6)/1000</f>
        <v>#VALUE!</v>
      </c>
      <c r="BF17" s="64" t="e">
        <f>(Table516212631[[#This Row],[Concentration3]]*constants!$C$7)/1000</f>
        <v>#VALUE!</v>
      </c>
      <c r="BG17" s="64" t="e">
        <f>(Table516212631[[#This Row],[Concentration4]]*constants!$C$8)/1000</f>
        <v>#VALUE!</v>
      </c>
      <c r="BH17" s="64" t="e">
        <f>(Table516212631[[#This Row],[Concentration5]]*constants!$C$9)/1000</f>
        <v>#VALUE!</v>
      </c>
      <c r="BI17" s="64" t="e">
        <f>(Table516212631[[#This Row],[Concentration6]]*constants!$C$10)/1000</f>
        <v>#VALUE!</v>
      </c>
      <c r="BJ17" s="64">
        <f>(Table516212631[[#This Row],[Concentration7]]*constants!$C$5)</f>
        <v>0.28141843706140268</v>
      </c>
      <c r="BK17" s="64">
        <f>(Table516212631[[#This Row],[Concentration8]]*3)</f>
        <v>0.59442377476155062</v>
      </c>
      <c r="BL17" s="64">
        <f>(Table516212631[[#This Row],[Concentration9]]*4)</f>
        <v>0</v>
      </c>
      <c r="BM17" s="64">
        <f>(Table516212631[[#This Row],[Concentration10]]*4)</f>
        <v>0.23538800970082246</v>
      </c>
      <c r="BN17" s="64">
        <f>(Table516212631[[#This Row],[Concentration11]]*5)</f>
        <v>0</v>
      </c>
      <c r="BO17" s="64">
        <f>(Table516212631[[#This Row],[Concentration12]]*5)</f>
        <v>0</v>
      </c>
      <c r="BP17" s="64">
        <f>(Table516212631[[#This Row],[Concentration13]]*6)</f>
        <v>0</v>
      </c>
      <c r="BQ17" s="64">
        <f>(Table516212631[[#This Row],[Concentration14]]*6)</f>
        <v>0</v>
      </c>
      <c r="BR17" s="64">
        <f>(Table516212631[[#This Row],[Concentration15]]*7)</f>
        <v>0</v>
      </c>
      <c r="BS17" s="64">
        <f>(Table516212631[[#This Row],[Concentration16]]*8)</f>
        <v>2.0393900594691581</v>
      </c>
      <c r="BT17" s="64">
        <f>(Table516212631[[#This Row],[Concentration17]]*3)/1000</f>
        <v>0.35516762877442271</v>
      </c>
      <c r="BU17" s="47" t="e">
        <f>Table516212631[[#This Row],[Concentration18]]/1000</f>
        <v>#DIV/0!</v>
      </c>
      <c r="BV17" s="47">
        <f>Table516212631[[#This Row],[Concentration19]]/1000</f>
        <v>0</v>
      </c>
    </row>
    <row r="18" spans="1:74" s="66" customFormat="1" ht="16" thickBot="1" x14ac:dyDescent="0.4">
      <c r="A18" s="63" t="str">
        <f>'B1'!A18</f>
        <v>16-04</v>
      </c>
      <c r="B18" s="167">
        <f>Table2[[#This Row],[Time]]</f>
        <v>29</v>
      </c>
      <c r="C18" s="77">
        <v>10</v>
      </c>
      <c r="D18" s="138" t="s">
        <v>27</v>
      </c>
      <c r="E18" s="138" t="s">
        <v>27</v>
      </c>
      <c r="F18" s="138" t="s">
        <v>27</v>
      </c>
      <c r="G18" s="138" t="s">
        <v>27</v>
      </c>
      <c r="H18" s="138" t="s">
        <v>27</v>
      </c>
      <c r="I18" s="138">
        <v>4.1920789930555554E-3</v>
      </c>
      <c r="J18" s="138">
        <v>1.9397352430555553E-2</v>
      </c>
      <c r="K18" s="138">
        <v>0.23512865668402774</v>
      </c>
      <c r="L18" s="138">
        <v>0</v>
      </c>
      <c r="M18" s="138">
        <v>0.13552745225694443</v>
      </c>
      <c r="N18" s="138">
        <v>0</v>
      </c>
      <c r="O18" s="138">
        <v>0</v>
      </c>
      <c r="P18" s="138">
        <v>0</v>
      </c>
      <c r="Q18" s="138">
        <v>1.1596093749999998E-2</v>
      </c>
      <c r="R18" s="138">
        <v>8.7904947916666656E-3</v>
      </c>
      <c r="S18" s="138">
        <v>1.3274175347222221E-2</v>
      </c>
      <c r="T18" s="80" t="s">
        <v>34</v>
      </c>
      <c r="U18" s="80" t="s">
        <v>34</v>
      </c>
      <c r="V18" s="81" t="s">
        <v>34</v>
      </c>
      <c r="AE18">
        <v>5.83</v>
      </c>
      <c r="AF18">
        <v>110</v>
      </c>
      <c r="AG18" s="45">
        <v>1</v>
      </c>
      <c r="AH18">
        <v>72.45</v>
      </c>
      <c r="AI18"/>
      <c r="AJ18" s="64" t="e">
        <f>IF(D18="nd","nd",D18*$C18/constants!$B$3)</f>
        <v>#VALUE!</v>
      </c>
      <c r="AK18" s="64" t="e">
        <f>IF(E18="nd","nd",E18*$C18/constants!$B$6)</f>
        <v>#VALUE!</v>
      </c>
      <c r="AL18" s="64" t="e">
        <f>IF(F18="nd","nd",F18*$C18/constants!$B$7)</f>
        <v>#VALUE!</v>
      </c>
      <c r="AM18" s="64" t="e">
        <f>IF(G18="nd","nd",G18*$C18/constants!$B$8)</f>
        <v>#VALUE!</v>
      </c>
      <c r="AN18" s="64" t="e">
        <f>IF(H18="nd","nd",H18*$C18/constants!$B$9)</f>
        <v>#VALUE!</v>
      </c>
      <c r="AO18" s="64">
        <f>IF(I18="nd","nd",I18*$C18/constants!$B$10)</f>
        <v>4.1027618672064703E-4</v>
      </c>
      <c r="AP18" s="162">
        <f>(IF(IFERROR(J18-#REF!,J18)&gt;constants!$D$5,(IFERROR(J18-#REF!,J18)*$C18/1000),0))</f>
        <v>0</v>
      </c>
      <c r="AQ18" s="162">
        <f>(IF(IFERROR(K18-#REF!,K18)&gt;constants!$D$11,(IFERROR(K18-#REF!,K18)*$C18/1000),0))</f>
        <v>0</v>
      </c>
      <c r="AR18" s="162">
        <f>(IF(IFERROR(L18-#REF!,L18)&gt;constants!$D$19,(IFERROR(L18-#REF!,L18)*$C18/1000),0))</f>
        <v>0</v>
      </c>
      <c r="AS18" s="162">
        <f>(IF(IFERROR(M18-#REF!,M18)&gt;constants!$D$4,(IFERROR(M18-#REF!,M18)*$C18/1000),0))</f>
        <v>0</v>
      </c>
      <c r="AT18" s="162">
        <f>(IF(IFERROR(N18-#REF!,N18)&gt;constants!$D$5,(IFERROR(N18-#REF!,N18)*$C18/1000),0))</f>
        <v>0</v>
      </c>
      <c r="AU18" s="162">
        <f>(IF(IFERROR(O18-#REF!,O18)&gt;constants!$D$12,(IFERROR(O18-#REF!,O18)*$C18/1000),0))</f>
        <v>0</v>
      </c>
      <c r="AV18" s="162">
        <f>(IF(IFERROR(P18-#REF!,P18)&gt;constants!$D$5,(IFERROR(P18-#REF!,P18)*$C18/1000),0))</f>
        <v>0</v>
      </c>
      <c r="AW18" s="162">
        <f>(IF(IFERROR(Q18-#REF!,Q18)&gt;constants!$D$13,(IFERROR(Q18-#REF!,Q18)*$C18/1000),0))</f>
        <v>0</v>
      </c>
      <c r="AX18" s="162">
        <f>(IF(IFERROR(R18-#REF!,R18)&gt;constants!$D$14,(IFERROR(R18-#REF!,R18)*$C18/constants!$B$14),0))</f>
        <v>0</v>
      </c>
      <c r="AY18" s="64">
        <f>(IF(IFERROR(S18-#REF!,S18)&gt;constants!$D$15,(IFERROR(S18-#REF!,S18)*$C18/constants!$B$15),0))</f>
        <v>0</v>
      </c>
      <c r="AZ18" s="64">
        <f>IF(AH18="nd","nd",AH18*Table315202530[[#This Row],[dilution ]]/constants!$B$23)</f>
        <v>88.471358792184731</v>
      </c>
      <c r="BA18" s="64">
        <f>Table315202530[[#This Row],[dilution ]]*Table315202530[[#This Row],[correction factor]]*Table315202530[[#This Row],[amount]]/1000</f>
        <v>7.9695</v>
      </c>
      <c r="BB18" s="64" t="e">
        <f>(Table315202530[[#This Row],[pressure]]*(Table315202530[[#This Row],[Amount 25]]/100)*constants!I18)/(constants!$I$6*constants!$I$5)</f>
        <v>#DIV/0!</v>
      </c>
      <c r="BC18" s="64"/>
      <c r="BD18" s="64" t="e">
        <f>(Table516212631[[#This Row],[Concentration]]*constants!$C$3)/1000</f>
        <v>#VALUE!</v>
      </c>
      <c r="BE18" s="64" t="e">
        <f>(Table516212631[[#This Row],[Concentration2]]*constants!$C$6)/1000</f>
        <v>#VALUE!</v>
      </c>
      <c r="BF18" s="64" t="e">
        <f>(Table516212631[[#This Row],[Concentration3]]*constants!$C$7)/1000</f>
        <v>#VALUE!</v>
      </c>
      <c r="BG18" s="64" t="e">
        <f>(Table516212631[[#This Row],[Concentration4]]*constants!$C$8)/1000</f>
        <v>#VALUE!</v>
      </c>
      <c r="BH18" s="64" t="e">
        <f>(Table516212631[[#This Row],[Concentration5]]*constants!$C$9)/1000</f>
        <v>#VALUE!</v>
      </c>
      <c r="BI18" s="64">
        <f>(Table516212631[[#This Row],[Concentration6]]*constants!$C$10)/1000</f>
        <v>2.4616571203238821E-6</v>
      </c>
      <c r="BJ18" s="64">
        <f>(Table516212631[[#This Row],[Concentration7]]*constants!$C$5)</f>
        <v>0</v>
      </c>
      <c r="BK18" s="64">
        <f>(Table516212631[[#This Row],[Concentration8]]*3)</f>
        <v>0</v>
      </c>
      <c r="BL18" s="64">
        <f>(Table516212631[[#This Row],[Concentration9]]*4)</f>
        <v>0</v>
      </c>
      <c r="BM18" s="64">
        <f>(Table516212631[[#This Row],[Concentration10]]*4)</f>
        <v>0</v>
      </c>
      <c r="BN18" s="64">
        <f>(Table516212631[[#This Row],[Concentration11]]*5)</f>
        <v>0</v>
      </c>
      <c r="BO18" s="64">
        <f>(Table516212631[[#This Row],[Concentration12]]*5)</f>
        <v>0</v>
      </c>
      <c r="BP18" s="64">
        <f>(Table516212631[[#This Row],[Concentration13]]*6)</f>
        <v>0</v>
      </c>
      <c r="BQ18" s="64">
        <f>(Table516212631[[#This Row],[Concentration14]]*6)</f>
        <v>0</v>
      </c>
      <c r="BR18" s="64">
        <f>(Table516212631[[#This Row],[Concentration15]]*7)</f>
        <v>0</v>
      </c>
      <c r="BS18" s="64">
        <f>(Table516212631[[#This Row],[Concentration16]]*8)</f>
        <v>0</v>
      </c>
      <c r="BT18" s="64">
        <f>(Table516212631[[#This Row],[Concentration17]]*3)/1000</f>
        <v>0.26541407637655418</v>
      </c>
      <c r="BU18" s="47" t="e">
        <f>Table516212631[[#This Row],[Concentration18]]/1000</f>
        <v>#DIV/0!</v>
      </c>
      <c r="BV18" s="47">
        <f>Table516212631[[#This Row],[Concentration19]]/1000</f>
        <v>0</v>
      </c>
    </row>
    <row r="19" spans="1:74" s="47" customFormat="1" ht="16" thickBot="1" x14ac:dyDescent="0.4">
      <c r="A19" s="63" t="str">
        <f>'B1'!A19</f>
        <v>19-04</v>
      </c>
      <c r="B19" s="167">
        <f>Table2[[#This Row],[Time]]</f>
        <v>32</v>
      </c>
      <c r="C19" s="77">
        <v>10</v>
      </c>
      <c r="D19" s="106" t="s">
        <v>27</v>
      </c>
      <c r="E19" s="106" t="s">
        <v>27</v>
      </c>
      <c r="F19" s="106" t="s">
        <v>27</v>
      </c>
      <c r="G19" s="106" t="s">
        <v>27</v>
      </c>
      <c r="H19" s="106" t="s">
        <v>27</v>
      </c>
      <c r="I19" s="106" t="s">
        <v>27</v>
      </c>
      <c r="J19" s="106">
        <v>7.4001866388762521</v>
      </c>
      <c r="K19" s="106">
        <v>25.451437277770879</v>
      </c>
      <c r="L19" s="106">
        <v>0.77740134288663376</v>
      </c>
      <c r="M19" s="106">
        <v>30.661770546389345</v>
      </c>
      <c r="N19" s="107">
        <v>0</v>
      </c>
      <c r="O19" s="106">
        <v>2.1020638445697646</v>
      </c>
      <c r="P19" s="106">
        <v>0</v>
      </c>
      <c r="Q19" s="106">
        <v>9.8121829403458243</v>
      </c>
      <c r="R19" s="107">
        <v>0.70776181414223649</v>
      </c>
      <c r="S19" s="108">
        <v>1.3760798316967815</v>
      </c>
      <c r="T19" s="108" t="s">
        <v>27</v>
      </c>
      <c r="U19" s="108" t="s">
        <v>27</v>
      </c>
      <c r="V19" s="108" t="s">
        <v>27</v>
      </c>
      <c r="AE19">
        <v>6.23</v>
      </c>
      <c r="AF19">
        <f>100</f>
        <v>100</v>
      </c>
      <c r="AG19" s="45">
        <v>1</v>
      </c>
      <c r="AH19" s="177">
        <v>0</v>
      </c>
      <c r="AJ19" s="64" t="e">
        <f>IF(D19="nd","nd",D19*$C19/constants!$B$3)</f>
        <v>#VALUE!</v>
      </c>
      <c r="AK19" s="64" t="e">
        <f>IF(E19="nd","nd",E19*$C19/constants!$B$6)</f>
        <v>#VALUE!</v>
      </c>
      <c r="AL19" s="64" t="e">
        <f>IF(F19="nd","nd",F19*$C19/constants!$B$7)</f>
        <v>#VALUE!</v>
      </c>
      <c r="AM19" s="64" t="e">
        <f>IF(G19="nd","nd",G19*$C19/constants!$B$8)</f>
        <v>#VALUE!</v>
      </c>
      <c r="AN19" s="64" t="e">
        <f>IF(H19="nd","nd",H19*$C19/constants!$B$9)</f>
        <v>#VALUE!</v>
      </c>
      <c r="AO19" s="64" t="e">
        <f>IF(I19="nd","nd",I19*$C19/constants!$B$10)</f>
        <v>#VALUE!</v>
      </c>
      <c r="AP19" s="162">
        <f>(IF(IFERROR(J19-#REF!,J19)&gt;constants!$D$5,(IFERROR(J19-#REF!,J19)*$C19/1000),0))</f>
        <v>7.4001866388762522E-2</v>
      </c>
      <c r="AQ19" s="162">
        <f>(IF(IFERROR(K19-#REF!,K19)&gt;constants!$D$11,(IFERROR(K19-#REF!,K19)*$C19/1000),0))</f>
        <v>0.25451437277770877</v>
      </c>
      <c r="AR19" s="162">
        <f>(IF(IFERROR(L19-#REF!,L19)&gt;constants!$D$19,(IFERROR(L19-#REF!,L19)*$C19/1000),0))</f>
        <v>0</v>
      </c>
      <c r="AS19" s="162">
        <f>(IF(IFERROR(M19-#REF!,M19)&gt;constants!$D$4,(IFERROR(M19-#REF!,M19)*$C19/1000),0))</f>
        <v>0.30661770546389344</v>
      </c>
      <c r="AT19" s="162">
        <f>(IF(IFERROR(N19-#REF!,N19)&gt;constants!$D$5,(IFERROR(N19-#REF!,N19)*$C19/1000),0))</f>
        <v>0</v>
      </c>
      <c r="AU19" s="162">
        <f>(IF(IFERROR(O19-#REF!,O19)&gt;constants!$D$12,(IFERROR(O19-#REF!,O19)*$C19/1000),0))</f>
        <v>0</v>
      </c>
      <c r="AV19" s="162">
        <f>(IF(IFERROR(P19-#REF!,P19)&gt;constants!$D$5,(IFERROR(P19-#REF!,P19)*$C19/1000),0))</f>
        <v>0</v>
      </c>
      <c r="AW19" s="162">
        <f>(IF(IFERROR(Q19-#REF!,Q19)&gt;constants!$D$13,(IFERROR(Q19-#REF!,Q19)*$C19/1000),0))</f>
        <v>9.8121829403458233E-2</v>
      </c>
      <c r="AX19" s="162">
        <f>(IF(IFERROR(R19-#REF!,R19)&gt;constants!$D$14,(IFERROR(R19-#REF!,R19)*$C19/constants!$B$14),0))</f>
        <v>0</v>
      </c>
      <c r="AY19" s="64">
        <f>(IF(IFERROR(S19-#REF!,S19)&gt;constants!$D$15,(IFERROR(S19-#REF!,S19)*$C19/constants!$B$15),0))</f>
        <v>9.5419295747762464E-2</v>
      </c>
      <c r="AZ19" s="64">
        <f>IF(AH19="nd","nd",AH19*Table315202530[[#This Row],[dilution ]]/constants!$B$23)</f>
        <v>0</v>
      </c>
      <c r="BA19" s="64">
        <f>Table315202530[[#This Row],[dilution ]]*Table315202530[[#This Row],[correction factor]]*Table315202530[[#This Row],[amount]]/1000</f>
        <v>0</v>
      </c>
      <c r="BB19" s="64" t="e">
        <f>(Table315202530[[#This Row],[pressure]]*(Table315202530[[#This Row],[Amount 25]]/100)*constants!I19)/(constants!$I$6*constants!$I$5)</f>
        <v>#DIV/0!</v>
      </c>
      <c r="BC19" s="64"/>
      <c r="BD19" s="64" t="e">
        <f>(Table516212631[[#This Row],[Concentration]]*constants!$C$3)/1000</f>
        <v>#VALUE!</v>
      </c>
      <c r="BE19" s="64" t="e">
        <f>(Table516212631[[#This Row],[Concentration2]]*constants!$C$6)/1000</f>
        <v>#VALUE!</v>
      </c>
      <c r="BF19" s="64" t="e">
        <f>(Table516212631[[#This Row],[Concentration3]]*constants!$C$7)/1000</f>
        <v>#VALUE!</v>
      </c>
      <c r="BG19" s="64" t="e">
        <f>(Table516212631[[#This Row],[Concentration4]]*constants!$C$8)/1000</f>
        <v>#VALUE!</v>
      </c>
      <c r="BH19" s="64" t="e">
        <f>(Table516212631[[#This Row],[Concentration5]]*constants!$C$9)/1000</f>
        <v>#VALUE!</v>
      </c>
      <c r="BI19" s="64" t="e">
        <f>(Table516212631[[#This Row],[Concentration6]]*constants!$C$10)/1000</f>
        <v>#VALUE!</v>
      </c>
      <c r="BJ19" s="64">
        <f>(Table516212631[[#This Row],[Concentration7]]*constants!$C$5)</f>
        <v>0.14800373277752504</v>
      </c>
      <c r="BK19" s="64">
        <f>(Table516212631[[#This Row],[Concentration8]]*3)</f>
        <v>0.76354311833312627</v>
      </c>
      <c r="BL19" s="64">
        <f>(Table516212631[[#This Row],[Concentration9]]*4)</f>
        <v>0</v>
      </c>
      <c r="BM19" s="64">
        <f>(Table516212631[[#This Row],[Concentration10]]*4)</f>
        <v>1.2264708218555738</v>
      </c>
      <c r="BN19" s="64">
        <f>(Table516212631[[#This Row],[Concentration11]]*5)</f>
        <v>0</v>
      </c>
      <c r="BO19" s="64">
        <f>(Table516212631[[#This Row],[Concentration12]]*5)</f>
        <v>0</v>
      </c>
      <c r="BP19" s="64">
        <f>(Table516212631[[#This Row],[Concentration13]]*6)</f>
        <v>0</v>
      </c>
      <c r="BQ19" s="64">
        <f>(Table516212631[[#This Row],[Concentration14]]*6)</f>
        <v>0.58873097642074934</v>
      </c>
      <c r="BR19" s="64">
        <f>(Table516212631[[#This Row],[Concentration15]]*7)</f>
        <v>0</v>
      </c>
      <c r="BS19" s="64">
        <f>(Table516212631[[#This Row],[Concentration16]]*8)</f>
        <v>0.76335436598209971</v>
      </c>
      <c r="BT19" s="64">
        <f>(Table516212631[[#This Row],[Concentration17]]*3)/1000</f>
        <v>0</v>
      </c>
      <c r="BU19" s="47" t="e">
        <f>Table516212631[[#This Row],[Concentration18]]/1000</f>
        <v>#DIV/0!</v>
      </c>
      <c r="BV19" s="47">
        <f>Table516212631[[#This Row],[Concentration19]]/1000</f>
        <v>0</v>
      </c>
    </row>
    <row r="20" spans="1:74" s="66" customFormat="1" ht="16" thickBot="1" x14ac:dyDescent="0.4">
      <c r="A20" s="63" t="str">
        <f>'B1'!A20</f>
        <v>26-04</v>
      </c>
      <c r="B20" s="167">
        <f>Table2[[#This Row],[Time]]</f>
        <v>38</v>
      </c>
      <c r="C20" s="79">
        <v>10</v>
      </c>
      <c r="D20" s="106">
        <v>0.38370819109665799</v>
      </c>
      <c r="E20" s="106" t="s">
        <v>27</v>
      </c>
      <c r="F20" s="106" t="s">
        <v>27</v>
      </c>
      <c r="G20" s="106" t="s">
        <v>27</v>
      </c>
      <c r="H20" s="106" t="s">
        <v>27</v>
      </c>
      <c r="I20" s="106" t="s">
        <v>27</v>
      </c>
      <c r="J20" s="106">
        <v>29.670126702757013</v>
      </c>
      <c r="K20" s="106">
        <v>24.107839424620991</v>
      </c>
      <c r="L20" s="106">
        <v>17.154677919323838</v>
      </c>
      <c r="M20" s="106">
        <v>187.49288207270689</v>
      </c>
      <c r="N20" s="107">
        <v>0</v>
      </c>
      <c r="O20" s="106">
        <v>4.7591205633211988</v>
      </c>
      <c r="P20" s="106">
        <v>0</v>
      </c>
      <c r="Q20" s="106">
        <v>18.936738530287958</v>
      </c>
      <c r="R20" s="107">
        <v>0</v>
      </c>
      <c r="S20" s="108">
        <v>0</v>
      </c>
      <c r="T20" s="108" t="s">
        <v>27</v>
      </c>
      <c r="U20" s="108" t="s">
        <v>27</v>
      </c>
      <c r="V20" s="108" t="s">
        <v>27</v>
      </c>
      <c r="W20" s="96">
        <v>0.97866666666666668</v>
      </c>
      <c r="X20" s="97">
        <v>0.16783627835828449</v>
      </c>
      <c r="Y20" s="96">
        <v>1.3501666666666665</v>
      </c>
      <c r="Z20" s="98">
        <v>82.545584006772472</v>
      </c>
      <c r="AA20" s="99" t="s">
        <v>27</v>
      </c>
      <c r="AB20" s="97" t="s">
        <v>27</v>
      </c>
      <c r="AC20" s="96">
        <v>2.5193333333333334</v>
      </c>
      <c r="AD20" s="100">
        <v>11.49320191679465</v>
      </c>
      <c r="AF20" s="66">
        <v>30</v>
      </c>
      <c r="AG20" s="45">
        <v>1</v>
      </c>
      <c r="AH20" s="66">
        <v>101.3</v>
      </c>
      <c r="AJ20" s="64">
        <f>IF(D20="nd","nd",D20*$C20/constants!$B$3)</f>
        <v>0.11975163569585481</v>
      </c>
      <c r="AK20" s="64" t="e">
        <f>IF(E20="nd","nd",E20*$C20/constants!$B$6)</f>
        <v>#VALUE!</v>
      </c>
      <c r="AL20" s="64" t="e">
        <f>IF(F20="nd","nd",F20*$C20/constants!$B$7)</f>
        <v>#VALUE!</v>
      </c>
      <c r="AM20" s="64" t="e">
        <f>IF(G20="nd","nd",G20*$C20/constants!$B$8)</f>
        <v>#VALUE!</v>
      </c>
      <c r="AN20" s="64" t="e">
        <f>IF(H20="nd","nd",H20*$C20/constants!$B$9)</f>
        <v>#VALUE!</v>
      </c>
      <c r="AO20" s="64" t="e">
        <f>IF(I20="nd","nd",I20*$C20/constants!$B$10)</f>
        <v>#VALUE!</v>
      </c>
      <c r="AP20" s="162">
        <f>(IF(IFERROR(J20-#REF!,J20)&gt;constants!$D$5,(IFERROR(J20-#REF!,J20)*$C20/1000),0))</f>
        <v>0.2967012670275701</v>
      </c>
      <c r="AQ20" s="162">
        <f>(IF(IFERROR(K20-#REF!,K20)&gt;constants!$D$11,(IFERROR(K20-#REF!,K20)*$C20/1000),0))</f>
        <v>0.24107839424620991</v>
      </c>
      <c r="AR20" s="162">
        <f>(IF(IFERROR(L20-#REF!,L20)&gt;constants!$D$19,(IFERROR(L20-#REF!,L20)*$C20/1000),0))</f>
        <v>0.17154677919323835</v>
      </c>
      <c r="AS20" s="162">
        <f>(IF(IFERROR(M20-#REF!,M20)&gt;constants!$D$4,(IFERROR(M20-#REF!,M20)*$C20/1000),0))</f>
        <v>1.8749288207270689</v>
      </c>
      <c r="AT20" s="162">
        <f>(IF(IFERROR(N20-#REF!,N20)&gt;constants!$D$5,(IFERROR(N20-#REF!,N20)*$C20/1000),0))</f>
        <v>0</v>
      </c>
      <c r="AU20" s="162">
        <f>(IF(IFERROR(O20-#REF!,O20)&gt;constants!$D$12,(IFERROR(O20-#REF!,O20)*$C20/1000),0))</f>
        <v>4.7591205633211987E-2</v>
      </c>
      <c r="AV20" s="162">
        <f>(IF(IFERROR(P20-#REF!,P20)&gt;constants!$D$5,(IFERROR(P20-#REF!,P20)*$C20/1000),0))</f>
        <v>0</v>
      </c>
      <c r="AW20" s="162">
        <f>(IF(IFERROR(Q20-#REF!,Q20)&gt;constants!$D$13,(IFERROR(Q20-#REF!,Q20)*$C20/1000),0))</f>
        <v>0.18936738530287958</v>
      </c>
      <c r="AX20" s="162">
        <f>(IF(IFERROR(R20-#REF!,R20)&gt;constants!$D$14,(IFERROR(R20-#REF!,R20)*$C20/constants!$B$14),0))</f>
        <v>0</v>
      </c>
      <c r="AY20" s="64">
        <f>(IF(IFERROR(S20-#REF!,S20)&gt;constants!$D$15,(IFERROR(S20-#REF!,S20)*$C20/constants!$B$15),0))</f>
        <v>0</v>
      </c>
      <c r="AZ20" s="64">
        <f>IF(AH20="nd","nd",AH20*Table315202530[[#This Row],[dilution ]]/constants!$B$23)</f>
        <v>33.736678507992899</v>
      </c>
      <c r="BA20" s="64">
        <f>Table315202530[[#This Row],[dilution ]]*Table315202530[[#This Row],[correction factor]]*Table315202530[[#This Row],[amount]]/1000</f>
        <v>3.0390000000000001</v>
      </c>
      <c r="BB20" s="64" t="e">
        <f>Table315202530[[#This Row],[Amount 25]]*100*Table315202530[[#This Row],[pressure]]/(constants!$I$5*constants!$I$6)</f>
        <v>#DIV/0!</v>
      </c>
      <c r="BC20" s="64"/>
      <c r="BD20" s="64">
        <f>(Table516212631[[#This Row],[Concentration]]*constants!$C$3)/1000</f>
        <v>1.1975163569585481E-4</v>
      </c>
      <c r="BE20" s="64" t="e">
        <f>(Table516212631[[#This Row],[Concentration2]]*constants!$C$6)/1000</f>
        <v>#VALUE!</v>
      </c>
      <c r="BF20" s="64" t="e">
        <f>(Table516212631[[#This Row],[Concentration3]]*constants!$C$7)/1000</f>
        <v>#VALUE!</v>
      </c>
      <c r="BG20" s="64" t="e">
        <f>(Table516212631[[#This Row],[Concentration4]]*constants!$C$8)/1000</f>
        <v>#VALUE!</v>
      </c>
      <c r="BH20" s="64" t="e">
        <f>(Table516212631[[#This Row],[Concentration5]]*constants!$C$9)/1000</f>
        <v>#VALUE!</v>
      </c>
      <c r="BI20" s="64" t="e">
        <f>(Table516212631[[#This Row],[Concentration6]]*constants!$C$10)/1000</f>
        <v>#VALUE!</v>
      </c>
      <c r="BJ20" s="64">
        <f>(Table516212631[[#This Row],[Concentration7]]*constants!$C$5)</f>
        <v>0.59340253405514021</v>
      </c>
      <c r="BK20" s="64">
        <f>(Table516212631[[#This Row],[Concentration8]]*3)</f>
        <v>0.72323518273862974</v>
      </c>
      <c r="BL20" s="64">
        <f>(Table516212631[[#This Row],[Concentration9]]*4)</f>
        <v>0.68618711677295341</v>
      </c>
      <c r="BM20" s="64">
        <f>(Table516212631[[#This Row],[Concentration10]]*4)</f>
        <v>7.4997152829082756</v>
      </c>
      <c r="BN20" s="64">
        <f>(Table516212631[[#This Row],[Concentration11]]*5)</f>
        <v>0</v>
      </c>
      <c r="BO20" s="64">
        <f>(Table516212631[[#This Row],[Concentration12]]*5)</f>
        <v>0.23795602816605993</v>
      </c>
      <c r="BP20" s="64">
        <f>(Table516212631[[#This Row],[Concentration13]]*6)</f>
        <v>0</v>
      </c>
      <c r="BQ20" s="64">
        <f>(Table516212631[[#This Row],[Concentration14]]*6)</f>
        <v>1.1362043118172775</v>
      </c>
      <c r="BR20" s="64">
        <f>(Table516212631[[#This Row],[Concentration15]]*7)</f>
        <v>0</v>
      </c>
      <c r="BS20" s="64">
        <f>(Table516212631[[#This Row],[Concentration16]]*8)</f>
        <v>0</v>
      </c>
      <c r="BT20" s="64">
        <f>(Table516212631[[#This Row],[Concentration17]]*3)/1000</f>
        <v>0.10121003552397868</v>
      </c>
      <c r="BU20" s="47" t="e">
        <f>Table516212631[[#This Row],[Concentration18]]</f>
        <v>#DIV/0!</v>
      </c>
      <c r="BV20" s="47">
        <f>Table516212631[[#This Row],[Concentration19]]/1000</f>
        <v>0</v>
      </c>
    </row>
    <row r="21" spans="1:74" s="47" customFormat="1" ht="16" thickBot="1" x14ac:dyDescent="0.4">
      <c r="A21" s="63">
        <f>'B1'!A21</f>
        <v>43105</v>
      </c>
      <c r="B21" s="167">
        <f>Table2[[#This Row],[Time]]</f>
        <v>43</v>
      </c>
      <c r="C21" s="54">
        <v>20</v>
      </c>
      <c r="D21" s="106" t="s">
        <v>27</v>
      </c>
      <c r="E21" s="106" t="s">
        <v>27</v>
      </c>
      <c r="F21" s="106" t="s">
        <v>27</v>
      </c>
      <c r="G21" s="106" t="s">
        <v>27</v>
      </c>
      <c r="H21" s="106" t="s">
        <v>27</v>
      </c>
      <c r="I21" s="106" t="s">
        <v>27</v>
      </c>
      <c r="J21" s="106">
        <v>24.079062975502648</v>
      </c>
      <c r="K21" s="106">
        <v>15.536739572554488</v>
      </c>
      <c r="L21" s="106">
        <v>13.477912499881098</v>
      </c>
      <c r="M21" s="106">
        <v>91.387469488695544</v>
      </c>
      <c r="N21" s="107">
        <v>0</v>
      </c>
      <c r="O21" s="106">
        <v>3.1504213995888488</v>
      </c>
      <c r="P21" s="106">
        <v>0</v>
      </c>
      <c r="Q21" s="106">
        <v>7.6446152610001565</v>
      </c>
      <c r="R21" s="107">
        <v>0</v>
      </c>
      <c r="S21" s="108">
        <v>0</v>
      </c>
      <c r="T21" s="108" t="s">
        <v>27</v>
      </c>
      <c r="U21" s="108" t="s">
        <v>27</v>
      </c>
      <c r="V21" s="108" t="s">
        <v>27</v>
      </c>
      <c r="W21" s="96"/>
      <c r="X21" s="97"/>
      <c r="Y21" s="96"/>
      <c r="Z21" s="98"/>
      <c r="AA21" s="99"/>
      <c r="AB21" s="97"/>
      <c r="AC21" s="96"/>
      <c r="AD21" s="100"/>
      <c r="AE21" s="55">
        <v>7.47</v>
      </c>
      <c r="AF21" s="47">
        <v>20</v>
      </c>
      <c r="AG21" s="45">
        <v>1</v>
      </c>
      <c r="AH21" s="47">
        <v>0</v>
      </c>
      <c r="AJ21" s="64" t="e">
        <f>IF(D21="nd","nd",D21*$C21/constants!$B$3)</f>
        <v>#VALUE!</v>
      </c>
      <c r="AK21" s="64" t="e">
        <f>IF(E21="nd","nd",E21*$C21/constants!$B$6)</f>
        <v>#VALUE!</v>
      </c>
      <c r="AL21" s="64" t="e">
        <f>IF(F21="nd","nd",F21*$C21/constants!$B$7)</f>
        <v>#VALUE!</v>
      </c>
      <c r="AM21" s="64" t="e">
        <f>IF(G21="nd","nd",G21*$C21/constants!$B$8)</f>
        <v>#VALUE!</v>
      </c>
      <c r="AN21" s="64" t="e">
        <f>IF(H21="nd","nd",H21*$C21/constants!$B$9)</f>
        <v>#VALUE!</v>
      </c>
      <c r="AO21" s="64" t="e">
        <f>IF(I21="nd","nd",I21*$C21/constants!$B$10)</f>
        <v>#VALUE!</v>
      </c>
      <c r="AP21" s="162">
        <f>(IF(IFERROR(J21-#REF!,J21)&gt;constants!$D$5,(IFERROR(J21-#REF!,J21)*$C21/1000),0))</f>
        <v>0.48158125951005298</v>
      </c>
      <c r="AQ21" s="162">
        <f>(IF(IFERROR(K21-#REF!,K21)&gt;constants!$D$11,(IFERROR(K21-#REF!,K21)*$C21/1000),0))</f>
        <v>0.31073479145108979</v>
      </c>
      <c r="AR21" s="162">
        <f>(IF(IFERROR(L21-#REF!,L21)&gt;constants!$D$19,(IFERROR(L21-#REF!,L21)*$C21/1000),0))</f>
        <v>0.26955824999762196</v>
      </c>
      <c r="AS21" s="162">
        <f>(IF(IFERROR(M21-#REF!,M21)&gt;constants!$D$4,(IFERROR(M21-#REF!,M21)*$C21/1000),0))</f>
        <v>1.827749389773911</v>
      </c>
      <c r="AT21" s="162">
        <f>(IF(IFERROR(N21-#REF!,N21)&gt;constants!$D$5,(IFERROR(N21-#REF!,N21)*$C21/1000),0))</f>
        <v>0</v>
      </c>
      <c r="AU21" s="162">
        <f>(IF(IFERROR(O21-#REF!,O21)&gt;constants!$D$12,(IFERROR(O21-#REF!,O21)*$C21/1000),0))</f>
        <v>6.3008427991776972E-2</v>
      </c>
      <c r="AV21" s="162">
        <f>(IF(IFERROR(P21-#REF!,P21)&gt;constants!$D$5,(IFERROR(P21-#REF!,P21)*$C21/1000),0))</f>
        <v>0</v>
      </c>
      <c r="AW21" s="162">
        <f>(IF(IFERROR(Q21-#REF!,Q21)&gt;constants!$D$13,(IFERROR(Q21-#REF!,Q21)*$C21/1000),0))</f>
        <v>0.15289230522000313</v>
      </c>
      <c r="AX21" s="162">
        <f>(IF(IFERROR(R21-#REF!,R21)&gt;constants!$D$14,(IFERROR(R21-#REF!,R21)*$C21/constants!$B$14),0))</f>
        <v>0</v>
      </c>
      <c r="AY21" s="64">
        <f>(IF(IFERROR(S21-#REF!,S21)&gt;constants!$D$15,(IFERROR(S21-#REF!,S21)*$C21/constants!$B$15),0))</f>
        <v>0</v>
      </c>
      <c r="AZ21" s="64">
        <f>IF(AH21="nd","nd",AH21*Table315202530[[#This Row],[dilution ]]/constants!$B$23)</f>
        <v>0</v>
      </c>
      <c r="BA21" s="64">
        <f>Table315202530[[#This Row],[dilution ]]*Table315202530[[#This Row],[correction factor]]*Table315202530[[#This Row],[amount]]/1000</f>
        <v>0</v>
      </c>
      <c r="BB21" s="64" t="e">
        <f>(Table315202530[[#This Row],[pressure]]*(Table315202530[[#This Row],[Amount 25]]/100)*constants!I21)/(constants!$I$6*constants!$I$5)</f>
        <v>#DIV/0!</v>
      </c>
      <c r="BC21" s="64"/>
      <c r="BD21" s="64" t="e">
        <f>(Table516212631[[#This Row],[Concentration]]*constants!$C$3)/1000</f>
        <v>#VALUE!</v>
      </c>
      <c r="BE21" s="64" t="e">
        <f>(Table516212631[[#This Row],[Concentration2]]*constants!$C$6)/1000</f>
        <v>#VALUE!</v>
      </c>
      <c r="BF21" s="64" t="e">
        <f>(Table516212631[[#This Row],[Concentration3]]*constants!$C$7)/1000</f>
        <v>#VALUE!</v>
      </c>
      <c r="BG21" s="64" t="e">
        <f>(Table516212631[[#This Row],[Concentration4]]*constants!$C$8)/1000</f>
        <v>#VALUE!</v>
      </c>
      <c r="BH21" s="64" t="e">
        <f>(Table516212631[[#This Row],[Concentration5]]*constants!$C$9)/1000</f>
        <v>#VALUE!</v>
      </c>
      <c r="BI21" s="64" t="e">
        <f>(Table516212631[[#This Row],[Concentration6]]*constants!$C$10)/1000</f>
        <v>#VALUE!</v>
      </c>
      <c r="BJ21" s="64">
        <f>(Table516212631[[#This Row],[Concentration7]]*constants!$C$5)</f>
        <v>0.96316251902010597</v>
      </c>
      <c r="BK21" s="64">
        <f>(Table516212631[[#This Row],[Concentration8]]*3)</f>
        <v>0.9322043743532693</v>
      </c>
      <c r="BL21" s="64">
        <f>(Table516212631[[#This Row],[Concentration9]]*4)</f>
        <v>1.0782329999904878</v>
      </c>
      <c r="BM21" s="64">
        <f>(Table516212631[[#This Row],[Concentration10]]*4)</f>
        <v>7.310997559095644</v>
      </c>
      <c r="BN21" s="64">
        <f>(Table516212631[[#This Row],[Concentration11]]*5)</f>
        <v>0</v>
      </c>
      <c r="BO21" s="64">
        <f>(Table516212631[[#This Row],[Concentration12]]*5)</f>
        <v>0.31504213995888486</v>
      </c>
      <c r="BP21" s="64">
        <f>(Table516212631[[#This Row],[Concentration13]]*6)</f>
        <v>0</v>
      </c>
      <c r="BQ21" s="64">
        <f>(Table516212631[[#This Row],[Concentration14]]*6)</f>
        <v>0.9173538313200188</v>
      </c>
      <c r="BR21" s="64">
        <f>(Table516212631[[#This Row],[Concentration15]]*7)</f>
        <v>0</v>
      </c>
      <c r="BS21" s="64">
        <f>(Table516212631[[#This Row],[Concentration16]]*8)</f>
        <v>0</v>
      </c>
      <c r="BT21" s="64">
        <f>(Table516212631[[#This Row],[Concentration17]]*3)/1000</f>
        <v>0</v>
      </c>
      <c r="BU21" s="47" t="e">
        <f>Table516212631[[#This Row],[Concentration18]]/1000</f>
        <v>#DIV/0!</v>
      </c>
      <c r="BV21" s="47">
        <f>Table516212631[[#This Row],[Concentration19]]/1000</f>
        <v>0</v>
      </c>
    </row>
    <row r="22" spans="1:74" s="66" customFormat="1" ht="16" thickBot="1" x14ac:dyDescent="0.4">
      <c r="A22" s="63">
        <f>'B1'!A22</f>
        <v>43195</v>
      </c>
      <c r="B22" s="167">
        <f>Table2[[#This Row],[Time]]</f>
        <v>46</v>
      </c>
      <c r="C22" s="79">
        <v>20</v>
      </c>
      <c r="D22" s="106" t="s">
        <v>27</v>
      </c>
      <c r="E22" s="106" t="s">
        <v>27</v>
      </c>
      <c r="F22" s="106" t="s">
        <v>27</v>
      </c>
      <c r="G22" s="106" t="s">
        <v>27</v>
      </c>
      <c r="H22" s="106" t="s">
        <v>27</v>
      </c>
      <c r="I22" s="106">
        <v>0.5532639880509117</v>
      </c>
      <c r="J22" s="106">
        <v>37.456458573857596</v>
      </c>
      <c r="K22" s="106">
        <v>29.336004038665678</v>
      </c>
      <c r="L22" s="106">
        <v>26.604604575219213</v>
      </c>
      <c r="M22" s="106">
        <v>179.41620909600329</v>
      </c>
      <c r="N22" s="107">
        <v>0.98096804647374636</v>
      </c>
      <c r="O22" s="106">
        <v>6.4822168681108066</v>
      </c>
      <c r="P22" s="106">
        <v>0</v>
      </c>
      <c r="Q22" s="106">
        <v>15.275173402651426</v>
      </c>
      <c r="R22" s="107">
        <v>0</v>
      </c>
      <c r="S22" s="108">
        <v>0</v>
      </c>
      <c r="T22" s="108" t="s">
        <v>27</v>
      </c>
      <c r="U22" s="108" t="s">
        <v>27</v>
      </c>
      <c r="V22" s="108" t="s">
        <v>27</v>
      </c>
      <c r="AE22" s="65">
        <v>7.31</v>
      </c>
      <c r="AF22" s="66">
        <v>20</v>
      </c>
      <c r="AG22" s="45">
        <v>1</v>
      </c>
      <c r="AH22" s="66">
        <v>0</v>
      </c>
      <c r="AJ22" s="64" t="e">
        <f>IF(D22="nd","nd",D22*$C22/constants!$B$3)</f>
        <v>#VALUE!</v>
      </c>
      <c r="AK22" s="64" t="e">
        <f>IF(E22="nd","nd",E22*$C22/constants!$B$6)</f>
        <v>#VALUE!</v>
      </c>
      <c r="AL22" s="64" t="e">
        <f>IF(F22="nd","nd",F22*$C22/constants!$B$7)</f>
        <v>#VALUE!</v>
      </c>
      <c r="AM22" s="64" t="e">
        <f>IF(G22="nd","nd",G22*$C22/constants!$B$8)</f>
        <v>#VALUE!</v>
      </c>
      <c r="AN22" s="64" t="e">
        <f>IF(H22="nd","nd",H22*$C22/constants!$B$9)</f>
        <v>#VALUE!</v>
      </c>
      <c r="AO22" s="64">
        <f>IF(I22="nd","nd",I22*$C22/constants!$B$10)</f>
        <v>0.10829521086955218</v>
      </c>
      <c r="AP22" s="162">
        <f>(IF(IFERROR(J22-#REF!,J22)&gt;constants!$D$5,(IFERROR(J22-#REF!,J22)*$C22/1000),0))</f>
        <v>0.74912917147715186</v>
      </c>
      <c r="AQ22" s="162">
        <f>(IF(IFERROR(K22-#REF!,K22)&gt;constants!$D$11,(IFERROR(K22-#REF!,K22)*$C22/1000),0))</f>
        <v>0.58672008077331361</v>
      </c>
      <c r="AR22" s="162">
        <f>(IF(IFERROR(L22-#REF!,L22)&gt;constants!$D$19,(IFERROR(L22-#REF!,L22)*$C22/1000),0))</f>
        <v>0.5320920915043843</v>
      </c>
      <c r="AS22" s="162">
        <f>(IF(IFERROR(M22-#REF!,M22)&gt;constants!$D$4,(IFERROR(M22-#REF!,M22)*$C22/1000),0))</f>
        <v>3.5883241819200657</v>
      </c>
      <c r="AT22" s="162">
        <f>(IF(IFERROR(N22-#REF!,N22)&gt;constants!$D$5,(IFERROR(N22-#REF!,N22)*$C22/1000),0))</f>
        <v>0</v>
      </c>
      <c r="AU22" s="162">
        <f>(IF(IFERROR(O22-#REF!,O22)&gt;constants!$D$12,(IFERROR(O22-#REF!,O22)*$C22/1000),0))</f>
        <v>0.12964433736221614</v>
      </c>
      <c r="AV22" s="162">
        <f>(IF(IFERROR(P22-#REF!,P22)&gt;constants!$D$5,(IFERROR(P22-#REF!,P22)*$C22/1000),0))</f>
        <v>0</v>
      </c>
      <c r="AW22" s="162">
        <f>(IF(IFERROR(Q22-#REF!,Q22)&gt;constants!$D$13,(IFERROR(Q22-#REF!,Q22)*$C22/1000),0))</f>
        <v>0.30550346805302853</v>
      </c>
      <c r="AX22" s="162">
        <f>(IF(IFERROR(R22-#REF!,R22)&gt;constants!$D$14,(IFERROR(R22-#REF!,R22)*$C22/constants!$B$14),0))</f>
        <v>0</v>
      </c>
      <c r="AY22" s="64">
        <f>(IF(IFERROR(S22-#REF!,S22)&gt;constants!$D$15,(IFERROR(S22-#REF!,S22)*$C22/constants!$B$15),0))</f>
        <v>0</v>
      </c>
      <c r="AZ22" s="64">
        <f>IF(AH22="nd","nd",AH22*Table315202530[[#This Row],[dilution ]]/constants!$B$23)</f>
        <v>0</v>
      </c>
      <c r="BA22" s="64">
        <f>Table315202530[[#This Row],[dilution ]]*Table315202530[[#This Row],[correction factor]]*Table315202530[[#This Row],[amount]]/1000</f>
        <v>0</v>
      </c>
      <c r="BB22" s="64" t="e">
        <f>(Table315202530[[#This Row],[pressure]]*(Table315202530[[#This Row],[Amount 25]]/100)*constants!I22)/(constants!$I$6*constants!$I$5)</f>
        <v>#DIV/0!</v>
      </c>
      <c r="BC22" s="64"/>
      <c r="BD22" s="64" t="e">
        <f>(Table516212631[[#This Row],[Concentration]]*constants!$C$3)/1000</f>
        <v>#VALUE!</v>
      </c>
      <c r="BE22" s="64" t="e">
        <f>(Table516212631[[#This Row],[Concentration2]]*constants!$C$6)/1000</f>
        <v>#VALUE!</v>
      </c>
      <c r="BF22" s="64" t="e">
        <f>(Table516212631[[#This Row],[Concentration3]]*constants!$C$7)/1000</f>
        <v>#VALUE!</v>
      </c>
      <c r="BG22" s="64" t="e">
        <f>(Table516212631[[#This Row],[Concentration4]]*constants!$C$8)/1000</f>
        <v>#VALUE!</v>
      </c>
      <c r="BH22" s="64" t="e">
        <f>(Table516212631[[#This Row],[Concentration5]]*constants!$C$9)/1000</f>
        <v>#VALUE!</v>
      </c>
      <c r="BI22" s="64">
        <f>(Table516212631[[#This Row],[Concentration6]]*constants!$C$10)/1000</f>
        <v>6.4977126521731311E-4</v>
      </c>
      <c r="BJ22" s="64">
        <f>(Table516212631[[#This Row],[Concentration7]]*constants!$C$5)</f>
        <v>1.4982583429543037</v>
      </c>
      <c r="BK22" s="64">
        <f>(Table516212631[[#This Row],[Concentration8]]*3)</f>
        <v>1.7601602423199409</v>
      </c>
      <c r="BL22" s="64">
        <f>(Table516212631[[#This Row],[Concentration9]]*4)</f>
        <v>2.1283683660175372</v>
      </c>
      <c r="BM22" s="64">
        <f>(Table516212631[[#This Row],[Concentration10]]*4)</f>
        <v>14.353296727680263</v>
      </c>
      <c r="BN22" s="64">
        <f>(Table516212631[[#This Row],[Concentration11]]*5)</f>
        <v>0</v>
      </c>
      <c r="BO22" s="64">
        <f>(Table516212631[[#This Row],[Concentration12]]*5)</f>
        <v>0.64822168681108072</v>
      </c>
      <c r="BP22" s="64">
        <f>(Table516212631[[#This Row],[Concentration13]]*6)</f>
        <v>0</v>
      </c>
      <c r="BQ22" s="64">
        <f>(Table516212631[[#This Row],[Concentration14]]*6)</f>
        <v>1.8330208083181712</v>
      </c>
      <c r="BR22" s="64">
        <f>(Table516212631[[#This Row],[Concentration15]]*7)</f>
        <v>0</v>
      </c>
      <c r="BS22" s="64">
        <f>(Table516212631[[#This Row],[Concentration16]]*8)</f>
        <v>0</v>
      </c>
      <c r="BT22" s="64">
        <f>(Table516212631[[#This Row],[Concentration17]]*3)/1000</f>
        <v>0</v>
      </c>
      <c r="BU22" s="47" t="e">
        <f>Table516212631[[#This Row],[Concentration18]]/1000</f>
        <v>#DIV/0!</v>
      </c>
      <c r="BV22" s="47">
        <f>Table516212631[[#This Row],[Concentration19]]/1000</f>
        <v>0</v>
      </c>
    </row>
    <row r="23" spans="1:74" s="47" customFormat="1" ht="16" thickBot="1" x14ac:dyDescent="0.4">
      <c r="A23" s="63">
        <f>'B1'!A23</f>
        <v>43317</v>
      </c>
      <c r="B23" s="167">
        <f>Table2[[#This Row],[Time]]</f>
        <v>50</v>
      </c>
      <c r="C23" s="54">
        <v>50</v>
      </c>
      <c r="D23" s="106" t="s">
        <v>27</v>
      </c>
      <c r="E23" s="106" t="s">
        <v>27</v>
      </c>
      <c r="F23" s="106" t="s">
        <v>27</v>
      </c>
      <c r="G23" s="106" t="s">
        <v>27</v>
      </c>
      <c r="H23" s="106" t="s">
        <v>27</v>
      </c>
      <c r="I23" s="106" t="s">
        <v>27</v>
      </c>
      <c r="J23" s="106">
        <v>18.932541818209941</v>
      </c>
      <c r="K23" s="106">
        <v>12.788493223437762</v>
      </c>
      <c r="L23" s="106">
        <v>10.545717198577911</v>
      </c>
      <c r="M23" s="106">
        <v>70.742233304923985</v>
      </c>
      <c r="N23" s="107">
        <v>0</v>
      </c>
      <c r="O23" s="106">
        <v>2.4505885473037314</v>
      </c>
      <c r="P23" s="106">
        <v>0</v>
      </c>
      <c r="Q23" s="106">
        <v>5.6530912593272475</v>
      </c>
      <c r="R23" s="107">
        <v>0</v>
      </c>
      <c r="S23" s="108">
        <v>3.1857333547582994E-2</v>
      </c>
      <c r="T23" s="108" t="s">
        <v>27</v>
      </c>
      <c r="U23" s="108" t="s">
        <v>27</v>
      </c>
      <c r="V23" s="108" t="s">
        <v>27</v>
      </c>
      <c r="AE23" s="55"/>
      <c r="AF23" s="47">
        <v>10</v>
      </c>
      <c r="AG23" s="45">
        <v>1</v>
      </c>
      <c r="AH23" s="47">
        <v>0</v>
      </c>
      <c r="AJ23" s="64" t="e">
        <f>IF(D23="nd","nd",D23*$C23/constants!$B$3)</f>
        <v>#VALUE!</v>
      </c>
      <c r="AK23" s="64" t="e">
        <f>IF(E23="nd","nd",E23*$C23/constants!$B$6)</f>
        <v>#VALUE!</v>
      </c>
      <c r="AL23" s="64" t="e">
        <f>IF(F23="nd","nd",F23*$C23/constants!$B$7)</f>
        <v>#VALUE!</v>
      </c>
      <c r="AM23" s="64" t="e">
        <f>IF(G23="nd","nd",G23*$C23/constants!$B$8)</f>
        <v>#VALUE!</v>
      </c>
      <c r="AN23" s="64" t="e">
        <f>IF(H23="nd","nd",H23*$C23/constants!$B$9)</f>
        <v>#VALUE!</v>
      </c>
      <c r="AO23" s="64" t="e">
        <f>IF(I23="nd","nd",I23*$C23/constants!$B$10)</f>
        <v>#VALUE!</v>
      </c>
      <c r="AP23" s="162">
        <f>(IF(IFERROR(J23-#REF!,J23)&gt;constants!$D$5,(IFERROR(J23-#REF!,J23)*$C23/1000),0))</f>
        <v>0.94662709091049702</v>
      </c>
      <c r="AQ23" s="162">
        <f>(IF(IFERROR(K23-#REF!,K23)&gt;constants!$D$11,(IFERROR(K23-#REF!,K23)*$C23/1000),0))</f>
        <v>0.63942466117188801</v>
      </c>
      <c r="AR23" s="162">
        <f>(IF(IFERROR(L23-#REF!,L23)&gt;constants!$D$19,(IFERROR(L23-#REF!,L23)*$C23/1000),0))</f>
        <v>0.52728585992889554</v>
      </c>
      <c r="AS23" s="162">
        <f>(IF(IFERROR(M23-#REF!,M23)&gt;constants!$D$4,(IFERROR(M23-#REF!,M23)*$C23/1000),0))</f>
        <v>3.5371116652461994</v>
      </c>
      <c r="AT23" s="162">
        <f>(IF(IFERROR(N23-#REF!,N23)&gt;constants!$D$5,(IFERROR(N23-#REF!,N23)*$C23/1000),0))</f>
        <v>0</v>
      </c>
      <c r="AU23" s="162">
        <f>(IF(IFERROR(O23-#REF!,O23)&gt;constants!$D$12,(IFERROR(O23-#REF!,O23)*$C23/1000),0))</f>
        <v>0</v>
      </c>
      <c r="AV23" s="162">
        <f>(IF(IFERROR(P23-#REF!,P23)&gt;constants!$D$5,(IFERROR(P23-#REF!,P23)*$C23/1000),0))</f>
        <v>0</v>
      </c>
      <c r="AW23" s="162">
        <f>(IF(IFERROR(Q23-#REF!,Q23)&gt;constants!$D$13,(IFERROR(Q23-#REF!,Q23)*$C23/1000),0))</f>
        <v>0.28265456296636238</v>
      </c>
      <c r="AX23" s="162">
        <f>(IF(IFERROR(R23-#REF!,R23)&gt;constants!$D$14,(IFERROR(R23-#REF!,R23)*$C23/constants!$B$14),0))</f>
        <v>0</v>
      </c>
      <c r="AY23" s="64">
        <f>(IF(IFERROR(S23-#REF!,S23)&gt;constants!$D$15,(IFERROR(S23-#REF!,S23)*$C23/constants!$B$15),0))</f>
        <v>0</v>
      </c>
      <c r="AZ23" s="64">
        <f>IF(AH23="nd","nd",AH23*Table315202530[[#This Row],[dilution ]]/constants!$B$23)</f>
        <v>0</v>
      </c>
      <c r="BA23" s="64">
        <f>Table315202530[[#This Row],[dilution ]]*Table315202530[[#This Row],[correction factor]]*Table315202530[[#This Row],[amount]]/1000</f>
        <v>0</v>
      </c>
      <c r="BB23" s="64" t="e">
        <f>(Table315202530[[#This Row],[pressure]]*(Table315202530[[#This Row],[Amount 25]]/100)*constants!I23)/(constants!$I$6*constants!$I$5)</f>
        <v>#DIV/0!</v>
      </c>
      <c r="BC23" s="64"/>
      <c r="BD23" s="64" t="e">
        <f>(Table516212631[[#This Row],[Concentration]]*constants!$C$3)/1000</f>
        <v>#VALUE!</v>
      </c>
      <c r="BE23" s="64" t="e">
        <f>(Table516212631[[#This Row],[Concentration2]]*constants!$C$6)/1000</f>
        <v>#VALUE!</v>
      </c>
      <c r="BF23" s="64" t="e">
        <f>(Table516212631[[#This Row],[Concentration3]]*constants!$C$7)/1000</f>
        <v>#VALUE!</v>
      </c>
      <c r="BG23" s="64" t="e">
        <f>(Table516212631[[#This Row],[Concentration4]]*constants!$C$8)/1000</f>
        <v>#VALUE!</v>
      </c>
      <c r="BH23" s="64" t="e">
        <f>(Table516212631[[#This Row],[Concentration5]]*constants!$C$9)/1000</f>
        <v>#VALUE!</v>
      </c>
      <c r="BI23" s="64" t="e">
        <f>(Table516212631[[#This Row],[Concentration6]]*constants!$C$10)/1000</f>
        <v>#VALUE!</v>
      </c>
      <c r="BJ23" s="64">
        <f>(Table516212631[[#This Row],[Concentration7]]*constants!$C$5)</f>
        <v>1.893254181820994</v>
      </c>
      <c r="BK23" s="64">
        <f>(Table516212631[[#This Row],[Concentration8]]*3)</f>
        <v>1.9182739835156641</v>
      </c>
      <c r="BL23" s="64">
        <f>(Table516212631[[#This Row],[Concentration9]]*4)</f>
        <v>2.1091434397155822</v>
      </c>
      <c r="BM23" s="64">
        <f>(Table516212631[[#This Row],[Concentration10]]*4)</f>
        <v>14.148446660984797</v>
      </c>
      <c r="BN23" s="64">
        <f>(Table516212631[[#This Row],[Concentration11]]*5)</f>
        <v>0</v>
      </c>
      <c r="BO23" s="64">
        <f>(Table516212631[[#This Row],[Concentration12]]*5)</f>
        <v>0</v>
      </c>
      <c r="BP23" s="64">
        <f>(Table516212631[[#This Row],[Concentration13]]*6)</f>
        <v>0</v>
      </c>
      <c r="BQ23" s="64">
        <f>(Table516212631[[#This Row],[Concentration14]]*6)</f>
        <v>1.6959273777981743</v>
      </c>
      <c r="BR23" s="64">
        <f>(Table516212631[[#This Row],[Concentration15]]*7)</f>
        <v>0</v>
      </c>
      <c r="BS23" s="64">
        <f>(Table516212631[[#This Row],[Concentration16]]*8)</f>
        <v>0</v>
      </c>
      <c r="BT23" s="64">
        <f>(Table516212631[[#This Row],[Concentration17]]*3)/1000</f>
        <v>0</v>
      </c>
      <c r="BU23" s="47" t="e">
        <f>Table516212631[[#This Row],[Concentration18]]/1000</f>
        <v>#DIV/0!</v>
      </c>
      <c r="BV23" s="47">
        <f>Table516212631[[#This Row],[Concentration19]]/1000</f>
        <v>0</v>
      </c>
    </row>
    <row r="24" spans="1:74" s="66" customFormat="1" ht="16" thickBot="1" x14ac:dyDescent="0.4">
      <c r="A24" s="63" t="str">
        <f>'B1'!A24</f>
        <v>16-05-2018</v>
      </c>
      <c r="B24" s="167">
        <f>Table2[[#This Row],[Time]]</f>
        <v>58</v>
      </c>
      <c r="C24" s="79">
        <v>20</v>
      </c>
      <c r="D24" s="106" t="s">
        <v>27</v>
      </c>
      <c r="E24" s="106" t="s">
        <v>27</v>
      </c>
      <c r="F24" s="106" t="s">
        <v>27</v>
      </c>
      <c r="G24" s="106" t="s">
        <v>27</v>
      </c>
      <c r="H24" s="106" t="s">
        <v>27</v>
      </c>
      <c r="I24" s="106" t="s">
        <v>27</v>
      </c>
      <c r="J24" s="106">
        <v>39.793858058886507</v>
      </c>
      <c r="K24" s="106">
        <v>41.853758054090839</v>
      </c>
      <c r="L24" s="106">
        <v>38.315586617611331</v>
      </c>
      <c r="M24" s="106">
        <v>248.15299888770124</v>
      </c>
      <c r="N24" s="107">
        <v>1.4115195940965153</v>
      </c>
      <c r="O24" s="106">
        <v>8.6850337503222121</v>
      </c>
      <c r="P24" s="106">
        <v>0</v>
      </c>
      <c r="Q24" s="106">
        <v>18.69752317861504</v>
      </c>
      <c r="R24" s="107">
        <v>0</v>
      </c>
      <c r="S24" s="108">
        <v>0</v>
      </c>
      <c r="T24" s="108" t="s">
        <v>27</v>
      </c>
      <c r="U24" s="108" t="s">
        <v>27</v>
      </c>
      <c r="V24" s="108" t="s">
        <v>27</v>
      </c>
      <c r="AE24" s="65">
        <v>7.6</v>
      </c>
      <c r="AG24" s="45">
        <v>1</v>
      </c>
      <c r="AJ24" s="64" t="e">
        <f>IF(D24="nd","nd",D24*$C24/constants!$B$3)</f>
        <v>#VALUE!</v>
      </c>
      <c r="AK24" s="64" t="e">
        <f>IF(E24="nd","nd",E24*$C24/constants!$B$6)</f>
        <v>#VALUE!</v>
      </c>
      <c r="AL24" s="64" t="e">
        <f>IF(F24="nd","nd",F24*$C24/constants!$B$7)</f>
        <v>#VALUE!</v>
      </c>
      <c r="AM24" s="64" t="e">
        <f>IF(G24="nd","nd",G24*$C24/constants!$B$8)</f>
        <v>#VALUE!</v>
      </c>
      <c r="AN24" s="64" t="e">
        <f>IF(H24="nd","nd",H24*$C24/constants!$B$9)</f>
        <v>#VALUE!</v>
      </c>
      <c r="AO24" s="64" t="e">
        <f>IF(I24="nd","nd",I24*$C24/constants!$B$10)</f>
        <v>#VALUE!</v>
      </c>
      <c r="AP24" s="162">
        <f>(IF(IFERROR(J24-#REF!,J24)&gt;constants!$D$5,(IFERROR(J24-#REF!,J24)*$C24/1000),0))</f>
        <v>0.79587716117773011</v>
      </c>
      <c r="AQ24" s="162">
        <f>(IF(IFERROR(K24-#REF!,K24)&gt;constants!$D$11,(IFERROR(K24-#REF!,K24)*$C24/1000),0))</f>
        <v>0.83707516108181679</v>
      </c>
      <c r="AR24" s="162">
        <f>(IF(IFERROR(L24-#REF!,L24)&gt;constants!$D$19,(IFERROR(L24-#REF!,L24)*$C24/1000),0))</f>
        <v>0.7663117323522266</v>
      </c>
      <c r="AS24" s="162">
        <f>(IF(IFERROR(M24-#REF!,M24)&gt;constants!$D$4,(IFERROR(M24-#REF!,M24)*$C24/1000),0))</f>
        <v>4.9630599777540247</v>
      </c>
      <c r="AT24" s="162">
        <f>(IF(IFERROR(N24-#REF!,N24)&gt;constants!$D$5,(IFERROR(N24-#REF!,N24)*$C24/1000),0))</f>
        <v>0</v>
      </c>
      <c r="AU24" s="162">
        <f>(IF(IFERROR(O24-#REF!,O24)&gt;constants!$D$12,(IFERROR(O24-#REF!,O24)*$C24/1000),0))</f>
        <v>0.17370067500644423</v>
      </c>
      <c r="AV24" s="162">
        <f>(IF(IFERROR(P24-#REF!,P24)&gt;constants!$D$5,(IFERROR(P24-#REF!,P24)*$C24/1000),0))</f>
        <v>0</v>
      </c>
      <c r="AW24" s="162">
        <f>(IF(IFERROR(Q24-#REF!,Q24)&gt;constants!$D$13,(IFERROR(Q24-#REF!,Q24)*$C24/1000),0))</f>
        <v>0.37395046357230083</v>
      </c>
      <c r="AX24" s="162">
        <f>(IF(IFERROR(R24-#REF!,R24)&gt;constants!$D$14,(IFERROR(R24-#REF!,R24)*$C24/constants!$B$14),0))</f>
        <v>0</v>
      </c>
      <c r="AY24" s="64">
        <f>(IF(IFERROR(S24-#REF!,S24)&gt;constants!$D$15,(IFERROR(S24-#REF!,S24)*$C24/constants!$B$15),0))</f>
        <v>0</v>
      </c>
      <c r="AZ24" s="64">
        <f>IF(AH24="nd","nd",AH24*Table315202530[[#This Row],[dilution ]]/constants!$B$23)</f>
        <v>0</v>
      </c>
      <c r="BA24" s="64">
        <f>Table315202530[[#This Row],[dilution ]]*Table315202530[[#This Row],[correction factor]]*Table315202530[[#This Row],[amount]]/1000</f>
        <v>0</v>
      </c>
      <c r="BB24" s="64" t="e">
        <f>(Table315202530[[#This Row],[pressure]]*(Table315202530[[#This Row],[Amount 25]]/100)*constants!I24)/(constants!$I$6*constants!$I$5)</f>
        <v>#DIV/0!</v>
      </c>
      <c r="BC24" s="64"/>
      <c r="BD24" s="64" t="e">
        <f>(Table516212631[[#This Row],[Concentration]]*constants!$C$3)/1000</f>
        <v>#VALUE!</v>
      </c>
      <c r="BE24" s="64" t="e">
        <f>(Table516212631[[#This Row],[Concentration2]]*constants!$C$6)/1000</f>
        <v>#VALUE!</v>
      </c>
      <c r="BF24" s="64" t="e">
        <f>(Table516212631[[#This Row],[Concentration3]]*constants!$C$7)/1000</f>
        <v>#VALUE!</v>
      </c>
      <c r="BG24" s="64" t="e">
        <f>(Table516212631[[#This Row],[Concentration4]]*constants!$C$8)/1000</f>
        <v>#VALUE!</v>
      </c>
      <c r="BH24" s="64" t="e">
        <f>(Table516212631[[#This Row],[Concentration5]]*constants!$C$9)/1000</f>
        <v>#VALUE!</v>
      </c>
      <c r="BI24" s="64" t="e">
        <f>(Table516212631[[#This Row],[Concentration6]]*constants!$C$10)/1000</f>
        <v>#VALUE!</v>
      </c>
      <c r="BJ24" s="64">
        <f>(Table516212631[[#This Row],[Concentration7]]*constants!$C$5)</f>
        <v>1.5917543223554602</v>
      </c>
      <c r="BK24" s="64">
        <f>(Table516212631[[#This Row],[Concentration8]]*3)</f>
        <v>2.5112254832454504</v>
      </c>
      <c r="BL24" s="64">
        <f>(Table516212631[[#This Row],[Concentration9]]*4)</f>
        <v>3.0652469294089064</v>
      </c>
      <c r="BM24" s="64">
        <f>(Table516212631[[#This Row],[Concentration10]]*4)</f>
        <v>19.852239911016099</v>
      </c>
      <c r="BN24" s="64">
        <f>(Table516212631[[#This Row],[Concentration11]]*5)</f>
        <v>0</v>
      </c>
      <c r="BO24" s="64">
        <f>(Table516212631[[#This Row],[Concentration12]]*5)</f>
        <v>0.86850337503222119</v>
      </c>
      <c r="BP24" s="64">
        <f>(Table516212631[[#This Row],[Concentration13]]*6)</f>
        <v>0</v>
      </c>
      <c r="BQ24" s="64">
        <f>(Table516212631[[#This Row],[Concentration14]]*6)</f>
        <v>2.2437027814338051</v>
      </c>
      <c r="BR24" s="64">
        <f>(Table516212631[[#This Row],[Concentration15]]*7)</f>
        <v>0</v>
      </c>
      <c r="BS24" s="64">
        <f>(Table516212631[[#This Row],[Concentration16]]*8)</f>
        <v>0</v>
      </c>
      <c r="BT24" s="64">
        <f>(Table516212631[[#This Row],[Concentration17]]*3)/1000</f>
        <v>0</v>
      </c>
      <c r="BU24" s="47" t="e">
        <f>Table516212631[[#This Row],[Concentration18]]/1000</f>
        <v>#DIV/0!</v>
      </c>
      <c r="BV24" s="47">
        <f>Table516212631[[#This Row],[Concentration19]]/1000</f>
        <v>0</v>
      </c>
    </row>
    <row r="25" spans="1:74" s="47" customFormat="1" ht="16" thickBot="1" x14ac:dyDescent="0.4">
      <c r="A25" s="63">
        <f>'B1'!A25</f>
        <v>0</v>
      </c>
      <c r="B25" s="74">
        <f>Table2[[#This Row],[Time]]</f>
        <v>0</v>
      </c>
      <c r="C25" s="54">
        <v>20</v>
      </c>
      <c r="D25" s="106" t="s">
        <v>27</v>
      </c>
      <c r="E25" s="106" t="s">
        <v>27</v>
      </c>
      <c r="F25" s="106" t="s">
        <v>27</v>
      </c>
      <c r="G25" s="106" t="s">
        <v>27</v>
      </c>
      <c r="H25" s="106" t="s">
        <v>27</v>
      </c>
      <c r="I25" s="106" t="s">
        <v>27</v>
      </c>
      <c r="J25" s="106">
        <v>36.664769454411022</v>
      </c>
      <c r="K25" s="106">
        <v>40.258608857185415</v>
      </c>
      <c r="L25" s="106">
        <v>36.943643984512761</v>
      </c>
      <c r="M25" s="106">
        <v>225.18904204947171</v>
      </c>
      <c r="N25" s="107">
        <v>1.0018748424402986</v>
      </c>
      <c r="O25" s="106">
        <v>4.8087752208200074</v>
      </c>
      <c r="P25" s="106">
        <v>0</v>
      </c>
      <c r="Q25" s="106">
        <v>0</v>
      </c>
      <c r="R25" s="107">
        <v>0</v>
      </c>
      <c r="S25" s="108">
        <v>0</v>
      </c>
      <c r="T25" s="108" t="s">
        <v>27</v>
      </c>
      <c r="U25" s="108" t="s">
        <v>27</v>
      </c>
      <c r="V25" s="108" t="s">
        <v>27</v>
      </c>
      <c r="AE25" s="55">
        <v>8.8699999999999992</v>
      </c>
      <c r="AG25" s="45">
        <v>1</v>
      </c>
      <c r="AJ25" s="64" t="e">
        <f>IF(D25="nd","nd",D25*$C25/constants!$B$3)</f>
        <v>#VALUE!</v>
      </c>
      <c r="AK25" s="64" t="e">
        <f>IF(E25="nd","nd",E25*$C25/constants!$B$6)</f>
        <v>#VALUE!</v>
      </c>
      <c r="AL25" s="64" t="e">
        <f>IF(F25="nd","nd",F25*$C25/constants!$B$7)</f>
        <v>#VALUE!</v>
      </c>
      <c r="AM25" s="64" t="e">
        <f>IF(G25="nd","nd",G25*$C25/constants!$B$8)</f>
        <v>#VALUE!</v>
      </c>
      <c r="AN25" s="64" t="e">
        <f>IF(H25="nd","nd",H25*$C25/constants!$B$9)</f>
        <v>#VALUE!</v>
      </c>
      <c r="AO25" s="64" t="e">
        <f>IF(I25="nd","nd",I25*$C25/constants!$B$10)</f>
        <v>#VALUE!</v>
      </c>
      <c r="AP25" s="162">
        <f>(IF(IFERROR(J25-#REF!,J25)&gt;constants!$D$5,(IFERROR(J25-#REF!,J25)*$C25/1000),0))</f>
        <v>0.73329538908822045</v>
      </c>
      <c r="AQ25" s="162">
        <f>(IF(IFERROR(K25-#REF!,K25)&gt;constants!$D$11,(IFERROR(K25-#REF!,K25)*$C25/1000),0))</f>
        <v>0.80517217714370826</v>
      </c>
      <c r="AR25" s="162">
        <f>(IF(IFERROR(L25-#REF!,L25)&gt;constants!$D$19,(IFERROR(L25-#REF!,L25)*$C25/1000),0))</f>
        <v>0.73887287969025517</v>
      </c>
      <c r="AS25" s="162">
        <f>(IF(IFERROR(M25-#REF!,M25)&gt;constants!$D$4,(IFERROR(M25-#REF!,M25)*$C25/1000),0))</f>
        <v>4.5037808409894344</v>
      </c>
      <c r="AT25" s="162">
        <f>(IF(IFERROR(N25-#REF!,N25)&gt;constants!$D$5,(IFERROR(N25-#REF!,N25)*$C25/1000),0))</f>
        <v>0</v>
      </c>
      <c r="AU25" s="162">
        <f>(IF(IFERROR(O25-#REF!,O25)&gt;constants!$D$12,(IFERROR(O25-#REF!,O25)*$C25/1000),0))</f>
        <v>9.6175504416400145E-2</v>
      </c>
      <c r="AV25" s="162">
        <f>(IF(IFERROR(P25-#REF!,P25)&gt;constants!$D$5,(IFERROR(P25-#REF!,P25)*$C25/1000),0))</f>
        <v>0</v>
      </c>
      <c r="AW25" s="162">
        <f>(IF(IFERROR(Q25-#REF!,Q25)&gt;constants!$D$13,(IFERROR(Q25-#REF!,Q25)*$C25/1000),0))</f>
        <v>0</v>
      </c>
      <c r="AX25" s="162">
        <f>(IF(IFERROR(R25-#REF!,R25)&gt;constants!$D$14,(IFERROR(R25-#REF!,R25)*$C25/constants!$B$14),0))</f>
        <v>0</v>
      </c>
      <c r="AY25" s="64">
        <f>(IF(IFERROR(S25-#REF!,S25)&gt;constants!$D$15,(IFERROR(S25-#REF!,S25)*$C25/constants!$B$15),0))</f>
        <v>0</v>
      </c>
      <c r="AZ25" s="64">
        <f>IF(AH25="nd","nd",AH25*Table315202530[[#This Row],[dilution ]]/constants!$B$23)</f>
        <v>0</v>
      </c>
      <c r="BA25" s="64">
        <f>Table315202530[[#This Row],[dilution ]]*Table315202530[[#This Row],[correction factor]]*Table315202530[[#This Row],[amount]]/1000</f>
        <v>0</v>
      </c>
      <c r="BB25" s="64" t="e">
        <f>(Table315202530[[#This Row],[pressure]]*(Table315202530[[#This Row],[Amount 25]]/100)*constants!I25)/(constants!$I$6*constants!$I$5)</f>
        <v>#DIV/0!</v>
      </c>
      <c r="BC25" s="64"/>
      <c r="BD25" s="64" t="e">
        <f>(Table516212631[[#This Row],[Concentration]]*constants!$C$3)/1000</f>
        <v>#VALUE!</v>
      </c>
      <c r="BE25" s="64" t="e">
        <f>(Table516212631[[#This Row],[Concentration2]]*constants!$C$6)/1000</f>
        <v>#VALUE!</v>
      </c>
      <c r="BF25" s="64" t="e">
        <f>(Table516212631[[#This Row],[Concentration3]]*constants!$C$7)/1000</f>
        <v>#VALUE!</v>
      </c>
      <c r="BG25" s="64" t="e">
        <f>(Table516212631[[#This Row],[Concentration4]]*constants!$C$8)/1000</f>
        <v>#VALUE!</v>
      </c>
      <c r="BH25" s="64" t="e">
        <f>(Table516212631[[#This Row],[Concentration5]]*constants!$C$9)/1000</f>
        <v>#VALUE!</v>
      </c>
      <c r="BI25" s="64" t="e">
        <f>(Table516212631[[#This Row],[Concentration6]]*constants!$C$10)/1000</f>
        <v>#VALUE!</v>
      </c>
      <c r="BJ25" s="64">
        <f>(Table516212631[[#This Row],[Concentration7]]*constants!$C$5)</f>
        <v>1.4665907781764409</v>
      </c>
      <c r="BK25" s="64">
        <f>(Table516212631[[#This Row],[Concentration8]]*3)</f>
        <v>2.4155165314311247</v>
      </c>
      <c r="BL25" s="64">
        <f>(Table516212631[[#This Row],[Concentration9]]*4)</f>
        <v>2.9554915187610207</v>
      </c>
      <c r="BM25" s="64">
        <f>(Table516212631[[#This Row],[Concentration10]]*4)</f>
        <v>18.015123363957738</v>
      </c>
      <c r="BN25" s="64">
        <f>(Table516212631[[#This Row],[Concentration11]]*5)</f>
        <v>0</v>
      </c>
      <c r="BO25" s="64">
        <f>(Table516212631[[#This Row],[Concentration12]]*5)</f>
        <v>0.48087752208200074</v>
      </c>
      <c r="BP25" s="64">
        <f>(Table516212631[[#This Row],[Concentration13]]*6)</f>
        <v>0</v>
      </c>
      <c r="BQ25" s="64">
        <f>(Table516212631[[#This Row],[Concentration14]]*6)</f>
        <v>0</v>
      </c>
      <c r="BR25" s="64">
        <f>(Table516212631[[#This Row],[Concentration15]]*7)</f>
        <v>0</v>
      </c>
      <c r="BS25" s="64">
        <f>(Table516212631[[#This Row],[Concentration16]]*8)</f>
        <v>0</v>
      </c>
      <c r="BT25" s="64">
        <f>(Table516212631[[#This Row],[Concentration17]]*3)/1000</f>
        <v>0</v>
      </c>
      <c r="BU25" s="47" t="e">
        <f>Table516212631[[#This Row],[Concentration18]]/1000</f>
        <v>#DIV/0!</v>
      </c>
      <c r="BV25" s="47">
        <f>Table516212631[[#This Row],[Concentration19]]/1000</f>
        <v>0</v>
      </c>
    </row>
    <row r="26" spans="1:74" s="66" customFormat="1" ht="16" thickBot="1" x14ac:dyDescent="0.4">
      <c r="A26" s="63">
        <f>'B1'!A26</f>
        <v>0</v>
      </c>
      <c r="B26" s="74">
        <f>Table2[[#This Row],[Time]]</f>
        <v>0</v>
      </c>
      <c r="C26" s="79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1"/>
      <c r="AE26" s="65"/>
      <c r="AG26" s="45">
        <v>1</v>
      </c>
      <c r="AJ26" s="154" t="e">
        <f>AJ24-AJ25</f>
        <v>#VALUE!</v>
      </c>
      <c r="AK26" s="154" t="e">
        <f t="shared" ref="AK26:AY26" si="0">AK24-AK25</f>
        <v>#VALUE!</v>
      </c>
      <c r="AL26" s="154" t="e">
        <f t="shared" si="0"/>
        <v>#VALUE!</v>
      </c>
      <c r="AM26" s="154" t="e">
        <f t="shared" si="0"/>
        <v>#VALUE!</v>
      </c>
      <c r="AN26" s="154" t="e">
        <f t="shared" si="0"/>
        <v>#VALUE!</v>
      </c>
      <c r="AO26" s="154" t="e">
        <f t="shared" si="0"/>
        <v>#VALUE!</v>
      </c>
      <c r="AP26" s="154">
        <f t="shared" si="0"/>
        <v>6.2581772089509657E-2</v>
      </c>
      <c r="AQ26" s="154">
        <f t="shared" si="0"/>
        <v>3.1902983938108531E-2</v>
      </c>
      <c r="AR26" s="154">
        <f t="shared" si="0"/>
        <v>2.7438852661971436E-2</v>
      </c>
      <c r="AS26" s="154">
        <f t="shared" si="0"/>
        <v>0.45927913676459031</v>
      </c>
      <c r="AT26" s="154">
        <f t="shared" si="0"/>
        <v>0</v>
      </c>
      <c r="AU26" s="154">
        <f t="shared" si="0"/>
        <v>7.7525170590044087E-2</v>
      </c>
      <c r="AV26" s="154">
        <f t="shared" si="0"/>
        <v>0</v>
      </c>
      <c r="AW26" s="154">
        <v>3.2</v>
      </c>
      <c r="AX26" s="154">
        <f t="shared" si="0"/>
        <v>0</v>
      </c>
      <c r="AY26" s="154">
        <f t="shared" si="0"/>
        <v>0</v>
      </c>
      <c r="AZ26" s="64">
        <f>IF(AH26="nd","nd",AH26*Table315202530[[#This Row],[dilution ]]/constants!$B$23)</f>
        <v>0</v>
      </c>
      <c r="BA26" s="64">
        <f>Table315202530[[#This Row],[dilution ]]*Table315202530[[#This Row],[correction factor]]*Table315202530[[#This Row],[amount]]/1000</f>
        <v>0</v>
      </c>
      <c r="BB26" s="64" t="e">
        <f>(Table315202530[[#This Row],[pressure]]*(Table315202530[[#This Row],[Amount 25]]/100)*constants!I26)/(constants!$I$6*constants!$I$5)</f>
        <v>#DIV/0!</v>
      </c>
      <c r="BC26" s="64"/>
      <c r="BD26" s="64" t="e">
        <f>(Table516212631[[#This Row],[Concentration]]*constants!$C$3)/1000</f>
        <v>#VALUE!</v>
      </c>
      <c r="BE26" s="64" t="e">
        <f>(Table516212631[[#This Row],[Concentration2]]*constants!$C$6)/1000</f>
        <v>#VALUE!</v>
      </c>
      <c r="BF26" s="64" t="e">
        <f>(Table516212631[[#This Row],[Concentration3]]*constants!$C$7)/1000</f>
        <v>#VALUE!</v>
      </c>
      <c r="BG26" s="64" t="e">
        <f>(Table516212631[[#This Row],[Concentration4]]*constants!$C$8)/1000</f>
        <v>#VALUE!</v>
      </c>
      <c r="BH26" s="64" t="e">
        <f>(Table516212631[[#This Row],[Concentration5]]*constants!$C$9)/1000</f>
        <v>#VALUE!</v>
      </c>
      <c r="BI26" s="64" t="e">
        <f>(Table516212631[[#This Row],[Concentration6]]*constants!$C$10)/1000</f>
        <v>#VALUE!</v>
      </c>
      <c r="BJ26" s="64">
        <f>(Table516212631[[#This Row],[Concentration7]]*constants!$C$5)</f>
        <v>0.12516354417901931</v>
      </c>
      <c r="BK26" s="64">
        <f>(Table516212631[[#This Row],[Concentration8]]*3)</f>
        <v>9.5708951814325594E-2</v>
      </c>
      <c r="BL26" s="64">
        <f>(Table516212631[[#This Row],[Concentration9]]*4)</f>
        <v>0.10975541064788574</v>
      </c>
      <c r="BM26" s="64">
        <f>(Table516212631[[#This Row],[Concentration10]]*4)</f>
        <v>1.8371165470583612</v>
      </c>
      <c r="BN26" s="64">
        <f>(Table516212631[[#This Row],[Concentration11]]*5)</f>
        <v>0</v>
      </c>
      <c r="BO26" s="64">
        <f>(Table516212631[[#This Row],[Concentration12]]*5)</f>
        <v>0.38762585295022045</v>
      </c>
      <c r="BP26" s="64">
        <f>(Table516212631[[#This Row],[Concentration13]]*6)</f>
        <v>0</v>
      </c>
      <c r="BQ26" s="64">
        <f>(Table516212631[[#This Row],[Concentration14]]*6)</f>
        <v>19.200000000000003</v>
      </c>
      <c r="BR26" s="64">
        <f>(Table516212631[[#This Row],[Concentration15]]*7)</f>
        <v>0</v>
      </c>
      <c r="BS26" s="64">
        <f>(Table516212631[[#This Row],[Concentration16]]*8)</f>
        <v>0</v>
      </c>
      <c r="BT26" s="64">
        <f>(Table516212631[[#This Row],[Concentration17]]*3)/1000</f>
        <v>0</v>
      </c>
      <c r="BU26" s="47" t="e">
        <f>Table516212631[[#This Row],[Concentration18]]/1000</f>
        <v>#DIV/0!</v>
      </c>
      <c r="BV26" s="47">
        <f>Table516212631[[#This Row],[Concentration19]]/1000</f>
        <v>0</v>
      </c>
    </row>
    <row r="27" spans="1:74" s="47" customFormat="1" ht="16" thickBot="1" x14ac:dyDescent="0.4">
      <c r="A27" s="63">
        <f>'B1'!A27</f>
        <v>0</v>
      </c>
      <c r="B27" s="74">
        <f>Table2[[#This Row],[Time]]</f>
        <v>0</v>
      </c>
      <c r="C27" s="54"/>
      <c r="V27" s="82"/>
      <c r="AE27" s="55"/>
      <c r="AG27" s="45">
        <v>1</v>
      </c>
      <c r="AJ27" s="64">
        <f>IF(D27="nd","nd",D27*$C27/constants!$B$3)</f>
        <v>0</v>
      </c>
      <c r="AK27" s="64">
        <f>IF(E27="nd","nd",E27*$C27/constants!$B$6)</f>
        <v>0</v>
      </c>
      <c r="AL27" s="64">
        <f>IF(F27="nd","nd",F27*$C27/constants!$B$7)</f>
        <v>0</v>
      </c>
      <c r="AM27" s="64">
        <f>IF(G27="nd","nd",G27*$C27/constants!$B$8)</f>
        <v>0</v>
      </c>
      <c r="AN27" s="64">
        <f>IF(H27="nd","nd",H27*$C27/constants!$B$9)</f>
        <v>0</v>
      </c>
      <c r="AO27" s="64">
        <f>IF(I27="nd","nd",I27*$C27/constants!$B$10)</f>
        <v>0</v>
      </c>
      <c r="AP27" s="64">
        <f>(IF(IFERROR(J27-#REF!,J27)&gt;constants!$D$5,(IFERROR(J27-#REF!,J27)*$C27/constants!$B$5),0))</f>
        <v>0</v>
      </c>
      <c r="AQ27" s="64">
        <f>(IF(IFERROR(K27-#REF!,K27)&gt;constants!$D$11,(IFERROR(K27-#REF!,K27)*$C27/constants!$B$11),0))</f>
        <v>0</v>
      </c>
      <c r="AR27" s="64">
        <f>(IF(IFERROR(L27-#REF!,L27)&gt;constants!$D$19,(IFERROR(L27-#REF!,L27)*$C27/constants!$B$19),0))</f>
        <v>0</v>
      </c>
      <c r="AS27" s="64">
        <f>(IF(IFERROR(M27-#REF!,M27)&gt;constants!$D$4,(IFERROR(M27-#REF!,M27)*$C27/constants!$B$4),0))</f>
        <v>0</v>
      </c>
      <c r="AT27" s="64">
        <f>(IF(IFERROR(N27-#REF!,N27)&gt;constants!$D$5,(IFERROR(N27-#REF!,N27)*$C27/constants!$B$5),0))</f>
        <v>0</v>
      </c>
      <c r="AU27" s="64">
        <f>(IF(IFERROR(O27-#REF!,O27)&gt;constants!$D$12,(IFERROR(O27-#REF!,O27)*$C27/constants!$B$12),0))</f>
        <v>0</v>
      </c>
      <c r="AV27" s="64">
        <f>(IF(IFERROR(P27-#REF!,P27)&gt;constants!$D$5,(IFERROR(P27-#REF!,P27)*$C27/constants!$B$5),0))</f>
        <v>0</v>
      </c>
      <c r="AW27" s="64">
        <f>(IF(IFERROR(Q27-#REF!,Q27)&gt;constants!$D$13,(IFERROR(Q27-#REF!,Q27)*$C27/constants!$B$13),0))</f>
        <v>0</v>
      </c>
      <c r="AX27" s="64">
        <f>(IF(IFERROR(R27-#REF!,R27)&gt;constants!$D$14,(IFERROR(R27-#REF!,R27)*$C27/constants!$B$14),0))</f>
        <v>0</v>
      </c>
      <c r="AY27" s="64">
        <f>(IF(IFERROR(S27-#REF!,S27)&gt;constants!$D$15,(IFERROR(S27-#REF!,S27)*$C27/constants!$B$15),0))</f>
        <v>0</v>
      </c>
      <c r="AZ27" s="64">
        <f>IF(AH27="nd","nd",AH27*Table315202530[[#This Row],[dilution ]]/constants!$B$23)</f>
        <v>0</v>
      </c>
      <c r="BA27" s="64">
        <f>Table315202530[[#This Row],[dilution ]]*Table315202530[[#This Row],[correction factor]]*Table315202530[[#This Row],[amount]]/1000</f>
        <v>0</v>
      </c>
      <c r="BB27" s="64" t="e">
        <f>(Table315202530[[#This Row],[pressure]]*(Table315202530[[#This Row],[Amount 25]]/100)*constants!I27)/(constants!$I$6*constants!$I$5)</f>
        <v>#DIV/0!</v>
      </c>
      <c r="BC27" s="64"/>
      <c r="BD27" s="64">
        <f>(Table516212631[[#This Row],[Concentration]]*constants!$C$3)/1000</f>
        <v>0</v>
      </c>
      <c r="BE27" s="64">
        <f>(Table516212631[[#This Row],[Concentration2]]*constants!$C$6)/1000</f>
        <v>0</v>
      </c>
      <c r="BF27" s="64">
        <f>(Table516212631[[#This Row],[Concentration3]]*constants!$C$7)/1000</f>
        <v>0</v>
      </c>
      <c r="BG27" s="64">
        <f>(Table516212631[[#This Row],[Concentration4]]*constants!$C$8)/1000</f>
        <v>0</v>
      </c>
      <c r="BH27" s="64">
        <f>(Table516212631[[#This Row],[Concentration5]]*constants!$C$9)/1000</f>
        <v>0</v>
      </c>
      <c r="BI27" s="64">
        <f>(Table516212631[[#This Row],[Concentration6]]*constants!$C$10)/1000</f>
        <v>0</v>
      </c>
      <c r="BJ27" s="64">
        <f>(Table516212631[[#This Row],[Concentration7]]*constants!$C$5)</f>
        <v>0</v>
      </c>
      <c r="BK27" s="64">
        <f>(Table516212631[[#This Row],[Concentration8]]*3)</f>
        <v>0</v>
      </c>
      <c r="BL27" s="64">
        <f>(Table516212631[[#This Row],[Concentration9]]*4)</f>
        <v>0</v>
      </c>
      <c r="BM27" s="64">
        <f>(Table516212631[[#This Row],[Concentration10]]*4)</f>
        <v>0</v>
      </c>
      <c r="BN27" s="64">
        <f>(Table516212631[[#This Row],[Concentration11]]*5)</f>
        <v>0</v>
      </c>
      <c r="BO27" s="64">
        <f>(Table516212631[[#This Row],[Concentration12]]*5)</f>
        <v>0</v>
      </c>
      <c r="BP27" s="64">
        <f>(Table516212631[[#This Row],[Concentration13]]*6)</f>
        <v>0</v>
      </c>
      <c r="BQ27" s="64">
        <f>(Table516212631[[#This Row],[Concentration14]]*6)</f>
        <v>0</v>
      </c>
      <c r="BR27" s="64">
        <f>(Table516212631[[#This Row],[Concentration15]]*7)</f>
        <v>0</v>
      </c>
      <c r="BS27" s="64">
        <f>(Table516212631[[#This Row],[Concentration16]]*8)</f>
        <v>0</v>
      </c>
      <c r="BT27" s="64">
        <f>(Table516212631[[#This Row],[Concentration17]]*3)/1000</f>
        <v>0</v>
      </c>
      <c r="BU27" s="47" t="e">
        <f>Table516212631[[#This Row],[Concentration18]]/1000</f>
        <v>#DIV/0!</v>
      </c>
      <c r="BV27" s="47">
        <f>Table516212631[[#This Row],[Concentration19]]/1000</f>
        <v>0</v>
      </c>
    </row>
    <row r="28" spans="1:74" s="66" customFormat="1" ht="16" thickBot="1" x14ac:dyDescent="0.4">
      <c r="A28" s="63">
        <f>'B1'!A28</f>
        <v>0</v>
      </c>
      <c r="B28" s="74">
        <f>Table2[[#This Row],[Time]]</f>
        <v>0</v>
      </c>
      <c r="C28" s="79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1"/>
      <c r="AE28" s="65"/>
      <c r="AG28" s="45">
        <v>1</v>
      </c>
      <c r="AJ28" s="64">
        <f>IF(D28="nd","nd",D28*$C28/constants!$B$3)</f>
        <v>0</v>
      </c>
      <c r="AK28" s="64">
        <f>IF(E28="nd","nd",E28*$C28/constants!$B$6)</f>
        <v>0</v>
      </c>
      <c r="AL28" s="64">
        <f>IF(F28="nd","nd",F28*$C28/constants!$B$7)</f>
        <v>0</v>
      </c>
      <c r="AM28" s="64">
        <f>IF(G28="nd","nd",G28*$C28/constants!$B$8)</f>
        <v>0</v>
      </c>
      <c r="AN28" s="64">
        <f>IF(H28="nd","nd",H28*$C28/constants!$B$9)</f>
        <v>0</v>
      </c>
      <c r="AO28" s="64">
        <f>IF(I28="nd","nd",I28*$C28/constants!$B$10)</f>
        <v>0</v>
      </c>
      <c r="AP28" s="64">
        <f>(IF(IFERROR(J28-#REF!,J28)&gt;constants!$D$5,(IFERROR(J28-#REF!,J28)*$C28/constants!$B$5),0))</f>
        <v>0</v>
      </c>
      <c r="AQ28" s="64">
        <f>(IF(IFERROR(K28-#REF!,K28)&gt;constants!$D$11,(IFERROR(K28-#REF!,K28)*$C28/constants!$B$11),0))</f>
        <v>0</v>
      </c>
      <c r="AR28" s="64">
        <f>(IF(IFERROR(L28-#REF!,L28)&gt;constants!$D$19,(IFERROR(L28-#REF!,L28)*$C28/constants!$B$19),0))</f>
        <v>0</v>
      </c>
      <c r="AS28" s="64">
        <f>(IF(IFERROR(M28-#REF!,M28)&gt;constants!$D$4,(IFERROR(M28-#REF!,M28)*$C28/constants!$B$4),0))</f>
        <v>0</v>
      </c>
      <c r="AT28" s="64">
        <f>(IF(IFERROR(N28-#REF!,N28)&gt;constants!$D$5,(IFERROR(N28-#REF!,N28)*$C28/constants!$B$5),0))</f>
        <v>0</v>
      </c>
      <c r="AU28" s="64">
        <f>(IF(IFERROR(O28-#REF!,O28)&gt;constants!$D$12,(IFERROR(O28-#REF!,O28)*$C28/constants!$B$12),0))</f>
        <v>0</v>
      </c>
      <c r="AV28" s="64">
        <f>(IF(IFERROR(P28-#REF!,P28)&gt;constants!$D$5,(IFERROR(P28-#REF!,P28)*$C28/constants!$B$5),0))</f>
        <v>0</v>
      </c>
      <c r="AW28" s="64">
        <f>(IF(IFERROR(Q28-#REF!,Q28)&gt;constants!$D$13,(IFERROR(Q28-#REF!,Q28)*$C28/constants!$B$13),0))</f>
        <v>0</v>
      </c>
      <c r="AX28" s="64">
        <f>(IF(IFERROR(R28-#REF!,R28)&gt;constants!$D$14,(IFERROR(R28-#REF!,R28)*$C28/constants!$B$14),0))</f>
        <v>0</v>
      </c>
      <c r="AY28" s="64">
        <f>(IF(IFERROR(S28-#REF!,S28)&gt;constants!$D$15,(IFERROR(S28-#REF!,S28)*$C28/constants!$B$15),0))</f>
        <v>0</v>
      </c>
      <c r="AZ28" s="64">
        <f>IF(AH28="nd","nd",AH28*Table315202530[[#This Row],[dilution ]]/constants!$B$23)</f>
        <v>0</v>
      </c>
      <c r="BA28" s="64">
        <f>Table315202530[[#This Row],[dilution ]]*Table315202530[[#This Row],[correction factor]]*Table315202530[[#This Row],[amount]]/1000</f>
        <v>0</v>
      </c>
      <c r="BB28" s="64" t="e">
        <f>(Table315202530[[#This Row],[pressure]]*(Table315202530[[#This Row],[Amount 25]]/100)*constants!I28)/(constants!$I$6*constants!$I$5)</f>
        <v>#DIV/0!</v>
      </c>
      <c r="BC28" s="64"/>
      <c r="BD28" s="64">
        <f>(Table516212631[[#This Row],[Concentration]]*constants!$C$3)/1000</f>
        <v>0</v>
      </c>
      <c r="BE28" s="64">
        <f>(Table516212631[[#This Row],[Concentration2]]*constants!$C$6)/1000</f>
        <v>0</v>
      </c>
      <c r="BF28" s="64">
        <f>(Table516212631[[#This Row],[Concentration3]]*constants!$C$7)/1000</f>
        <v>0</v>
      </c>
      <c r="BG28" s="64">
        <f>(Table516212631[[#This Row],[Concentration4]]*constants!$C$8)/1000</f>
        <v>0</v>
      </c>
      <c r="BH28" s="64">
        <f>(Table516212631[[#This Row],[Concentration5]]*constants!$C$9)/1000</f>
        <v>0</v>
      </c>
      <c r="BI28" s="64">
        <f>(Table516212631[[#This Row],[Concentration6]]*constants!$C$10)/1000</f>
        <v>0</v>
      </c>
      <c r="BJ28" s="64">
        <f>(Table516212631[[#This Row],[Concentration7]]*constants!$C$5)</f>
        <v>0</v>
      </c>
      <c r="BK28" s="64">
        <f>(Table516212631[[#This Row],[Concentration8]]*3)</f>
        <v>0</v>
      </c>
      <c r="BL28" s="64">
        <f>(Table516212631[[#This Row],[Concentration9]]*4)</f>
        <v>0</v>
      </c>
      <c r="BM28" s="64">
        <f>(Table516212631[[#This Row],[Concentration10]]*4)</f>
        <v>0</v>
      </c>
      <c r="BN28" s="64">
        <f>(Table516212631[[#This Row],[Concentration11]]*5)</f>
        <v>0</v>
      </c>
      <c r="BO28" s="64">
        <f>(Table516212631[[#This Row],[Concentration12]]*5)</f>
        <v>0</v>
      </c>
      <c r="BP28" s="64">
        <f>(Table516212631[[#This Row],[Concentration13]]*6)</f>
        <v>0</v>
      </c>
      <c r="BQ28" s="64">
        <f>(Table516212631[[#This Row],[Concentration14]]*6)</f>
        <v>0</v>
      </c>
      <c r="BR28" s="64">
        <f>(Table516212631[[#This Row],[Concentration15]]*7)</f>
        <v>0</v>
      </c>
      <c r="BS28" s="64">
        <f>(Table516212631[[#This Row],[Concentration16]]*8)</f>
        <v>0</v>
      </c>
      <c r="BT28" s="64">
        <f>(Table516212631[[#This Row],[Concentration17]]*3)/1000</f>
        <v>0</v>
      </c>
      <c r="BU28" s="47" t="e">
        <f>Table516212631[[#This Row],[Concentration18]]/1000</f>
        <v>#DIV/0!</v>
      </c>
      <c r="BV28" s="47">
        <f>Table516212631[[#This Row],[Concentration19]]/1000</f>
        <v>0</v>
      </c>
    </row>
    <row r="29" spans="1:74" s="47" customFormat="1" ht="16" thickBot="1" x14ac:dyDescent="0.4">
      <c r="A29" s="63">
        <f>'B1'!A29</f>
        <v>0</v>
      </c>
      <c r="B29" s="74">
        <f>Table2[[#This Row],[Time]]</f>
        <v>0</v>
      </c>
      <c r="C29" s="54"/>
      <c r="V29" s="82"/>
      <c r="AE29" s="55"/>
      <c r="AG29" s="45">
        <v>1</v>
      </c>
      <c r="AJ29" s="64">
        <f>IF(D29="nd","nd",D29*$C29/constants!$B$3)</f>
        <v>0</v>
      </c>
      <c r="AK29" s="64">
        <f>IF(E29="nd","nd",E29*$C29/constants!$B$6)</f>
        <v>0</v>
      </c>
      <c r="AL29" s="64">
        <f>IF(F29="nd","nd",F29*$C29/constants!$B$7)</f>
        <v>0</v>
      </c>
      <c r="AM29" s="64">
        <f>IF(G29="nd","nd",G29*$C29/constants!$B$8)</f>
        <v>0</v>
      </c>
      <c r="AN29" s="64">
        <f>IF(H29="nd","nd",H29*$C29/constants!$B$9)</f>
        <v>0</v>
      </c>
      <c r="AO29" s="64">
        <f>IF(I29="nd","nd",I29*$C29/constants!$B$10)</f>
        <v>0</v>
      </c>
      <c r="AP29" s="64">
        <f>(IF(IFERROR(J29-#REF!,J29)&gt;constants!$D$5,(IFERROR(J29-#REF!,J29)*$C29/constants!$B$5),0))</f>
        <v>0</v>
      </c>
      <c r="AQ29" s="64">
        <f>(IF(IFERROR(K29-#REF!,K29)&gt;constants!$D$11,(IFERROR(K29-#REF!,K29)*$C29/constants!$B$11),0))</f>
        <v>0</v>
      </c>
      <c r="AR29" s="64">
        <f>(IF(IFERROR(L29-#REF!,L29)&gt;constants!$D$19,(IFERROR(L29-#REF!,L29)*$C29/constants!$B$19),0))</f>
        <v>0</v>
      </c>
      <c r="AS29" s="64">
        <f>(IF(IFERROR(M29-#REF!,M29)&gt;constants!$D$4,(IFERROR(M29-#REF!,M29)*$C29/constants!$B$4),0))</f>
        <v>0</v>
      </c>
      <c r="AT29" s="64">
        <f>(IF(IFERROR(N29-#REF!,N29)&gt;constants!$D$5,(IFERROR(N29-#REF!,N29)*$C29/constants!$B$5),0))</f>
        <v>0</v>
      </c>
      <c r="AU29" s="64">
        <f>(IF(IFERROR(O29-#REF!,O29)&gt;constants!$D$12,(IFERROR(O29-#REF!,O29)*$C29/constants!$B$12),0))</f>
        <v>0</v>
      </c>
      <c r="AV29" s="64">
        <f>(IF(IFERROR(P29-#REF!,P29)&gt;constants!$D$5,(IFERROR(P29-#REF!,P29)*$C29/constants!$B$5),0))</f>
        <v>0</v>
      </c>
      <c r="AW29" s="64">
        <f>(IF(IFERROR(Q29-#REF!,Q29)&gt;constants!$D$13,(IFERROR(Q29-#REF!,Q29)*$C29/constants!$B$13),0))</f>
        <v>0</v>
      </c>
      <c r="AX29" s="64">
        <f>(IF(IFERROR(R29-#REF!,R29)&gt;constants!$D$14,(IFERROR(R29-#REF!,R29)*$C29/constants!$B$14),0))</f>
        <v>0</v>
      </c>
      <c r="AY29" s="64">
        <f>(IF(IFERROR(S29-#REF!,S29)&gt;constants!$D$15,(IFERROR(S29-#REF!,S29)*$C29/constants!$B$15),0))</f>
        <v>0</v>
      </c>
      <c r="AZ29" s="64">
        <f>IF(AH29="nd","nd",AH29*Table315202530[[#This Row],[dilution ]]/constants!$B$23)</f>
        <v>0</v>
      </c>
      <c r="BA29" s="64">
        <f>Table315202530[[#This Row],[dilution ]]*Table315202530[[#This Row],[correction factor]]*Table315202530[[#This Row],[amount]]/1000</f>
        <v>0</v>
      </c>
      <c r="BB29" s="64" t="e">
        <f>(Table315202530[[#This Row],[pressure]]*(Table315202530[[#This Row],[Amount 25]]/100)*constants!I29)/(constants!$I$6*constants!$I$5)</f>
        <v>#DIV/0!</v>
      </c>
      <c r="BC29" s="64"/>
      <c r="BD29" s="64">
        <f>(Table516212631[[#This Row],[Concentration]]*constants!$C$3)/1000</f>
        <v>0</v>
      </c>
      <c r="BE29" s="64">
        <f>(Table516212631[[#This Row],[Concentration2]]*constants!$C$6)/1000</f>
        <v>0</v>
      </c>
      <c r="BF29" s="64">
        <f>(Table516212631[[#This Row],[Concentration3]]*constants!$C$7)/1000</f>
        <v>0</v>
      </c>
      <c r="BG29" s="64">
        <f>(Table516212631[[#This Row],[Concentration4]]*constants!$C$8)/1000</f>
        <v>0</v>
      </c>
      <c r="BH29" s="64">
        <f>(Table516212631[[#This Row],[Concentration5]]*constants!$C$9)/1000</f>
        <v>0</v>
      </c>
      <c r="BI29" s="64">
        <f>(Table516212631[[#This Row],[Concentration6]]*constants!$C$10)/1000</f>
        <v>0</v>
      </c>
      <c r="BJ29" s="64">
        <f>(Table516212631[[#This Row],[Concentration7]]*constants!$C$5)</f>
        <v>0</v>
      </c>
      <c r="BK29" s="64">
        <f>(Table516212631[[#This Row],[Concentration8]]*3)</f>
        <v>0</v>
      </c>
      <c r="BL29" s="64">
        <f>(Table516212631[[#This Row],[Concentration9]]*4)</f>
        <v>0</v>
      </c>
      <c r="BM29" s="64">
        <f>(Table516212631[[#This Row],[Concentration10]]*4)</f>
        <v>0</v>
      </c>
      <c r="BN29" s="64">
        <f>(Table516212631[[#This Row],[Concentration11]]*5)</f>
        <v>0</v>
      </c>
      <c r="BO29" s="64">
        <f>(Table516212631[[#This Row],[Concentration12]]*5)</f>
        <v>0</v>
      </c>
      <c r="BP29" s="64">
        <f>(Table516212631[[#This Row],[Concentration13]]*6)</f>
        <v>0</v>
      </c>
      <c r="BQ29" s="64">
        <f>(Table516212631[[#This Row],[Concentration14]]*6)</f>
        <v>0</v>
      </c>
      <c r="BR29" s="64">
        <f>(Table516212631[[#This Row],[Concentration15]]*7)</f>
        <v>0</v>
      </c>
      <c r="BS29" s="64">
        <f>(Table516212631[[#This Row],[Concentration16]]*8)</f>
        <v>0</v>
      </c>
      <c r="BT29" s="64">
        <f>(Table516212631[[#This Row],[Concentration17]]*3)/1000</f>
        <v>0</v>
      </c>
      <c r="BU29" s="47" t="e">
        <f>Table516212631[[#This Row],[Concentration18]]/1000</f>
        <v>#DIV/0!</v>
      </c>
      <c r="BV29" s="47">
        <f>Table516212631[[#This Row],[Concentration19]]/1000</f>
        <v>0</v>
      </c>
    </row>
    <row r="30" spans="1:74" s="66" customFormat="1" ht="16" thickBot="1" x14ac:dyDescent="0.4">
      <c r="A30" s="63">
        <f>'B1'!A30</f>
        <v>0</v>
      </c>
      <c r="B30" s="74">
        <f>Table2[[#This Row],[Time]]</f>
        <v>0</v>
      </c>
      <c r="C30" s="79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1"/>
      <c r="AE30" s="65"/>
      <c r="AG30" s="45">
        <v>1</v>
      </c>
      <c r="AJ30" s="64">
        <f>IF(D30="nd","nd",D30*$C30/constants!$B$3)</f>
        <v>0</v>
      </c>
      <c r="AK30" s="64">
        <f>IF(E30="nd","nd",E30*$C30/constants!$B$6)</f>
        <v>0</v>
      </c>
      <c r="AL30" s="64">
        <f>IF(F30="nd","nd",F30*$C30/constants!$B$7)</f>
        <v>0</v>
      </c>
      <c r="AM30" s="64">
        <f>IF(G30="nd","nd",G30*$C30/constants!$B$8)</f>
        <v>0</v>
      </c>
      <c r="AN30" s="64">
        <f>IF(H30="nd","nd",H30*$C30/constants!$B$9)</f>
        <v>0</v>
      </c>
      <c r="AO30" s="64">
        <f>IF(I30="nd","nd",I30*$C30/constants!$B$10)</f>
        <v>0</v>
      </c>
      <c r="AP30" s="64">
        <f>(IF(IFERROR(J30-#REF!,J30)&gt;constants!$D$5,(IFERROR(J30-#REF!,J30)*$C30/constants!$B$5),0))</f>
        <v>0</v>
      </c>
      <c r="AQ30" s="64">
        <f>(IF(IFERROR(K30-#REF!,K30)&gt;constants!$D$11,(IFERROR(K30-#REF!,K30)*$C30/constants!$B$11),0))</f>
        <v>0</v>
      </c>
      <c r="AR30" s="64">
        <f>(IF(IFERROR(L30-#REF!,L30)&gt;constants!$D$19,(IFERROR(L30-#REF!,L30)*$C30/constants!$B$19),0))</f>
        <v>0</v>
      </c>
      <c r="AS30" s="64">
        <f>(IF(IFERROR(M30-#REF!,M30)&gt;constants!$D$4,(IFERROR(M30-#REF!,M30)*$C30/constants!$B$4),0))</f>
        <v>0</v>
      </c>
      <c r="AT30" s="64">
        <f>(IF(IFERROR(N30-#REF!,N30)&gt;constants!$D$5,(IFERROR(N30-#REF!,N30)*$C30/constants!$B$5),0))</f>
        <v>0</v>
      </c>
      <c r="AU30" s="64">
        <f>(IF(IFERROR(O30-#REF!,O30)&gt;constants!$D$12,(IFERROR(O30-#REF!,O30)*$C30/constants!$B$12),0))</f>
        <v>0</v>
      </c>
      <c r="AV30" s="64">
        <f>(IF(IFERROR(P30-#REF!,P30)&gt;constants!$D$5,(IFERROR(P30-#REF!,P30)*$C30/constants!$B$5),0))</f>
        <v>0</v>
      </c>
      <c r="AW30" s="64">
        <f>(IF(IFERROR(Q30-#REF!,Q30)&gt;constants!$D$13,(IFERROR(Q30-#REF!,Q30)*$C30/constants!$B$13),0))</f>
        <v>0</v>
      </c>
      <c r="AX30" s="64">
        <f>(IF(IFERROR(R30-#REF!,R30)&gt;constants!$D$14,(IFERROR(R30-#REF!,R30)*$C30/constants!$B$14),0))</f>
        <v>0</v>
      </c>
      <c r="AY30" s="64">
        <f>(IF(IFERROR(S30-#REF!,S30)&gt;constants!$D$15,(IFERROR(S30-#REF!,S30)*$C30/constants!$B$15),0))</f>
        <v>0</v>
      </c>
      <c r="AZ30" s="64">
        <f>IF(AH30="nd","nd",AH30*Table315202530[[#This Row],[dilution ]]/constants!$B$23)</f>
        <v>0</v>
      </c>
      <c r="BA30" s="64">
        <f>Table315202530[[#This Row],[dilution ]]*Table315202530[[#This Row],[correction factor]]*Table315202530[[#This Row],[amount]]/1000</f>
        <v>0</v>
      </c>
      <c r="BB30" s="64" t="e">
        <f>(Table315202530[[#This Row],[pressure]]*(Table315202530[[#This Row],[Amount 25]]/100)*constants!I30)/(constants!$I$6*constants!$I$5)</f>
        <v>#DIV/0!</v>
      </c>
      <c r="BC30" s="64"/>
      <c r="BD30" s="64">
        <f>(Table516212631[[#This Row],[Concentration]]*constants!$C$3)/1000</f>
        <v>0</v>
      </c>
      <c r="BE30" s="64">
        <f>(Table516212631[[#This Row],[Concentration2]]*constants!$C$6)/1000</f>
        <v>0</v>
      </c>
      <c r="BF30" s="64">
        <f>(Table516212631[[#This Row],[Concentration3]]*constants!$C$7)/1000</f>
        <v>0</v>
      </c>
      <c r="BG30" s="64">
        <f>(Table516212631[[#This Row],[Concentration4]]*constants!$C$8)/1000</f>
        <v>0</v>
      </c>
      <c r="BH30" s="64">
        <f>(Table516212631[[#This Row],[Concentration5]]*constants!$C$9)/1000</f>
        <v>0</v>
      </c>
      <c r="BI30" s="64">
        <f>(Table516212631[[#This Row],[Concentration6]]*constants!$C$10)/1000</f>
        <v>0</v>
      </c>
      <c r="BJ30" s="64">
        <f>(Table516212631[[#This Row],[Concentration7]]*constants!$C$5)</f>
        <v>0</v>
      </c>
      <c r="BK30" s="64">
        <f>(Table516212631[[#This Row],[Concentration8]]*3)</f>
        <v>0</v>
      </c>
      <c r="BL30" s="64">
        <f>(Table516212631[[#This Row],[Concentration9]]*4)</f>
        <v>0</v>
      </c>
      <c r="BM30" s="64">
        <f>(Table516212631[[#This Row],[Concentration10]]*4)</f>
        <v>0</v>
      </c>
      <c r="BN30" s="64">
        <f>(Table516212631[[#This Row],[Concentration11]]*5)</f>
        <v>0</v>
      </c>
      <c r="BO30" s="64">
        <f>(Table516212631[[#This Row],[Concentration12]]*5)</f>
        <v>0</v>
      </c>
      <c r="BP30" s="64">
        <f>(Table516212631[[#This Row],[Concentration13]]*6)</f>
        <v>0</v>
      </c>
      <c r="BQ30" s="64">
        <f>(Table516212631[[#This Row],[Concentration14]]*6)</f>
        <v>0</v>
      </c>
      <c r="BR30" s="64">
        <f>(Table516212631[[#This Row],[Concentration15]]*7)</f>
        <v>0</v>
      </c>
      <c r="BS30" s="64">
        <f>(Table516212631[[#This Row],[Concentration16]]*8)</f>
        <v>0</v>
      </c>
      <c r="BT30" s="64">
        <f>(Table516212631[[#This Row],[Concentration17]]*3)/1000</f>
        <v>0</v>
      </c>
      <c r="BU30" s="47" t="e">
        <f>Table516212631[[#This Row],[Concentration18]]/1000</f>
        <v>#DIV/0!</v>
      </c>
      <c r="BV30" s="47">
        <f>Table516212631[[#This Row],[Concentration19]]/1000</f>
        <v>0</v>
      </c>
    </row>
    <row r="31" spans="1:74" s="47" customFormat="1" ht="16" thickBot="1" x14ac:dyDescent="0.4">
      <c r="A31" s="63">
        <f>'B1'!A31</f>
        <v>0</v>
      </c>
      <c r="B31" s="74">
        <f>Table2[[#This Row],[Time]]</f>
        <v>0</v>
      </c>
      <c r="C31" s="54"/>
      <c r="V31" s="82"/>
      <c r="AE31" s="55"/>
      <c r="AG31" s="45">
        <v>1</v>
      </c>
      <c r="AJ31" s="64">
        <f>IF(D31="nd","nd",D31*$C31/constants!$B$3)</f>
        <v>0</v>
      </c>
      <c r="AK31" s="64">
        <f>IF(E31="nd","nd",E31*$C31/constants!$B$6)</f>
        <v>0</v>
      </c>
      <c r="AL31" s="64">
        <f>IF(F31="nd","nd",F31*$C31/constants!$B$7)</f>
        <v>0</v>
      </c>
      <c r="AM31" s="64">
        <f>IF(G31="nd","nd",G31*$C31/constants!$B$8)</f>
        <v>0</v>
      </c>
      <c r="AN31" s="64">
        <f>IF(H31="nd","nd",H31*$C31/constants!$B$9)</f>
        <v>0</v>
      </c>
      <c r="AO31" s="64">
        <f>IF(I31="nd","nd",I31*$C31/constants!$B$10)</f>
        <v>0</v>
      </c>
      <c r="AP31" s="64">
        <f>(IF(IFERROR(J31-#REF!,J31)&gt;constants!$D$5,(IFERROR(J31-#REF!,J31)*$C31/constants!$B$5),0))</f>
        <v>0</v>
      </c>
      <c r="AQ31" s="64">
        <f>(IF(IFERROR(K31-#REF!,K31)&gt;constants!$D$11,(IFERROR(K31-#REF!,K31)*$C31/constants!$B$11),0))</f>
        <v>0</v>
      </c>
      <c r="AR31" s="64">
        <f>(IF(IFERROR(L31-#REF!,L31)&gt;constants!$D$19,(IFERROR(L31-#REF!,L31)*$C31/constants!$B$19),0))</f>
        <v>0</v>
      </c>
      <c r="AS31" s="64">
        <f>(IF(IFERROR(M31-#REF!,M31)&gt;constants!$D$4,(IFERROR(M31-#REF!,M31)*$C31/constants!$B$4),0))</f>
        <v>0</v>
      </c>
      <c r="AT31" s="64">
        <f>(IF(IFERROR(N31-#REF!,N31)&gt;constants!$D$5,(IFERROR(N31-#REF!,N31)*$C31/constants!$B$5),0))</f>
        <v>0</v>
      </c>
      <c r="AU31" s="64">
        <f>(IF(IFERROR(O31-#REF!,O31)&gt;constants!$D$12,(IFERROR(O31-#REF!,O31)*$C31/constants!$B$12),0))</f>
        <v>0</v>
      </c>
      <c r="AV31" s="64">
        <f>(IF(IFERROR(P31-#REF!,P31)&gt;constants!$D$5,(IFERROR(P31-#REF!,P31)*$C31/constants!$B$5),0))</f>
        <v>0</v>
      </c>
      <c r="AW31" s="64">
        <f>(IF(IFERROR(Q31-#REF!,Q31)&gt;constants!$D$13,(IFERROR(Q31-#REF!,Q31)*$C31/constants!$B$13),0))</f>
        <v>0</v>
      </c>
      <c r="AX31" s="64">
        <f>(IF(IFERROR(R31-#REF!,R31)&gt;constants!$D$14,(IFERROR(R31-#REF!,R31)*$C31/constants!$B$14),0))</f>
        <v>0</v>
      </c>
      <c r="AY31" s="64">
        <f>(IF(IFERROR(S31-#REF!,S31)&gt;constants!$D$15,(IFERROR(S31-#REF!,S31)*$C31/constants!$B$15),0))</f>
        <v>0</v>
      </c>
      <c r="AZ31" s="64">
        <f>IF(AH31="nd","nd",AH31*Table315202530[[#This Row],[dilution ]]/constants!$B$23)</f>
        <v>0</v>
      </c>
      <c r="BA31" s="64">
        <f>Table315202530[[#This Row],[dilution ]]*Table315202530[[#This Row],[correction factor]]*Table315202530[[#This Row],[amount]]/1000</f>
        <v>0</v>
      </c>
      <c r="BB31" s="64" t="e">
        <f>(Table315202530[[#This Row],[pressure]]*(Table315202530[[#This Row],[Amount 25]]/100)*constants!I31)/(constants!$I$6*constants!$I$5)</f>
        <v>#DIV/0!</v>
      </c>
      <c r="BC31" s="64"/>
      <c r="BD31" s="64">
        <f>(Table516212631[[#This Row],[Concentration]]*constants!$C$3)/1000</f>
        <v>0</v>
      </c>
      <c r="BE31" s="64">
        <f>(Table516212631[[#This Row],[Concentration2]]*constants!$C$6)/1000</f>
        <v>0</v>
      </c>
      <c r="BF31" s="64">
        <f>(Table516212631[[#This Row],[Concentration3]]*constants!$C$7)/1000</f>
        <v>0</v>
      </c>
      <c r="BG31" s="64">
        <f>(Table516212631[[#This Row],[Concentration4]]*constants!$C$8)/1000</f>
        <v>0</v>
      </c>
      <c r="BH31" s="64">
        <f>(Table516212631[[#This Row],[Concentration5]]*constants!$C$9)/1000</f>
        <v>0</v>
      </c>
      <c r="BI31" s="64">
        <f>(Table516212631[[#This Row],[Concentration6]]*constants!$C$10)/1000</f>
        <v>0</v>
      </c>
      <c r="BJ31" s="64">
        <f>(Table516212631[[#This Row],[Concentration7]]*constants!$C$5)</f>
        <v>0</v>
      </c>
      <c r="BK31" s="64">
        <f>(Table516212631[[#This Row],[Concentration8]]*3)</f>
        <v>0</v>
      </c>
      <c r="BL31" s="64">
        <f>(Table516212631[[#This Row],[Concentration9]]*4)</f>
        <v>0</v>
      </c>
      <c r="BM31" s="64">
        <f>(Table516212631[[#This Row],[Concentration10]]*4)</f>
        <v>0</v>
      </c>
      <c r="BN31" s="64">
        <f>(Table516212631[[#This Row],[Concentration11]]*5)</f>
        <v>0</v>
      </c>
      <c r="BO31" s="64">
        <f>(Table516212631[[#This Row],[Concentration12]]*5)</f>
        <v>0</v>
      </c>
      <c r="BP31" s="64">
        <f>(Table516212631[[#This Row],[Concentration13]]*6)</f>
        <v>0</v>
      </c>
      <c r="BQ31" s="64">
        <f>(Table516212631[[#This Row],[Concentration14]]*6)</f>
        <v>0</v>
      </c>
      <c r="BR31" s="64">
        <f>(Table516212631[[#This Row],[Concentration15]]*7)</f>
        <v>0</v>
      </c>
      <c r="BS31" s="64">
        <f>(Table516212631[[#This Row],[Concentration16]]*8)</f>
        <v>0</v>
      </c>
      <c r="BT31" s="64">
        <f>(Table516212631[[#This Row],[Concentration17]]*3)/1000</f>
        <v>0</v>
      </c>
      <c r="BU31" s="47" t="e">
        <f>Table516212631[[#This Row],[Concentration18]]/1000</f>
        <v>#DIV/0!</v>
      </c>
      <c r="BV31" s="47">
        <f>Table516212631[[#This Row],[Concentration19]]/1000</f>
        <v>0</v>
      </c>
    </row>
    <row r="32" spans="1:74" ht="16" thickBot="1" x14ac:dyDescent="0.4">
      <c r="A32" s="63">
        <f>'B1'!A32</f>
        <v>0</v>
      </c>
      <c r="B32" s="74">
        <f>Table2[[#This Row],[Time]]</f>
        <v>0</v>
      </c>
      <c r="C32" s="8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84"/>
      <c r="AE32" s="43"/>
      <c r="AJ32" s="64">
        <f>IF(D32="nd","nd",D32*$C32/constants!$B$3)</f>
        <v>0</v>
      </c>
      <c r="AK32" s="64">
        <f>IF(E32="nd","nd",E32*$C32/constants!$B$6)</f>
        <v>0</v>
      </c>
      <c r="AL32" s="64">
        <f>IF(F32="nd","nd",F32*$C32/constants!$B$7)</f>
        <v>0</v>
      </c>
      <c r="AM32" s="64">
        <f>IF(G32="nd","nd",G32*$C32/constants!$B$8)</f>
        <v>0</v>
      </c>
      <c r="AN32" s="64">
        <f>IF(H32="nd","nd",H32*$C32/constants!$B$9)</f>
        <v>0</v>
      </c>
      <c r="AO32" s="64">
        <f>IF(I32="nd","nd",I32*$C32/constants!$B$10)</f>
        <v>0</v>
      </c>
      <c r="AP32" s="64">
        <f>(IF(IFERROR(J32-#REF!,J32)&gt;constants!$D$5,(IFERROR(J32-#REF!,J32)*$C32/constants!$B$5),0))</f>
        <v>0</v>
      </c>
      <c r="AQ32" s="64">
        <f>(IF(IFERROR(K32-#REF!,K32)&gt;constants!$D$11,(IFERROR(K32-#REF!,K32)*$C32/constants!$B$11),0))</f>
        <v>0</v>
      </c>
      <c r="AR32" s="64">
        <f>(IF(IFERROR(L32-#REF!,L32)&gt;constants!$D$19,(IFERROR(L32-#REF!,L32)*$C32/constants!$B$19),0))</f>
        <v>0</v>
      </c>
      <c r="AS32" s="64">
        <f>(IF(IFERROR(M32-#REF!,M32)&gt;constants!$D$4,(IFERROR(M32-#REF!,M32)*$C32/constants!$B$4),0))</f>
        <v>0</v>
      </c>
      <c r="AT32" s="64">
        <f>(IF(IFERROR(N32-#REF!,N32)&gt;constants!$D$5,(IFERROR(N32-#REF!,N32)*$C32/constants!$B$5),0))</f>
        <v>0</v>
      </c>
      <c r="AU32" s="64">
        <f>(IF(IFERROR(O32-#REF!,O32)&gt;constants!$D$12,(IFERROR(O32-#REF!,O32)*$C32/constants!$B$12),0))</f>
        <v>0</v>
      </c>
      <c r="AV32" s="64">
        <f>(IF(IFERROR(P32-#REF!,P32)&gt;constants!$D$5,(IFERROR(P32-#REF!,P32)*$C32/constants!$B$5),0))</f>
        <v>0</v>
      </c>
      <c r="AW32" s="64">
        <f>(IF(IFERROR(Q32-#REF!,Q32)&gt;constants!$D$13,(IFERROR(Q32-#REF!,Q32)*$C32/constants!$B$13),0))</f>
        <v>0</v>
      </c>
      <c r="AX32" s="64">
        <f>(IF(IFERROR(R32-#REF!,R32)&gt;constants!$D$14,(IFERROR(R32-#REF!,R32)*$C32/constants!$B$14),0))</f>
        <v>0</v>
      </c>
      <c r="AY32" s="64">
        <f>(IF(IFERROR(S32-#REF!,S32)&gt;constants!$D$15,(IFERROR(S32-#REF!,S32)*$C32/constants!$B$15),0))</f>
        <v>0</v>
      </c>
      <c r="AZ32" s="64">
        <f>IF(AH32="nd","nd",AH32*Table315202530[[#This Row],[dilution ]]/constants!$B$23)</f>
        <v>0</v>
      </c>
      <c r="BA32" s="64">
        <f>Table315202530[[#This Row],[dilution ]]*Table315202530[[#This Row],[correction factor]]*Table315202530[[#This Row],[amount]]/1000</f>
        <v>0</v>
      </c>
      <c r="BB32" s="64" t="e">
        <f>(Table315202530[[#This Row],[pressure]]*(Table315202530[[#This Row],[Amount 25]]/100)*constants!I32)/(constants!$I$6*constants!$I$5)</f>
        <v>#DIV/0!</v>
      </c>
      <c r="BC32" s="64"/>
      <c r="BD32" s="64">
        <f>(Table516212631[[#This Row],[Concentration]]*constants!$C$3)/1000</f>
        <v>0</v>
      </c>
      <c r="BE32" s="64">
        <f>(Table516212631[[#This Row],[Concentration2]]*constants!$C$6)/1000</f>
        <v>0</v>
      </c>
      <c r="BF32" s="64">
        <f>(Table516212631[[#This Row],[Concentration3]]*constants!$C$7)/1000</f>
        <v>0</v>
      </c>
      <c r="BG32" s="64">
        <f>(Table516212631[[#This Row],[Concentration4]]*constants!$C$8)/1000</f>
        <v>0</v>
      </c>
      <c r="BH32" s="64">
        <f>(Table516212631[[#This Row],[Concentration5]]*constants!$C$9)/1000</f>
        <v>0</v>
      </c>
      <c r="BI32" s="64">
        <f>(Table516212631[[#This Row],[Concentration6]]*constants!$C$10)/1000</f>
        <v>0</v>
      </c>
      <c r="BJ32" s="64">
        <f>(Table516212631[[#This Row],[Concentration7]]*constants!$C$5)</f>
        <v>0</v>
      </c>
      <c r="BK32" s="64">
        <f>(Table516212631[[#This Row],[Concentration8]]*3)</f>
        <v>0</v>
      </c>
      <c r="BL32" s="64">
        <f>(Table516212631[[#This Row],[Concentration9]]*constants!$C$5)</f>
        <v>0</v>
      </c>
      <c r="BM32" s="64">
        <f>(Table516212631[[#This Row],[Concentration10]]*constants!$C$5)</f>
        <v>0</v>
      </c>
      <c r="BN32" s="64">
        <f>(Table516212631[[#This Row],[Concentration11]]*5)</f>
        <v>0</v>
      </c>
      <c r="BO32" s="64">
        <f>(Table516212631[[#This Row],[Concentration12]]*5)</f>
        <v>0</v>
      </c>
      <c r="BP32" s="64">
        <f>(Table516212631[[#This Row],[Concentration13]]*6)</f>
        <v>0</v>
      </c>
      <c r="BQ32" s="64">
        <f>(Table516212631[[#This Row],[Concentration14]]*6)</f>
        <v>0</v>
      </c>
      <c r="BR32" s="64">
        <f>(Table516212631[[#This Row],[Concentration15]]*7)</f>
        <v>0</v>
      </c>
      <c r="BS32" s="64">
        <f>(Table516212631[[#This Row],[Concentration16]]*8)</f>
        <v>0</v>
      </c>
      <c r="BT32" s="64">
        <f>(Table516212631[[#This Row],[Concentration17]]*3)/1000</f>
        <v>0</v>
      </c>
    </row>
    <row r="33" spans="1:31" x14ac:dyDescent="0.35">
      <c r="A33" s="60"/>
      <c r="AE33" s="43"/>
    </row>
    <row r="34" spans="1:31" x14ac:dyDescent="0.35">
      <c r="AE34" s="43"/>
    </row>
    <row r="35" spans="1:31" x14ac:dyDescent="0.35">
      <c r="AE35" s="43"/>
    </row>
    <row r="36" spans="1:31" ht="15" thickBot="1" x14ac:dyDescent="0.4">
      <c r="AE36" s="44"/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U36"/>
  <sheetViews>
    <sheetView zoomScale="80" zoomScaleNormal="80" workbookViewId="0">
      <pane xSplit="2" topLeftCell="C1" activePane="topRight" state="frozen"/>
      <selection pane="topRight"/>
    </sheetView>
  </sheetViews>
  <sheetFormatPr defaultRowHeight="14.5" x14ac:dyDescent="0.35"/>
  <cols>
    <col min="1" max="1" width="11.7265625" customWidth="1"/>
    <col min="2" max="2" width="11" customWidth="1"/>
    <col min="3" max="3" width="10.453125" customWidth="1"/>
    <col min="4" max="4" width="10.7265625" customWidth="1"/>
    <col min="5" max="12" width="11.7265625" customWidth="1"/>
    <col min="13" max="22" width="12.7265625" customWidth="1"/>
    <col min="23" max="23" width="11.81640625" customWidth="1"/>
    <col min="24" max="24" width="12.7265625" customWidth="1"/>
    <col min="25" max="25" width="11.26953125" customWidth="1"/>
    <col min="26" max="26" width="12.7265625" customWidth="1"/>
    <col min="27" max="27" width="13.26953125" customWidth="1"/>
    <col min="28" max="28" width="12.7265625" customWidth="1"/>
    <col min="29" max="29" width="13.26953125" customWidth="1"/>
    <col min="30" max="30" width="12.7265625" customWidth="1"/>
    <col min="32" max="32" width="10.81640625" customWidth="1"/>
    <col min="33" max="33" width="11.26953125" customWidth="1"/>
    <col min="34" max="35" width="10.1796875" customWidth="1"/>
    <col min="36" max="36" width="15.81640625" customWidth="1"/>
    <col min="37" max="44" width="16.81640625" customWidth="1"/>
    <col min="45" max="54" width="17.81640625" customWidth="1"/>
    <col min="55" max="55" width="15.81640625" hidden="1" customWidth="1"/>
    <col min="56" max="60" width="16.81640625" hidden="1" customWidth="1"/>
    <col min="61" max="63" width="16.81640625" customWidth="1"/>
    <col min="64" max="71" width="17.81640625" customWidth="1"/>
  </cols>
  <sheetData>
    <row r="1" spans="1:73" x14ac:dyDescent="0.35">
      <c r="A1" s="24" t="s">
        <v>28</v>
      </c>
      <c r="B1" s="24" t="s">
        <v>183</v>
      </c>
      <c r="C1" s="24"/>
    </row>
    <row r="2" spans="1:73" x14ac:dyDescent="0.35">
      <c r="A2" s="25" t="s">
        <v>30</v>
      </c>
      <c r="B2" s="25" t="s">
        <v>181</v>
      </c>
      <c r="C2" s="24" t="s">
        <v>75</v>
      </c>
      <c r="AJ2" s="2" t="s">
        <v>2</v>
      </c>
    </row>
    <row r="3" spans="1:73" x14ac:dyDescent="0.35">
      <c r="A3" s="25"/>
      <c r="B3" s="25"/>
      <c r="C3" s="24" t="s">
        <v>76</v>
      </c>
    </row>
    <row r="4" spans="1:73" x14ac:dyDescent="0.35">
      <c r="A4" s="24"/>
      <c r="B4" s="24"/>
      <c r="C4" s="56" t="s">
        <v>77</v>
      </c>
      <c r="E4" s="1"/>
      <c r="F4" s="3"/>
      <c r="G4" s="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 t="s">
        <v>60</v>
      </c>
      <c r="X4" s="1"/>
      <c r="Y4" s="1"/>
      <c r="Z4" s="1"/>
      <c r="AA4" s="1"/>
      <c r="AC4" s="1"/>
      <c r="AD4" s="1"/>
      <c r="AE4" s="1"/>
      <c r="AF4" t="s">
        <v>69</v>
      </c>
      <c r="AJ4" s="37" t="s">
        <v>37</v>
      </c>
      <c r="AL4" s="3"/>
      <c r="AM4" s="2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H4" s="1"/>
      <c r="BI4" s="4"/>
    </row>
    <row r="5" spans="1:73" ht="15" thickBot="1" x14ac:dyDescent="0.4">
      <c r="A5" s="24"/>
      <c r="B5" s="24"/>
      <c r="C5" s="2" t="s">
        <v>2</v>
      </c>
      <c r="D5" s="2"/>
      <c r="E5" s="1"/>
      <c r="F5" s="3"/>
      <c r="G5" s="2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C5" s="1"/>
      <c r="AD5" s="1"/>
      <c r="AE5" s="1"/>
      <c r="AJ5" s="37"/>
      <c r="AL5" s="3"/>
      <c r="AM5" s="2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 t="s">
        <v>60</v>
      </c>
      <c r="BB5" s="1"/>
      <c r="BC5" s="56" t="s">
        <v>79</v>
      </c>
      <c r="BH5" s="1"/>
      <c r="BI5" s="113" t="s">
        <v>79</v>
      </c>
      <c r="BT5" t="s">
        <v>60</v>
      </c>
    </row>
    <row r="6" spans="1:73" x14ac:dyDescent="0.35">
      <c r="C6" s="5" t="s">
        <v>3</v>
      </c>
      <c r="D6" s="6" t="s">
        <v>4</v>
      </c>
      <c r="E6" s="6" t="s">
        <v>90</v>
      </c>
      <c r="F6" s="6" t="s">
        <v>91</v>
      </c>
      <c r="G6" s="6" t="s">
        <v>92</v>
      </c>
      <c r="H6" s="6" t="s">
        <v>93</v>
      </c>
      <c r="I6" s="6" t="s">
        <v>94</v>
      </c>
      <c r="J6" s="6" t="s">
        <v>95</v>
      </c>
      <c r="K6" s="6" t="s">
        <v>96</v>
      </c>
      <c r="L6" s="6" t="s">
        <v>97</v>
      </c>
      <c r="M6" s="6" t="s">
        <v>98</v>
      </c>
      <c r="N6" s="6" t="s">
        <v>99</v>
      </c>
      <c r="O6" s="6" t="s">
        <v>100</v>
      </c>
      <c r="P6" s="6" t="s">
        <v>101</v>
      </c>
      <c r="Q6" s="6" t="s">
        <v>102</v>
      </c>
      <c r="R6" s="6" t="s">
        <v>103</v>
      </c>
      <c r="S6" s="7" t="s">
        <v>104</v>
      </c>
      <c r="T6" s="7" t="s">
        <v>105</v>
      </c>
      <c r="U6" s="7" t="s">
        <v>106</v>
      </c>
      <c r="V6" s="8" t="s">
        <v>107</v>
      </c>
      <c r="W6" s="36" t="s">
        <v>61</v>
      </c>
      <c r="X6" s="33" t="s">
        <v>108</v>
      </c>
      <c r="Y6" s="36" t="s">
        <v>62</v>
      </c>
      <c r="Z6" s="35" t="s">
        <v>109</v>
      </c>
      <c r="AA6" s="34" t="s">
        <v>110</v>
      </c>
      <c r="AB6" s="33" t="s">
        <v>111</v>
      </c>
      <c r="AC6" s="36" t="s">
        <v>112</v>
      </c>
      <c r="AD6" s="35" t="s">
        <v>113</v>
      </c>
      <c r="AE6" s="38" t="s">
        <v>68</v>
      </c>
      <c r="AF6" s="39" t="s">
        <v>70</v>
      </c>
      <c r="AG6" s="39" t="s">
        <v>71</v>
      </c>
      <c r="AH6" s="40" t="s">
        <v>32</v>
      </c>
      <c r="AI6" s="127" t="s">
        <v>136</v>
      </c>
      <c r="AJ6" s="69" t="s">
        <v>35</v>
      </c>
      <c r="AK6" s="70" t="s">
        <v>114</v>
      </c>
      <c r="AL6" s="70" t="s">
        <v>115</v>
      </c>
      <c r="AM6" s="70" t="s">
        <v>116</v>
      </c>
      <c r="AN6" s="70" t="s">
        <v>117</v>
      </c>
      <c r="AO6" s="70" t="s">
        <v>118</v>
      </c>
      <c r="AP6" s="70" t="s">
        <v>119</v>
      </c>
      <c r="AQ6" s="70" t="s">
        <v>120</v>
      </c>
      <c r="AR6" s="70" t="s">
        <v>121</v>
      </c>
      <c r="AS6" s="70" t="s">
        <v>122</v>
      </c>
      <c r="AT6" s="70" t="s">
        <v>123</v>
      </c>
      <c r="AU6" s="70" t="s">
        <v>124</v>
      </c>
      <c r="AV6" s="70" t="s">
        <v>125</v>
      </c>
      <c r="AW6" s="70" t="s">
        <v>126</v>
      </c>
      <c r="AX6" s="70" t="s">
        <v>127</v>
      </c>
      <c r="AY6" s="71" t="s">
        <v>128</v>
      </c>
      <c r="AZ6" s="72" t="s">
        <v>129</v>
      </c>
      <c r="BA6" s="85" t="s">
        <v>134</v>
      </c>
      <c r="BB6" s="88" t="s">
        <v>135</v>
      </c>
      <c r="BC6" s="69" t="s">
        <v>35</v>
      </c>
      <c r="BD6" s="70" t="s">
        <v>114</v>
      </c>
      <c r="BE6" s="70" t="s">
        <v>115</v>
      </c>
      <c r="BF6" s="70" t="s">
        <v>116</v>
      </c>
      <c r="BG6" s="70" t="s">
        <v>117</v>
      </c>
      <c r="BH6" s="70" t="s">
        <v>118</v>
      </c>
      <c r="BI6" s="70" t="s">
        <v>119</v>
      </c>
      <c r="BJ6" s="70" t="s">
        <v>120</v>
      </c>
      <c r="BK6" s="70" t="s">
        <v>121</v>
      </c>
      <c r="BL6" s="70" t="s">
        <v>122</v>
      </c>
      <c r="BM6" s="70" t="s">
        <v>123</v>
      </c>
      <c r="BN6" s="70" t="s">
        <v>124</v>
      </c>
      <c r="BO6" s="70" t="s">
        <v>125</v>
      </c>
      <c r="BP6" s="70" t="s">
        <v>126</v>
      </c>
      <c r="BQ6" s="70" t="s">
        <v>127</v>
      </c>
      <c r="BR6" s="71" t="s">
        <v>128</v>
      </c>
      <c r="BS6" s="72" t="s">
        <v>129</v>
      </c>
      <c r="BT6" s="85" t="s">
        <v>130</v>
      </c>
      <c r="BU6" s="85" t="s">
        <v>132</v>
      </c>
    </row>
    <row r="7" spans="1:73" x14ac:dyDescent="0.35">
      <c r="C7" s="9" t="s">
        <v>5</v>
      </c>
      <c r="D7" s="10" t="s">
        <v>7</v>
      </c>
      <c r="E7" s="10" t="s">
        <v>7</v>
      </c>
      <c r="F7" s="10" t="s">
        <v>7</v>
      </c>
      <c r="G7" s="10" t="s">
        <v>7</v>
      </c>
      <c r="H7" s="10" t="s">
        <v>7</v>
      </c>
      <c r="I7" s="10" t="s">
        <v>7</v>
      </c>
      <c r="J7" s="10" t="s">
        <v>7</v>
      </c>
      <c r="K7" s="10" t="s">
        <v>7</v>
      </c>
      <c r="L7" s="10" t="s">
        <v>7</v>
      </c>
      <c r="M7" s="10" t="s">
        <v>7</v>
      </c>
      <c r="N7" s="10" t="s">
        <v>7</v>
      </c>
      <c r="O7" s="10" t="s">
        <v>7</v>
      </c>
      <c r="P7" s="10" t="s">
        <v>7</v>
      </c>
      <c r="Q7" s="10" t="s">
        <v>7</v>
      </c>
      <c r="R7" s="10" t="s">
        <v>7</v>
      </c>
      <c r="S7" s="11" t="s">
        <v>7</v>
      </c>
      <c r="T7" s="11" t="s">
        <v>6</v>
      </c>
      <c r="U7" s="11" t="s">
        <v>6</v>
      </c>
      <c r="V7" s="12" t="s">
        <v>6</v>
      </c>
      <c r="W7" s="36" t="s">
        <v>63</v>
      </c>
      <c r="X7" s="33" t="s">
        <v>64</v>
      </c>
      <c r="Y7" s="36" t="s">
        <v>63</v>
      </c>
      <c r="Z7" s="35" t="s">
        <v>64</v>
      </c>
      <c r="AA7" s="34" t="s">
        <v>63</v>
      </c>
      <c r="AB7" s="33" t="s">
        <v>64</v>
      </c>
      <c r="AC7" s="36" t="s">
        <v>63</v>
      </c>
      <c r="AD7" s="35" t="s">
        <v>64</v>
      </c>
      <c r="AE7" s="38"/>
      <c r="AF7" s="39" t="s">
        <v>5</v>
      </c>
      <c r="AG7" s="39" t="s">
        <v>72</v>
      </c>
      <c r="AH7" s="40" t="s">
        <v>7</v>
      </c>
      <c r="AI7" s="39" t="s">
        <v>137</v>
      </c>
      <c r="AJ7" s="9" t="s">
        <v>36</v>
      </c>
      <c r="AK7" s="10" t="s">
        <v>36</v>
      </c>
      <c r="AL7" s="10" t="s">
        <v>36</v>
      </c>
      <c r="AM7" s="10" t="s">
        <v>36</v>
      </c>
      <c r="AN7" s="10" t="s">
        <v>36</v>
      </c>
      <c r="AO7" s="10" t="s">
        <v>36</v>
      </c>
      <c r="AP7" s="163" t="s">
        <v>77</v>
      </c>
      <c r="AQ7" s="163" t="s">
        <v>77</v>
      </c>
      <c r="AR7" s="163" t="s">
        <v>77</v>
      </c>
      <c r="AS7" s="163" t="s">
        <v>77</v>
      </c>
      <c r="AT7" s="163" t="s">
        <v>77</v>
      </c>
      <c r="AU7" s="163" t="s">
        <v>77</v>
      </c>
      <c r="AV7" s="163" t="s">
        <v>77</v>
      </c>
      <c r="AW7" s="163" t="s">
        <v>77</v>
      </c>
      <c r="AX7" s="10" t="s">
        <v>36</v>
      </c>
      <c r="AY7" s="12" t="s">
        <v>36</v>
      </c>
      <c r="AZ7" s="163" t="s">
        <v>77</v>
      </c>
      <c r="BA7" s="86" t="s">
        <v>36</v>
      </c>
      <c r="BB7" s="86" t="s">
        <v>36</v>
      </c>
      <c r="BC7" s="9" t="s">
        <v>139</v>
      </c>
      <c r="BD7" s="9" t="s">
        <v>139</v>
      </c>
      <c r="BE7" s="9" t="s">
        <v>139</v>
      </c>
      <c r="BF7" s="9" t="s">
        <v>139</v>
      </c>
      <c r="BG7" s="9" t="s">
        <v>139</v>
      </c>
      <c r="BH7" s="9" t="s">
        <v>139</v>
      </c>
      <c r="BI7" s="9" t="s">
        <v>139</v>
      </c>
      <c r="BJ7" s="9" t="s">
        <v>139</v>
      </c>
      <c r="BK7" s="9" t="s">
        <v>139</v>
      </c>
      <c r="BL7" s="9" t="s">
        <v>139</v>
      </c>
      <c r="BM7" s="9" t="s">
        <v>139</v>
      </c>
      <c r="BN7" s="9" t="s">
        <v>139</v>
      </c>
      <c r="BO7" s="9" t="s">
        <v>139</v>
      </c>
      <c r="BP7" s="9" t="s">
        <v>139</v>
      </c>
      <c r="BQ7" s="9" t="s">
        <v>139</v>
      </c>
      <c r="BR7" s="9" t="s">
        <v>139</v>
      </c>
      <c r="BS7" s="9" t="s">
        <v>89</v>
      </c>
      <c r="BT7" s="9" t="s">
        <v>89</v>
      </c>
      <c r="BU7" s="9" t="s">
        <v>89</v>
      </c>
    </row>
    <row r="8" spans="1:73" ht="16" thickBot="1" x14ac:dyDescent="0.4">
      <c r="A8" s="22" t="s">
        <v>0</v>
      </c>
      <c r="B8" s="73" t="s">
        <v>1</v>
      </c>
      <c r="C8" s="13" t="s">
        <v>6</v>
      </c>
      <c r="D8" s="14" t="s">
        <v>8</v>
      </c>
      <c r="E8" s="14" t="s">
        <v>9</v>
      </c>
      <c r="F8" s="14" t="s">
        <v>10</v>
      </c>
      <c r="G8" s="14" t="s">
        <v>11</v>
      </c>
      <c r="H8" s="14" t="s">
        <v>12</v>
      </c>
      <c r="I8" s="14" t="s">
        <v>13</v>
      </c>
      <c r="J8" s="14" t="s">
        <v>14</v>
      </c>
      <c r="K8" s="14" t="s">
        <v>15</v>
      </c>
      <c r="L8" s="14" t="s">
        <v>16</v>
      </c>
      <c r="M8" s="14" t="s">
        <v>17</v>
      </c>
      <c r="N8" s="14" t="s">
        <v>18</v>
      </c>
      <c r="O8" s="14" t="s">
        <v>19</v>
      </c>
      <c r="P8" s="14" t="s">
        <v>20</v>
      </c>
      <c r="Q8" s="14" t="s">
        <v>21</v>
      </c>
      <c r="R8" s="14" t="s">
        <v>22</v>
      </c>
      <c r="S8" s="15" t="s">
        <v>23</v>
      </c>
      <c r="T8" s="15" t="s">
        <v>24</v>
      </c>
      <c r="U8" s="15" t="s">
        <v>25</v>
      </c>
      <c r="V8" s="16" t="s">
        <v>26</v>
      </c>
      <c r="W8" s="36" t="s">
        <v>65</v>
      </c>
      <c r="X8" s="33" t="s">
        <v>65</v>
      </c>
      <c r="Y8" s="36" t="s">
        <v>66</v>
      </c>
      <c r="Z8" s="35" t="s">
        <v>66</v>
      </c>
      <c r="AA8" s="34" t="s">
        <v>55</v>
      </c>
      <c r="AB8" s="33" t="s">
        <v>55</v>
      </c>
      <c r="AC8" s="36" t="s">
        <v>67</v>
      </c>
      <c r="AD8" s="35" t="s">
        <v>67</v>
      </c>
      <c r="AE8" s="38"/>
      <c r="AF8" s="39"/>
      <c r="AG8" s="39" t="s">
        <v>63</v>
      </c>
      <c r="AH8" s="40" t="s">
        <v>73</v>
      </c>
      <c r="AI8" s="39"/>
      <c r="AJ8" s="13" t="s">
        <v>8</v>
      </c>
      <c r="AK8" s="14" t="s">
        <v>9</v>
      </c>
      <c r="AL8" s="14" t="s">
        <v>10</v>
      </c>
      <c r="AM8" s="14" t="s">
        <v>11</v>
      </c>
      <c r="AN8" s="14" t="s">
        <v>12</v>
      </c>
      <c r="AO8" s="14" t="s">
        <v>13</v>
      </c>
      <c r="AP8" s="14" t="s">
        <v>14</v>
      </c>
      <c r="AQ8" s="14" t="s">
        <v>15</v>
      </c>
      <c r="AR8" s="14" t="s">
        <v>16</v>
      </c>
      <c r="AS8" s="14" t="s">
        <v>17</v>
      </c>
      <c r="AT8" s="14" t="s">
        <v>18</v>
      </c>
      <c r="AU8" s="14" t="s">
        <v>19</v>
      </c>
      <c r="AV8" s="14" t="s">
        <v>20</v>
      </c>
      <c r="AW8" s="14" t="s">
        <v>21</v>
      </c>
      <c r="AX8" s="14" t="s">
        <v>22</v>
      </c>
      <c r="AY8" s="16" t="s">
        <v>23</v>
      </c>
      <c r="AZ8" s="59" t="s">
        <v>78</v>
      </c>
      <c r="BA8" s="87" t="s">
        <v>131</v>
      </c>
      <c r="BB8" s="87" t="s">
        <v>133</v>
      </c>
      <c r="BC8" s="13" t="s">
        <v>8</v>
      </c>
      <c r="BD8" s="14" t="s">
        <v>9</v>
      </c>
      <c r="BE8" s="14" t="s">
        <v>10</v>
      </c>
      <c r="BF8" s="14" t="s">
        <v>11</v>
      </c>
      <c r="BG8" s="14" t="s">
        <v>12</v>
      </c>
      <c r="BH8" s="14" t="s">
        <v>13</v>
      </c>
      <c r="BI8" s="14" t="s">
        <v>14</v>
      </c>
      <c r="BJ8" s="14" t="s">
        <v>15</v>
      </c>
      <c r="BK8" s="14" t="s">
        <v>16</v>
      </c>
      <c r="BL8" s="14" t="s">
        <v>17</v>
      </c>
      <c r="BM8" s="14" t="s">
        <v>18</v>
      </c>
      <c r="BN8" s="14" t="s">
        <v>19</v>
      </c>
      <c r="BO8" s="14" t="s">
        <v>20</v>
      </c>
      <c r="BP8" s="14" t="s">
        <v>21</v>
      </c>
      <c r="BQ8" s="14" t="s">
        <v>22</v>
      </c>
      <c r="BR8" s="16" t="s">
        <v>23</v>
      </c>
      <c r="BS8" s="59" t="s">
        <v>78</v>
      </c>
      <c r="BT8" t="s">
        <v>131</v>
      </c>
      <c r="BU8" t="s">
        <v>133</v>
      </c>
    </row>
    <row r="9" spans="1:73" s="47" customFormat="1" ht="16" thickBot="1" x14ac:dyDescent="0.4">
      <c r="A9" s="63" t="str">
        <f>Table2[[#This Row],[Date]]</f>
        <v>20-03-18</v>
      </c>
      <c r="B9" s="74">
        <f>Table2[[#This Row],[Time]]</f>
        <v>0</v>
      </c>
      <c r="C9" s="41">
        <v>0</v>
      </c>
      <c r="D9" s="18" t="s">
        <v>34</v>
      </c>
      <c r="E9" s="18" t="s">
        <v>34</v>
      </c>
      <c r="F9" s="18" t="s">
        <v>34</v>
      </c>
      <c r="G9" s="18" t="s">
        <v>34</v>
      </c>
      <c r="H9" s="18" t="s">
        <v>34</v>
      </c>
      <c r="I9" s="18" t="s">
        <v>34</v>
      </c>
      <c r="J9" s="18" t="s">
        <v>34</v>
      </c>
      <c r="K9" s="18" t="s">
        <v>34</v>
      </c>
      <c r="L9" s="18" t="s">
        <v>34</v>
      </c>
      <c r="M9" s="18" t="s">
        <v>34</v>
      </c>
      <c r="N9" s="18" t="s">
        <v>34</v>
      </c>
      <c r="O9" s="18" t="s">
        <v>34</v>
      </c>
      <c r="P9" s="18" t="s">
        <v>34</v>
      </c>
      <c r="Q9" s="18" t="s">
        <v>34</v>
      </c>
      <c r="R9" s="18" t="s">
        <v>34</v>
      </c>
      <c r="S9" s="18" t="s">
        <v>34</v>
      </c>
      <c r="T9" s="18" t="s">
        <v>34</v>
      </c>
      <c r="U9" s="18" t="s">
        <v>34</v>
      </c>
      <c r="V9" s="76" t="s">
        <v>34</v>
      </c>
      <c r="W9" s="45"/>
      <c r="X9" s="45"/>
      <c r="Y9" s="45"/>
      <c r="Z9" s="45"/>
      <c r="AA9" s="45"/>
      <c r="AB9" s="45"/>
      <c r="AC9" s="45"/>
      <c r="AD9" s="46"/>
      <c r="AE9" s="91">
        <v>7</v>
      </c>
      <c r="AF9" s="45"/>
      <c r="AG9" s="45"/>
      <c r="AH9" s="45">
        <v>0</v>
      </c>
      <c r="AI9"/>
      <c r="AJ9" s="64" t="str">
        <f>IF(D9="nd","nd",D9*$C9/constants!$B$3)</f>
        <v>nd</v>
      </c>
      <c r="AK9" s="64" t="str">
        <f>IF(E9="nd","nd",E9*$C9/constants!$B$6)</f>
        <v>nd</v>
      </c>
      <c r="AL9" s="64" t="str">
        <f>IF(F9="nd","nd",F9*$C9/constants!$B$7)</f>
        <v>nd</v>
      </c>
      <c r="AM9" s="64" t="str">
        <f>IF(G9="nd","nd",G9*$C9/constants!$B$8)</f>
        <v>nd</v>
      </c>
      <c r="AN9" s="64" t="str">
        <f>IF(H9="nd","nd",H9*$C9/constants!$B$9)</f>
        <v>nd</v>
      </c>
      <c r="AO9" s="64" t="str">
        <f>IF(I9="nd","nd",I9*$C9/constants!$B$10)</f>
        <v>nd</v>
      </c>
      <c r="AP9" s="64" t="e">
        <f>(IF(IFERROR(J9-#REF!,J9)&gt;constants!$D$5,(IFERROR(J9-#REF!,J9)*$C9/constants!$B$5),0))</f>
        <v>#VALUE!</v>
      </c>
      <c r="AQ9" s="64" t="e">
        <f>(IF(IFERROR(K9-#REF!,K9)&gt;constants!$D$11,(IFERROR(K9-#REF!,K9)*$C9/constants!$B$11),0))</f>
        <v>#VALUE!</v>
      </c>
      <c r="AR9" s="64" t="e">
        <f>(IF(IFERROR(L9-#REF!,L9)&gt;constants!$D$19,(IFERROR(L9-#REF!,L9)*$C9/constants!$B$19),0))</f>
        <v>#VALUE!</v>
      </c>
      <c r="AS9" s="64" t="e">
        <f>(IF(IFERROR(M9-#REF!,M9)&gt;constants!$D$4,(IFERROR(M9-#REF!,M9)*$C9/constants!$B$4),0))</f>
        <v>#VALUE!</v>
      </c>
      <c r="AT9" s="64" t="e">
        <f>(IF(IFERROR(N9-#REF!,N9)&gt;constants!$D$5,(IFERROR(N9-#REF!,N9)*$C9/constants!$B$5),0))</f>
        <v>#VALUE!</v>
      </c>
      <c r="AU9" s="64" t="e">
        <f>(IF(IFERROR(O9-#REF!,O9)&gt;constants!$D$12,(IFERROR(O9-#REF!,O9)*$C9/constants!$B$12),0))</f>
        <v>#VALUE!</v>
      </c>
      <c r="AV9" s="64" t="e">
        <f>(IF(IFERROR(P9-#REF!,P9)&gt;constants!$D$5,(IFERROR(P9-#REF!,P9)*$C9/constants!$B$5),0))</f>
        <v>#VALUE!</v>
      </c>
      <c r="AW9" s="64" t="e">
        <f>(IF(IFERROR(Q9-#REF!,Q9)&gt;constants!$D$13,(IFERROR(Q9-#REF!,Q9)*$C9/constants!$B$13),0))</f>
        <v>#VALUE!</v>
      </c>
      <c r="AX9" s="64" t="e">
        <f>(IF(IFERROR(R9-#REF!,R9)&gt;constants!$D$14,(IFERROR(R9-#REF!,R9)*$C9/constants!$B$14),0))</f>
        <v>#VALUE!</v>
      </c>
      <c r="AY9" s="64" t="e">
        <f>(IF(IFERROR(S9-#REF!,S9)&gt;constants!$D$15,(IFERROR(S9-#REF!,S9)*$C9/constants!$B$15),0))</f>
        <v>#VALUE!</v>
      </c>
      <c r="AZ9" s="64">
        <f>IF(AH9="nd","nd",AH9*Table31520253035[[#This Row],[dilution ]]/constants!$B$3)</f>
        <v>0</v>
      </c>
      <c r="BA9" s="64"/>
      <c r="BB9" s="64"/>
      <c r="BC9" s="64" t="e">
        <f>(Table51621263136[[#This Row],[Concentration]]*constants!$C$3)/1000</f>
        <v>#VALUE!</v>
      </c>
      <c r="BD9" s="64" t="e">
        <f>(Table51621263136[[#This Row],[Concentration2]]*constants!$C$6)/1000</f>
        <v>#VALUE!</v>
      </c>
      <c r="BE9" s="64" t="e">
        <f>(Table51621263136[[#This Row],[Concentration3]]*constants!$C$7)/1000</f>
        <v>#VALUE!</v>
      </c>
      <c r="BF9" s="64" t="e">
        <f>(Table51621263136[[#This Row],[Concentration4]]*constants!$C$8)/1000</f>
        <v>#VALUE!</v>
      </c>
      <c r="BG9" s="64" t="e">
        <f>(Table51621263136[[#This Row],[Concentration5]]*constants!$C$9)/1000</f>
        <v>#VALUE!</v>
      </c>
      <c r="BH9" s="64" t="e">
        <f>(Table51621263136[[#This Row],[Concentration6]]*constants!$C$10)/1000</f>
        <v>#VALUE!</v>
      </c>
      <c r="BI9" s="64" t="e">
        <f>(Table51621263136[[#This Row],[Concentration7]]*constants!$C$5)</f>
        <v>#VALUE!</v>
      </c>
      <c r="BJ9" s="64" t="e">
        <f>(Table51621263136[[#This Row],[Concentration8]]*3)</f>
        <v>#VALUE!</v>
      </c>
      <c r="BK9" s="64" t="e">
        <f>(Table51621263136[[#This Row],[Concentration9]]*4)</f>
        <v>#VALUE!</v>
      </c>
      <c r="BL9" s="64" t="e">
        <f>(Table51621263136[[#This Row],[Concentration10]]*4)</f>
        <v>#VALUE!</v>
      </c>
      <c r="BM9" s="64" t="e">
        <f>(Table51621263136[[#This Row],[Concentration11]]*5)</f>
        <v>#VALUE!</v>
      </c>
      <c r="BN9" s="64" t="e">
        <f>(Table51621263136[[#This Row],[Concentration12]]*5)</f>
        <v>#VALUE!</v>
      </c>
      <c r="BO9" s="64" t="e">
        <f>(Table51621263136[[#This Row],[Concentration13]]*6)</f>
        <v>#VALUE!</v>
      </c>
      <c r="BP9" s="64" t="e">
        <f>(Table51621263136[[#This Row],[Concentration14]]*6)</f>
        <v>#VALUE!</v>
      </c>
      <c r="BQ9" s="64" t="e">
        <f>(Table51621263136[[#This Row],[Concentration15]]*7)</f>
        <v>#VALUE!</v>
      </c>
      <c r="BR9" s="64" t="e">
        <f>(Table51621263136[[#This Row],[Concentration16]]*8)</f>
        <v>#VALUE!</v>
      </c>
      <c r="BS9" s="64">
        <f>(Table51621263136[[#This Row],[Concentration17]]*3)/1000</f>
        <v>0</v>
      </c>
      <c r="BT9" s="47">
        <f>Table51621263136[[#This Row],[Concentration18]]/1000</f>
        <v>0</v>
      </c>
      <c r="BU9" s="47">
        <f>Table51621263136[[#This Row],[Concentration19]]/1000</f>
        <v>0</v>
      </c>
    </row>
    <row r="10" spans="1:73" s="66" customFormat="1" ht="16" thickBot="1" x14ac:dyDescent="0.4">
      <c r="A10" s="63" t="str">
        <f>Table2[[#This Row],[Date]]</f>
        <v>22-03-18</v>
      </c>
      <c r="B10" s="74">
        <f>Table2[[#This Row],[Time]]</f>
        <v>2</v>
      </c>
      <c r="C10" s="77">
        <v>0</v>
      </c>
      <c r="D10" s="49" t="s">
        <v>34</v>
      </c>
      <c r="E10" s="49" t="s">
        <v>34</v>
      </c>
      <c r="F10" s="49" t="s">
        <v>34</v>
      </c>
      <c r="G10" s="49" t="s">
        <v>34</v>
      </c>
      <c r="H10" s="49" t="s">
        <v>34</v>
      </c>
      <c r="I10" s="49" t="s">
        <v>34</v>
      </c>
      <c r="J10" s="49" t="s">
        <v>34</v>
      </c>
      <c r="K10" s="49" t="s">
        <v>34</v>
      </c>
      <c r="L10" s="49" t="s">
        <v>34</v>
      </c>
      <c r="M10" s="49" t="s">
        <v>34</v>
      </c>
      <c r="N10" s="50" t="s">
        <v>34</v>
      </c>
      <c r="O10" s="49" t="s">
        <v>34</v>
      </c>
      <c r="P10" s="49" t="s">
        <v>34</v>
      </c>
      <c r="Q10" s="49" t="s">
        <v>34</v>
      </c>
      <c r="R10" s="50" t="s">
        <v>34</v>
      </c>
      <c r="S10" s="51" t="s">
        <v>34</v>
      </c>
      <c r="T10" s="51" t="s">
        <v>34</v>
      </c>
      <c r="U10" s="51" t="s">
        <v>34</v>
      </c>
      <c r="V10" s="78" t="s">
        <v>34</v>
      </c>
      <c r="W10" s="32"/>
      <c r="X10" s="32"/>
      <c r="Y10" s="32"/>
      <c r="Z10" s="32"/>
      <c r="AA10" s="32"/>
      <c r="AB10" s="32"/>
      <c r="AC10" s="32"/>
      <c r="AD10" s="32"/>
      <c r="AE10" s="92">
        <v>7.05</v>
      </c>
      <c r="AF10" s="32"/>
      <c r="AG10" s="32"/>
      <c r="AH10" s="45">
        <v>0</v>
      </c>
      <c r="AI10"/>
      <c r="AJ10" s="64" t="str">
        <f>IF(D10="nd","nd",D10*$C10/constants!$B$3)</f>
        <v>nd</v>
      </c>
      <c r="AK10" s="64" t="str">
        <f>IF(E10="nd","nd",E10*$C10/constants!$B$6)</f>
        <v>nd</v>
      </c>
      <c r="AL10" s="64" t="str">
        <f>IF(F10="nd","nd",F10*$C10/constants!$B$7)</f>
        <v>nd</v>
      </c>
      <c r="AM10" s="64" t="str">
        <f>IF(G10="nd","nd",G10*$C10/constants!$B$8)</f>
        <v>nd</v>
      </c>
      <c r="AN10" s="64" t="str">
        <f>IF(H10="nd","nd",H10*$C10/constants!$B$9)</f>
        <v>nd</v>
      </c>
      <c r="AO10" s="64" t="str">
        <f>IF(I10="nd","nd",I10*$C10/constants!$B$10)</f>
        <v>nd</v>
      </c>
      <c r="AP10" s="64" t="e">
        <f>(IF(IFERROR(J10-#REF!,J10)&gt;constants!$D$5,(IFERROR(J10-#REF!,J10)*$C10/constants!$B$5),0))</f>
        <v>#VALUE!</v>
      </c>
      <c r="AQ10" s="64" t="e">
        <f>(IF(IFERROR(K10-#REF!,K10)&gt;constants!$D$11,(IFERROR(K10-#REF!,K10)*$C10/constants!$B$11),0))</f>
        <v>#VALUE!</v>
      </c>
      <c r="AR10" s="64" t="e">
        <f>(IF(IFERROR(L10-#REF!,L10)&gt;constants!$D$19,(IFERROR(L10-#REF!,L10)*$C10/constants!$B$19),0))</f>
        <v>#VALUE!</v>
      </c>
      <c r="AS10" s="64" t="e">
        <f>(IF(IFERROR(M10-#REF!,M10)&gt;constants!$D$4,(IFERROR(M10-#REF!,M10)*$C10/constants!$B$4),0))</f>
        <v>#VALUE!</v>
      </c>
      <c r="AT10" s="64" t="e">
        <f>(IF(IFERROR(N10-#REF!,N10)&gt;constants!$D$5,(IFERROR(N10-#REF!,N10)*$C10/constants!$B$5),0))</f>
        <v>#VALUE!</v>
      </c>
      <c r="AU10" s="64" t="e">
        <f>(IF(IFERROR(O10-#REF!,O10)&gt;constants!$D$12,(IFERROR(O10-#REF!,O10)*$C10/constants!$B$12),0))</f>
        <v>#VALUE!</v>
      </c>
      <c r="AV10" s="64" t="e">
        <f>(IF(IFERROR(P10-#REF!,P10)&gt;constants!$D$5,(IFERROR(P10-#REF!,P10)*$C10/constants!$B$5),0))</f>
        <v>#VALUE!</v>
      </c>
      <c r="AW10" s="64" t="e">
        <f>(IF(IFERROR(Q10-#REF!,Q10)&gt;constants!$D$13,(IFERROR(Q10-#REF!,Q10)*$C10/constants!$B$13),0))</f>
        <v>#VALUE!</v>
      </c>
      <c r="AX10" s="64" t="e">
        <f>(IF(IFERROR(R10-#REF!,R10)&gt;constants!$D$14,(IFERROR(R10-#REF!,R10)*$C10/constants!$B$14),0))</f>
        <v>#VALUE!</v>
      </c>
      <c r="AY10" s="64" t="e">
        <f>(IF(IFERROR(S10-#REF!,S10)&gt;constants!$D$15,(IFERROR(S10-#REF!,S10)*$C10/constants!$B$15),0))</f>
        <v>#VALUE!</v>
      </c>
      <c r="AZ10" s="64">
        <f>IF(AH10="nd","nd",AH10*Table31520253035[[#This Row],[dilution ]]/constants!$B$3)</f>
        <v>0</v>
      </c>
      <c r="BA10" s="64"/>
      <c r="BB10" s="64"/>
      <c r="BC10" s="64" t="e">
        <f>(Table51621263136[[#This Row],[Concentration]]*constants!$C$3)/1000</f>
        <v>#VALUE!</v>
      </c>
      <c r="BD10" s="64" t="e">
        <f>(Table51621263136[[#This Row],[Concentration2]]*constants!$C$6)/1000</f>
        <v>#VALUE!</v>
      </c>
      <c r="BE10" s="64" t="e">
        <f>(Table51621263136[[#This Row],[Concentration3]]*constants!$C$7)/1000</f>
        <v>#VALUE!</v>
      </c>
      <c r="BF10" s="64" t="e">
        <f>(Table51621263136[[#This Row],[Concentration4]]*constants!$C$8)/1000</f>
        <v>#VALUE!</v>
      </c>
      <c r="BG10" s="64" t="e">
        <f>(Table51621263136[[#This Row],[Concentration5]]*constants!$C$9)/1000</f>
        <v>#VALUE!</v>
      </c>
      <c r="BH10" s="64" t="e">
        <f>(Table51621263136[[#This Row],[Concentration6]]*constants!$C$10)/1000</f>
        <v>#VALUE!</v>
      </c>
      <c r="BI10" s="64" t="e">
        <f>(Table51621263136[[#This Row],[Concentration7]]*constants!$C$5)</f>
        <v>#VALUE!</v>
      </c>
      <c r="BJ10" s="64" t="e">
        <f>(Table51621263136[[#This Row],[Concentration8]]*3)</f>
        <v>#VALUE!</v>
      </c>
      <c r="BK10" s="64" t="e">
        <f>(Table51621263136[[#This Row],[Concentration9]]*4)</f>
        <v>#VALUE!</v>
      </c>
      <c r="BL10" s="64" t="e">
        <f>(Table51621263136[[#This Row],[Concentration10]]*4)</f>
        <v>#VALUE!</v>
      </c>
      <c r="BM10" s="64" t="e">
        <f>(Table51621263136[[#This Row],[Concentration11]]*5)</f>
        <v>#VALUE!</v>
      </c>
      <c r="BN10" s="64" t="e">
        <f>(Table51621263136[[#This Row],[Concentration12]]*5)</f>
        <v>#VALUE!</v>
      </c>
      <c r="BO10" s="64" t="e">
        <f>(Table51621263136[[#This Row],[Concentration13]]*6)</f>
        <v>#VALUE!</v>
      </c>
      <c r="BP10" s="64" t="e">
        <f>(Table51621263136[[#This Row],[Concentration14]]*6)</f>
        <v>#VALUE!</v>
      </c>
      <c r="BQ10" s="64" t="e">
        <f>(Table51621263136[[#This Row],[Concentration15]]*7)</f>
        <v>#VALUE!</v>
      </c>
      <c r="BR10" s="64" t="e">
        <f>(Table51621263136[[#This Row],[Concentration16]]*8)</f>
        <v>#VALUE!</v>
      </c>
      <c r="BS10" s="64">
        <f>(Table51621263136[[#This Row],[Concentration17]]*3)/1000</f>
        <v>0</v>
      </c>
      <c r="BT10" s="47">
        <f>Table51621263136[[#This Row],[Concentration18]]/1000</f>
        <v>0</v>
      </c>
      <c r="BU10" s="47">
        <f>Table51621263136[[#This Row],[Concentration19]]/1000</f>
        <v>0</v>
      </c>
    </row>
    <row r="11" spans="1:73" s="47" customFormat="1" ht="16" thickBot="1" x14ac:dyDescent="0.4">
      <c r="A11" s="63" t="str">
        <f>Table2[[#This Row],[Date]]</f>
        <v>23-03-18</v>
      </c>
      <c r="B11" s="74">
        <f>Table2[[#This Row],[Time]]</f>
        <v>3</v>
      </c>
      <c r="C11" s="41">
        <v>0</v>
      </c>
      <c r="D11" s="18" t="s">
        <v>34</v>
      </c>
      <c r="E11" s="18" t="s">
        <v>34</v>
      </c>
      <c r="F11" s="18" t="s">
        <v>34</v>
      </c>
      <c r="G11" s="18" t="s">
        <v>34</v>
      </c>
      <c r="H11" s="18" t="s">
        <v>34</v>
      </c>
      <c r="I11" s="18" t="s">
        <v>34</v>
      </c>
      <c r="J11" s="18" t="s">
        <v>34</v>
      </c>
      <c r="K11" s="18" t="s">
        <v>34</v>
      </c>
      <c r="L11" s="18" t="s">
        <v>34</v>
      </c>
      <c r="M11" s="18" t="s">
        <v>34</v>
      </c>
      <c r="N11" s="19" t="s">
        <v>34</v>
      </c>
      <c r="O11" s="18" t="s">
        <v>34</v>
      </c>
      <c r="P11" s="18" t="s">
        <v>34</v>
      </c>
      <c r="Q11" s="18" t="s">
        <v>34</v>
      </c>
      <c r="R11" s="19" t="s">
        <v>34</v>
      </c>
      <c r="S11" s="20" t="s">
        <v>34</v>
      </c>
      <c r="T11" s="20" t="s">
        <v>34</v>
      </c>
      <c r="U11" s="20" t="s">
        <v>34</v>
      </c>
      <c r="V11" s="21" t="s">
        <v>34</v>
      </c>
      <c r="W11" s="52"/>
      <c r="X11" s="52"/>
      <c r="Y11" s="52"/>
      <c r="Z11" s="52"/>
      <c r="AA11" s="52"/>
      <c r="AB11" s="52"/>
      <c r="AC11" s="52"/>
      <c r="AD11" s="52"/>
      <c r="AE11" s="92">
        <v>7.02</v>
      </c>
      <c r="AF11" s="52"/>
      <c r="AG11" s="52"/>
      <c r="AH11" s="45">
        <v>0</v>
      </c>
      <c r="AI11"/>
      <c r="AJ11" s="64" t="str">
        <f>IF(D11="nd","nd",D11*$C11/constants!$B$3)</f>
        <v>nd</v>
      </c>
      <c r="AK11" s="64" t="str">
        <f>IF(E11="nd","nd",E11*$C11/constants!$B$6)</f>
        <v>nd</v>
      </c>
      <c r="AL11" s="64" t="str">
        <f>IF(F11="nd","nd",F11*$C11/constants!$B$7)</f>
        <v>nd</v>
      </c>
      <c r="AM11" s="64" t="str">
        <f>IF(G11="nd","nd",G11*$C11/constants!$B$8)</f>
        <v>nd</v>
      </c>
      <c r="AN11" s="64" t="str">
        <f>IF(H11="nd","nd",H11*$C11/constants!$B$9)</f>
        <v>nd</v>
      </c>
      <c r="AO11" s="64" t="str">
        <f>IF(I11="nd","nd",I11*$C11/constants!$B$10)</f>
        <v>nd</v>
      </c>
      <c r="AP11" s="64" t="e">
        <f>(IF(IFERROR(J11-#REF!,J11)&gt;constants!$D$5,(IFERROR(J11-#REF!,J11)*$C11/constants!$B$5),0))</f>
        <v>#VALUE!</v>
      </c>
      <c r="AQ11" s="64" t="e">
        <f>(IF(IFERROR(K11-#REF!,K11)&gt;constants!$D$11,(IFERROR(K11-#REF!,K11)*$C11/constants!$B$11),0))</f>
        <v>#VALUE!</v>
      </c>
      <c r="AR11" s="64" t="e">
        <f>(IF(IFERROR(L11-#REF!,L11)&gt;constants!$D$19,(IFERROR(L11-#REF!,L11)*$C11/constants!$B$19),0))</f>
        <v>#VALUE!</v>
      </c>
      <c r="AS11" s="64" t="e">
        <f>(IF(IFERROR(M11-#REF!,M11)&gt;constants!$D$4,(IFERROR(M11-#REF!,M11)*$C11/constants!$B$4),0))</f>
        <v>#VALUE!</v>
      </c>
      <c r="AT11" s="64" t="e">
        <f>(IF(IFERROR(N11-#REF!,N11)&gt;constants!$D$5,(IFERROR(N11-#REF!,N11)*$C11/constants!$B$5),0))</f>
        <v>#VALUE!</v>
      </c>
      <c r="AU11" s="64" t="e">
        <f>(IF(IFERROR(O11-#REF!,O11)&gt;constants!$D$12,(IFERROR(O11-#REF!,O11)*$C11/constants!$B$12),0))</f>
        <v>#VALUE!</v>
      </c>
      <c r="AV11" s="64" t="e">
        <f>(IF(IFERROR(P11-#REF!,P11)&gt;constants!$D$5,(IFERROR(P11-#REF!,P11)*$C11/constants!$B$5),0))</f>
        <v>#VALUE!</v>
      </c>
      <c r="AW11" s="64" t="e">
        <f>(IF(IFERROR(Q11-#REF!,Q11)&gt;constants!$D$13,(IFERROR(Q11-#REF!,Q11)*$C11/constants!$B$13),0))</f>
        <v>#VALUE!</v>
      </c>
      <c r="AX11" s="64" t="e">
        <f>(IF(IFERROR(R11-#REF!,R11)&gt;constants!$D$14,(IFERROR(R11-#REF!,R11)*$C11/constants!$B$14),0))</f>
        <v>#VALUE!</v>
      </c>
      <c r="AY11" s="64" t="e">
        <f>(IF(IFERROR(S11-#REF!,S11)&gt;constants!$D$15,(IFERROR(S11-#REF!,S11)*$C11/constants!$B$15),0))</f>
        <v>#VALUE!</v>
      </c>
      <c r="AZ11" s="64">
        <f>IF(AH11="nd","nd",AH11*Table31520253035[[#This Row],[dilution ]]/constants!$B$3)</f>
        <v>0</v>
      </c>
      <c r="BA11" s="64"/>
      <c r="BB11" s="64"/>
      <c r="BC11" s="64" t="e">
        <f>(Table51621263136[[#This Row],[Concentration]]*constants!$C$3)/1000</f>
        <v>#VALUE!</v>
      </c>
      <c r="BD11" s="64" t="e">
        <f>(Table51621263136[[#This Row],[Concentration2]]*constants!$C$6)/1000</f>
        <v>#VALUE!</v>
      </c>
      <c r="BE11" s="64" t="e">
        <f>(Table51621263136[[#This Row],[Concentration3]]*constants!$C$7)/1000</f>
        <v>#VALUE!</v>
      </c>
      <c r="BF11" s="64" t="e">
        <f>(Table51621263136[[#This Row],[Concentration4]]*constants!$C$8)/1000</f>
        <v>#VALUE!</v>
      </c>
      <c r="BG11" s="64" t="e">
        <f>(Table51621263136[[#This Row],[Concentration5]]*constants!$C$9)/1000</f>
        <v>#VALUE!</v>
      </c>
      <c r="BH11" s="64" t="e">
        <f>(Table51621263136[[#This Row],[Concentration6]]*constants!$C$10)/1000</f>
        <v>#VALUE!</v>
      </c>
      <c r="BI11" s="64" t="e">
        <f>(Table51621263136[[#This Row],[Concentration7]]*constants!$C$5)</f>
        <v>#VALUE!</v>
      </c>
      <c r="BJ11" s="64" t="e">
        <f>(Table51621263136[[#This Row],[Concentration8]]*3)</f>
        <v>#VALUE!</v>
      </c>
      <c r="BK11" s="64" t="e">
        <f>(Table51621263136[[#This Row],[Concentration9]]*4)</f>
        <v>#VALUE!</v>
      </c>
      <c r="BL11" s="64" t="e">
        <f>(Table51621263136[[#This Row],[Concentration10]]*4)</f>
        <v>#VALUE!</v>
      </c>
      <c r="BM11" s="64" t="e">
        <f>(Table51621263136[[#This Row],[Concentration11]]*5)</f>
        <v>#VALUE!</v>
      </c>
      <c r="BN11" s="64" t="e">
        <f>(Table51621263136[[#This Row],[Concentration12]]*5)</f>
        <v>#VALUE!</v>
      </c>
      <c r="BO11" s="64" t="e">
        <f>(Table51621263136[[#This Row],[Concentration13]]*6)</f>
        <v>#VALUE!</v>
      </c>
      <c r="BP11" s="64" t="e">
        <f>(Table51621263136[[#This Row],[Concentration14]]*6)</f>
        <v>#VALUE!</v>
      </c>
      <c r="BQ11" s="64" t="e">
        <f>(Table51621263136[[#This Row],[Concentration15]]*7)</f>
        <v>#VALUE!</v>
      </c>
      <c r="BR11" s="64" t="e">
        <f>(Table51621263136[[#This Row],[Concentration16]]*8)</f>
        <v>#VALUE!</v>
      </c>
      <c r="BS11" s="64">
        <f>(Table51621263136[[#This Row],[Concentration17]]*3)/1000</f>
        <v>0</v>
      </c>
      <c r="BT11" s="47">
        <f>Table51621263136[[#This Row],[Concentration18]]/1000</f>
        <v>0</v>
      </c>
      <c r="BU11" s="47">
        <f>Table51621263136[[#This Row],[Concentration19]]/1000</f>
        <v>0</v>
      </c>
    </row>
    <row r="12" spans="1:73" s="66" customFormat="1" ht="16" thickBot="1" x14ac:dyDescent="0.4">
      <c r="A12" s="63" t="str">
        <f>Table2[[#This Row],[Date]]</f>
        <v>26-03-18</v>
      </c>
      <c r="B12" s="74">
        <f>Table2[[#This Row],[Time]]</f>
        <v>6</v>
      </c>
      <c r="C12" s="77">
        <v>0</v>
      </c>
      <c r="D12" s="49" t="s">
        <v>34</v>
      </c>
      <c r="E12" s="49" t="s">
        <v>34</v>
      </c>
      <c r="F12" s="49" t="s">
        <v>34</v>
      </c>
      <c r="G12" s="49" t="s">
        <v>34</v>
      </c>
      <c r="H12" s="49" t="s">
        <v>34</v>
      </c>
      <c r="I12" s="49" t="s">
        <v>34</v>
      </c>
      <c r="J12" s="49" t="s">
        <v>34</v>
      </c>
      <c r="K12" s="49" t="s">
        <v>34</v>
      </c>
      <c r="L12" s="49" t="s">
        <v>34</v>
      </c>
      <c r="M12" s="49" t="s">
        <v>34</v>
      </c>
      <c r="N12" s="50" t="s">
        <v>34</v>
      </c>
      <c r="O12" s="49" t="s">
        <v>34</v>
      </c>
      <c r="P12" s="49" t="s">
        <v>34</v>
      </c>
      <c r="Q12" s="49" t="s">
        <v>34</v>
      </c>
      <c r="R12" s="50" t="s">
        <v>34</v>
      </c>
      <c r="S12" s="51" t="s">
        <v>34</v>
      </c>
      <c r="T12" s="51" t="s">
        <v>34</v>
      </c>
      <c r="U12" s="51" t="s">
        <v>34</v>
      </c>
      <c r="V12" s="78" t="s">
        <v>34</v>
      </c>
      <c r="W12" s="32"/>
      <c r="X12" s="32"/>
      <c r="Y12" s="32"/>
      <c r="Z12" s="32"/>
      <c r="AA12" s="32"/>
      <c r="AB12" s="32"/>
      <c r="AC12" s="32"/>
      <c r="AD12" s="32"/>
      <c r="AE12" s="80">
        <v>7</v>
      </c>
      <c r="AF12" s="32"/>
      <c r="AG12" s="32"/>
      <c r="AH12" s="45">
        <v>0</v>
      </c>
      <c r="AI12"/>
      <c r="AJ12" s="64" t="str">
        <f>IF(D12="nd","nd",D12*$C12/constants!$B$3)</f>
        <v>nd</v>
      </c>
      <c r="AK12" s="64" t="str">
        <f>IF(E12="nd","nd",E12*$C12/constants!$B$6)</f>
        <v>nd</v>
      </c>
      <c r="AL12" s="64" t="str">
        <f>IF(F12="nd","nd",F12*$C12/constants!$B$7)</f>
        <v>nd</v>
      </c>
      <c r="AM12" s="64" t="str">
        <f>IF(G12="nd","nd",G12*$C12/constants!$B$8)</f>
        <v>nd</v>
      </c>
      <c r="AN12" s="64" t="str">
        <f>IF(H12="nd","nd",H12*$C12/constants!$B$9)</f>
        <v>nd</v>
      </c>
      <c r="AO12" s="64" t="str">
        <f>IF(I12="nd","nd",I12*$C12/constants!$B$10)</f>
        <v>nd</v>
      </c>
      <c r="AP12" s="64" t="e">
        <f>(IF(IFERROR(J12-#REF!,J12)&gt;constants!$D$5,(IFERROR(J12-#REF!,J12)*$C12/constants!$B$5),0))</f>
        <v>#VALUE!</v>
      </c>
      <c r="AQ12" s="64" t="e">
        <f>(IF(IFERROR(K12-#REF!,K12)&gt;constants!$D$11,(IFERROR(K12-#REF!,K12)*$C12/constants!$B$11),0))</f>
        <v>#VALUE!</v>
      </c>
      <c r="AR12" s="64" t="e">
        <f>(IF(IFERROR(L12-#REF!,L12)&gt;constants!$D$19,(IFERROR(L12-#REF!,L12)*$C12/constants!$B$19),0))</f>
        <v>#VALUE!</v>
      </c>
      <c r="AS12" s="64" t="e">
        <f>(IF(IFERROR(M12-#REF!,M12)&gt;constants!$D$4,(IFERROR(M12-#REF!,M12)*$C12/constants!$B$4),0))</f>
        <v>#VALUE!</v>
      </c>
      <c r="AT12" s="64" t="e">
        <f>(IF(IFERROR(N12-#REF!,N12)&gt;constants!$D$5,(IFERROR(N12-#REF!,N12)*$C12/constants!$B$5),0))</f>
        <v>#VALUE!</v>
      </c>
      <c r="AU12" s="64" t="e">
        <f>(IF(IFERROR(O12-#REF!,O12)&gt;constants!$D$12,(IFERROR(O12-#REF!,O12)*$C12/constants!$B$12),0))</f>
        <v>#VALUE!</v>
      </c>
      <c r="AV12" s="64" t="e">
        <f>(IF(IFERROR(P12-#REF!,P12)&gt;constants!$D$5,(IFERROR(P12-#REF!,P12)*$C12/constants!$B$5),0))</f>
        <v>#VALUE!</v>
      </c>
      <c r="AW12" s="64" t="e">
        <f>(IF(IFERROR(Q12-#REF!,Q12)&gt;constants!$D$13,(IFERROR(Q12-#REF!,Q12)*$C12/constants!$B$13),0))</f>
        <v>#VALUE!</v>
      </c>
      <c r="AX12" s="64" t="e">
        <f>(IF(IFERROR(R12-#REF!,R12)&gt;constants!$D$14,(IFERROR(R12-#REF!,R12)*$C12/constants!$B$14),0))</f>
        <v>#VALUE!</v>
      </c>
      <c r="AY12" s="64" t="e">
        <f>(IF(IFERROR(S12-#REF!,S12)&gt;constants!$D$15,(IFERROR(S12-#REF!,S12)*$C12/constants!$B$15),0))</f>
        <v>#VALUE!</v>
      </c>
      <c r="AZ12" s="64">
        <f>IF(AH12="nd","nd",AH12*Table31520253035[[#This Row],[dilution ]]/constants!$B$3)</f>
        <v>0</v>
      </c>
      <c r="BA12" s="64"/>
      <c r="BB12" s="64"/>
      <c r="BC12" s="64" t="e">
        <f>(Table51621263136[[#This Row],[Concentration]]*constants!$C$3)/1000</f>
        <v>#VALUE!</v>
      </c>
      <c r="BD12" s="64" t="e">
        <f>(Table51621263136[[#This Row],[Concentration2]]*constants!$C$6)/1000</f>
        <v>#VALUE!</v>
      </c>
      <c r="BE12" s="64" t="e">
        <f>(Table51621263136[[#This Row],[Concentration3]]*constants!$C$7)/1000</f>
        <v>#VALUE!</v>
      </c>
      <c r="BF12" s="64" t="e">
        <f>(Table51621263136[[#This Row],[Concentration4]]*constants!$C$8)/1000</f>
        <v>#VALUE!</v>
      </c>
      <c r="BG12" s="64" t="e">
        <f>(Table51621263136[[#This Row],[Concentration5]]*constants!$C$9)/1000</f>
        <v>#VALUE!</v>
      </c>
      <c r="BH12" s="64" t="e">
        <f>(Table51621263136[[#This Row],[Concentration6]]*constants!$C$10)/1000</f>
        <v>#VALUE!</v>
      </c>
      <c r="BI12" s="64" t="e">
        <f>(Table51621263136[[#This Row],[Concentration7]]*constants!$C$5)</f>
        <v>#VALUE!</v>
      </c>
      <c r="BJ12" s="64" t="e">
        <f>(Table51621263136[[#This Row],[Concentration8]]*3)</f>
        <v>#VALUE!</v>
      </c>
      <c r="BK12" s="64" t="e">
        <f>(Table51621263136[[#This Row],[Concentration9]]*4)</f>
        <v>#VALUE!</v>
      </c>
      <c r="BL12" s="64" t="e">
        <f>(Table51621263136[[#This Row],[Concentration10]]*4)</f>
        <v>#VALUE!</v>
      </c>
      <c r="BM12" s="64" t="e">
        <f>(Table51621263136[[#This Row],[Concentration11]]*5)</f>
        <v>#VALUE!</v>
      </c>
      <c r="BN12" s="64" t="e">
        <f>(Table51621263136[[#This Row],[Concentration12]]*5)</f>
        <v>#VALUE!</v>
      </c>
      <c r="BO12" s="64" t="e">
        <f>(Table51621263136[[#This Row],[Concentration13]]*6)</f>
        <v>#VALUE!</v>
      </c>
      <c r="BP12" s="64" t="e">
        <f>(Table51621263136[[#This Row],[Concentration14]]*6)</f>
        <v>#VALUE!</v>
      </c>
      <c r="BQ12" s="64" t="e">
        <f>(Table51621263136[[#This Row],[Concentration15]]*7)</f>
        <v>#VALUE!</v>
      </c>
      <c r="BR12" s="64" t="e">
        <f>(Table51621263136[[#This Row],[Concentration16]]*8)</f>
        <v>#VALUE!</v>
      </c>
      <c r="BS12" s="64">
        <f>(Table51621263136[[#This Row],[Concentration17]]*3)/1000</f>
        <v>0</v>
      </c>
      <c r="BT12" s="47">
        <f>Table51621263136[[#This Row],[Concentration18]]/1000</f>
        <v>0</v>
      </c>
      <c r="BU12" s="47">
        <f>Table51621263136[[#This Row],[Concentration19]]/1000</f>
        <v>0</v>
      </c>
    </row>
    <row r="13" spans="1:73" s="47" customFormat="1" ht="16" thickBot="1" x14ac:dyDescent="0.4">
      <c r="A13" s="63" t="str">
        <f>Table2[[#This Row],[Date]]</f>
        <v>29-03-18</v>
      </c>
      <c r="B13" s="74">
        <f>Table2[[#This Row],[Time]]</f>
        <v>9</v>
      </c>
      <c r="C13" s="41">
        <v>0</v>
      </c>
      <c r="D13" s="18" t="s">
        <v>34</v>
      </c>
      <c r="E13" s="18" t="s">
        <v>34</v>
      </c>
      <c r="F13" s="18" t="s">
        <v>34</v>
      </c>
      <c r="G13" s="18" t="s">
        <v>34</v>
      </c>
      <c r="H13" s="18" t="s">
        <v>34</v>
      </c>
      <c r="I13" s="18" t="s">
        <v>34</v>
      </c>
      <c r="J13" s="18" t="s">
        <v>34</v>
      </c>
      <c r="K13" s="18" t="s">
        <v>34</v>
      </c>
      <c r="L13" s="18" t="s">
        <v>34</v>
      </c>
      <c r="M13" s="18" t="s">
        <v>34</v>
      </c>
      <c r="N13" s="19" t="s">
        <v>34</v>
      </c>
      <c r="O13" s="18" t="s">
        <v>34</v>
      </c>
      <c r="P13" s="18" t="s">
        <v>34</v>
      </c>
      <c r="Q13" s="18" t="s">
        <v>34</v>
      </c>
      <c r="R13" s="19" t="s">
        <v>34</v>
      </c>
      <c r="S13" s="20" t="s">
        <v>34</v>
      </c>
      <c r="T13" s="20" t="s">
        <v>34</v>
      </c>
      <c r="U13" s="20" t="s">
        <v>34</v>
      </c>
      <c r="V13" s="21" t="s">
        <v>34</v>
      </c>
      <c r="W13" s="52"/>
      <c r="X13" s="52"/>
      <c r="Y13" s="52"/>
      <c r="Z13" s="52"/>
      <c r="AA13" s="52"/>
      <c r="AB13" s="52"/>
      <c r="AC13" s="52"/>
      <c r="AD13" s="52"/>
      <c r="AE13" s="80">
        <v>7.01</v>
      </c>
      <c r="AF13" s="52"/>
      <c r="AG13" s="52"/>
      <c r="AH13" s="45">
        <v>0</v>
      </c>
      <c r="AI13"/>
      <c r="AJ13" s="64" t="str">
        <f>IF(D13="nd","nd",D13*$C13/constants!$B$3)</f>
        <v>nd</v>
      </c>
      <c r="AK13" s="64" t="str">
        <f>IF(E13="nd","nd",E13*$C13/constants!$B$6)</f>
        <v>nd</v>
      </c>
      <c r="AL13" s="64" t="str">
        <f>IF(F13="nd","nd",F13*$C13/constants!$B$7)</f>
        <v>nd</v>
      </c>
      <c r="AM13" s="64" t="str">
        <f>IF(G13="nd","nd",G13*$C13/constants!$B$8)</f>
        <v>nd</v>
      </c>
      <c r="AN13" s="64" t="str">
        <f>IF(H13="nd","nd",H13*$C13/constants!$B$9)</f>
        <v>nd</v>
      </c>
      <c r="AO13" s="64" t="str">
        <f>IF(I13="nd","nd",I13*$C13/constants!$B$10)</f>
        <v>nd</v>
      </c>
      <c r="AP13" s="64" t="e">
        <f>(IF(IFERROR(J13-#REF!,J13)&gt;constants!$D$5,(IFERROR(J13-#REF!,J13)*$C13/constants!$B$5),0))</f>
        <v>#VALUE!</v>
      </c>
      <c r="AQ13" s="64" t="e">
        <f>(IF(IFERROR(K13-#REF!,K13)&gt;constants!$D$11,(IFERROR(K13-#REF!,K13)*$C13/constants!$B$11),0))</f>
        <v>#VALUE!</v>
      </c>
      <c r="AR13" s="64" t="e">
        <f>(IF(IFERROR(L13-#REF!,L13)&gt;constants!$D$19,(IFERROR(L13-#REF!,L13)*$C13/constants!$B$19),0))</f>
        <v>#VALUE!</v>
      </c>
      <c r="AS13" s="64" t="e">
        <f>(IF(IFERROR(M13-#REF!,M13)&gt;constants!$D$4,(IFERROR(M13-#REF!,M13)*$C13/constants!$B$4),0))</f>
        <v>#VALUE!</v>
      </c>
      <c r="AT13" s="64" t="e">
        <f>(IF(IFERROR(N13-#REF!,N13)&gt;constants!$D$5,(IFERROR(N13-#REF!,N13)*$C13/constants!$B$5),0))</f>
        <v>#VALUE!</v>
      </c>
      <c r="AU13" s="64" t="e">
        <f>(IF(IFERROR(O13-#REF!,O13)&gt;constants!$D$12,(IFERROR(O13-#REF!,O13)*$C13/constants!$B$12),0))</f>
        <v>#VALUE!</v>
      </c>
      <c r="AV13" s="64" t="e">
        <f>(IF(IFERROR(P13-#REF!,P13)&gt;constants!$D$5,(IFERROR(P13-#REF!,P13)*$C13/constants!$B$5),0))</f>
        <v>#VALUE!</v>
      </c>
      <c r="AW13" s="64" t="e">
        <f>(IF(IFERROR(Q13-#REF!,Q13)&gt;constants!$D$13,(IFERROR(Q13-#REF!,Q13)*$C13/constants!$B$13),0))</f>
        <v>#VALUE!</v>
      </c>
      <c r="AX13" s="64" t="e">
        <f>(IF(IFERROR(R13-#REF!,R13)&gt;constants!$D$14,(IFERROR(R13-#REF!,R13)*$C13/constants!$B$14),0))</f>
        <v>#VALUE!</v>
      </c>
      <c r="AY13" s="64" t="e">
        <f>(IF(IFERROR(S13-#REF!,S13)&gt;constants!$D$15,(IFERROR(S13-#REF!,S13)*$C13/constants!$B$15),0))</f>
        <v>#VALUE!</v>
      </c>
      <c r="AZ13" s="64">
        <f>IF(AH13="nd","nd",AH13*Table31520253035[[#This Row],[dilution ]]/constants!$B$3)</f>
        <v>0</v>
      </c>
      <c r="BA13" s="64"/>
      <c r="BB13" s="64"/>
      <c r="BC13" s="64" t="e">
        <f>(Table51621263136[[#This Row],[Concentration]]*constants!$C$3)/1000</f>
        <v>#VALUE!</v>
      </c>
      <c r="BD13" s="64" t="e">
        <f>(Table51621263136[[#This Row],[Concentration2]]*constants!$C$6)/1000</f>
        <v>#VALUE!</v>
      </c>
      <c r="BE13" s="64" t="e">
        <f>(Table51621263136[[#This Row],[Concentration3]]*constants!$C$7)/1000</f>
        <v>#VALUE!</v>
      </c>
      <c r="BF13" s="64" t="e">
        <f>(Table51621263136[[#This Row],[Concentration4]]*constants!$C$8)/1000</f>
        <v>#VALUE!</v>
      </c>
      <c r="BG13" s="64" t="e">
        <f>(Table51621263136[[#This Row],[Concentration5]]*constants!$C$9)/1000</f>
        <v>#VALUE!</v>
      </c>
      <c r="BH13" s="64" t="e">
        <f>(Table51621263136[[#This Row],[Concentration6]]*constants!$C$10)/1000</f>
        <v>#VALUE!</v>
      </c>
      <c r="BI13" s="64" t="e">
        <f>(Table51621263136[[#This Row],[Concentration7]]*constants!$C$5)</f>
        <v>#VALUE!</v>
      </c>
      <c r="BJ13" s="64" t="e">
        <f>(Table51621263136[[#This Row],[Concentration8]]*3)</f>
        <v>#VALUE!</v>
      </c>
      <c r="BK13" s="64" t="e">
        <f>(Table51621263136[[#This Row],[Concentration9]]*4)</f>
        <v>#VALUE!</v>
      </c>
      <c r="BL13" s="64" t="e">
        <f>(Table51621263136[[#This Row],[Concentration10]]*4)</f>
        <v>#VALUE!</v>
      </c>
      <c r="BM13" s="64" t="e">
        <f>(Table51621263136[[#This Row],[Concentration11]]*5)</f>
        <v>#VALUE!</v>
      </c>
      <c r="BN13" s="64" t="e">
        <f>(Table51621263136[[#This Row],[Concentration12]]*5)</f>
        <v>#VALUE!</v>
      </c>
      <c r="BO13" s="64" t="e">
        <f>(Table51621263136[[#This Row],[Concentration13]]*6)</f>
        <v>#VALUE!</v>
      </c>
      <c r="BP13" s="64" t="e">
        <f>(Table51621263136[[#This Row],[Concentration14]]*6)</f>
        <v>#VALUE!</v>
      </c>
      <c r="BQ13" s="64" t="e">
        <f>(Table51621263136[[#This Row],[Concentration15]]*7)</f>
        <v>#VALUE!</v>
      </c>
      <c r="BR13" s="64" t="e">
        <f>(Table51621263136[[#This Row],[Concentration16]]*8)</f>
        <v>#VALUE!</v>
      </c>
      <c r="BS13" s="64">
        <f>(Table51621263136[[#This Row],[Concentration17]]*3)/1000</f>
        <v>0</v>
      </c>
      <c r="BT13" s="47">
        <f>Table51621263136[[#This Row],[Concentration18]]/1000</f>
        <v>0</v>
      </c>
      <c r="BU13" s="47">
        <f>Table51621263136[[#This Row],[Concentration19]]/1000</f>
        <v>0</v>
      </c>
    </row>
    <row r="14" spans="1:73" s="66" customFormat="1" ht="16" thickBot="1" x14ac:dyDescent="0.4">
      <c r="A14" s="63">
        <f>Table2[[#This Row],[Date]]</f>
        <v>43163</v>
      </c>
      <c r="B14" s="74">
        <f>Table2[[#This Row],[Time]]</f>
        <v>15</v>
      </c>
      <c r="C14" s="77">
        <v>0</v>
      </c>
      <c r="D14" s="49" t="s">
        <v>34</v>
      </c>
      <c r="E14" s="49" t="s">
        <v>34</v>
      </c>
      <c r="F14" s="49" t="s">
        <v>34</v>
      </c>
      <c r="G14" s="49" t="s">
        <v>34</v>
      </c>
      <c r="H14" s="49" t="s">
        <v>34</v>
      </c>
      <c r="I14" s="49" t="s">
        <v>34</v>
      </c>
      <c r="J14" s="49" t="s">
        <v>34</v>
      </c>
      <c r="K14" s="49" t="s">
        <v>34</v>
      </c>
      <c r="L14" s="49" t="s">
        <v>34</v>
      </c>
      <c r="M14" s="49" t="s">
        <v>34</v>
      </c>
      <c r="N14" s="50" t="s">
        <v>34</v>
      </c>
      <c r="O14" s="49" t="s">
        <v>34</v>
      </c>
      <c r="P14" s="49" t="s">
        <v>34</v>
      </c>
      <c r="Q14" s="49" t="s">
        <v>34</v>
      </c>
      <c r="R14" s="50" t="s">
        <v>34</v>
      </c>
      <c r="S14" s="51" t="s">
        <v>34</v>
      </c>
      <c r="T14" s="51" t="s">
        <v>34</v>
      </c>
      <c r="U14" s="51" t="s">
        <v>34</v>
      </c>
      <c r="V14" s="78" t="s">
        <v>34</v>
      </c>
      <c r="W14" s="32"/>
      <c r="X14" s="32"/>
      <c r="Y14" s="32"/>
      <c r="Z14" s="32"/>
      <c r="AA14" s="32"/>
      <c r="AB14" s="32"/>
      <c r="AC14" s="32"/>
      <c r="AD14" s="32"/>
      <c r="AE14" s="80">
        <v>6.98</v>
      </c>
      <c r="AF14" s="32"/>
      <c r="AG14" s="32"/>
      <c r="AH14" s="45">
        <v>0</v>
      </c>
      <c r="AI14"/>
      <c r="AJ14" s="64" t="str">
        <f>IF(D14="nd","nd",D14*$C14/constants!$B$3)</f>
        <v>nd</v>
      </c>
      <c r="AK14" s="64" t="str">
        <f>IF(E14="nd","nd",E14*$C14/constants!$B$6)</f>
        <v>nd</v>
      </c>
      <c r="AL14" s="64" t="str">
        <f>IF(F14="nd","nd",F14*$C14/constants!$B$7)</f>
        <v>nd</v>
      </c>
      <c r="AM14" s="64" t="str">
        <f>IF(G14="nd","nd",G14*$C14/constants!$B$8)</f>
        <v>nd</v>
      </c>
      <c r="AN14" s="64" t="str">
        <f>IF(H14="nd","nd",H14*$C14/constants!$B$9)</f>
        <v>nd</v>
      </c>
      <c r="AO14" s="64" t="str">
        <f>IF(I14="nd","nd",I14*$C14/constants!$B$10)</f>
        <v>nd</v>
      </c>
      <c r="AP14" s="64" t="e">
        <f>(IF(IFERROR(J14-#REF!,J14)&gt;constants!$D$5,(IFERROR(J14-#REF!,J14)*$C14/constants!$B$5),0))</f>
        <v>#VALUE!</v>
      </c>
      <c r="AQ14" s="64" t="e">
        <f>(IF(IFERROR(K14-#REF!,K14)&gt;constants!$D$11,(IFERROR(K14-#REF!,K14)*$C14/constants!$B$11),0))</f>
        <v>#VALUE!</v>
      </c>
      <c r="AR14" s="64" t="e">
        <f>(IF(IFERROR(L14-#REF!,L14)&gt;constants!$D$19,(IFERROR(L14-#REF!,L14)*$C14/constants!$B$19),0))</f>
        <v>#VALUE!</v>
      </c>
      <c r="AS14" s="64" t="e">
        <f>(IF(IFERROR(M14-#REF!,M14)&gt;constants!$D$4,(IFERROR(M14-#REF!,M14)*$C14/constants!$B$4),0))</f>
        <v>#VALUE!</v>
      </c>
      <c r="AT14" s="64" t="e">
        <f>(IF(IFERROR(N14-#REF!,N14)&gt;constants!$D$5,(IFERROR(N14-#REF!,N14)*$C14/constants!$B$5),0))</f>
        <v>#VALUE!</v>
      </c>
      <c r="AU14" s="64" t="e">
        <f>(IF(IFERROR(O14-#REF!,O14)&gt;constants!$D$12,(IFERROR(O14-#REF!,O14)*$C14/constants!$B$12),0))</f>
        <v>#VALUE!</v>
      </c>
      <c r="AV14" s="64" t="e">
        <f>(IF(IFERROR(P14-#REF!,P14)&gt;constants!$D$5,(IFERROR(P14-#REF!,P14)*$C14/constants!$B$5),0))</f>
        <v>#VALUE!</v>
      </c>
      <c r="AW14" s="64" t="e">
        <f>(IF(IFERROR(Q14-#REF!,Q14)&gt;constants!$D$13,(IFERROR(Q14-#REF!,Q14)*$C14/constants!$B$13),0))</f>
        <v>#VALUE!</v>
      </c>
      <c r="AX14" s="64" t="e">
        <f>(IF(IFERROR(R14-#REF!,R14)&gt;constants!$D$14,(IFERROR(R14-#REF!,R14)*$C14/constants!$B$14),0))</f>
        <v>#VALUE!</v>
      </c>
      <c r="AY14" s="64" t="e">
        <f>(IF(IFERROR(S14-#REF!,S14)&gt;constants!$D$15,(IFERROR(S14-#REF!,S14)*$C14/constants!$B$15),0))</f>
        <v>#VALUE!</v>
      </c>
      <c r="AZ14" s="64">
        <f>IF(AH14="nd","nd",AH14*Table31520253035[[#This Row],[dilution ]]/constants!$B$3)</f>
        <v>0</v>
      </c>
      <c r="BA14" s="64"/>
      <c r="BB14" s="64"/>
      <c r="BC14" s="64" t="e">
        <f>(Table51621263136[[#This Row],[Concentration]]*constants!$C$3)/1000</f>
        <v>#VALUE!</v>
      </c>
      <c r="BD14" s="64" t="e">
        <f>(Table51621263136[[#This Row],[Concentration2]]*constants!$C$6)/1000</f>
        <v>#VALUE!</v>
      </c>
      <c r="BE14" s="64" t="e">
        <f>(Table51621263136[[#This Row],[Concentration3]]*constants!$C$7)/1000</f>
        <v>#VALUE!</v>
      </c>
      <c r="BF14" s="64" t="e">
        <f>(Table51621263136[[#This Row],[Concentration4]]*constants!$C$8)/1000</f>
        <v>#VALUE!</v>
      </c>
      <c r="BG14" s="64" t="e">
        <f>(Table51621263136[[#This Row],[Concentration5]]*constants!$C$9)/1000</f>
        <v>#VALUE!</v>
      </c>
      <c r="BH14" s="64" t="e">
        <f>(Table51621263136[[#This Row],[Concentration6]]*constants!$C$10)/1000</f>
        <v>#VALUE!</v>
      </c>
      <c r="BI14" s="64" t="e">
        <f>(Table51621263136[[#This Row],[Concentration7]]*constants!$C$5)</f>
        <v>#VALUE!</v>
      </c>
      <c r="BJ14" s="64" t="e">
        <f>(Table51621263136[[#This Row],[Concentration8]]*3)</f>
        <v>#VALUE!</v>
      </c>
      <c r="BK14" s="64" t="e">
        <f>(Table51621263136[[#This Row],[Concentration9]]*4)</f>
        <v>#VALUE!</v>
      </c>
      <c r="BL14" s="64" t="e">
        <f>(Table51621263136[[#This Row],[Concentration10]]*4)</f>
        <v>#VALUE!</v>
      </c>
      <c r="BM14" s="64" t="e">
        <f>(Table51621263136[[#This Row],[Concentration11]]*5)</f>
        <v>#VALUE!</v>
      </c>
      <c r="BN14" s="64" t="e">
        <f>(Table51621263136[[#This Row],[Concentration12]]*5)</f>
        <v>#VALUE!</v>
      </c>
      <c r="BO14" s="64" t="e">
        <f>(Table51621263136[[#This Row],[Concentration13]]*6)</f>
        <v>#VALUE!</v>
      </c>
      <c r="BP14" s="64" t="e">
        <f>(Table51621263136[[#This Row],[Concentration14]]*6)</f>
        <v>#VALUE!</v>
      </c>
      <c r="BQ14" s="64" t="e">
        <f>(Table51621263136[[#This Row],[Concentration15]]*7)</f>
        <v>#VALUE!</v>
      </c>
      <c r="BR14" s="64" t="e">
        <f>(Table51621263136[[#This Row],[Concentration16]]*8)</f>
        <v>#VALUE!</v>
      </c>
      <c r="BS14" s="64">
        <f>(Table51621263136[[#This Row],[Concentration17]]*3)/1000</f>
        <v>0</v>
      </c>
      <c r="BT14" s="47">
        <f>Table51621263136[[#This Row],[Concentration18]]/1000</f>
        <v>0</v>
      </c>
      <c r="BU14" s="47">
        <f>Table51621263136[[#This Row],[Concentration19]]/1000</f>
        <v>0</v>
      </c>
    </row>
    <row r="15" spans="1:73" s="47" customFormat="1" ht="16" thickBot="1" x14ac:dyDescent="0.4">
      <c r="A15" s="63">
        <f>Table2[[#This Row],[Date]]</f>
        <v>43347</v>
      </c>
      <c r="B15" s="74">
        <f>Table2[[#This Row],[Time]]</f>
        <v>21</v>
      </c>
      <c r="C15" s="41">
        <v>0</v>
      </c>
      <c r="D15" s="18" t="s">
        <v>34</v>
      </c>
      <c r="E15" s="18" t="s">
        <v>34</v>
      </c>
      <c r="F15" s="18" t="s">
        <v>34</v>
      </c>
      <c r="G15" s="18" t="s">
        <v>34</v>
      </c>
      <c r="H15" s="18" t="s">
        <v>34</v>
      </c>
      <c r="I15" s="18" t="s">
        <v>34</v>
      </c>
      <c r="J15" s="18" t="s">
        <v>34</v>
      </c>
      <c r="K15" s="18" t="s">
        <v>34</v>
      </c>
      <c r="L15" s="18" t="s">
        <v>34</v>
      </c>
      <c r="M15" s="18" t="s">
        <v>34</v>
      </c>
      <c r="N15" s="19" t="s">
        <v>34</v>
      </c>
      <c r="O15" s="18" t="s">
        <v>34</v>
      </c>
      <c r="P15" s="18" t="s">
        <v>34</v>
      </c>
      <c r="Q15" s="18" t="s">
        <v>34</v>
      </c>
      <c r="R15" s="19" t="s">
        <v>34</v>
      </c>
      <c r="S15" s="20" t="s">
        <v>34</v>
      </c>
      <c r="T15" s="20" t="s">
        <v>34</v>
      </c>
      <c r="U15" s="20" t="s">
        <v>34</v>
      </c>
      <c r="V15" s="21" t="s">
        <v>34</v>
      </c>
      <c r="W15" s="52"/>
      <c r="X15" s="52"/>
      <c r="Y15" s="52"/>
      <c r="Z15" s="52"/>
      <c r="AA15" s="52"/>
      <c r="AB15" s="52"/>
      <c r="AC15" s="52"/>
      <c r="AD15" s="52"/>
      <c r="AE15" s="23">
        <v>7.02</v>
      </c>
      <c r="AF15" s="52"/>
      <c r="AG15" s="52"/>
      <c r="AH15" s="45">
        <v>0</v>
      </c>
      <c r="AI15"/>
      <c r="AJ15" s="64" t="str">
        <f>IF(D15="nd","nd",D15*$C15/constants!$B$3)</f>
        <v>nd</v>
      </c>
      <c r="AK15" s="64" t="str">
        <f>IF(E15="nd","nd",E15*$C15/constants!$B$6)</f>
        <v>nd</v>
      </c>
      <c r="AL15" s="64" t="str">
        <f>IF(F15="nd","nd",F15*$C15/constants!$B$7)</f>
        <v>nd</v>
      </c>
      <c r="AM15" s="64" t="str">
        <f>IF(G15="nd","nd",G15*$C15/constants!$B$8)</f>
        <v>nd</v>
      </c>
      <c r="AN15" s="64" t="str">
        <f>IF(H15="nd","nd",H15*$C15/constants!$B$9)</f>
        <v>nd</v>
      </c>
      <c r="AO15" s="64" t="str">
        <f>IF(I15="nd","nd",I15*$C15/constants!$B$10)</f>
        <v>nd</v>
      </c>
      <c r="AP15" s="64" t="e">
        <f>(IF(IFERROR(J15-#REF!,J15)&gt;constants!$D$5,(IFERROR(J15-#REF!,J15)*$C15/constants!$B$5),0))</f>
        <v>#VALUE!</v>
      </c>
      <c r="AQ15" s="64" t="e">
        <f>(IF(IFERROR(K15-#REF!,K15)&gt;constants!$D$11,(IFERROR(K15-#REF!,K15)*$C15/constants!$B$11),0))</f>
        <v>#VALUE!</v>
      </c>
      <c r="AR15" s="64" t="e">
        <f>(IF(IFERROR(L15-#REF!,L15)&gt;constants!$D$19,(IFERROR(L15-#REF!,L15)*$C15/constants!$B$19),0))</f>
        <v>#VALUE!</v>
      </c>
      <c r="AS15" s="64" t="e">
        <f>(IF(IFERROR(M15-#REF!,M15)&gt;constants!$D$4,(IFERROR(M15-#REF!,M15)*$C15/constants!$B$4),0))</f>
        <v>#VALUE!</v>
      </c>
      <c r="AT15" s="64" t="e">
        <f>(IF(IFERROR(N15-#REF!,N15)&gt;constants!$D$5,(IFERROR(N15-#REF!,N15)*$C15/constants!$B$5),0))</f>
        <v>#VALUE!</v>
      </c>
      <c r="AU15" s="64" t="e">
        <f>(IF(IFERROR(O15-#REF!,O15)&gt;constants!$D$12,(IFERROR(O15-#REF!,O15)*$C15/constants!$B$12),0))</f>
        <v>#VALUE!</v>
      </c>
      <c r="AV15" s="64" t="e">
        <f>(IF(IFERROR(P15-#REF!,P15)&gt;constants!$D$5,(IFERROR(P15-#REF!,P15)*$C15/constants!$B$5),0))</f>
        <v>#VALUE!</v>
      </c>
      <c r="AW15" s="64" t="e">
        <f>(IF(IFERROR(Q15-#REF!,Q15)&gt;constants!$D$13,(IFERROR(Q15-#REF!,Q15)*$C15/constants!$B$13),0))</f>
        <v>#VALUE!</v>
      </c>
      <c r="AX15" s="64" t="e">
        <f>(IF(IFERROR(R15-#REF!,R15)&gt;constants!$D$14,(IFERROR(R15-#REF!,R15)*$C15/constants!$B$14),0))</f>
        <v>#VALUE!</v>
      </c>
      <c r="AY15" s="64" t="e">
        <f>(IF(IFERROR(S15-#REF!,S15)&gt;constants!$D$15,(IFERROR(S15-#REF!,S15)*$C15/constants!$B$15),0))</f>
        <v>#VALUE!</v>
      </c>
      <c r="AZ15" s="64">
        <f>IF(AH15="nd","nd",AH15*Table31520253035[[#This Row],[dilution ]]/constants!$B$3)</f>
        <v>0</v>
      </c>
      <c r="BA15" s="64"/>
      <c r="BB15" s="64"/>
      <c r="BC15" s="64" t="e">
        <f>(Table51621263136[[#This Row],[Concentration]]*constants!$C$3)/1000</f>
        <v>#VALUE!</v>
      </c>
      <c r="BD15" s="64" t="e">
        <f>(Table51621263136[[#This Row],[Concentration2]]*constants!$C$6)/1000</f>
        <v>#VALUE!</v>
      </c>
      <c r="BE15" s="64" t="e">
        <f>(Table51621263136[[#This Row],[Concentration3]]*constants!$C$7)/1000</f>
        <v>#VALUE!</v>
      </c>
      <c r="BF15" s="64" t="e">
        <f>(Table51621263136[[#This Row],[Concentration4]]*constants!$C$8)/1000</f>
        <v>#VALUE!</v>
      </c>
      <c r="BG15" s="64" t="e">
        <f>(Table51621263136[[#This Row],[Concentration5]]*constants!$C$9)/1000</f>
        <v>#VALUE!</v>
      </c>
      <c r="BH15" s="64" t="e">
        <f>(Table51621263136[[#This Row],[Concentration6]]*constants!$C$10)/1000</f>
        <v>#VALUE!</v>
      </c>
      <c r="BI15" s="64" t="e">
        <f>(Table51621263136[[#This Row],[Concentration7]]*constants!$C$5)</f>
        <v>#VALUE!</v>
      </c>
      <c r="BJ15" s="64" t="e">
        <f>(Table51621263136[[#This Row],[Concentration8]]*3)</f>
        <v>#VALUE!</v>
      </c>
      <c r="BK15" s="64" t="e">
        <f>(Table51621263136[[#This Row],[Concentration9]]*4)</f>
        <v>#VALUE!</v>
      </c>
      <c r="BL15" s="64" t="e">
        <f>(Table51621263136[[#This Row],[Concentration10]]*4)</f>
        <v>#VALUE!</v>
      </c>
      <c r="BM15" s="64" t="e">
        <f>(Table51621263136[[#This Row],[Concentration11]]*5)</f>
        <v>#VALUE!</v>
      </c>
      <c r="BN15" s="64" t="e">
        <f>(Table51621263136[[#This Row],[Concentration12]]*5)</f>
        <v>#VALUE!</v>
      </c>
      <c r="BO15" s="64" t="e">
        <f>(Table51621263136[[#This Row],[Concentration13]]*6)</f>
        <v>#VALUE!</v>
      </c>
      <c r="BP15" s="64" t="e">
        <f>(Table51621263136[[#This Row],[Concentration14]]*6)</f>
        <v>#VALUE!</v>
      </c>
      <c r="BQ15" s="64" t="e">
        <f>(Table51621263136[[#This Row],[Concentration15]]*7)</f>
        <v>#VALUE!</v>
      </c>
      <c r="BR15" s="64" t="e">
        <f>(Table51621263136[[#This Row],[Concentration16]]*8)</f>
        <v>#VALUE!</v>
      </c>
      <c r="BS15" s="64">
        <f>(Table51621263136[[#This Row],[Concentration17]]*3)/1000</f>
        <v>0</v>
      </c>
      <c r="BT15" s="47">
        <f>Table51621263136[[#This Row],[Concentration18]]/1000</f>
        <v>0</v>
      </c>
      <c r="BU15" s="47">
        <f>Table51621263136[[#This Row],[Concentration19]]/1000</f>
        <v>0</v>
      </c>
    </row>
    <row r="16" spans="1:73" s="66" customFormat="1" ht="16" thickBot="1" x14ac:dyDescent="0.4">
      <c r="A16" s="63">
        <f>Table2[[#This Row],[Date]]</f>
        <v>43347</v>
      </c>
      <c r="B16" s="169">
        <f>Table2[[#This Row],[Time]]</f>
        <v>21</v>
      </c>
      <c r="C16" s="77">
        <v>10</v>
      </c>
      <c r="D16" s="106" t="s">
        <v>27</v>
      </c>
      <c r="E16" s="106" t="s">
        <v>27</v>
      </c>
      <c r="F16" s="106" t="s">
        <v>27</v>
      </c>
      <c r="G16" s="106" t="s">
        <v>27</v>
      </c>
      <c r="H16" s="106" t="s">
        <v>27</v>
      </c>
      <c r="I16" s="106" t="s">
        <v>27</v>
      </c>
      <c r="J16" s="106">
        <v>3.5040344570533484</v>
      </c>
      <c r="K16" s="106">
        <v>29.763970746980537</v>
      </c>
      <c r="L16" s="106" t="s">
        <v>27</v>
      </c>
      <c r="M16" s="106">
        <v>0.86241598450472223</v>
      </c>
      <c r="N16" s="107" t="s">
        <v>27</v>
      </c>
      <c r="O16" s="106" t="s">
        <v>27</v>
      </c>
      <c r="P16" s="106" t="s">
        <v>27</v>
      </c>
      <c r="Q16" s="106">
        <v>1.3929343312310378</v>
      </c>
      <c r="R16" s="107" t="s">
        <v>27</v>
      </c>
      <c r="S16" s="108">
        <v>1.2072245443307303</v>
      </c>
      <c r="T16" s="51" t="s">
        <v>34</v>
      </c>
      <c r="U16" s="51" t="s">
        <v>34</v>
      </c>
      <c r="V16" s="78" t="s">
        <v>34</v>
      </c>
      <c r="W16" s="32"/>
      <c r="X16" s="32"/>
      <c r="Y16" s="32"/>
      <c r="Z16" s="32"/>
      <c r="AA16" s="32"/>
      <c r="AB16" s="32"/>
      <c r="AC16" s="32"/>
      <c r="AD16" s="32"/>
      <c r="AE16" s="80">
        <v>7.09</v>
      </c>
      <c r="AF16" s="32"/>
      <c r="AG16" s="32"/>
      <c r="AH16" s="45">
        <v>0</v>
      </c>
      <c r="AI16" s="45"/>
      <c r="AJ16" s="64" t="e">
        <f>IF(D16="nd","nd",D16*$C16/constants!$B$3)</f>
        <v>#VALUE!</v>
      </c>
      <c r="AK16" s="64" t="e">
        <f>IF(E16="nd","nd",E16*$C16/constants!$B$6)</f>
        <v>#VALUE!</v>
      </c>
      <c r="AL16" s="64" t="e">
        <f>IF(F16="nd","nd",F16*$C16/constants!$B$7)</f>
        <v>#VALUE!</v>
      </c>
      <c r="AM16" s="64" t="e">
        <f>IF(G16="nd","nd",G16*$C16/constants!$B$8)</f>
        <v>#VALUE!</v>
      </c>
      <c r="AN16" s="64" t="e">
        <f>IF(H16="nd","nd",H16*$C16/constants!$B$9)</f>
        <v>#VALUE!</v>
      </c>
      <c r="AO16" s="64" t="e">
        <f>IF(I16="nd","nd",I16*$C16/constants!$B$10)</f>
        <v>#VALUE!</v>
      </c>
      <c r="AP16" s="162">
        <f>(IF(IFERROR(J16-#REF!,J16)&gt;constants!$D$5,(IFERROR(J16-#REF!,J16)*$C16/1000),0))</f>
        <v>0</v>
      </c>
      <c r="AQ16" s="162">
        <f>(IF(IFERROR(K16-#REF!,K16)&gt;constants!$D$11,(IFERROR(K16-#REF!,K16)*$C16/1000),0))</f>
        <v>0.29763970746980539</v>
      </c>
      <c r="AR16" s="162" t="e">
        <f>(IF(IFERROR(L16-#REF!,L16)&gt;constants!$D$19,(IFERROR(L16-#REF!,L16)*$C16/1000),0))</f>
        <v>#VALUE!</v>
      </c>
      <c r="AS16" s="162">
        <f>(IF(IFERROR(M16-#REF!,M16)&gt;constants!$D$4,(IFERROR(M16-#REF!,M16)*$C16/1000),0))</f>
        <v>0</v>
      </c>
      <c r="AT16" s="162" t="e">
        <f>(IF(IFERROR(N16-#REF!,N16)&gt;constants!$D$5,(IFERROR(N16-#REF!,N16)*$C16/1000),0))</f>
        <v>#VALUE!</v>
      </c>
      <c r="AU16" s="162" t="e">
        <f>(IF(IFERROR(O16-#REF!,O16)&gt;constants!$D$12,(IFERROR(O16-#REF!,O16)*$C16/1000),0))</f>
        <v>#VALUE!</v>
      </c>
      <c r="AV16" s="162" t="e">
        <f>(IF(IFERROR(P16-#REF!,P16)&gt;constants!$D$5,(IFERROR(P16-#REF!,P16)*$C16/1000),0))</f>
        <v>#VALUE!</v>
      </c>
      <c r="AW16" s="162">
        <f>(IF(IFERROR(Q16-#REF!,Q16)&gt;constants!$D$13,(IFERROR(Q16-#REF!,Q16)*$C16/1000),0))</f>
        <v>0</v>
      </c>
      <c r="AX16" s="64" t="e">
        <f>(IF(IFERROR(R16-#REF!,R16)&gt;constants!$D$14,(IFERROR(R16-#REF!,R16)*$C16/constants!$B$14),0))</f>
        <v>#VALUE!</v>
      </c>
      <c r="AY16" s="64">
        <f>(IF(IFERROR(S16-#REF!,S16)&gt;constants!$D$15,(IFERROR(S16-#REF!,S16)*$C16/constants!$B$15),0))</f>
        <v>8.371063449670145E-2</v>
      </c>
      <c r="AZ16" s="162">
        <f>IF(AH16="nd","nd",AH16*Table31520253035[[#This Row],[dilution ]]/1000)</f>
        <v>0</v>
      </c>
      <c r="BA16" s="64"/>
      <c r="BB16" s="64"/>
      <c r="BC16" s="64" t="e">
        <f>(Table51621263136[[#This Row],[Concentration]]*constants!$C$3)/1000</f>
        <v>#VALUE!</v>
      </c>
      <c r="BD16" s="64" t="e">
        <f>(Table51621263136[[#This Row],[Concentration2]]*constants!$C$6)/1000</f>
        <v>#VALUE!</v>
      </c>
      <c r="BE16" s="64" t="e">
        <f>(Table51621263136[[#This Row],[Concentration3]]*constants!$C$7)/1000</f>
        <v>#VALUE!</v>
      </c>
      <c r="BF16" s="64" t="e">
        <f>(Table51621263136[[#This Row],[Concentration4]]*constants!$C$8)/1000</f>
        <v>#VALUE!</v>
      </c>
      <c r="BG16" s="64" t="e">
        <f>(Table51621263136[[#This Row],[Concentration5]]*constants!$C$9)/1000</f>
        <v>#VALUE!</v>
      </c>
      <c r="BH16" s="64" t="e">
        <f>(Table51621263136[[#This Row],[Concentration6]]*constants!$C$10)/1000</f>
        <v>#VALUE!</v>
      </c>
      <c r="BI16" s="64">
        <f>(Table51621263136[[#This Row],[Concentration7]]*constants!$C$5)</f>
        <v>0</v>
      </c>
      <c r="BJ16" s="64">
        <f>(Table51621263136[[#This Row],[Concentration8]]*3)</f>
        <v>0.89291912240941618</v>
      </c>
      <c r="BK16" s="64" t="e">
        <f>(Table51621263136[[#This Row],[Concentration9]]*4)</f>
        <v>#VALUE!</v>
      </c>
      <c r="BL16" s="64">
        <f>(Table51621263136[[#This Row],[Concentration10]]*4)</f>
        <v>0</v>
      </c>
      <c r="BM16" s="64" t="e">
        <f>(Table51621263136[[#This Row],[Concentration11]]*5)</f>
        <v>#VALUE!</v>
      </c>
      <c r="BN16" s="64" t="e">
        <f>(Table51621263136[[#This Row],[Concentration12]]*5)</f>
        <v>#VALUE!</v>
      </c>
      <c r="BO16" s="64" t="e">
        <f>(Table51621263136[[#This Row],[Concentration13]]*6)</f>
        <v>#VALUE!</v>
      </c>
      <c r="BP16" s="64">
        <f>(Table51621263136[[#This Row],[Concentration14]]*6)</f>
        <v>0</v>
      </c>
      <c r="BQ16" s="64" t="e">
        <f>(Table51621263136[[#This Row],[Concentration15]]*7)</f>
        <v>#VALUE!</v>
      </c>
      <c r="BR16" s="64">
        <f>(Table51621263136[[#This Row],[Concentration16]]*8)</f>
        <v>0.6696850759736116</v>
      </c>
      <c r="BS16" s="64">
        <f>(Table51621263136[[#This Row],[Concentration17]]*3)/1000</f>
        <v>0</v>
      </c>
      <c r="BT16" s="47">
        <f>Table51621263136[[#This Row],[Concentration18]]/1000</f>
        <v>0</v>
      </c>
      <c r="BU16" s="47">
        <f>Table51621263136[[#This Row],[Concentration19]]/1000</f>
        <v>0</v>
      </c>
    </row>
    <row r="17" spans="1:73" s="47" customFormat="1" ht="16" thickBot="1" x14ac:dyDescent="0.4">
      <c r="A17" s="63" t="str">
        <f>Table2[[#This Row],[Date]]</f>
        <v>13-04</v>
      </c>
      <c r="B17" s="169">
        <f>Table2[[#This Row],[Time]]</f>
        <v>26</v>
      </c>
      <c r="C17" s="41">
        <v>10</v>
      </c>
      <c r="D17" s="106" t="s">
        <v>27</v>
      </c>
      <c r="E17" s="106" t="s">
        <v>27</v>
      </c>
      <c r="F17" s="106" t="s">
        <v>27</v>
      </c>
      <c r="G17" s="106" t="s">
        <v>27</v>
      </c>
      <c r="H17" s="106" t="s">
        <v>27</v>
      </c>
      <c r="I17" s="106" t="s">
        <v>27</v>
      </c>
      <c r="J17" s="106">
        <v>11.082489833786754</v>
      </c>
      <c r="K17" s="106">
        <v>17.144652615726049</v>
      </c>
      <c r="L17" s="106" t="s">
        <v>27</v>
      </c>
      <c r="M17" s="106" t="s">
        <v>27</v>
      </c>
      <c r="N17" s="107" t="s">
        <v>27</v>
      </c>
      <c r="O17" s="106" t="s">
        <v>27</v>
      </c>
      <c r="P17" s="106" t="s">
        <v>27</v>
      </c>
      <c r="Q17" s="106">
        <v>1.2277972428579669</v>
      </c>
      <c r="R17" s="107" t="s">
        <v>27</v>
      </c>
      <c r="S17" s="108" t="s">
        <v>27</v>
      </c>
      <c r="T17" s="108" t="s">
        <v>27</v>
      </c>
      <c r="U17" s="108" t="s">
        <v>27</v>
      </c>
      <c r="V17" s="108" t="s">
        <v>27</v>
      </c>
      <c r="W17" s="17"/>
      <c r="X17" s="17"/>
      <c r="Y17" s="17"/>
      <c r="Z17" s="17"/>
      <c r="AA17" s="17"/>
      <c r="AB17" s="17"/>
      <c r="AC17" s="17"/>
      <c r="AD17" s="17"/>
      <c r="AE17" s="80">
        <v>7.04</v>
      </c>
      <c r="AF17" s="17"/>
      <c r="AG17" s="17"/>
      <c r="AH17" s="45">
        <v>0</v>
      </c>
      <c r="AI17" s="45"/>
      <c r="AJ17" s="64" t="e">
        <f>IF(D17="nd","nd",D17*$C17/constants!$B$3)</f>
        <v>#VALUE!</v>
      </c>
      <c r="AK17" s="64" t="e">
        <f>IF(E17="nd","nd",E17*$C17/constants!$B$6)</f>
        <v>#VALUE!</v>
      </c>
      <c r="AL17" s="64" t="e">
        <f>IF(F17="nd","nd",F17*$C17/constants!$B$7)</f>
        <v>#VALUE!</v>
      </c>
      <c r="AM17" s="64" t="e">
        <f>IF(G17="nd","nd",G17*$C17/constants!$B$8)</f>
        <v>#VALUE!</v>
      </c>
      <c r="AN17" s="64" t="e">
        <f>IF(H17="nd","nd",H17*$C17/constants!$B$9)</f>
        <v>#VALUE!</v>
      </c>
      <c r="AO17" s="64" t="e">
        <f>IF(I17="nd","nd",I17*$C17/constants!$B$10)</f>
        <v>#VALUE!</v>
      </c>
      <c r="AP17" s="162">
        <f>(IF(IFERROR(J17-#REF!,J17)&gt;constants!$D$5,(IFERROR(J17-#REF!,J17)*$C17/1000),0))</f>
        <v>0.11082489833786754</v>
      </c>
      <c r="AQ17" s="162">
        <f>(IF(IFERROR(K17-#REF!,K17)&gt;constants!$D$11,(IFERROR(K17-#REF!,K17)*$C17/1000),0))</f>
        <v>0.17144652615726047</v>
      </c>
      <c r="AR17" s="162" t="e">
        <f>(IF(IFERROR(L17-#REF!,L17)&gt;constants!$D$19,(IFERROR(L17-#REF!,L17)*$C17/1000),0))</f>
        <v>#VALUE!</v>
      </c>
      <c r="AS17" s="162" t="e">
        <f>(IF(IFERROR(M17-#REF!,M17)&gt;constants!$D$4,(IFERROR(M17-#REF!,M17)*$C17/1000),0))</f>
        <v>#VALUE!</v>
      </c>
      <c r="AT17" s="162" t="e">
        <f>(IF(IFERROR(N17-#REF!,N17)&gt;constants!$D$5,(IFERROR(N17-#REF!,N17)*$C17/1000),0))</f>
        <v>#VALUE!</v>
      </c>
      <c r="AU17" s="162" t="e">
        <f>(IF(IFERROR(O17-#REF!,O17)&gt;constants!$D$12,(IFERROR(O17-#REF!,O17)*$C17/1000),0))</f>
        <v>#VALUE!</v>
      </c>
      <c r="AV17" s="162" t="e">
        <f>(IF(IFERROR(P17-#REF!,P17)&gt;constants!$D$5,(IFERROR(P17-#REF!,P17)*$C17/1000),0))</f>
        <v>#VALUE!</v>
      </c>
      <c r="AW17" s="162">
        <f>(IF(IFERROR(Q17-#REF!,Q17)&gt;constants!$D$13,(IFERROR(Q17-#REF!,Q17)*$C17/1000),0))</f>
        <v>0</v>
      </c>
      <c r="AX17" s="64" t="e">
        <f>(IF(IFERROR(R17-#REF!,R17)&gt;constants!$D$14,(IFERROR(R17-#REF!,R17)*$C17/constants!$B$14),0))</f>
        <v>#VALUE!</v>
      </c>
      <c r="AY17" s="64" t="e">
        <f>(IF(IFERROR(S17-#REF!,S17)&gt;constants!$D$15,(IFERROR(S17-#REF!,S17)*$C17/constants!$B$15),0))</f>
        <v>#VALUE!</v>
      </c>
      <c r="AZ17" s="162">
        <f>IF(AH17="nd","nd",AH17*Table31520253035[[#This Row],[dilution ]]/1000)</f>
        <v>0</v>
      </c>
      <c r="BA17" s="64"/>
      <c r="BB17" s="64"/>
      <c r="BC17" s="64" t="e">
        <f>(Table51621263136[[#This Row],[Concentration]]*constants!$C$3)/1000</f>
        <v>#VALUE!</v>
      </c>
      <c r="BD17" s="64" t="e">
        <f>(Table51621263136[[#This Row],[Concentration2]]*constants!$C$6)/1000</f>
        <v>#VALUE!</v>
      </c>
      <c r="BE17" s="64" t="e">
        <f>(Table51621263136[[#This Row],[Concentration3]]*constants!$C$7)/1000</f>
        <v>#VALUE!</v>
      </c>
      <c r="BF17" s="64" t="e">
        <f>(Table51621263136[[#This Row],[Concentration4]]*constants!$C$8)/1000</f>
        <v>#VALUE!</v>
      </c>
      <c r="BG17" s="64" t="e">
        <f>(Table51621263136[[#This Row],[Concentration5]]*constants!$C$9)/1000</f>
        <v>#VALUE!</v>
      </c>
      <c r="BH17" s="64" t="e">
        <f>(Table51621263136[[#This Row],[Concentration6]]*constants!$C$10)/1000</f>
        <v>#VALUE!</v>
      </c>
      <c r="BI17" s="64">
        <f>(Table51621263136[[#This Row],[Concentration7]]*constants!$C$5)</f>
        <v>0.22164979667573509</v>
      </c>
      <c r="BJ17" s="64">
        <f>(Table51621263136[[#This Row],[Concentration8]]*3)</f>
        <v>0.51433957847178147</v>
      </c>
      <c r="BK17" s="64" t="e">
        <f>(Table51621263136[[#This Row],[Concentration9]]*4)</f>
        <v>#VALUE!</v>
      </c>
      <c r="BL17" s="64" t="e">
        <f>(Table51621263136[[#This Row],[Concentration10]]*4)</f>
        <v>#VALUE!</v>
      </c>
      <c r="BM17" s="64" t="e">
        <f>(Table51621263136[[#This Row],[Concentration11]]*5)</f>
        <v>#VALUE!</v>
      </c>
      <c r="BN17" s="64" t="e">
        <f>(Table51621263136[[#This Row],[Concentration12]]*5)</f>
        <v>#VALUE!</v>
      </c>
      <c r="BO17" s="64" t="e">
        <f>(Table51621263136[[#This Row],[Concentration13]]*6)</f>
        <v>#VALUE!</v>
      </c>
      <c r="BP17" s="64">
        <f>(Table51621263136[[#This Row],[Concentration14]]*6)</f>
        <v>0</v>
      </c>
      <c r="BQ17" s="64" t="e">
        <f>(Table51621263136[[#This Row],[Concentration15]]*7)</f>
        <v>#VALUE!</v>
      </c>
      <c r="BR17" s="64" t="e">
        <f>(Table51621263136[[#This Row],[Concentration16]]*8)</f>
        <v>#VALUE!</v>
      </c>
      <c r="BS17" s="64">
        <f>(Table51621263136[[#This Row],[Concentration17]]*3)/1000</f>
        <v>0</v>
      </c>
      <c r="BT17" s="47">
        <f>Table51621263136[[#This Row],[Concentration18]]/1000</f>
        <v>0</v>
      </c>
      <c r="BU17" s="47">
        <f>Table51621263136[[#This Row],[Concentration19]]/1000</f>
        <v>0</v>
      </c>
    </row>
    <row r="18" spans="1:73" s="66" customFormat="1" ht="16" thickBot="1" x14ac:dyDescent="0.4">
      <c r="A18" s="63" t="str">
        <f>Table2[[#This Row],[Date]]</f>
        <v>16-04</v>
      </c>
      <c r="B18" s="169">
        <f>Table2[[#This Row],[Time]]</f>
        <v>29</v>
      </c>
      <c r="C18" s="41">
        <v>10</v>
      </c>
      <c r="D18" s="141" t="s">
        <v>27</v>
      </c>
      <c r="E18" s="141" t="s">
        <v>27</v>
      </c>
      <c r="F18" s="141" t="s">
        <v>27</v>
      </c>
      <c r="G18" s="141" t="s">
        <v>27</v>
      </c>
      <c r="H18" s="141" t="s">
        <v>27</v>
      </c>
      <c r="I18" s="141" t="s">
        <v>27</v>
      </c>
      <c r="J18" s="141">
        <v>1.5509299045138888E-2</v>
      </c>
      <c r="K18" s="141">
        <v>0.18123752170138888</v>
      </c>
      <c r="L18" s="141" t="s">
        <v>27</v>
      </c>
      <c r="M18" s="141">
        <v>5.5390950520833324E-3</v>
      </c>
      <c r="N18" s="141" t="s">
        <v>27</v>
      </c>
      <c r="O18" s="141" t="s">
        <v>27</v>
      </c>
      <c r="P18" s="141" t="s">
        <v>27</v>
      </c>
      <c r="Q18" s="141">
        <v>1.7482996961805601E-2</v>
      </c>
      <c r="R18" s="141" t="s">
        <v>27</v>
      </c>
      <c r="S18" s="141" t="s">
        <v>27</v>
      </c>
      <c r="T18" s="142" t="s">
        <v>34</v>
      </c>
      <c r="U18" s="142" t="s">
        <v>34</v>
      </c>
      <c r="V18" s="143" t="s">
        <v>34</v>
      </c>
      <c r="AE18">
        <v>7.03</v>
      </c>
      <c r="AH18" s="45">
        <v>0</v>
      </c>
      <c r="AI18" s="45"/>
      <c r="AJ18" s="64" t="e">
        <f>IF(D18="nd","nd",D18*$C18/constants!$B$3)</f>
        <v>#VALUE!</v>
      </c>
      <c r="AK18" s="64" t="e">
        <f>IF(E18="nd","nd",E18*$C18/constants!$B$6)</f>
        <v>#VALUE!</v>
      </c>
      <c r="AL18" s="64" t="e">
        <f>IF(F18="nd","nd",F18*$C18/constants!$B$7)</f>
        <v>#VALUE!</v>
      </c>
      <c r="AM18" s="64" t="e">
        <f>IF(G18="nd","nd",G18*$C18/constants!$B$8)</f>
        <v>#VALUE!</v>
      </c>
      <c r="AN18" s="64" t="e">
        <f>IF(H18="nd","nd",H18*$C18/constants!$B$9)</f>
        <v>#VALUE!</v>
      </c>
      <c r="AO18" s="64" t="e">
        <f>IF(I18="nd","nd",I18*$C18/constants!$B$10)</f>
        <v>#VALUE!</v>
      </c>
      <c r="AP18" s="162">
        <f>(IF(IFERROR(J18-#REF!,J18)&gt;constants!$D$5,(IFERROR(J18-#REF!,J18)*$C18/1000),0))</f>
        <v>0</v>
      </c>
      <c r="AQ18" s="162">
        <f>(IF(IFERROR(K18-#REF!,K18)&gt;constants!$D$11,(IFERROR(K18-#REF!,K18)*$C18/1000),0))</f>
        <v>0</v>
      </c>
      <c r="AR18" s="162" t="e">
        <f>(IF(IFERROR(L18-#REF!,L18)&gt;constants!$D$19,(IFERROR(L18-#REF!,L18)*$C18/1000),0))</f>
        <v>#VALUE!</v>
      </c>
      <c r="AS18" s="162">
        <f>(IF(IFERROR(M18-#REF!,M18)&gt;constants!$D$4,(IFERROR(M18-#REF!,M18)*$C18/1000),0))</f>
        <v>0</v>
      </c>
      <c r="AT18" s="162" t="e">
        <f>(IF(IFERROR(N18-#REF!,N18)&gt;constants!$D$5,(IFERROR(N18-#REF!,N18)*$C18/1000),0))</f>
        <v>#VALUE!</v>
      </c>
      <c r="AU18" s="162" t="e">
        <f>(IF(IFERROR(O18-#REF!,O18)&gt;constants!$D$12,(IFERROR(O18-#REF!,O18)*$C18/1000),0))</f>
        <v>#VALUE!</v>
      </c>
      <c r="AV18" s="162" t="e">
        <f>(IF(IFERROR(P18-#REF!,P18)&gt;constants!$D$5,(IFERROR(P18-#REF!,P18)*$C18/1000),0))</f>
        <v>#VALUE!</v>
      </c>
      <c r="AW18" s="162">
        <f>(IF(IFERROR(Q18-#REF!,Q18)&gt;constants!$D$13,(IFERROR(Q18-#REF!,Q18)*$C18/1000),0))</f>
        <v>0</v>
      </c>
      <c r="AX18" s="64" t="e">
        <f>(IF(IFERROR(R18-#REF!,R18)&gt;constants!$D$14,(IFERROR(R18-#REF!,R18)*$C18/constants!$B$14),0))</f>
        <v>#VALUE!</v>
      </c>
      <c r="AY18" s="64" t="e">
        <f>(IF(IFERROR(S18-#REF!,S18)&gt;constants!$D$15,(IFERROR(S18-#REF!,S18)*$C18/constants!$B$15),0))</f>
        <v>#VALUE!</v>
      </c>
      <c r="AZ18" s="162">
        <f>IF(AH18="nd","nd",AH18*Table31520253035[[#This Row],[dilution ]]/1000)</f>
        <v>0</v>
      </c>
      <c r="BA18" s="64"/>
      <c r="BB18" s="64"/>
      <c r="BC18" s="64" t="e">
        <f>(Table51621263136[[#This Row],[Concentration]]*constants!$C$3)/1000</f>
        <v>#VALUE!</v>
      </c>
      <c r="BD18" s="64" t="e">
        <f>(Table51621263136[[#This Row],[Concentration2]]*constants!$C$6)/1000</f>
        <v>#VALUE!</v>
      </c>
      <c r="BE18" s="64" t="e">
        <f>(Table51621263136[[#This Row],[Concentration3]]*constants!$C$7)/1000</f>
        <v>#VALUE!</v>
      </c>
      <c r="BF18" s="64" t="e">
        <f>(Table51621263136[[#This Row],[Concentration4]]*constants!$C$8)/1000</f>
        <v>#VALUE!</v>
      </c>
      <c r="BG18" s="64" t="e">
        <f>(Table51621263136[[#This Row],[Concentration5]]*constants!$C$9)/1000</f>
        <v>#VALUE!</v>
      </c>
      <c r="BH18" s="64" t="e">
        <f>(Table51621263136[[#This Row],[Concentration6]]*constants!$C$10)/1000</f>
        <v>#VALUE!</v>
      </c>
      <c r="BI18" s="64">
        <f>(Table51621263136[[#This Row],[Concentration7]]*constants!$C$5)</f>
        <v>0</v>
      </c>
      <c r="BJ18" s="64">
        <f>(Table51621263136[[#This Row],[Concentration8]]*3)</f>
        <v>0</v>
      </c>
      <c r="BK18" s="64" t="e">
        <f>(Table51621263136[[#This Row],[Concentration9]]*4)</f>
        <v>#VALUE!</v>
      </c>
      <c r="BL18" s="64">
        <f>(Table51621263136[[#This Row],[Concentration10]]*4)</f>
        <v>0</v>
      </c>
      <c r="BM18" s="64" t="e">
        <f>(Table51621263136[[#This Row],[Concentration11]]*5)</f>
        <v>#VALUE!</v>
      </c>
      <c r="BN18" s="64" t="e">
        <f>(Table51621263136[[#This Row],[Concentration12]]*5)</f>
        <v>#VALUE!</v>
      </c>
      <c r="BO18" s="64" t="e">
        <f>(Table51621263136[[#This Row],[Concentration13]]*6)</f>
        <v>#VALUE!</v>
      </c>
      <c r="BP18" s="64">
        <f>(Table51621263136[[#This Row],[Concentration14]]*6)</f>
        <v>0</v>
      </c>
      <c r="BQ18" s="64" t="e">
        <f>(Table51621263136[[#This Row],[Concentration15]]*7)</f>
        <v>#VALUE!</v>
      </c>
      <c r="BR18" s="64" t="e">
        <f>(Table51621263136[[#This Row],[Concentration16]]*8)</f>
        <v>#VALUE!</v>
      </c>
      <c r="BS18" s="64">
        <f>(Table51621263136[[#This Row],[Concentration17]]*3)/1000</f>
        <v>0</v>
      </c>
      <c r="BT18" s="47">
        <f>Table51621263136[[#This Row],[Concentration18]]/1000</f>
        <v>0</v>
      </c>
      <c r="BU18" s="47">
        <f>Table51621263136[[#This Row],[Concentration19]]/1000</f>
        <v>0</v>
      </c>
    </row>
    <row r="19" spans="1:73" s="47" customFormat="1" ht="16" thickBot="1" x14ac:dyDescent="0.4">
      <c r="A19" s="63" t="str">
        <f>Table2[[#This Row],[Date]]</f>
        <v>19-04</v>
      </c>
      <c r="B19" s="169">
        <f>Table2[[#This Row],[Time]]</f>
        <v>32</v>
      </c>
      <c r="C19" s="41">
        <v>10</v>
      </c>
      <c r="D19" s="106">
        <v>0</v>
      </c>
      <c r="E19" s="106" t="s">
        <v>27</v>
      </c>
      <c r="F19" s="106" t="s">
        <v>27</v>
      </c>
      <c r="G19" s="106" t="s">
        <v>27</v>
      </c>
      <c r="H19" s="106" t="s">
        <v>27</v>
      </c>
      <c r="I19" s="106" t="s">
        <v>27</v>
      </c>
      <c r="J19" s="106">
        <v>3.4899466651345112</v>
      </c>
      <c r="K19" s="106">
        <v>17.998486845367246</v>
      </c>
      <c r="L19" s="106" t="s">
        <v>27</v>
      </c>
      <c r="M19" s="106">
        <v>0.81267023495376089</v>
      </c>
      <c r="N19" s="107" t="s">
        <v>27</v>
      </c>
      <c r="O19" s="106" t="s">
        <v>27</v>
      </c>
      <c r="P19" s="106" t="s">
        <v>27</v>
      </c>
      <c r="Q19" s="106">
        <v>0.74447096199943075</v>
      </c>
      <c r="R19" s="107" t="s">
        <v>27</v>
      </c>
      <c r="S19" s="108" t="s">
        <v>27</v>
      </c>
      <c r="T19" s="108" t="s">
        <v>27</v>
      </c>
      <c r="U19" s="108" t="s">
        <v>27</v>
      </c>
      <c r="V19" s="108" t="s">
        <v>27</v>
      </c>
      <c r="AE19">
        <v>7</v>
      </c>
      <c r="AH19" s="45">
        <v>0</v>
      </c>
      <c r="AI19" s="45"/>
      <c r="AJ19" s="64">
        <f>IF(D19="nd","nd",D19*$C19/constants!$B$3)</f>
        <v>0</v>
      </c>
      <c r="AK19" s="64" t="e">
        <f>IF(E19="nd","nd",E19*$C19/constants!$B$6)</f>
        <v>#VALUE!</v>
      </c>
      <c r="AL19" s="64" t="e">
        <f>IF(F19="nd","nd",F19*$C19/constants!$B$7)</f>
        <v>#VALUE!</v>
      </c>
      <c r="AM19" s="64" t="e">
        <f>IF(G19="nd","nd",G19*$C19/constants!$B$8)</f>
        <v>#VALUE!</v>
      </c>
      <c r="AN19" s="64" t="e">
        <f>IF(H19="nd","nd",H19*$C19/constants!$B$9)</f>
        <v>#VALUE!</v>
      </c>
      <c r="AO19" s="64" t="e">
        <f>IF(I19="nd","nd",I19*$C19/constants!$B$10)</f>
        <v>#VALUE!</v>
      </c>
      <c r="AP19" s="162">
        <f>(IF(IFERROR(J19-#REF!,J19)&gt;constants!$D$5,(IFERROR(J19-#REF!,J19)*$C19/1000),0))</f>
        <v>0</v>
      </c>
      <c r="AQ19" s="162">
        <f>(IF(IFERROR(K19-#REF!,K19)&gt;constants!$D$11,(IFERROR(K19-#REF!,K19)*$C19/1000),0))</f>
        <v>0.17998486845367245</v>
      </c>
      <c r="AR19" s="162" t="e">
        <f>(IF(IFERROR(L19-#REF!,L19)&gt;constants!$D$19,(IFERROR(L19-#REF!,L19)*$C19/1000),0))</f>
        <v>#VALUE!</v>
      </c>
      <c r="AS19" s="162">
        <f>(IF(IFERROR(M19-#REF!,M19)&gt;constants!$D$4,(IFERROR(M19-#REF!,M19)*$C19/1000),0))</f>
        <v>0</v>
      </c>
      <c r="AT19" s="162" t="e">
        <f>(IF(IFERROR(N19-#REF!,N19)&gt;constants!$D$5,(IFERROR(N19-#REF!,N19)*$C19/1000),0))</f>
        <v>#VALUE!</v>
      </c>
      <c r="AU19" s="162" t="e">
        <f>(IF(IFERROR(O19-#REF!,O19)&gt;constants!$D$12,(IFERROR(O19-#REF!,O19)*$C19/1000),0))</f>
        <v>#VALUE!</v>
      </c>
      <c r="AV19" s="162" t="e">
        <f>(IF(IFERROR(P19-#REF!,P19)&gt;constants!$D$5,(IFERROR(P19-#REF!,P19)*$C19/1000),0))</f>
        <v>#VALUE!</v>
      </c>
      <c r="AW19" s="162">
        <f>(IF(IFERROR(Q19-#REF!,Q19)&gt;constants!$D$13,(IFERROR(Q19-#REF!,Q19)*$C19/1000),0))</f>
        <v>0</v>
      </c>
      <c r="AX19" s="64" t="e">
        <f>(IF(IFERROR(R19-#REF!,R19)&gt;constants!$D$14,(IFERROR(R19-#REF!,R19)*$C19/constants!$B$14),0))</f>
        <v>#VALUE!</v>
      </c>
      <c r="AY19" s="64" t="e">
        <f>(IF(IFERROR(S19-#REF!,S19)&gt;constants!$D$15,(IFERROR(S19-#REF!,S19)*$C19/constants!$B$15),0))</f>
        <v>#VALUE!</v>
      </c>
      <c r="AZ19" s="162">
        <f>IF(AH19="nd","nd",AH19*Table31520253035[[#This Row],[dilution ]]/1000)</f>
        <v>0</v>
      </c>
      <c r="BA19" s="64"/>
      <c r="BB19" s="64"/>
      <c r="BC19" s="64">
        <f>(Table51621263136[[#This Row],[Concentration]]*constants!$C$3)/1000</f>
        <v>0</v>
      </c>
      <c r="BD19" s="64" t="e">
        <f>(Table51621263136[[#This Row],[Concentration2]]*constants!$C$6)/1000</f>
        <v>#VALUE!</v>
      </c>
      <c r="BE19" s="64" t="e">
        <f>(Table51621263136[[#This Row],[Concentration3]]*constants!$C$7)/1000</f>
        <v>#VALUE!</v>
      </c>
      <c r="BF19" s="64" t="e">
        <f>(Table51621263136[[#This Row],[Concentration4]]*constants!$C$8)/1000</f>
        <v>#VALUE!</v>
      </c>
      <c r="BG19" s="64" t="e">
        <f>(Table51621263136[[#This Row],[Concentration5]]*constants!$C$9)/1000</f>
        <v>#VALUE!</v>
      </c>
      <c r="BH19" s="64" t="e">
        <f>(Table51621263136[[#This Row],[Concentration6]]*constants!$C$10)/1000</f>
        <v>#VALUE!</v>
      </c>
      <c r="BI19" s="64">
        <f>(Table51621263136[[#This Row],[Concentration7]]*constants!$C$5)</f>
        <v>0</v>
      </c>
      <c r="BJ19" s="64">
        <f>(Table51621263136[[#This Row],[Concentration8]]*3)</f>
        <v>0.53995460536101736</v>
      </c>
      <c r="BK19" s="64" t="e">
        <f>(Table51621263136[[#This Row],[Concentration9]]*4)</f>
        <v>#VALUE!</v>
      </c>
      <c r="BL19" s="64">
        <f>(Table51621263136[[#This Row],[Concentration10]]*4)</f>
        <v>0</v>
      </c>
      <c r="BM19" s="64" t="e">
        <f>(Table51621263136[[#This Row],[Concentration11]]*5)</f>
        <v>#VALUE!</v>
      </c>
      <c r="BN19" s="64" t="e">
        <f>(Table51621263136[[#This Row],[Concentration12]]*5)</f>
        <v>#VALUE!</v>
      </c>
      <c r="BO19" s="64" t="e">
        <f>(Table51621263136[[#This Row],[Concentration13]]*6)</f>
        <v>#VALUE!</v>
      </c>
      <c r="BP19" s="64">
        <f>(Table51621263136[[#This Row],[Concentration14]]*6)</f>
        <v>0</v>
      </c>
      <c r="BQ19" s="64" t="e">
        <f>(Table51621263136[[#This Row],[Concentration15]]*7)</f>
        <v>#VALUE!</v>
      </c>
      <c r="BR19" s="64" t="e">
        <f>(Table51621263136[[#This Row],[Concentration16]]*8)</f>
        <v>#VALUE!</v>
      </c>
      <c r="BS19" s="64">
        <f>(Table51621263136[[#This Row],[Concentration17]]*3)/1000</f>
        <v>0</v>
      </c>
      <c r="BT19" s="47">
        <f>Table51621263136[[#This Row],[Concentration18]]/1000</f>
        <v>0</v>
      </c>
      <c r="BU19" s="47">
        <f>Table51621263136[[#This Row],[Concentration19]]/1000</f>
        <v>0</v>
      </c>
    </row>
    <row r="20" spans="1:73" s="66" customFormat="1" ht="16" thickBot="1" x14ac:dyDescent="0.4">
      <c r="A20" s="63" t="str">
        <f>Table2[[#This Row],[Date]]</f>
        <v>26-04</v>
      </c>
      <c r="B20" s="169">
        <f>Table2[[#This Row],[Time]]</f>
        <v>38</v>
      </c>
      <c r="C20" s="41">
        <v>10</v>
      </c>
      <c r="D20" s="106" t="s">
        <v>27</v>
      </c>
      <c r="E20" s="106" t="s">
        <v>27</v>
      </c>
      <c r="F20" s="106" t="s">
        <v>27</v>
      </c>
      <c r="G20" s="106" t="s">
        <v>27</v>
      </c>
      <c r="H20" s="106" t="s">
        <v>27</v>
      </c>
      <c r="I20" s="106" t="s">
        <v>27</v>
      </c>
      <c r="J20" s="106">
        <v>10.895463836367151</v>
      </c>
      <c r="K20" s="106">
        <v>8.0165452058572892</v>
      </c>
      <c r="L20" s="106">
        <v>0.76684891284375767</v>
      </c>
      <c r="M20" s="106">
        <v>4.407769950775517</v>
      </c>
      <c r="N20" s="107" t="s">
        <v>27</v>
      </c>
      <c r="O20" s="106" t="s">
        <v>27</v>
      </c>
      <c r="P20" s="106" t="s">
        <v>27</v>
      </c>
      <c r="Q20" s="106">
        <v>1.4991747061107756</v>
      </c>
      <c r="R20" s="107" t="s">
        <v>27</v>
      </c>
      <c r="S20" s="108" t="s">
        <v>27</v>
      </c>
      <c r="T20" s="108" t="s">
        <v>27</v>
      </c>
      <c r="U20" s="108" t="s">
        <v>27</v>
      </c>
      <c r="V20" s="108" t="s">
        <v>27</v>
      </c>
      <c r="W20" s="96">
        <v>0.97566666666666668</v>
      </c>
      <c r="X20" s="97">
        <v>1.657690023001563</v>
      </c>
      <c r="Y20" s="96">
        <v>1.3481666666666665</v>
      </c>
      <c r="Z20" s="98">
        <v>89.321021880370068</v>
      </c>
      <c r="AA20" s="99" t="s">
        <v>27</v>
      </c>
      <c r="AB20" s="97" t="s">
        <v>27</v>
      </c>
      <c r="AC20" s="96">
        <v>2.524</v>
      </c>
      <c r="AD20" s="100">
        <v>2.5051908964387399</v>
      </c>
      <c r="AE20" s="66" t="e">
        <v>#N/A</v>
      </c>
      <c r="AF20" s="66">
        <v>10</v>
      </c>
      <c r="AH20" s="45">
        <v>0</v>
      </c>
      <c r="AJ20" s="64" t="e">
        <f>IF(D20="nd","nd",D20*$C20/constants!$B$3)</f>
        <v>#VALUE!</v>
      </c>
      <c r="AK20" s="64" t="e">
        <f>IF(E20="nd","nd",E20*$C20/constants!$B$6)</f>
        <v>#VALUE!</v>
      </c>
      <c r="AL20" s="64" t="e">
        <f>IF(F20="nd","nd",F20*$C20/constants!$B$7)</f>
        <v>#VALUE!</v>
      </c>
      <c r="AM20" s="64" t="e">
        <f>IF(G20="nd","nd",G20*$C20/constants!$B$8)</f>
        <v>#VALUE!</v>
      </c>
      <c r="AN20" s="64" t="e">
        <f>IF(H20="nd","nd",H20*$C20/constants!$B$9)</f>
        <v>#VALUE!</v>
      </c>
      <c r="AO20" s="64" t="e">
        <f>IF(I20="nd","nd",I20*$C20/constants!$B$10)</f>
        <v>#VALUE!</v>
      </c>
      <c r="AP20" s="162">
        <f>(IF(IFERROR(J20-#REF!,J20)&gt;constants!$D$5,(IFERROR(J20-#REF!,J20)*$C20/1000),0))</f>
        <v>0.1089546383636715</v>
      </c>
      <c r="AQ20" s="162">
        <f>(IF(IFERROR(K20-#REF!,K20)&gt;constants!$D$11,(IFERROR(K20-#REF!,K20)*$C20/1000),0))</f>
        <v>8.0165452058572895E-2</v>
      </c>
      <c r="AR20" s="162">
        <f>(IF(IFERROR(L20-#REF!,L20)&gt;constants!$D$19,(IFERROR(L20-#REF!,L20)*$C20/1000),0))</f>
        <v>0</v>
      </c>
      <c r="AS20" s="162">
        <f>(IF(IFERROR(M20-#REF!,M20)&gt;constants!$D$4,(IFERROR(M20-#REF!,M20)*$C20/1000),0))</f>
        <v>4.4077699507755169E-2</v>
      </c>
      <c r="AT20" s="162" t="e">
        <f>(IF(IFERROR(N20-#REF!,N20)&gt;constants!$D$5,(IFERROR(N20-#REF!,N20)*$C20/1000),0))</f>
        <v>#VALUE!</v>
      </c>
      <c r="AU20" s="162" t="e">
        <f>(IF(IFERROR(O20-#REF!,O20)&gt;constants!$D$12,(IFERROR(O20-#REF!,O20)*$C20/1000),0))</f>
        <v>#VALUE!</v>
      </c>
      <c r="AV20" s="162" t="e">
        <f>(IF(IFERROR(P20-#REF!,P20)&gt;constants!$D$5,(IFERROR(P20-#REF!,P20)*$C20/1000),0))</f>
        <v>#VALUE!</v>
      </c>
      <c r="AW20" s="162">
        <f>(IF(IFERROR(Q20-#REF!,Q20)&gt;constants!$D$13,(IFERROR(Q20-#REF!,Q20)*$C20/1000),0))</f>
        <v>0</v>
      </c>
      <c r="AX20" s="64" t="e">
        <f>(IF(IFERROR(R20-#REF!,R20)&gt;constants!$D$14,(IFERROR(R20-#REF!,R20)*$C20/constants!$B$14),0))</f>
        <v>#VALUE!</v>
      </c>
      <c r="AY20" s="64" t="e">
        <f>(IF(IFERROR(S20-#REF!,S20)&gt;constants!$D$15,(IFERROR(S20-#REF!,S20)*$C20/constants!$B$15),0))</f>
        <v>#VALUE!</v>
      </c>
      <c r="AZ20" s="162">
        <f>IF(AH20="nd","nd",AH20*Table31520253035[[#This Row],[dilution ]]/1000)</f>
        <v>0</v>
      </c>
      <c r="BA20" s="64" t="e">
        <f>Table31520253035[[#This Row],[Amount 25]]*Table31520253035[[#This Row],[pressure]]*100/(constants!I5*constants!I6)</f>
        <v>#DIV/0!</v>
      </c>
      <c r="BB20" s="64"/>
      <c r="BC20" s="64" t="e">
        <f>(Table51621263136[[#This Row],[Concentration]]*constants!$C$3)/1000</f>
        <v>#VALUE!</v>
      </c>
      <c r="BD20" s="64" t="e">
        <f>(Table51621263136[[#This Row],[Concentration2]]*constants!$C$6)/1000</f>
        <v>#VALUE!</v>
      </c>
      <c r="BE20" s="64" t="e">
        <f>(Table51621263136[[#This Row],[Concentration3]]*constants!$C$7)/1000</f>
        <v>#VALUE!</v>
      </c>
      <c r="BF20" s="64" t="e">
        <f>(Table51621263136[[#This Row],[Concentration4]]*constants!$C$8)/1000</f>
        <v>#VALUE!</v>
      </c>
      <c r="BG20" s="64" t="e">
        <f>(Table51621263136[[#This Row],[Concentration5]]*constants!$C$9)/1000</f>
        <v>#VALUE!</v>
      </c>
      <c r="BH20" s="64" t="e">
        <f>(Table51621263136[[#This Row],[Concentration6]]*constants!$C$10)/1000</f>
        <v>#VALUE!</v>
      </c>
      <c r="BI20" s="64">
        <f>(Table51621263136[[#This Row],[Concentration7]]*constants!$C$5)</f>
        <v>0.217909276727343</v>
      </c>
      <c r="BJ20" s="64">
        <f>(Table51621263136[[#This Row],[Concentration8]]*3)</f>
        <v>0.24049635617571868</v>
      </c>
      <c r="BK20" s="64">
        <f>(Table51621263136[[#This Row],[Concentration9]]*4)</f>
        <v>0</v>
      </c>
      <c r="BL20" s="64">
        <f>(Table51621263136[[#This Row],[Concentration10]]*4)</f>
        <v>0.17631079803102068</v>
      </c>
      <c r="BM20" s="64" t="e">
        <f>(Table51621263136[[#This Row],[Concentration11]]*5)</f>
        <v>#VALUE!</v>
      </c>
      <c r="BN20" s="64" t="e">
        <f>(Table51621263136[[#This Row],[Concentration12]]*5)</f>
        <v>#VALUE!</v>
      </c>
      <c r="BO20" s="64" t="e">
        <f>(Table51621263136[[#This Row],[Concentration13]]*6)</f>
        <v>#VALUE!</v>
      </c>
      <c r="BP20" s="64">
        <f>(Table51621263136[[#This Row],[Concentration14]]*6)</f>
        <v>0</v>
      </c>
      <c r="BQ20" s="64" t="e">
        <f>(Table51621263136[[#This Row],[Concentration15]]*7)</f>
        <v>#VALUE!</v>
      </c>
      <c r="BR20" s="64" t="e">
        <f>(Table51621263136[[#This Row],[Concentration16]]*8)</f>
        <v>#VALUE!</v>
      </c>
      <c r="BS20" s="64">
        <f>(Table51621263136[[#This Row],[Concentration17]]*3)/1000</f>
        <v>0</v>
      </c>
      <c r="BT20" s="47" t="e">
        <f>Table51621263136[[#This Row],[Concentration18]]</f>
        <v>#DIV/0!</v>
      </c>
      <c r="BU20" s="47">
        <f>Table51621263136[[#This Row],[Concentration19]]/1000</f>
        <v>0</v>
      </c>
    </row>
    <row r="21" spans="1:73" s="47" customFormat="1" ht="16" thickBot="1" x14ac:dyDescent="0.4">
      <c r="A21" s="63">
        <f>Table2[[#This Row],[Date]]</f>
        <v>43105</v>
      </c>
      <c r="B21" s="169">
        <f>Table2[[#This Row],[Time]]</f>
        <v>43</v>
      </c>
      <c r="C21" s="54">
        <v>20</v>
      </c>
      <c r="D21" s="106" t="s">
        <v>27</v>
      </c>
      <c r="E21" s="106" t="s">
        <v>27</v>
      </c>
      <c r="F21" s="106" t="s">
        <v>27</v>
      </c>
      <c r="G21" s="106" t="s">
        <v>27</v>
      </c>
      <c r="H21" s="106" t="s">
        <v>27</v>
      </c>
      <c r="I21" s="106" t="s">
        <v>27</v>
      </c>
      <c r="J21" s="106">
        <v>9.6833991834101489</v>
      </c>
      <c r="K21" s="106">
        <v>2.2421504487461994</v>
      </c>
      <c r="L21" s="106" t="s">
        <v>27</v>
      </c>
      <c r="M21" s="106" t="s">
        <v>27</v>
      </c>
      <c r="N21" s="107" t="s">
        <v>27</v>
      </c>
      <c r="O21" s="106" t="s">
        <v>27</v>
      </c>
      <c r="P21" s="106" t="s">
        <v>27</v>
      </c>
      <c r="Q21" s="106" t="s">
        <v>27</v>
      </c>
      <c r="R21" s="107" t="s">
        <v>27</v>
      </c>
      <c r="S21" s="108" t="s">
        <v>27</v>
      </c>
      <c r="T21" s="108" t="s">
        <v>27</v>
      </c>
      <c r="U21" s="108" t="s">
        <v>27</v>
      </c>
      <c r="V21" s="108" t="s">
        <v>27</v>
      </c>
      <c r="AE21" s="55">
        <v>7.13</v>
      </c>
      <c r="AF21" s="47">
        <v>10</v>
      </c>
      <c r="AH21" s="45">
        <v>0</v>
      </c>
      <c r="AJ21" s="64" t="e">
        <f>IF(D21="nd","nd",D21*$C21/constants!$B$3)</f>
        <v>#VALUE!</v>
      </c>
      <c r="AK21" s="64" t="e">
        <f>IF(E21="nd","nd",E21*$C21/constants!$B$6)</f>
        <v>#VALUE!</v>
      </c>
      <c r="AL21" s="64" t="e">
        <f>IF(F21="nd","nd",F21*$C21/constants!$B$7)</f>
        <v>#VALUE!</v>
      </c>
      <c r="AM21" s="64" t="e">
        <f>IF(G21="nd","nd",G21*$C21/constants!$B$8)</f>
        <v>#VALUE!</v>
      </c>
      <c r="AN21" s="64" t="e">
        <f>IF(H21="nd","nd",H21*$C21/constants!$B$9)</f>
        <v>#VALUE!</v>
      </c>
      <c r="AO21" s="64" t="e">
        <f>IF(I21="nd","nd",I21*$C21/constants!$B$10)</f>
        <v>#VALUE!</v>
      </c>
      <c r="AP21" s="162">
        <f>(IF(IFERROR(J21-#REF!,J21)&gt;constants!$D$5,(IFERROR(J21-#REF!,J21)*$C21/1000),0))</f>
        <v>0.19366798366820295</v>
      </c>
      <c r="AQ21" s="162">
        <f>(IF(IFERROR(K21-#REF!,K21)&gt;constants!$D$11,(IFERROR(K21-#REF!,K21)*$C21/1000),0))</f>
        <v>0</v>
      </c>
      <c r="AR21" s="162" t="e">
        <f>(IF(IFERROR(L21-#REF!,L21)&gt;constants!$D$19,(IFERROR(L21-#REF!,L21)*$C21/1000),0))</f>
        <v>#VALUE!</v>
      </c>
      <c r="AS21" s="162" t="e">
        <f>(IF(IFERROR(M21-#REF!,M21)&gt;constants!$D$4,(IFERROR(M21-#REF!,M21)*$C21/1000),0))</f>
        <v>#VALUE!</v>
      </c>
      <c r="AT21" s="162" t="e">
        <f>(IF(IFERROR(N21-#REF!,N21)&gt;constants!$D$5,(IFERROR(N21-#REF!,N21)*$C21/1000),0))</f>
        <v>#VALUE!</v>
      </c>
      <c r="AU21" s="162" t="e">
        <f>(IF(IFERROR(O21-#REF!,O21)&gt;constants!$D$12,(IFERROR(O21-#REF!,O21)*$C21/1000),0))</f>
        <v>#VALUE!</v>
      </c>
      <c r="AV21" s="162" t="e">
        <f>(IF(IFERROR(P21-#REF!,P21)&gt;constants!$D$5,(IFERROR(P21-#REF!,P21)*$C21/1000),0))</f>
        <v>#VALUE!</v>
      </c>
      <c r="AW21" s="162" t="e">
        <f>(IF(IFERROR(Q21-#REF!,Q21)&gt;constants!$D$13,(IFERROR(Q21-#REF!,Q21)*$C21/1000),0))</f>
        <v>#VALUE!</v>
      </c>
      <c r="AX21" s="64" t="e">
        <f>(IF(IFERROR(R21-#REF!,R21)&gt;constants!$D$14,(IFERROR(R21-#REF!,R21)*$C21/constants!$B$14),0))</f>
        <v>#VALUE!</v>
      </c>
      <c r="AY21" s="64" t="e">
        <f>(IF(IFERROR(S21-#REF!,S21)&gt;constants!$D$15,(IFERROR(S21-#REF!,S21)*$C21/constants!$B$15),0))</f>
        <v>#VALUE!</v>
      </c>
      <c r="AZ21" s="162">
        <f>IF(AH21="nd","nd",AH21*Table31520253035[[#This Row],[dilution ]]/1000)</f>
        <v>0</v>
      </c>
      <c r="BA21" s="64"/>
      <c r="BB21" s="64"/>
      <c r="BC21" s="64" t="e">
        <f>(Table51621263136[[#This Row],[Concentration]]*constants!$C$3)/1000</f>
        <v>#VALUE!</v>
      </c>
      <c r="BD21" s="64" t="e">
        <f>(Table51621263136[[#This Row],[Concentration2]]*constants!$C$6)/1000</f>
        <v>#VALUE!</v>
      </c>
      <c r="BE21" s="64" t="e">
        <f>(Table51621263136[[#This Row],[Concentration3]]*constants!$C$7)/1000</f>
        <v>#VALUE!</v>
      </c>
      <c r="BF21" s="64" t="e">
        <f>(Table51621263136[[#This Row],[Concentration4]]*constants!$C$8)/1000</f>
        <v>#VALUE!</v>
      </c>
      <c r="BG21" s="64" t="e">
        <f>(Table51621263136[[#This Row],[Concentration5]]*constants!$C$9)/1000</f>
        <v>#VALUE!</v>
      </c>
      <c r="BH21" s="64" t="e">
        <f>(Table51621263136[[#This Row],[Concentration6]]*constants!$C$10)/1000</f>
        <v>#VALUE!</v>
      </c>
      <c r="BI21" s="64">
        <f>(Table51621263136[[#This Row],[Concentration7]]*constants!$C$5)</f>
        <v>0.38733596733640591</v>
      </c>
      <c r="BJ21" s="64">
        <f>(Table51621263136[[#This Row],[Concentration8]]*3)</f>
        <v>0</v>
      </c>
      <c r="BK21" s="64" t="e">
        <f>(Table51621263136[[#This Row],[Concentration9]]*4)</f>
        <v>#VALUE!</v>
      </c>
      <c r="BL21" s="64" t="e">
        <f>(Table51621263136[[#This Row],[Concentration10]]*4)</f>
        <v>#VALUE!</v>
      </c>
      <c r="BM21" s="64" t="e">
        <f>(Table51621263136[[#This Row],[Concentration11]]*5)</f>
        <v>#VALUE!</v>
      </c>
      <c r="BN21" s="64" t="e">
        <f>(Table51621263136[[#This Row],[Concentration12]]*5)</f>
        <v>#VALUE!</v>
      </c>
      <c r="BO21" s="64" t="e">
        <f>(Table51621263136[[#This Row],[Concentration13]]*6)</f>
        <v>#VALUE!</v>
      </c>
      <c r="BP21" s="64" t="e">
        <f>(Table51621263136[[#This Row],[Concentration14]]*6)</f>
        <v>#VALUE!</v>
      </c>
      <c r="BQ21" s="64" t="e">
        <f>(Table51621263136[[#This Row],[Concentration15]]*7)</f>
        <v>#VALUE!</v>
      </c>
      <c r="BR21" s="64" t="e">
        <f>(Table51621263136[[#This Row],[Concentration16]]*8)</f>
        <v>#VALUE!</v>
      </c>
      <c r="BS21" s="64">
        <f>(Table51621263136[[#This Row],[Concentration17]]*3)/1000</f>
        <v>0</v>
      </c>
      <c r="BT21" s="47">
        <f>Table51621263136[[#This Row],[Concentration18]]/1000</f>
        <v>0</v>
      </c>
      <c r="BU21" s="47">
        <f>Table51621263136[[#This Row],[Concentration19]]/1000</f>
        <v>0</v>
      </c>
    </row>
    <row r="22" spans="1:73" s="66" customFormat="1" ht="16" thickBot="1" x14ac:dyDescent="0.4">
      <c r="A22" s="63">
        <f>Table2[[#This Row],[Date]]</f>
        <v>43195</v>
      </c>
      <c r="B22" s="169">
        <f>Table2[[#This Row],[Time]]</f>
        <v>46</v>
      </c>
      <c r="C22" s="79">
        <v>20</v>
      </c>
      <c r="D22" s="106" t="s">
        <v>27</v>
      </c>
      <c r="E22" s="106" t="s">
        <v>27</v>
      </c>
      <c r="F22" s="106" t="s">
        <v>27</v>
      </c>
      <c r="G22" s="106" t="s">
        <v>27</v>
      </c>
      <c r="H22" s="106" t="s">
        <v>27</v>
      </c>
      <c r="I22" s="106" t="s">
        <v>27</v>
      </c>
      <c r="J22" s="106">
        <v>11.033305543208039</v>
      </c>
      <c r="K22" s="106">
        <v>1.8794164267297582</v>
      </c>
      <c r="L22" s="106" t="s">
        <v>27</v>
      </c>
      <c r="M22" s="106">
        <v>2.7040508940011727</v>
      </c>
      <c r="N22" s="107" t="s">
        <v>27</v>
      </c>
      <c r="O22" s="106" t="s">
        <v>27</v>
      </c>
      <c r="P22" s="106" t="s">
        <v>27</v>
      </c>
      <c r="Q22" s="106">
        <v>1.1317573615737271</v>
      </c>
      <c r="R22" s="107" t="s">
        <v>27</v>
      </c>
      <c r="S22" s="108" t="s">
        <v>27</v>
      </c>
      <c r="T22" s="108" t="s">
        <v>27</v>
      </c>
      <c r="U22" s="108" t="s">
        <v>27</v>
      </c>
      <c r="V22" s="108" t="s">
        <v>27</v>
      </c>
      <c r="AE22" s="65">
        <v>7.03</v>
      </c>
      <c r="AF22" s="66">
        <v>10</v>
      </c>
      <c r="AH22" s="45">
        <v>0</v>
      </c>
      <c r="AJ22" s="64" t="e">
        <f>IF(D22="nd","nd",D22*$C22/constants!$B$3)</f>
        <v>#VALUE!</v>
      </c>
      <c r="AK22" s="64" t="e">
        <f>IF(E22="nd","nd",E22*$C22/constants!$B$6)</f>
        <v>#VALUE!</v>
      </c>
      <c r="AL22" s="64" t="e">
        <f>IF(F22="nd","nd",F22*$C22/constants!$B$7)</f>
        <v>#VALUE!</v>
      </c>
      <c r="AM22" s="64" t="e">
        <f>IF(G22="nd","nd",G22*$C22/constants!$B$8)</f>
        <v>#VALUE!</v>
      </c>
      <c r="AN22" s="64" t="e">
        <f>IF(H22="nd","nd",H22*$C22/constants!$B$9)</f>
        <v>#VALUE!</v>
      </c>
      <c r="AO22" s="64" t="e">
        <f>IF(I22="nd","nd",I22*$C22/constants!$B$10)</f>
        <v>#VALUE!</v>
      </c>
      <c r="AP22" s="162">
        <f>(IF(IFERROR(J22-#REF!,J22)&gt;constants!$D$5,(IFERROR(J22-#REF!,J22)*$C22/1000),0))</f>
        <v>0.22066611086416077</v>
      </c>
      <c r="AQ22" s="162">
        <f>(IF(IFERROR(K22-#REF!,K22)&gt;constants!$D$11,(IFERROR(K22-#REF!,K22)*$C22/1000),0))</f>
        <v>0</v>
      </c>
      <c r="AR22" s="162" t="e">
        <f>(IF(IFERROR(L22-#REF!,L22)&gt;constants!$D$19,(IFERROR(L22-#REF!,L22)*$C22/1000),0))</f>
        <v>#VALUE!</v>
      </c>
      <c r="AS22" s="162">
        <f>(IF(IFERROR(M22-#REF!,M22)&gt;constants!$D$4,(IFERROR(M22-#REF!,M22)*$C22/1000),0))</f>
        <v>0</v>
      </c>
      <c r="AT22" s="162" t="e">
        <f>(IF(IFERROR(N22-#REF!,N22)&gt;constants!$D$5,(IFERROR(N22-#REF!,N22)*$C22/1000),0))</f>
        <v>#VALUE!</v>
      </c>
      <c r="AU22" s="162" t="e">
        <f>(IF(IFERROR(O22-#REF!,O22)&gt;constants!$D$12,(IFERROR(O22-#REF!,O22)*$C22/1000),0))</f>
        <v>#VALUE!</v>
      </c>
      <c r="AV22" s="162" t="e">
        <f>(IF(IFERROR(P22-#REF!,P22)&gt;constants!$D$5,(IFERROR(P22-#REF!,P22)*$C22/1000),0))</f>
        <v>#VALUE!</v>
      </c>
      <c r="AW22" s="162">
        <f>(IF(IFERROR(Q22-#REF!,Q22)&gt;constants!$D$13,(IFERROR(Q22-#REF!,Q22)*$C22/1000),0))</f>
        <v>0</v>
      </c>
      <c r="AX22" s="64" t="e">
        <f>(IF(IFERROR(R22-#REF!,R22)&gt;constants!$D$14,(IFERROR(R22-#REF!,R22)*$C22/constants!$B$14),0))</f>
        <v>#VALUE!</v>
      </c>
      <c r="AY22" s="64" t="e">
        <f>(IF(IFERROR(S22-#REF!,S22)&gt;constants!$D$15,(IFERROR(S22-#REF!,S22)*$C22/constants!$B$15),0))</f>
        <v>#VALUE!</v>
      </c>
      <c r="AZ22" s="162">
        <f>IF(AH22="nd","nd",AH22*Table31520253035[[#This Row],[dilution ]]/1000)</f>
        <v>0</v>
      </c>
      <c r="BA22" s="64"/>
      <c r="BB22" s="64"/>
      <c r="BC22" s="64" t="e">
        <f>(Table51621263136[[#This Row],[Concentration]]*constants!$C$3)/1000</f>
        <v>#VALUE!</v>
      </c>
      <c r="BD22" s="64" t="e">
        <f>(Table51621263136[[#This Row],[Concentration2]]*constants!$C$6)/1000</f>
        <v>#VALUE!</v>
      </c>
      <c r="BE22" s="64" t="e">
        <f>(Table51621263136[[#This Row],[Concentration3]]*constants!$C$7)/1000</f>
        <v>#VALUE!</v>
      </c>
      <c r="BF22" s="64" t="e">
        <f>(Table51621263136[[#This Row],[Concentration4]]*constants!$C$8)/1000</f>
        <v>#VALUE!</v>
      </c>
      <c r="BG22" s="64" t="e">
        <f>(Table51621263136[[#This Row],[Concentration5]]*constants!$C$9)/1000</f>
        <v>#VALUE!</v>
      </c>
      <c r="BH22" s="64" t="e">
        <f>(Table51621263136[[#This Row],[Concentration6]]*constants!$C$10)/1000</f>
        <v>#VALUE!</v>
      </c>
      <c r="BI22" s="64">
        <f>(Table51621263136[[#This Row],[Concentration7]]*constants!$C$5)</f>
        <v>0.44133222172832154</v>
      </c>
      <c r="BJ22" s="64">
        <f>(Table51621263136[[#This Row],[Concentration8]]*3)</f>
        <v>0</v>
      </c>
      <c r="BK22" s="64" t="e">
        <f>(Table51621263136[[#This Row],[Concentration9]]*4)</f>
        <v>#VALUE!</v>
      </c>
      <c r="BL22" s="64">
        <f>(Table51621263136[[#This Row],[Concentration10]]*4)</f>
        <v>0</v>
      </c>
      <c r="BM22" s="64" t="e">
        <f>(Table51621263136[[#This Row],[Concentration11]]*5)</f>
        <v>#VALUE!</v>
      </c>
      <c r="BN22" s="64" t="e">
        <f>(Table51621263136[[#This Row],[Concentration12]]*5)</f>
        <v>#VALUE!</v>
      </c>
      <c r="BO22" s="64" t="e">
        <f>(Table51621263136[[#This Row],[Concentration13]]*6)</f>
        <v>#VALUE!</v>
      </c>
      <c r="BP22" s="64">
        <f>(Table51621263136[[#This Row],[Concentration14]]*6)</f>
        <v>0</v>
      </c>
      <c r="BQ22" s="64" t="e">
        <f>(Table51621263136[[#This Row],[Concentration15]]*7)</f>
        <v>#VALUE!</v>
      </c>
      <c r="BR22" s="64" t="e">
        <f>(Table51621263136[[#This Row],[Concentration16]]*8)</f>
        <v>#VALUE!</v>
      </c>
      <c r="BS22" s="64">
        <f>(Table51621263136[[#This Row],[Concentration17]]*3)/1000</f>
        <v>0</v>
      </c>
      <c r="BT22" s="47">
        <f>Table51621263136[[#This Row],[Concentration18]]/1000</f>
        <v>0</v>
      </c>
      <c r="BU22" s="47">
        <f>Table51621263136[[#This Row],[Concentration19]]/1000</f>
        <v>0</v>
      </c>
    </row>
    <row r="23" spans="1:73" s="47" customFormat="1" ht="16" thickBot="1" x14ac:dyDescent="0.4">
      <c r="A23" s="63">
        <f>Table2[[#This Row],[Date]]</f>
        <v>43317</v>
      </c>
      <c r="B23" s="169">
        <f>Table2[[#This Row],[Time]]</f>
        <v>50</v>
      </c>
      <c r="C23" s="54">
        <v>0</v>
      </c>
      <c r="V23" s="82"/>
      <c r="AE23" s="65">
        <v>6.45</v>
      </c>
      <c r="AF23" s="47">
        <v>10</v>
      </c>
      <c r="AH23" s="47">
        <v>0</v>
      </c>
      <c r="AJ23" s="64">
        <f>IF(D23="nd","nd",D23*$C23/constants!$B$3)</f>
        <v>0</v>
      </c>
      <c r="AK23" s="64">
        <f>IF(E23="nd","nd",E23*$C23/constants!$B$6)</f>
        <v>0</v>
      </c>
      <c r="AL23" s="64">
        <f>IF(F23="nd","nd",F23*$C23/constants!$B$7)</f>
        <v>0</v>
      </c>
      <c r="AM23" s="64">
        <f>IF(G23="nd","nd",G23*$C23/constants!$B$8)</f>
        <v>0</v>
      </c>
      <c r="AN23" s="64">
        <f>IF(H23="nd","nd",H23*$C23/constants!$B$9)</f>
        <v>0</v>
      </c>
      <c r="AO23" s="64">
        <f>IF(I23="nd","nd",I23*$C23/constants!$B$10)</f>
        <v>0</v>
      </c>
      <c r="AP23" s="162">
        <f>(IF(IFERROR(J23-#REF!,J23)&gt;constants!$D$5,(IFERROR(J23-#REF!,J23)*$C23/1000),0))</f>
        <v>0</v>
      </c>
      <c r="AQ23" s="162">
        <f>(IF(IFERROR(K23-#REF!,K23)&gt;constants!$D$11,(IFERROR(K23-#REF!,K23)*$C23/1000),0))</f>
        <v>0</v>
      </c>
      <c r="AR23" s="162">
        <f>(IF(IFERROR(L23-#REF!,L23)&gt;constants!$D$19,(IFERROR(L23-#REF!,L23)*$C23/1000),0))</f>
        <v>0</v>
      </c>
      <c r="AS23" s="162">
        <f>(IF(IFERROR(M23-#REF!,M23)&gt;constants!$D$4,(IFERROR(M23-#REF!,M23)*$C23/1000),0))</f>
        <v>0</v>
      </c>
      <c r="AT23" s="162">
        <f>(IF(IFERROR(N23-#REF!,N23)&gt;constants!$D$5,(IFERROR(N23-#REF!,N23)*$C23/1000),0))</f>
        <v>0</v>
      </c>
      <c r="AU23" s="162">
        <f>(IF(IFERROR(O23-#REF!,O23)&gt;constants!$D$12,(IFERROR(O23-#REF!,O23)*$C23/1000),0))</f>
        <v>0</v>
      </c>
      <c r="AV23" s="162">
        <f>(IF(IFERROR(P23-#REF!,P23)&gt;constants!$D$5,(IFERROR(P23-#REF!,P23)*$C23/1000),0))</f>
        <v>0</v>
      </c>
      <c r="AW23" s="162">
        <f>(IF(IFERROR(Q23-#REF!,Q23)&gt;constants!$D$13,(IFERROR(Q23-#REF!,Q23)*$C23/1000),0))</f>
        <v>0</v>
      </c>
      <c r="AX23" s="64">
        <f>(IF(IFERROR(R23-#REF!,R23)&gt;constants!$D$14,(IFERROR(R23-#REF!,R23)*$C23/constants!$B$14),0))</f>
        <v>0</v>
      </c>
      <c r="AY23" s="64">
        <f>(IF(IFERROR(S23-#REF!,S23)&gt;constants!$D$15,(IFERROR(S23-#REF!,S23)*$C23/constants!$B$15),0))</f>
        <v>0</v>
      </c>
      <c r="AZ23" s="162">
        <f>IF(AH23="nd","nd",AH23*Table31520253035[[#This Row],[dilution ]]/1000)</f>
        <v>0</v>
      </c>
      <c r="BA23" s="64"/>
      <c r="BB23" s="64"/>
      <c r="BC23" s="64">
        <f>(Table51621263136[[#This Row],[Concentration]]*constants!$C$3)/1000</f>
        <v>0</v>
      </c>
      <c r="BD23" s="64">
        <f>(Table51621263136[[#This Row],[Concentration2]]*constants!$C$6)/1000</f>
        <v>0</v>
      </c>
      <c r="BE23" s="64">
        <f>(Table51621263136[[#This Row],[Concentration3]]*constants!$C$7)/1000</f>
        <v>0</v>
      </c>
      <c r="BF23" s="64">
        <f>(Table51621263136[[#This Row],[Concentration4]]*constants!$C$8)/1000</f>
        <v>0</v>
      </c>
      <c r="BG23" s="64">
        <f>(Table51621263136[[#This Row],[Concentration5]]*constants!$C$9)/1000</f>
        <v>0</v>
      </c>
      <c r="BH23" s="64">
        <f>(Table51621263136[[#This Row],[Concentration6]]*constants!$C$10)/1000</f>
        <v>0</v>
      </c>
      <c r="BI23" s="64">
        <f>(Table51621263136[[#This Row],[Concentration7]]*constants!$C$5)</f>
        <v>0</v>
      </c>
      <c r="BJ23" s="64">
        <f>(Table51621263136[[#This Row],[Concentration8]]*3)</f>
        <v>0</v>
      </c>
      <c r="BK23" s="64">
        <f>(Table51621263136[[#This Row],[Concentration9]]*4)</f>
        <v>0</v>
      </c>
      <c r="BL23" s="64">
        <f>(Table51621263136[[#This Row],[Concentration10]]*4)</f>
        <v>0</v>
      </c>
      <c r="BM23" s="64">
        <f>(Table51621263136[[#This Row],[Concentration11]]*5)</f>
        <v>0</v>
      </c>
      <c r="BN23" s="64">
        <f>(Table51621263136[[#This Row],[Concentration12]]*5)</f>
        <v>0</v>
      </c>
      <c r="BO23" s="64">
        <f>(Table51621263136[[#This Row],[Concentration13]]*6)</f>
        <v>0</v>
      </c>
      <c r="BP23" s="64">
        <f>(Table51621263136[[#This Row],[Concentration14]]*6)</f>
        <v>0</v>
      </c>
      <c r="BQ23" s="64">
        <f>(Table51621263136[[#This Row],[Concentration15]]*7)</f>
        <v>0</v>
      </c>
      <c r="BR23" s="64">
        <f>(Table51621263136[[#This Row],[Concentration16]]*8)</f>
        <v>0</v>
      </c>
      <c r="BS23" s="64">
        <f>(Table51621263136[[#This Row],[Concentration17]]*3)/1000</f>
        <v>0</v>
      </c>
      <c r="BT23" s="47">
        <f>Table51621263136[[#This Row],[Concentration18]]/1000</f>
        <v>0</v>
      </c>
      <c r="BU23" s="47">
        <f>Table51621263136[[#This Row],[Concentration19]]/1000</f>
        <v>0</v>
      </c>
    </row>
    <row r="24" spans="1:73" s="66" customFormat="1" ht="16" thickBot="1" x14ac:dyDescent="0.4">
      <c r="A24" s="63" t="str">
        <f>Table2[[#This Row],[Date]]</f>
        <v>16-05-2018</v>
      </c>
      <c r="B24" s="169">
        <f>Table2[[#This Row],[Time]]</f>
        <v>58</v>
      </c>
      <c r="C24" s="79">
        <v>20</v>
      </c>
      <c r="D24" s="106" t="s">
        <v>27</v>
      </c>
      <c r="E24" s="106" t="s">
        <v>27</v>
      </c>
      <c r="F24" s="106" t="s">
        <v>27</v>
      </c>
      <c r="G24" s="106" t="s">
        <v>27</v>
      </c>
      <c r="H24" s="106" t="s">
        <v>27</v>
      </c>
      <c r="I24" s="106" t="s">
        <v>27</v>
      </c>
      <c r="J24" s="106">
        <v>1.6883822972440017</v>
      </c>
      <c r="K24" s="106">
        <v>2.2209904316367997</v>
      </c>
      <c r="L24" s="106">
        <v>0.8608526398209877</v>
      </c>
      <c r="M24" s="106">
        <v>6.1784557330051388</v>
      </c>
      <c r="N24" s="107" t="s">
        <v>27</v>
      </c>
      <c r="O24" s="106" t="s">
        <v>27</v>
      </c>
      <c r="P24" s="106" t="s">
        <v>27</v>
      </c>
      <c r="Q24" s="106">
        <v>1.49328167883319</v>
      </c>
      <c r="R24" s="107" t="s">
        <v>27</v>
      </c>
      <c r="S24" s="108" t="s">
        <v>27</v>
      </c>
      <c r="T24" s="108" t="s">
        <v>27</v>
      </c>
      <c r="U24" s="108" t="s">
        <v>27</v>
      </c>
      <c r="V24" s="108" t="s">
        <v>27</v>
      </c>
      <c r="AE24" s="55">
        <v>6.5</v>
      </c>
      <c r="AJ24" s="64" t="e">
        <f>IF(D24="nd","nd",D24*$C24/constants!$B$3)</f>
        <v>#VALUE!</v>
      </c>
      <c r="AK24" s="64" t="e">
        <f>IF(E24="nd","nd",E24*$C24/constants!$B$6)</f>
        <v>#VALUE!</v>
      </c>
      <c r="AL24" s="64" t="e">
        <f>IF(F24="nd","nd",F24*$C24/constants!$B$7)</f>
        <v>#VALUE!</v>
      </c>
      <c r="AM24" s="64" t="e">
        <f>IF(G24="nd","nd",G24*$C24/constants!$B$8)</f>
        <v>#VALUE!</v>
      </c>
      <c r="AN24" s="64" t="e">
        <f>IF(H24="nd","nd",H24*$C24/constants!$B$9)</f>
        <v>#VALUE!</v>
      </c>
      <c r="AO24" s="64" t="e">
        <f>IF(I24="nd","nd",I24*$C24/constants!$B$10)</f>
        <v>#VALUE!</v>
      </c>
      <c r="AP24" s="162">
        <f>(IF(IFERROR(J24-#REF!,J24)&gt;constants!$D$5,(IFERROR(J24-#REF!,J24)*$C24/1000),0))</f>
        <v>0</v>
      </c>
      <c r="AQ24" s="162">
        <f>(IF(IFERROR(K24-#REF!,K24)&gt;constants!$D$11,(IFERROR(K24-#REF!,K24)*$C24/1000),0))</f>
        <v>0</v>
      </c>
      <c r="AR24" s="162">
        <f>(IF(IFERROR(L24-#REF!,L24)&gt;constants!$D$19,(IFERROR(L24-#REF!,L24)*$C24/1000),0))</f>
        <v>0</v>
      </c>
      <c r="AS24" s="162">
        <f>(IF(IFERROR(M24-#REF!,M24)&gt;constants!$D$4,(IFERROR(M24-#REF!,M24)*$C24/1000),0))</f>
        <v>0.12356911466010277</v>
      </c>
      <c r="AT24" s="162" t="e">
        <f>(IF(IFERROR(N24-#REF!,N24)&gt;constants!$D$5,(IFERROR(N24-#REF!,N24)*$C24/1000),0))</f>
        <v>#VALUE!</v>
      </c>
      <c r="AU24" s="162" t="e">
        <f>(IF(IFERROR(O24-#REF!,O24)&gt;constants!$D$12,(IFERROR(O24-#REF!,O24)*$C24/1000),0))</f>
        <v>#VALUE!</v>
      </c>
      <c r="AV24" s="162" t="e">
        <f>(IF(IFERROR(P24-#REF!,P24)&gt;constants!$D$5,(IFERROR(P24-#REF!,P24)*$C24/1000),0))</f>
        <v>#VALUE!</v>
      </c>
      <c r="AW24" s="162">
        <f>(IF(IFERROR(Q24-#REF!,Q24)&gt;constants!$D$13,(IFERROR(Q24-#REF!,Q24)*$C24/1000),0))</f>
        <v>0</v>
      </c>
      <c r="AX24" s="64" t="e">
        <f>(IF(IFERROR(R24-#REF!,R24)&gt;constants!$D$14,(IFERROR(R24-#REF!,R24)*$C24/constants!$B$14),0))</f>
        <v>#VALUE!</v>
      </c>
      <c r="AY24" s="64" t="e">
        <f>(IF(IFERROR(S24-#REF!,S24)&gt;constants!$D$15,(IFERROR(S24-#REF!,S24)*$C24/constants!$B$15),0))</f>
        <v>#VALUE!</v>
      </c>
      <c r="AZ24" s="162">
        <f>IF(AH24="nd","nd",AH24*Table31520253035[[#This Row],[dilution ]]/1000)</f>
        <v>0</v>
      </c>
      <c r="BA24" s="64"/>
      <c r="BB24" s="64"/>
      <c r="BC24" s="64" t="e">
        <f>(Table51621263136[[#This Row],[Concentration]]*constants!$C$3)/1000</f>
        <v>#VALUE!</v>
      </c>
      <c r="BD24" s="64" t="e">
        <f>(Table51621263136[[#This Row],[Concentration2]]*constants!$C$6)/1000</f>
        <v>#VALUE!</v>
      </c>
      <c r="BE24" s="64" t="e">
        <f>(Table51621263136[[#This Row],[Concentration3]]*constants!$C$7)/1000</f>
        <v>#VALUE!</v>
      </c>
      <c r="BF24" s="64" t="e">
        <f>(Table51621263136[[#This Row],[Concentration4]]*constants!$C$8)/1000</f>
        <v>#VALUE!</v>
      </c>
      <c r="BG24" s="64" t="e">
        <f>(Table51621263136[[#This Row],[Concentration5]]*constants!$C$9)/1000</f>
        <v>#VALUE!</v>
      </c>
      <c r="BH24" s="64" t="e">
        <f>(Table51621263136[[#This Row],[Concentration6]]*constants!$C$10)/1000</f>
        <v>#VALUE!</v>
      </c>
      <c r="BI24" s="64">
        <f>(Table51621263136[[#This Row],[Concentration7]]*constants!$C$5)</f>
        <v>0</v>
      </c>
      <c r="BJ24" s="64">
        <f>(Table51621263136[[#This Row],[Concentration8]]*3)</f>
        <v>0</v>
      </c>
      <c r="BK24" s="64">
        <f>(Table51621263136[[#This Row],[Concentration9]]*4)</f>
        <v>0</v>
      </c>
      <c r="BL24" s="64">
        <f>(Table51621263136[[#This Row],[Concentration10]]*4)</f>
        <v>0.49427645864041109</v>
      </c>
      <c r="BM24" s="64" t="e">
        <f>(Table51621263136[[#This Row],[Concentration11]]*5)</f>
        <v>#VALUE!</v>
      </c>
      <c r="BN24" s="64" t="e">
        <f>(Table51621263136[[#This Row],[Concentration12]]*5)</f>
        <v>#VALUE!</v>
      </c>
      <c r="BO24" s="64" t="e">
        <f>(Table51621263136[[#This Row],[Concentration13]]*6)</f>
        <v>#VALUE!</v>
      </c>
      <c r="BP24" s="64">
        <f>(Table51621263136[[#This Row],[Concentration14]]*6)</f>
        <v>0</v>
      </c>
      <c r="BQ24" s="64" t="e">
        <f>(Table51621263136[[#This Row],[Concentration15]]*7)</f>
        <v>#VALUE!</v>
      </c>
      <c r="BR24" s="64" t="e">
        <f>(Table51621263136[[#This Row],[Concentration16]]*8)</f>
        <v>#VALUE!</v>
      </c>
      <c r="BS24" s="64">
        <f>(Table51621263136[[#This Row],[Concentration17]]*3)/1000</f>
        <v>0</v>
      </c>
      <c r="BT24" s="47">
        <f>Table51621263136[[#This Row],[Concentration18]]/1000</f>
        <v>0</v>
      </c>
      <c r="BU24" s="47">
        <f>Table51621263136[[#This Row],[Concentration19]]/1000</f>
        <v>0</v>
      </c>
    </row>
    <row r="25" spans="1:73" s="47" customFormat="1" ht="16" thickBot="1" x14ac:dyDescent="0.4">
      <c r="A25" s="63">
        <f>Table2[[#This Row],[Date]]</f>
        <v>0</v>
      </c>
      <c r="B25" s="74">
        <f>Table2[[#This Row],[Time]]</f>
        <v>0</v>
      </c>
      <c r="C25" s="54">
        <v>20</v>
      </c>
      <c r="D25" s="106" t="s">
        <v>27</v>
      </c>
      <c r="E25" s="106" t="s">
        <v>27</v>
      </c>
      <c r="F25" s="106" t="s">
        <v>27</v>
      </c>
      <c r="G25" s="106" t="s">
        <v>27</v>
      </c>
      <c r="H25" s="106" t="s">
        <v>27</v>
      </c>
      <c r="I25" s="106" t="s">
        <v>27</v>
      </c>
      <c r="J25" s="106">
        <v>1.4832511386092371</v>
      </c>
      <c r="K25" s="106">
        <v>1.1534532933024761</v>
      </c>
      <c r="L25" s="106" t="s">
        <v>27</v>
      </c>
      <c r="M25" s="106">
        <v>4.5921225842865203</v>
      </c>
      <c r="N25" s="107" t="s">
        <v>27</v>
      </c>
      <c r="O25" s="106" t="s">
        <v>27</v>
      </c>
      <c r="P25" s="106" t="s">
        <v>27</v>
      </c>
      <c r="Q25" s="106" t="s">
        <v>27</v>
      </c>
      <c r="R25" s="107">
        <v>0.73842088601257694</v>
      </c>
      <c r="S25" s="108" t="s">
        <v>27</v>
      </c>
      <c r="T25" s="108" t="s">
        <v>27</v>
      </c>
      <c r="U25" s="108" t="s">
        <v>27</v>
      </c>
      <c r="V25" s="108" t="s">
        <v>27</v>
      </c>
      <c r="AJ25" s="64" t="e">
        <f>IF(D25="nd","nd",D25*$C25/constants!$B$3)</f>
        <v>#VALUE!</v>
      </c>
      <c r="AK25" s="64" t="e">
        <f>IF(E25="nd","nd",E25*$C25/constants!$B$6)</f>
        <v>#VALUE!</v>
      </c>
      <c r="AL25" s="64" t="e">
        <f>IF(F25="nd","nd",F25*$C25/constants!$B$7)</f>
        <v>#VALUE!</v>
      </c>
      <c r="AM25" s="64" t="e">
        <f>IF(G25="nd","nd",G25*$C25/constants!$B$8)</f>
        <v>#VALUE!</v>
      </c>
      <c r="AN25" s="64" t="e">
        <f>IF(H25="nd","nd",H25*$C25/constants!$B$9)</f>
        <v>#VALUE!</v>
      </c>
      <c r="AO25" s="64" t="e">
        <f>IF(I25="nd","nd",I25*$C25/constants!$B$10)</f>
        <v>#VALUE!</v>
      </c>
      <c r="AP25" s="64">
        <f>(IF(IFERROR(J25-#REF!,J25)&gt;constants!$D$5,(IFERROR(J25-#REF!,J25)*$C25/constants!$B$5),0))</f>
        <v>0</v>
      </c>
      <c r="AQ25" s="64">
        <f>(IF(IFERROR(K25-#REF!,K25)&gt;constants!$D$11,(IFERROR(K25-#REF!,K25)*$C25/constants!$B$11),0))</f>
        <v>0</v>
      </c>
      <c r="AR25" s="64" t="e">
        <f>(IF(IFERROR(L25-#REF!,L25)&gt;constants!$D$19,(IFERROR(L25-#REF!,L25)*$C25/constants!$B$19),0))</f>
        <v>#VALUE!</v>
      </c>
      <c r="AS25" s="64">
        <f>(IF(IFERROR(M25-#REF!,M25)&gt;constants!$D$4,(IFERROR(M25-#REF!,M25)*$C25/constants!$B$4),0))</f>
        <v>1.0424085951663953</v>
      </c>
      <c r="AT25" s="64" t="e">
        <f>(IF(IFERROR(N25-#REF!,N25)&gt;constants!$D$5,(IFERROR(N25-#REF!,N25)*$C25/constants!$B$5),0))</f>
        <v>#VALUE!</v>
      </c>
      <c r="AU25" s="64" t="e">
        <f>(IF(IFERROR(O25-#REF!,O25)&gt;constants!$D$12,(IFERROR(O25-#REF!,O25)*$C25/constants!$B$12),0))</f>
        <v>#VALUE!</v>
      </c>
      <c r="AV25" s="64" t="e">
        <f>(IF(IFERROR(P25-#REF!,P25)&gt;constants!$D$5,(IFERROR(P25-#REF!,P25)*$C25/constants!$B$5),0))</f>
        <v>#VALUE!</v>
      </c>
      <c r="AW25" s="64" t="e">
        <f>(IF(IFERROR(Q25-#REF!,Q25)&gt;constants!$D$13,(IFERROR(Q25-#REF!,Q25)*$C25/constants!$B$13),0))</f>
        <v>#VALUE!</v>
      </c>
      <c r="AX25" s="64">
        <f>(IF(IFERROR(R25-#REF!,R25)&gt;constants!$D$14,(IFERROR(R25-#REF!,R25)*$C25/constants!$B$14),0))</f>
        <v>0</v>
      </c>
      <c r="AY25" s="64" t="e">
        <f>(IF(IFERROR(S25-#REF!,S25)&gt;constants!$D$15,(IFERROR(S25-#REF!,S25)*$C25/constants!$B$15),0))</f>
        <v>#VALUE!</v>
      </c>
      <c r="AZ25" s="64">
        <f>IF(AH25="nd","nd",AH25*Table31520253035[[#This Row],[dilution ]]/constants!$B$3)</f>
        <v>0</v>
      </c>
      <c r="BA25" s="64"/>
      <c r="BB25" s="64"/>
      <c r="BC25" s="64" t="e">
        <f>(Table51621263136[[#This Row],[Concentration]]*constants!$C$3)/1000</f>
        <v>#VALUE!</v>
      </c>
      <c r="BD25" s="64" t="e">
        <f>(Table51621263136[[#This Row],[Concentration2]]*constants!$C$6)/1000</f>
        <v>#VALUE!</v>
      </c>
      <c r="BE25" s="64" t="e">
        <f>(Table51621263136[[#This Row],[Concentration3]]*constants!$C$7)/1000</f>
        <v>#VALUE!</v>
      </c>
      <c r="BF25" s="64" t="e">
        <f>(Table51621263136[[#This Row],[Concentration4]]*constants!$C$8)/1000</f>
        <v>#VALUE!</v>
      </c>
      <c r="BG25" s="64" t="e">
        <f>(Table51621263136[[#This Row],[Concentration5]]*constants!$C$9)/1000</f>
        <v>#VALUE!</v>
      </c>
      <c r="BH25" s="64" t="e">
        <f>(Table51621263136[[#This Row],[Concentration6]]*constants!$C$10)/1000</f>
        <v>#VALUE!</v>
      </c>
      <c r="BI25" s="64">
        <f>(Table51621263136[[#This Row],[Concentration7]]*constants!$C$5)</f>
        <v>0</v>
      </c>
      <c r="BJ25" s="64">
        <f>(Table51621263136[[#This Row],[Concentration8]]*3)</f>
        <v>0</v>
      </c>
      <c r="BK25" s="64" t="e">
        <f>(Table51621263136[[#This Row],[Concentration9]]*4)</f>
        <v>#VALUE!</v>
      </c>
      <c r="BL25" s="64">
        <f>(Table51621263136[[#This Row],[Concentration10]]*4)</f>
        <v>4.1696343806655811</v>
      </c>
      <c r="BM25" s="64" t="e">
        <f>(Table51621263136[[#This Row],[Concentration11]]*5)</f>
        <v>#VALUE!</v>
      </c>
      <c r="BN25" s="64" t="e">
        <f>(Table51621263136[[#This Row],[Concentration12]]*5)</f>
        <v>#VALUE!</v>
      </c>
      <c r="BO25" s="64" t="e">
        <f>(Table51621263136[[#This Row],[Concentration13]]*6)</f>
        <v>#VALUE!</v>
      </c>
      <c r="BP25" s="64" t="e">
        <f>(Table51621263136[[#This Row],[Concentration14]]*6)</f>
        <v>#VALUE!</v>
      </c>
      <c r="BQ25" s="64">
        <f>(Table51621263136[[#This Row],[Concentration15]]*7)</f>
        <v>0</v>
      </c>
      <c r="BR25" s="64" t="e">
        <f>(Table51621263136[[#This Row],[Concentration16]]*8)</f>
        <v>#VALUE!</v>
      </c>
      <c r="BS25" s="64">
        <f>(Table51621263136[[#This Row],[Concentration17]]*3)/1000</f>
        <v>0</v>
      </c>
      <c r="BT25" s="47">
        <f>Table51621263136[[#This Row],[Concentration18]]/1000</f>
        <v>0</v>
      </c>
      <c r="BU25" s="47">
        <f>Table51621263136[[#This Row],[Concentration19]]/1000</f>
        <v>0</v>
      </c>
    </row>
    <row r="26" spans="1:73" s="66" customFormat="1" ht="16" thickBot="1" x14ac:dyDescent="0.4">
      <c r="A26" s="63">
        <f>Table2[[#This Row],[Date]]</f>
        <v>0</v>
      </c>
      <c r="B26" s="74">
        <f>Table2[[#This Row],[Time]]</f>
        <v>0</v>
      </c>
      <c r="C26" s="79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1"/>
      <c r="AE26" s="65"/>
      <c r="AJ26" s="154" t="e">
        <f>AJ24-AJ25</f>
        <v>#VALUE!</v>
      </c>
      <c r="AK26" s="154" t="e">
        <f t="shared" ref="AK26:AY26" si="0">AK24-AK25</f>
        <v>#VALUE!</v>
      </c>
      <c r="AL26" s="154" t="e">
        <f t="shared" si="0"/>
        <v>#VALUE!</v>
      </c>
      <c r="AM26" s="154" t="e">
        <f t="shared" si="0"/>
        <v>#VALUE!</v>
      </c>
      <c r="AN26" s="154" t="e">
        <f t="shared" si="0"/>
        <v>#VALUE!</v>
      </c>
      <c r="AO26" s="154" t="e">
        <f t="shared" si="0"/>
        <v>#VALUE!</v>
      </c>
      <c r="AP26" s="154">
        <f t="shared" si="0"/>
        <v>0</v>
      </c>
      <c r="AQ26" s="154">
        <f t="shared" si="0"/>
        <v>0</v>
      </c>
      <c r="AR26" s="154" t="e">
        <f t="shared" si="0"/>
        <v>#VALUE!</v>
      </c>
      <c r="AS26" s="154">
        <f t="shared" si="0"/>
        <v>-0.91883948050629249</v>
      </c>
      <c r="AT26" s="154" t="e">
        <f t="shared" si="0"/>
        <v>#VALUE!</v>
      </c>
      <c r="AU26" s="154" t="e">
        <f t="shared" si="0"/>
        <v>#VALUE!</v>
      </c>
      <c r="AV26" s="154" t="e">
        <f t="shared" si="0"/>
        <v>#VALUE!</v>
      </c>
      <c r="AW26" s="154" t="e">
        <f t="shared" si="0"/>
        <v>#VALUE!</v>
      </c>
      <c r="AX26" s="154" t="e">
        <f t="shared" si="0"/>
        <v>#VALUE!</v>
      </c>
      <c r="AY26" s="154" t="e">
        <f t="shared" si="0"/>
        <v>#VALUE!</v>
      </c>
      <c r="AZ26" s="64">
        <f>IF(AH26="nd","nd",AH26*Table31520253035[[#This Row],[dilution ]]/constants!$B$3)</f>
        <v>0</v>
      </c>
      <c r="BA26" s="64"/>
      <c r="BB26" s="64"/>
      <c r="BC26" s="64" t="e">
        <f>(Table51621263136[[#This Row],[Concentration]]*constants!$C$3)/1000</f>
        <v>#VALUE!</v>
      </c>
      <c r="BD26" s="64" t="e">
        <f>(Table51621263136[[#This Row],[Concentration2]]*constants!$C$6)/1000</f>
        <v>#VALUE!</v>
      </c>
      <c r="BE26" s="64" t="e">
        <f>(Table51621263136[[#This Row],[Concentration3]]*constants!$C$7)/1000</f>
        <v>#VALUE!</v>
      </c>
      <c r="BF26" s="64" t="e">
        <f>(Table51621263136[[#This Row],[Concentration4]]*constants!$C$8)/1000</f>
        <v>#VALUE!</v>
      </c>
      <c r="BG26" s="64" t="e">
        <f>(Table51621263136[[#This Row],[Concentration5]]*constants!$C$9)/1000</f>
        <v>#VALUE!</v>
      </c>
      <c r="BH26" s="64" t="e">
        <f>(Table51621263136[[#This Row],[Concentration6]]*constants!$C$10)/1000</f>
        <v>#VALUE!</v>
      </c>
      <c r="BI26" s="64">
        <f>(Table51621263136[[#This Row],[Concentration7]]*constants!$C$5)</f>
        <v>0</v>
      </c>
      <c r="BJ26" s="64">
        <f>(Table51621263136[[#This Row],[Concentration8]]*3)</f>
        <v>0</v>
      </c>
      <c r="BK26" s="64" t="e">
        <f>(Table51621263136[[#This Row],[Concentration9]]*4)</f>
        <v>#VALUE!</v>
      </c>
      <c r="BL26" s="64">
        <f>(Table51621263136[[#This Row],[Concentration10]]*4)</f>
        <v>-3.67535792202517</v>
      </c>
      <c r="BM26" s="64" t="e">
        <f>(Table51621263136[[#This Row],[Concentration11]]*5)</f>
        <v>#VALUE!</v>
      </c>
      <c r="BN26" s="64" t="e">
        <f>(Table51621263136[[#This Row],[Concentration12]]*5)</f>
        <v>#VALUE!</v>
      </c>
      <c r="BO26" s="64" t="e">
        <f>(Table51621263136[[#This Row],[Concentration13]]*6)</f>
        <v>#VALUE!</v>
      </c>
      <c r="BP26" s="64" t="e">
        <f>(Table51621263136[[#This Row],[Concentration14]]*6)</f>
        <v>#VALUE!</v>
      </c>
      <c r="BQ26" s="64" t="e">
        <f>(Table51621263136[[#This Row],[Concentration15]]*7)</f>
        <v>#VALUE!</v>
      </c>
      <c r="BR26" s="64" t="e">
        <f>(Table51621263136[[#This Row],[Concentration16]]*8)</f>
        <v>#VALUE!</v>
      </c>
      <c r="BS26" s="64">
        <f>(Table51621263136[[#This Row],[Concentration17]]*3)/1000</f>
        <v>0</v>
      </c>
      <c r="BT26" s="47">
        <f>Table51621263136[[#This Row],[Concentration18]]/1000</f>
        <v>0</v>
      </c>
      <c r="BU26" s="47">
        <f>Table51621263136[[#This Row],[Concentration19]]/1000</f>
        <v>0</v>
      </c>
    </row>
    <row r="27" spans="1:73" s="47" customFormat="1" ht="16" thickBot="1" x14ac:dyDescent="0.4">
      <c r="A27" s="63">
        <f>Table2[[#This Row],[Date]]</f>
        <v>0</v>
      </c>
      <c r="B27" s="74">
        <f>Table2[[#This Row],[Time]]</f>
        <v>0</v>
      </c>
      <c r="C27" s="54"/>
      <c r="V27" s="82"/>
      <c r="AE27" s="55"/>
      <c r="AJ27" s="64">
        <f>IF(D27="nd","nd",D27*$C27/constants!$B$3)</f>
        <v>0</v>
      </c>
      <c r="AK27" s="64">
        <f>IF(E27="nd","nd",E27*$C27/constants!$B$6)</f>
        <v>0</v>
      </c>
      <c r="AL27" s="64">
        <f>IF(F27="nd","nd",F27*$C27/constants!$B$7)</f>
        <v>0</v>
      </c>
      <c r="AM27" s="64">
        <f>IF(G27="nd","nd",G27*$C27/constants!$B$8)</f>
        <v>0</v>
      </c>
      <c r="AN27" s="64">
        <f>IF(H27="nd","nd",H27*$C27/constants!$B$9)</f>
        <v>0</v>
      </c>
      <c r="AO27" s="64">
        <f>IF(I27="nd","nd",I27*$C27/constants!$B$10)</f>
        <v>0</v>
      </c>
      <c r="AP27" s="64">
        <f>(IF(IFERROR(J27-#REF!,J27)&gt;constants!$D$5,(IFERROR(J27-#REF!,J27)*$C27/constants!$B$5),0))</f>
        <v>0</v>
      </c>
      <c r="AQ27" s="64">
        <f>(IF(IFERROR(K27-#REF!,K27)&gt;constants!$D$11,(IFERROR(K27-#REF!,K27)*$C27/constants!$B$11),0))</f>
        <v>0</v>
      </c>
      <c r="AR27" s="64">
        <f>(IF(IFERROR(L27-#REF!,L27)&gt;constants!$D$19,(IFERROR(L27-#REF!,L27)*$C27/constants!$B$19),0))</f>
        <v>0</v>
      </c>
      <c r="AS27" s="64">
        <f>(IF(IFERROR(M27-#REF!,M27)&gt;constants!$D$4,(IFERROR(M27-#REF!,M27)*$C27/constants!$B$4),0))</f>
        <v>0</v>
      </c>
      <c r="AT27" s="64">
        <f>(IF(IFERROR(N27-#REF!,N27)&gt;constants!$D$5,(IFERROR(N27-#REF!,N27)*$C27/constants!$B$5),0))</f>
        <v>0</v>
      </c>
      <c r="AU27" s="64">
        <f>(IF(IFERROR(O27-#REF!,O27)&gt;constants!$D$12,(IFERROR(O27-#REF!,O27)*$C27/constants!$B$12),0))</f>
        <v>0</v>
      </c>
      <c r="AV27" s="64">
        <f>(IF(IFERROR(P27-#REF!,P27)&gt;constants!$D$5,(IFERROR(P27-#REF!,P27)*$C27/constants!$B$5),0))</f>
        <v>0</v>
      </c>
      <c r="AW27" s="64">
        <f>(IF(IFERROR(Q27-#REF!,Q27)&gt;constants!$D$13,(IFERROR(Q27-#REF!,Q27)*$C27/constants!$B$13),0))</f>
        <v>0</v>
      </c>
      <c r="AX27" s="64">
        <f>(IF(IFERROR(R27-#REF!,R27)&gt;constants!$D$14,(IFERROR(R27-#REF!,R27)*$C27/constants!$B$14),0))</f>
        <v>0</v>
      </c>
      <c r="AY27" s="64">
        <f>(IF(IFERROR(S27-#REF!,S27)&gt;constants!$D$15,(IFERROR(S27-#REF!,S27)*$C27/constants!$B$15),0))</f>
        <v>0</v>
      </c>
      <c r="AZ27" s="64">
        <f>IF(AH27="nd","nd",AH27*Table31520253035[[#This Row],[dilution ]]/constants!$B$3)</f>
        <v>0</v>
      </c>
      <c r="BA27" s="64"/>
      <c r="BB27" s="64"/>
      <c r="BC27" s="64">
        <f>(Table51621263136[[#This Row],[Concentration]]*constants!$C$3)/1000</f>
        <v>0</v>
      </c>
      <c r="BD27" s="64">
        <f>(Table51621263136[[#This Row],[Concentration2]]*constants!$C$6)/1000</f>
        <v>0</v>
      </c>
      <c r="BE27" s="64">
        <f>(Table51621263136[[#This Row],[Concentration3]]*constants!$C$7)/1000</f>
        <v>0</v>
      </c>
      <c r="BF27" s="64">
        <f>(Table51621263136[[#This Row],[Concentration4]]*constants!$C$8)/1000</f>
        <v>0</v>
      </c>
      <c r="BG27" s="64">
        <f>(Table51621263136[[#This Row],[Concentration5]]*constants!$C$9)/1000</f>
        <v>0</v>
      </c>
      <c r="BH27" s="64">
        <f>(Table51621263136[[#This Row],[Concentration6]]*constants!$C$10)/1000</f>
        <v>0</v>
      </c>
      <c r="BI27" s="64">
        <f>(Table51621263136[[#This Row],[Concentration7]]*constants!$C$5)</f>
        <v>0</v>
      </c>
      <c r="BJ27" s="64">
        <f>(Table51621263136[[#This Row],[Concentration8]]*3)</f>
        <v>0</v>
      </c>
      <c r="BK27" s="64">
        <f>(Table51621263136[[#This Row],[Concentration9]]*4)</f>
        <v>0</v>
      </c>
      <c r="BL27" s="64">
        <f>(Table51621263136[[#This Row],[Concentration10]]*4)</f>
        <v>0</v>
      </c>
      <c r="BM27" s="64">
        <f>(Table51621263136[[#This Row],[Concentration11]]*5)</f>
        <v>0</v>
      </c>
      <c r="BN27" s="64">
        <f>(Table51621263136[[#This Row],[Concentration12]]*5)</f>
        <v>0</v>
      </c>
      <c r="BO27" s="64">
        <f>(Table51621263136[[#This Row],[Concentration13]]*6)</f>
        <v>0</v>
      </c>
      <c r="BP27" s="64">
        <f>(Table51621263136[[#This Row],[Concentration14]]*6)</f>
        <v>0</v>
      </c>
      <c r="BQ27" s="64">
        <f>(Table51621263136[[#This Row],[Concentration15]]*7)</f>
        <v>0</v>
      </c>
      <c r="BR27" s="64">
        <f>(Table51621263136[[#This Row],[Concentration16]]*8)</f>
        <v>0</v>
      </c>
      <c r="BS27" s="64">
        <f>(Table51621263136[[#This Row],[Concentration17]]*3)/1000</f>
        <v>0</v>
      </c>
      <c r="BT27" s="47">
        <f>Table51621263136[[#This Row],[Concentration18]]/1000</f>
        <v>0</v>
      </c>
      <c r="BU27" s="47">
        <f>Table51621263136[[#This Row],[Concentration19]]/1000</f>
        <v>0</v>
      </c>
    </row>
    <row r="28" spans="1:73" s="66" customFormat="1" ht="16" thickBot="1" x14ac:dyDescent="0.4">
      <c r="A28" s="63">
        <f>Table2[[#This Row],[Date]]</f>
        <v>0</v>
      </c>
      <c r="B28" s="74">
        <f>Table2[[#This Row],[Time]]</f>
        <v>0</v>
      </c>
      <c r="C28" s="79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1"/>
      <c r="AE28" s="65"/>
      <c r="AJ28" s="64">
        <f>IF(D28="nd","nd",D28*$C28/constants!$B$3)</f>
        <v>0</v>
      </c>
      <c r="AK28" s="64">
        <f>IF(E28="nd","nd",E28*$C28/constants!$B$6)</f>
        <v>0</v>
      </c>
      <c r="AL28" s="64">
        <f>IF(F28="nd","nd",F28*$C28/constants!$B$7)</f>
        <v>0</v>
      </c>
      <c r="AM28" s="64">
        <f>IF(G28="nd","nd",G28*$C28/constants!$B$8)</f>
        <v>0</v>
      </c>
      <c r="AN28" s="64">
        <f>IF(H28="nd","nd",H28*$C28/constants!$B$9)</f>
        <v>0</v>
      </c>
      <c r="AO28" s="64">
        <f>IF(I28="nd","nd",I28*$C28/constants!$B$10)</f>
        <v>0</v>
      </c>
      <c r="AP28" s="64">
        <f>(IF(IFERROR(J28-#REF!,J28)&gt;constants!$D$5,(IFERROR(J28-#REF!,J28)*$C28/constants!$B$5),0))</f>
        <v>0</v>
      </c>
      <c r="AQ28" s="64">
        <f>(IF(IFERROR(K28-#REF!,K28)&gt;constants!$D$11,(IFERROR(K28-#REF!,K28)*$C28/constants!$B$11),0))</f>
        <v>0</v>
      </c>
      <c r="AR28" s="64">
        <f>(IF(IFERROR(L28-#REF!,L28)&gt;constants!$D$19,(IFERROR(L28-#REF!,L28)*$C28/constants!$B$19),0))</f>
        <v>0</v>
      </c>
      <c r="AS28" s="64">
        <f>(IF(IFERROR(M28-#REF!,M28)&gt;constants!$D$4,(IFERROR(M28-#REF!,M28)*$C28/constants!$B$4),0))</f>
        <v>0</v>
      </c>
      <c r="AT28" s="64">
        <f>(IF(IFERROR(N28-#REF!,N28)&gt;constants!$D$5,(IFERROR(N28-#REF!,N28)*$C28/constants!$B$5),0))</f>
        <v>0</v>
      </c>
      <c r="AU28" s="64">
        <f>(IF(IFERROR(O28-#REF!,O28)&gt;constants!$D$12,(IFERROR(O28-#REF!,O28)*$C28/constants!$B$12),0))</f>
        <v>0</v>
      </c>
      <c r="AV28" s="64">
        <f>(IF(IFERROR(P28-#REF!,P28)&gt;constants!$D$5,(IFERROR(P28-#REF!,P28)*$C28/constants!$B$5),0))</f>
        <v>0</v>
      </c>
      <c r="AW28" s="64">
        <f>(IF(IFERROR(Q28-#REF!,Q28)&gt;constants!$D$13,(IFERROR(Q28-#REF!,Q28)*$C28/constants!$B$13),0))</f>
        <v>0</v>
      </c>
      <c r="AX28" s="64">
        <f>(IF(IFERROR(R28-#REF!,R28)&gt;constants!$D$14,(IFERROR(R28-#REF!,R28)*$C28/constants!$B$14),0))</f>
        <v>0</v>
      </c>
      <c r="AY28" s="64">
        <f>(IF(IFERROR(S28-#REF!,S28)&gt;constants!$D$15,(IFERROR(S28-#REF!,S28)*$C28/constants!$B$15),0))</f>
        <v>0</v>
      </c>
      <c r="AZ28" s="64">
        <f>IF(AH28="nd","nd",AH28*Table31520253035[[#This Row],[dilution ]]/constants!$B$3)</f>
        <v>0</v>
      </c>
      <c r="BA28" s="64"/>
      <c r="BB28" s="64"/>
      <c r="BC28" s="64">
        <f>(Table51621263136[[#This Row],[Concentration]]*constants!$C$3)/1000</f>
        <v>0</v>
      </c>
      <c r="BD28" s="64">
        <f>(Table51621263136[[#This Row],[Concentration2]]*constants!$C$6)/1000</f>
        <v>0</v>
      </c>
      <c r="BE28" s="64">
        <f>(Table51621263136[[#This Row],[Concentration3]]*constants!$C$7)/1000</f>
        <v>0</v>
      </c>
      <c r="BF28" s="64">
        <f>(Table51621263136[[#This Row],[Concentration4]]*constants!$C$8)/1000</f>
        <v>0</v>
      </c>
      <c r="BG28" s="64">
        <f>(Table51621263136[[#This Row],[Concentration5]]*constants!$C$9)/1000</f>
        <v>0</v>
      </c>
      <c r="BH28" s="64">
        <f>(Table51621263136[[#This Row],[Concentration6]]*constants!$C$10)/1000</f>
        <v>0</v>
      </c>
      <c r="BI28" s="64">
        <f>(Table51621263136[[#This Row],[Concentration7]]*constants!$C$5)</f>
        <v>0</v>
      </c>
      <c r="BJ28" s="64">
        <f>(Table51621263136[[#This Row],[Concentration8]]*3)</f>
        <v>0</v>
      </c>
      <c r="BK28" s="64">
        <f>(Table51621263136[[#This Row],[Concentration9]]*4)</f>
        <v>0</v>
      </c>
      <c r="BL28" s="64">
        <f>(Table51621263136[[#This Row],[Concentration10]]*4)</f>
        <v>0</v>
      </c>
      <c r="BM28" s="64">
        <f>(Table51621263136[[#This Row],[Concentration11]]*5)</f>
        <v>0</v>
      </c>
      <c r="BN28" s="64">
        <f>(Table51621263136[[#This Row],[Concentration12]]*5)</f>
        <v>0</v>
      </c>
      <c r="BO28" s="64">
        <f>(Table51621263136[[#This Row],[Concentration13]]*6)</f>
        <v>0</v>
      </c>
      <c r="BP28" s="64">
        <f>(Table51621263136[[#This Row],[Concentration14]]*6)</f>
        <v>0</v>
      </c>
      <c r="BQ28" s="64">
        <f>(Table51621263136[[#This Row],[Concentration15]]*7)</f>
        <v>0</v>
      </c>
      <c r="BR28" s="64">
        <f>(Table51621263136[[#This Row],[Concentration16]]*8)</f>
        <v>0</v>
      </c>
      <c r="BS28" s="64">
        <f>(Table51621263136[[#This Row],[Concentration17]]*3)/1000</f>
        <v>0</v>
      </c>
      <c r="BT28" s="47">
        <f>Table51621263136[[#This Row],[Concentration18]]/1000</f>
        <v>0</v>
      </c>
      <c r="BU28" s="47">
        <f>Table51621263136[[#This Row],[Concentration19]]/1000</f>
        <v>0</v>
      </c>
    </row>
    <row r="29" spans="1:73" s="47" customFormat="1" ht="16" thickBot="1" x14ac:dyDescent="0.4">
      <c r="A29" s="63">
        <f>Table2[[#This Row],[Date]]</f>
        <v>0</v>
      </c>
      <c r="B29" s="74">
        <f>Table2[[#This Row],[Time]]</f>
        <v>0</v>
      </c>
      <c r="C29" s="54"/>
      <c r="V29" s="82"/>
      <c r="AE29" s="55"/>
      <c r="AJ29" s="64">
        <f>IF(D29="nd","nd",D29*$C29/constants!$B$3)</f>
        <v>0</v>
      </c>
      <c r="AK29" s="64">
        <f>IF(E29="nd","nd",E29*$C29/constants!$B$6)</f>
        <v>0</v>
      </c>
      <c r="AL29" s="64">
        <f>IF(F29="nd","nd",F29*$C29/constants!$B$7)</f>
        <v>0</v>
      </c>
      <c r="AM29" s="64">
        <f>IF(G29="nd","nd",G29*$C29/constants!$B$8)</f>
        <v>0</v>
      </c>
      <c r="AN29" s="64">
        <f>IF(H29="nd","nd",H29*$C29/constants!$B$9)</f>
        <v>0</v>
      </c>
      <c r="AO29" s="64">
        <f>IF(I29="nd","nd",I29*$C29/constants!$B$10)</f>
        <v>0</v>
      </c>
      <c r="AP29" s="64">
        <f>(IF(IFERROR(J29-#REF!,J29)&gt;constants!$D$5,(IFERROR(J29-#REF!,J29)*$C29/constants!$B$5),0))</f>
        <v>0</v>
      </c>
      <c r="AQ29" s="64">
        <f>(IF(IFERROR(K29-#REF!,K29)&gt;constants!$D$11,(IFERROR(K29-#REF!,K29)*$C29/constants!$B$11),0))</f>
        <v>0</v>
      </c>
      <c r="AR29" s="64">
        <f>(IF(IFERROR(L29-#REF!,L29)&gt;constants!$D$19,(IFERROR(L29-#REF!,L29)*$C29/constants!$B$19),0))</f>
        <v>0</v>
      </c>
      <c r="AS29" s="64">
        <f>(IF(IFERROR(M29-#REF!,M29)&gt;constants!$D$4,(IFERROR(M29-#REF!,M29)*$C29/constants!$B$4),0))</f>
        <v>0</v>
      </c>
      <c r="AT29" s="64">
        <f>(IF(IFERROR(N29-#REF!,N29)&gt;constants!$D$5,(IFERROR(N29-#REF!,N29)*$C29/constants!$B$5),0))</f>
        <v>0</v>
      </c>
      <c r="AU29" s="64">
        <f>(IF(IFERROR(O29-#REF!,O29)&gt;constants!$D$12,(IFERROR(O29-#REF!,O29)*$C29/constants!$B$12),0))</f>
        <v>0</v>
      </c>
      <c r="AV29" s="64">
        <f>(IF(IFERROR(P29-#REF!,P29)&gt;constants!$D$5,(IFERROR(P29-#REF!,P29)*$C29/constants!$B$5),0))</f>
        <v>0</v>
      </c>
      <c r="AW29" s="64">
        <f>(IF(IFERROR(Q29-#REF!,Q29)&gt;constants!$D$13,(IFERROR(Q29-#REF!,Q29)*$C29/constants!$B$13),0))</f>
        <v>0</v>
      </c>
      <c r="AX29" s="64">
        <f>(IF(IFERROR(R29-#REF!,R29)&gt;constants!$D$14,(IFERROR(R29-#REF!,R29)*$C29/constants!$B$14),0))</f>
        <v>0</v>
      </c>
      <c r="AY29" s="64">
        <f>(IF(IFERROR(S29-#REF!,S29)&gt;constants!$D$15,(IFERROR(S29-#REF!,S29)*$C29/constants!$B$15),0))</f>
        <v>0</v>
      </c>
      <c r="AZ29" s="64">
        <f>IF(AH29="nd","nd",AH29*Table31520253035[[#This Row],[dilution ]]/constants!$B$3)</f>
        <v>0</v>
      </c>
      <c r="BA29" s="64"/>
      <c r="BB29" s="64"/>
      <c r="BC29" s="64">
        <f>(Table51621263136[[#This Row],[Concentration]]*constants!$C$3)/1000</f>
        <v>0</v>
      </c>
      <c r="BD29" s="64">
        <f>(Table51621263136[[#This Row],[Concentration2]]*constants!$C$6)/1000</f>
        <v>0</v>
      </c>
      <c r="BE29" s="64">
        <f>(Table51621263136[[#This Row],[Concentration3]]*constants!$C$7)/1000</f>
        <v>0</v>
      </c>
      <c r="BF29" s="64">
        <f>(Table51621263136[[#This Row],[Concentration4]]*constants!$C$8)/1000</f>
        <v>0</v>
      </c>
      <c r="BG29" s="64">
        <f>(Table51621263136[[#This Row],[Concentration5]]*constants!$C$9)/1000</f>
        <v>0</v>
      </c>
      <c r="BH29" s="64">
        <f>(Table51621263136[[#This Row],[Concentration6]]*constants!$C$10)/1000</f>
        <v>0</v>
      </c>
      <c r="BI29" s="64">
        <f>(Table51621263136[[#This Row],[Concentration7]]*constants!$C$5)</f>
        <v>0</v>
      </c>
      <c r="BJ29" s="64">
        <f>(Table51621263136[[#This Row],[Concentration8]]*3)</f>
        <v>0</v>
      </c>
      <c r="BK29" s="64">
        <f>(Table51621263136[[#This Row],[Concentration9]]*4)</f>
        <v>0</v>
      </c>
      <c r="BL29" s="64">
        <f>(Table51621263136[[#This Row],[Concentration10]]*4)</f>
        <v>0</v>
      </c>
      <c r="BM29" s="64">
        <f>(Table51621263136[[#This Row],[Concentration11]]*5)</f>
        <v>0</v>
      </c>
      <c r="BN29" s="64">
        <f>(Table51621263136[[#This Row],[Concentration12]]*5)</f>
        <v>0</v>
      </c>
      <c r="BO29" s="64">
        <f>(Table51621263136[[#This Row],[Concentration13]]*6)</f>
        <v>0</v>
      </c>
      <c r="BP29" s="64">
        <f>(Table51621263136[[#This Row],[Concentration14]]*6)</f>
        <v>0</v>
      </c>
      <c r="BQ29" s="64">
        <f>(Table51621263136[[#This Row],[Concentration15]]*7)</f>
        <v>0</v>
      </c>
      <c r="BR29" s="64">
        <f>(Table51621263136[[#This Row],[Concentration16]]*8)</f>
        <v>0</v>
      </c>
      <c r="BS29" s="64">
        <f>(Table51621263136[[#This Row],[Concentration17]]*3)/1000</f>
        <v>0</v>
      </c>
      <c r="BT29" s="47">
        <f>Table51621263136[[#This Row],[Concentration18]]/1000</f>
        <v>0</v>
      </c>
      <c r="BU29" s="47">
        <f>Table51621263136[[#This Row],[Concentration19]]/1000</f>
        <v>0</v>
      </c>
    </row>
    <row r="30" spans="1:73" s="66" customFormat="1" ht="16" thickBot="1" x14ac:dyDescent="0.4">
      <c r="A30" s="63">
        <f>Table2[[#This Row],[Date]]</f>
        <v>0</v>
      </c>
      <c r="B30" s="74">
        <f>Table2[[#This Row],[Time]]</f>
        <v>0</v>
      </c>
      <c r="C30" s="79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1"/>
      <c r="AE30" s="65"/>
      <c r="AJ30" s="64">
        <f>IF(D30="nd","nd",D30*$C30/constants!$B$3)</f>
        <v>0</v>
      </c>
      <c r="AK30" s="64">
        <f>IF(E30="nd","nd",E30*$C30/constants!$B$6)</f>
        <v>0</v>
      </c>
      <c r="AL30" s="64">
        <f>IF(F30="nd","nd",F30*$C30/constants!$B$7)</f>
        <v>0</v>
      </c>
      <c r="AM30" s="64">
        <f>IF(G30="nd","nd",G30*$C30/constants!$B$8)</f>
        <v>0</v>
      </c>
      <c r="AN30" s="64">
        <f>IF(H30="nd","nd",H30*$C30/constants!$B$9)</f>
        <v>0</v>
      </c>
      <c r="AO30" s="64">
        <f>IF(I30="nd","nd",I30*$C30/constants!$B$10)</f>
        <v>0</v>
      </c>
      <c r="AP30" s="64">
        <f>(IF(IFERROR(J30-#REF!,J30)&gt;constants!$D$5,(IFERROR(J30-#REF!,J30)*$C30/constants!$B$5),0))</f>
        <v>0</v>
      </c>
      <c r="AQ30" s="64">
        <f>(IF(IFERROR(K30-#REF!,K30)&gt;constants!$D$11,(IFERROR(K30-#REF!,K30)*$C30/constants!$B$11),0))</f>
        <v>0</v>
      </c>
      <c r="AR30" s="64">
        <f>(IF(IFERROR(L30-#REF!,L30)&gt;constants!$D$19,(IFERROR(L30-#REF!,L30)*$C30/constants!$B$19),0))</f>
        <v>0</v>
      </c>
      <c r="AS30" s="64">
        <f>(IF(IFERROR(M30-#REF!,M30)&gt;constants!$D$4,(IFERROR(M30-#REF!,M30)*$C30/constants!$B$4),0))</f>
        <v>0</v>
      </c>
      <c r="AT30" s="64">
        <f>(IF(IFERROR(N30-#REF!,N30)&gt;constants!$D$5,(IFERROR(N30-#REF!,N30)*$C30/constants!$B$5),0))</f>
        <v>0</v>
      </c>
      <c r="AU30" s="64">
        <f>(IF(IFERROR(O30-#REF!,O30)&gt;constants!$D$12,(IFERROR(O30-#REF!,O30)*$C30/constants!$B$12),0))</f>
        <v>0</v>
      </c>
      <c r="AV30" s="64">
        <f>(IF(IFERROR(P30-#REF!,P30)&gt;constants!$D$5,(IFERROR(P30-#REF!,P30)*$C30/constants!$B$5),0))</f>
        <v>0</v>
      </c>
      <c r="AW30" s="64">
        <f>(IF(IFERROR(Q30-#REF!,Q30)&gt;constants!$D$13,(IFERROR(Q30-#REF!,Q30)*$C30/constants!$B$13),0))</f>
        <v>0</v>
      </c>
      <c r="AX30" s="64">
        <f>(IF(IFERROR(R30-#REF!,R30)&gt;constants!$D$14,(IFERROR(R30-#REF!,R30)*$C30/constants!$B$14),0))</f>
        <v>0</v>
      </c>
      <c r="AY30" s="64">
        <f>(IF(IFERROR(S30-#REF!,S30)&gt;constants!$D$15,(IFERROR(S30-#REF!,S30)*$C30/constants!$B$15),0))</f>
        <v>0</v>
      </c>
      <c r="AZ30" s="64">
        <f>IF(AH30="nd","nd",AH30*Table31520253035[[#This Row],[dilution ]]/constants!$B$3)</f>
        <v>0</v>
      </c>
      <c r="BA30" s="64"/>
      <c r="BB30" s="64"/>
      <c r="BC30" s="64">
        <f>(Table51621263136[[#This Row],[Concentration]]*constants!$C$3)/1000</f>
        <v>0</v>
      </c>
      <c r="BD30" s="64">
        <f>(Table51621263136[[#This Row],[Concentration2]]*constants!$C$6)/1000</f>
        <v>0</v>
      </c>
      <c r="BE30" s="64">
        <f>(Table51621263136[[#This Row],[Concentration3]]*constants!$C$7)/1000</f>
        <v>0</v>
      </c>
      <c r="BF30" s="64">
        <f>(Table51621263136[[#This Row],[Concentration4]]*constants!$C$8)/1000</f>
        <v>0</v>
      </c>
      <c r="BG30" s="64">
        <f>(Table51621263136[[#This Row],[Concentration5]]*constants!$C$9)/1000</f>
        <v>0</v>
      </c>
      <c r="BH30" s="64">
        <f>(Table51621263136[[#This Row],[Concentration6]]*constants!$C$10)/1000</f>
        <v>0</v>
      </c>
      <c r="BI30" s="64">
        <f>(Table51621263136[[#This Row],[Concentration7]]*constants!$C$5)</f>
        <v>0</v>
      </c>
      <c r="BJ30" s="64">
        <f>(Table51621263136[[#This Row],[Concentration8]]*3)</f>
        <v>0</v>
      </c>
      <c r="BK30" s="64">
        <f>(Table51621263136[[#This Row],[Concentration9]]*4)</f>
        <v>0</v>
      </c>
      <c r="BL30" s="64">
        <f>(Table51621263136[[#This Row],[Concentration10]]*4)</f>
        <v>0</v>
      </c>
      <c r="BM30" s="64">
        <f>(Table51621263136[[#This Row],[Concentration11]]*5)</f>
        <v>0</v>
      </c>
      <c r="BN30" s="64">
        <f>(Table51621263136[[#This Row],[Concentration12]]*5)</f>
        <v>0</v>
      </c>
      <c r="BO30" s="64">
        <f>(Table51621263136[[#This Row],[Concentration13]]*6)</f>
        <v>0</v>
      </c>
      <c r="BP30" s="64">
        <f>(Table51621263136[[#This Row],[Concentration14]]*6)</f>
        <v>0</v>
      </c>
      <c r="BQ30" s="64">
        <f>(Table51621263136[[#This Row],[Concentration15]]*7)</f>
        <v>0</v>
      </c>
      <c r="BR30" s="64">
        <f>(Table51621263136[[#This Row],[Concentration16]]*8)</f>
        <v>0</v>
      </c>
      <c r="BS30" s="64">
        <f>(Table51621263136[[#This Row],[Concentration17]]*3)/1000</f>
        <v>0</v>
      </c>
      <c r="BT30" s="47">
        <f>Table51621263136[[#This Row],[Concentration18]]/1000</f>
        <v>0</v>
      </c>
      <c r="BU30" s="47">
        <f>Table51621263136[[#This Row],[Concentration19]]/1000</f>
        <v>0</v>
      </c>
    </row>
    <row r="31" spans="1:73" s="47" customFormat="1" ht="16" thickBot="1" x14ac:dyDescent="0.4">
      <c r="A31" s="63">
        <f>Table2[[#This Row],[Date]]</f>
        <v>0</v>
      </c>
      <c r="B31" s="74">
        <f>Table2[[#This Row],[Time]]</f>
        <v>0</v>
      </c>
      <c r="C31" s="54"/>
      <c r="V31" s="82"/>
      <c r="AE31" s="55"/>
      <c r="AJ31" s="64">
        <f>IF(D31="nd","nd",D31*$C31/constants!$B$3)</f>
        <v>0</v>
      </c>
      <c r="AK31" s="64">
        <f>IF(E31="nd","nd",E31*$C31/constants!$B$6)</f>
        <v>0</v>
      </c>
      <c r="AL31" s="64">
        <f>IF(F31="nd","nd",F31*$C31/constants!$B$7)</f>
        <v>0</v>
      </c>
      <c r="AM31" s="64">
        <f>IF(G31="nd","nd",G31*$C31/constants!$B$8)</f>
        <v>0</v>
      </c>
      <c r="AN31" s="64">
        <f>IF(H31="nd","nd",H31*$C31/constants!$B$9)</f>
        <v>0</v>
      </c>
      <c r="AO31" s="64">
        <f>IF(I31="nd","nd",I31*$C31/constants!$B$10)</f>
        <v>0</v>
      </c>
      <c r="AP31" s="64">
        <f>(IF(IFERROR(J31-#REF!,J31)&gt;constants!$D$5,(IFERROR(J31-#REF!,J31)*$C31/constants!$B$5),0))</f>
        <v>0</v>
      </c>
      <c r="AQ31" s="64">
        <f>(IF(IFERROR(K31-#REF!,K31)&gt;constants!$D$11,(IFERROR(K31-#REF!,K31)*$C31/constants!$B$11),0))</f>
        <v>0</v>
      </c>
      <c r="AR31" s="64">
        <f>(IF(IFERROR(L31-#REF!,L31)&gt;constants!$D$19,(IFERROR(L31-#REF!,L31)*$C31/constants!$B$19),0))</f>
        <v>0</v>
      </c>
      <c r="AS31" s="64">
        <f>(IF(IFERROR(M31-#REF!,M31)&gt;constants!$D$4,(IFERROR(M31-#REF!,M31)*$C31/constants!$B$4),0))</f>
        <v>0</v>
      </c>
      <c r="AT31" s="64">
        <f>(IF(IFERROR(N31-#REF!,N31)&gt;constants!$D$5,(IFERROR(N31-#REF!,N31)*$C31/constants!$B$5),0))</f>
        <v>0</v>
      </c>
      <c r="AU31" s="64">
        <f>(IF(IFERROR(O31-#REF!,O31)&gt;constants!$D$12,(IFERROR(O31-#REF!,O31)*$C31/constants!$B$12),0))</f>
        <v>0</v>
      </c>
      <c r="AV31" s="64">
        <f>(IF(IFERROR(P31-#REF!,P31)&gt;constants!$D$5,(IFERROR(P31-#REF!,P31)*$C31/constants!$B$5),0))</f>
        <v>0</v>
      </c>
      <c r="AW31" s="64">
        <f>(IF(IFERROR(Q31-#REF!,Q31)&gt;constants!$D$13,(IFERROR(Q31-#REF!,Q31)*$C31/constants!$B$13),0))</f>
        <v>0</v>
      </c>
      <c r="AX31" s="64">
        <f>(IF(IFERROR(R31-#REF!,R31)&gt;constants!$D$14,(IFERROR(R31-#REF!,R31)*$C31/constants!$B$14),0))</f>
        <v>0</v>
      </c>
      <c r="AY31" s="64">
        <f>(IF(IFERROR(S31-#REF!,S31)&gt;constants!$D$15,(IFERROR(S31-#REF!,S31)*$C31/constants!$B$15),0))</f>
        <v>0</v>
      </c>
      <c r="AZ31" s="64">
        <f>IF(AH31="nd","nd",AH31*Table31520253035[[#This Row],[dilution ]]/constants!$B$3)</f>
        <v>0</v>
      </c>
      <c r="BA31" s="64"/>
      <c r="BB31" s="64"/>
      <c r="BC31" s="64">
        <f>(Table51621263136[[#This Row],[Concentration]]*constants!$C$3)/1000</f>
        <v>0</v>
      </c>
      <c r="BD31" s="64">
        <f>(Table51621263136[[#This Row],[Concentration2]]*constants!$C$6)/1000</f>
        <v>0</v>
      </c>
      <c r="BE31" s="64">
        <f>(Table51621263136[[#This Row],[Concentration3]]*constants!$C$7)/1000</f>
        <v>0</v>
      </c>
      <c r="BF31" s="64">
        <f>(Table51621263136[[#This Row],[Concentration4]]*constants!$C$8)/1000</f>
        <v>0</v>
      </c>
      <c r="BG31" s="64">
        <f>(Table51621263136[[#This Row],[Concentration5]]*constants!$C$9)/1000</f>
        <v>0</v>
      </c>
      <c r="BH31" s="64">
        <f>(Table51621263136[[#This Row],[Concentration6]]*constants!$C$10)/1000</f>
        <v>0</v>
      </c>
      <c r="BI31" s="64">
        <f>(Table51621263136[[#This Row],[Concentration7]]*constants!$C$5)</f>
        <v>0</v>
      </c>
      <c r="BJ31" s="64">
        <f>(Table51621263136[[#This Row],[Concentration8]]*3)</f>
        <v>0</v>
      </c>
      <c r="BK31" s="64">
        <f>(Table51621263136[[#This Row],[Concentration9]]*4)</f>
        <v>0</v>
      </c>
      <c r="BL31" s="64">
        <f>(Table51621263136[[#This Row],[Concentration10]]*4)</f>
        <v>0</v>
      </c>
      <c r="BM31" s="64">
        <f>(Table51621263136[[#This Row],[Concentration11]]*5)</f>
        <v>0</v>
      </c>
      <c r="BN31" s="64">
        <f>(Table51621263136[[#This Row],[Concentration12]]*5)</f>
        <v>0</v>
      </c>
      <c r="BO31" s="64">
        <f>(Table51621263136[[#This Row],[Concentration13]]*6)</f>
        <v>0</v>
      </c>
      <c r="BP31" s="64">
        <f>(Table51621263136[[#This Row],[Concentration14]]*6)</f>
        <v>0</v>
      </c>
      <c r="BQ31" s="64">
        <f>(Table51621263136[[#This Row],[Concentration15]]*7)</f>
        <v>0</v>
      </c>
      <c r="BR31" s="64">
        <f>(Table51621263136[[#This Row],[Concentration16]]*8)</f>
        <v>0</v>
      </c>
      <c r="BS31" s="64">
        <f>(Table51621263136[[#This Row],[Concentration17]]*3)/1000</f>
        <v>0</v>
      </c>
      <c r="BT31" s="47">
        <f>Table51621263136[[#This Row],[Concentration18]]/1000</f>
        <v>0</v>
      </c>
      <c r="BU31" s="47">
        <f>Table51621263136[[#This Row],[Concentration19]]/1000</f>
        <v>0</v>
      </c>
    </row>
    <row r="32" spans="1:73" ht="16" thickBot="1" x14ac:dyDescent="0.4">
      <c r="A32" s="63">
        <f>Table2[[#This Row],[Date]]</f>
        <v>0</v>
      </c>
      <c r="B32" s="74">
        <f>Table2[[#This Row],[Time]]</f>
        <v>0</v>
      </c>
      <c r="C32" s="8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84"/>
      <c r="AE32" s="43"/>
      <c r="AJ32" s="64">
        <f>IF(D32="nd","nd",D32*$C32/constants!$B$3)</f>
        <v>0</v>
      </c>
      <c r="AK32" s="64">
        <f>IF(E32="nd","nd",E32*$C32/constants!$B$6)</f>
        <v>0</v>
      </c>
      <c r="AL32" s="64">
        <f>IF(F32="nd","nd",F32*$C32/constants!$B$7)</f>
        <v>0</v>
      </c>
      <c r="AM32" s="64">
        <f>IF(G32="nd","nd",G32*$C32/constants!$B$8)</f>
        <v>0</v>
      </c>
      <c r="AN32" s="64">
        <f>IF(H32="nd","nd",H32*$C32/constants!$B$9)</f>
        <v>0</v>
      </c>
      <c r="AO32" s="64">
        <f>IF(I32="nd","nd",I32*$C32/constants!$B$10)</f>
        <v>0</v>
      </c>
      <c r="AP32" s="64">
        <f>(IF(IFERROR(J32-#REF!,J32)&gt;constants!$D$5,(IFERROR(J32-#REF!,J32)*$C32/constants!$B$5),0))</f>
        <v>0</v>
      </c>
      <c r="AQ32" s="64">
        <f>(IF(IFERROR(K32-#REF!,K32)&gt;constants!$D$11,(IFERROR(K32-#REF!,K32)*$C32/constants!$B$11),0))</f>
        <v>0</v>
      </c>
      <c r="AR32" s="64">
        <f>(IF(IFERROR(L32-#REF!,L32)&gt;constants!$D$19,(IFERROR(L32-#REF!,L32)*$C32/constants!$B$19),0))</f>
        <v>0</v>
      </c>
      <c r="AS32" s="64">
        <f>(IF(IFERROR(M32-#REF!,M32)&gt;constants!$D$4,(IFERROR(M32-#REF!,M32)*$C32/constants!$B$4),0))</f>
        <v>0</v>
      </c>
      <c r="AT32" s="64">
        <f>(IF(IFERROR(N32-#REF!,N32)&gt;constants!$D$5,(IFERROR(N32-#REF!,N32)*$C32/constants!$B$5),0))</f>
        <v>0</v>
      </c>
      <c r="AU32" s="64">
        <f>(IF(IFERROR(O32-#REF!,O32)&gt;constants!$D$12,(IFERROR(O32-#REF!,O32)*$C32/constants!$B$12),0))</f>
        <v>0</v>
      </c>
      <c r="AV32" s="64">
        <f>(IF(IFERROR(P32-#REF!,P32)&gt;constants!$D$5,(IFERROR(P32-#REF!,P32)*$C32/constants!$B$5),0))</f>
        <v>0</v>
      </c>
      <c r="AW32" s="64">
        <f>(IF(IFERROR(Q32-#REF!,Q32)&gt;constants!$D$13,(IFERROR(Q32-#REF!,Q32)*$C32/constants!$B$13),0))</f>
        <v>0</v>
      </c>
      <c r="AX32" s="64">
        <f>(IF(IFERROR(R32-#REF!,R32)&gt;constants!$D$14,(IFERROR(R32-#REF!,R32)*$C32/constants!$B$14),0))</f>
        <v>0</v>
      </c>
      <c r="AY32" s="64">
        <f>(IF(IFERROR(S32-#REF!,S32)&gt;constants!$D$15,(IFERROR(S32-#REF!,S32)*$C32/constants!$B$15),0))</f>
        <v>0</v>
      </c>
      <c r="AZ32" s="64">
        <f>IF(AH32="nd","nd",AH32*Table31520253035[[#This Row],[dilution ]]/constants!$B$3)</f>
        <v>0</v>
      </c>
      <c r="BA32" s="64"/>
      <c r="BB32" s="64"/>
      <c r="BC32" s="64">
        <f>(Table51621263136[[#This Row],[Concentration]]*constants!$C$3)/1000</f>
        <v>0</v>
      </c>
      <c r="BD32" s="64">
        <f>(Table51621263136[[#This Row],[Concentration2]]*constants!$C$6)/1000</f>
        <v>0</v>
      </c>
      <c r="BE32" s="64">
        <f>(Table51621263136[[#This Row],[Concentration3]]*constants!$C$7)/1000</f>
        <v>0</v>
      </c>
      <c r="BF32" s="64">
        <f>(Table51621263136[[#This Row],[Concentration4]]*constants!$C$8)/1000</f>
        <v>0</v>
      </c>
      <c r="BG32" s="64">
        <f>(Table51621263136[[#This Row],[Concentration5]]*constants!$C$9)/1000</f>
        <v>0</v>
      </c>
      <c r="BH32" s="64">
        <f>(Table51621263136[[#This Row],[Concentration6]]*constants!$C$10)/1000</f>
        <v>0</v>
      </c>
      <c r="BI32" s="64">
        <f>(Table51621263136[[#This Row],[Concentration7]]*constants!$C$5)</f>
        <v>0</v>
      </c>
      <c r="BJ32" s="64">
        <f>(Table51621263136[[#This Row],[Concentration8]]*3)</f>
        <v>0</v>
      </c>
      <c r="BK32" s="64">
        <f>(Table51621263136[[#This Row],[Concentration9]]*4)</f>
        <v>0</v>
      </c>
      <c r="BL32" s="64">
        <f>(Table51621263136[[#This Row],[Concentration10]]*4)</f>
        <v>0</v>
      </c>
      <c r="BM32" s="64">
        <f>(Table51621263136[[#This Row],[Concentration11]]*5)</f>
        <v>0</v>
      </c>
      <c r="BN32" s="64">
        <f>(Table51621263136[[#This Row],[Concentration12]]*5)</f>
        <v>0</v>
      </c>
      <c r="BO32" s="64">
        <f>(Table51621263136[[#This Row],[Concentration13]]*6)</f>
        <v>0</v>
      </c>
      <c r="BP32" s="64">
        <f>(Table51621263136[[#This Row],[Concentration14]]*6)</f>
        <v>0</v>
      </c>
      <c r="BQ32" s="64">
        <f>(Table51621263136[[#This Row],[Concentration15]]*7)</f>
        <v>0</v>
      </c>
      <c r="BR32" s="64">
        <f>(Table51621263136[[#This Row],[Concentration16]]*8)</f>
        <v>0</v>
      </c>
      <c r="BS32" s="64">
        <f>(Table51621263136[[#This Row],[Concentration17]]*3)/1000</f>
        <v>0</v>
      </c>
    </row>
    <row r="33" spans="1:31" x14ac:dyDescent="0.35">
      <c r="A33" s="60"/>
      <c r="AE33" s="43"/>
    </row>
    <row r="34" spans="1:31" x14ac:dyDescent="0.35">
      <c r="AE34" s="43"/>
    </row>
    <row r="35" spans="1:31" x14ac:dyDescent="0.35">
      <c r="AE35" s="43"/>
    </row>
    <row r="36" spans="1:31" ht="15" thickBot="1" x14ac:dyDescent="0.4">
      <c r="AE36" s="44"/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U36"/>
  <sheetViews>
    <sheetView zoomScale="70" zoomScaleNormal="70" workbookViewId="0">
      <pane xSplit="2" topLeftCell="C1" activePane="topRight" state="frozen"/>
      <selection pane="topRight"/>
    </sheetView>
  </sheetViews>
  <sheetFormatPr defaultRowHeight="14.5" x14ac:dyDescent="0.35"/>
  <cols>
    <col min="1" max="1" width="15.1796875" bestFit="1" customWidth="1"/>
    <col min="2" max="2" width="11" customWidth="1"/>
    <col min="3" max="3" width="10.453125" customWidth="1"/>
    <col min="4" max="4" width="10.7265625" customWidth="1"/>
    <col min="5" max="12" width="11.7265625" customWidth="1"/>
    <col min="13" max="22" width="12.7265625" customWidth="1"/>
    <col min="23" max="23" width="11.81640625" customWidth="1"/>
    <col min="24" max="24" width="12.7265625" customWidth="1"/>
    <col min="25" max="25" width="11.26953125" customWidth="1"/>
    <col min="26" max="26" width="12.7265625" customWidth="1"/>
    <col min="27" max="27" width="13.26953125" customWidth="1"/>
    <col min="28" max="28" width="12.7265625" customWidth="1"/>
    <col min="29" max="29" width="13.26953125" customWidth="1"/>
    <col min="30" max="30" width="12.7265625" customWidth="1"/>
    <col min="32" max="32" width="10.81640625" customWidth="1"/>
    <col min="33" max="33" width="11.26953125" customWidth="1"/>
    <col min="34" max="35" width="10.1796875" customWidth="1"/>
    <col min="36" max="36" width="15.81640625" customWidth="1"/>
    <col min="37" max="44" width="16.81640625" customWidth="1"/>
    <col min="45" max="54" width="17.81640625" customWidth="1"/>
    <col min="55" max="55" width="15.81640625" hidden="1" customWidth="1"/>
    <col min="56" max="60" width="16.81640625" hidden="1" customWidth="1"/>
    <col min="61" max="63" width="16.81640625" customWidth="1"/>
    <col min="64" max="71" width="17.81640625" customWidth="1"/>
  </cols>
  <sheetData>
    <row r="1" spans="1:73" x14ac:dyDescent="0.35">
      <c r="A1" s="24" t="s">
        <v>28</v>
      </c>
      <c r="B1" s="24" t="s">
        <v>182</v>
      </c>
      <c r="C1" s="24"/>
    </row>
    <row r="2" spans="1:73" x14ac:dyDescent="0.35">
      <c r="A2" s="25" t="s">
        <v>30</v>
      </c>
      <c r="B2" s="25" t="s">
        <v>184</v>
      </c>
      <c r="C2" s="24" t="s">
        <v>75</v>
      </c>
      <c r="AJ2" s="2" t="s">
        <v>2</v>
      </c>
    </row>
    <row r="3" spans="1:73" x14ac:dyDescent="0.35">
      <c r="A3" s="25"/>
      <c r="B3" s="25"/>
      <c r="C3" s="24" t="s">
        <v>76</v>
      </c>
    </row>
    <row r="4" spans="1:73" x14ac:dyDescent="0.35">
      <c r="A4" s="24"/>
      <c r="B4" s="24"/>
      <c r="C4" s="56" t="s">
        <v>77</v>
      </c>
      <c r="E4" s="1"/>
      <c r="F4" s="3"/>
      <c r="G4" s="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 t="s">
        <v>60</v>
      </c>
      <c r="X4" s="1"/>
      <c r="Y4" s="1"/>
      <c r="Z4" s="1"/>
      <c r="AA4" s="1"/>
      <c r="AC4" s="1"/>
      <c r="AD4" s="1"/>
      <c r="AE4" s="1"/>
      <c r="AF4" t="s">
        <v>69</v>
      </c>
      <c r="AJ4" s="37" t="s">
        <v>37</v>
      </c>
      <c r="AL4" s="3"/>
      <c r="AM4" s="2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H4" s="1"/>
      <c r="BI4" s="4"/>
    </row>
    <row r="5" spans="1:73" ht="15" thickBot="1" x14ac:dyDescent="0.4">
      <c r="A5" s="24"/>
      <c r="B5" s="24"/>
      <c r="C5" s="2" t="s">
        <v>2</v>
      </c>
      <c r="D5" s="2"/>
      <c r="E5" s="1"/>
      <c r="F5" s="3"/>
      <c r="G5" s="2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C5" s="1"/>
      <c r="AD5" s="1"/>
      <c r="AE5" s="1"/>
      <c r="AJ5" s="37"/>
      <c r="AL5" s="3"/>
      <c r="AM5" s="2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 t="s">
        <v>60</v>
      </c>
      <c r="BB5" s="1"/>
      <c r="BC5" s="56" t="s">
        <v>79</v>
      </c>
      <c r="BH5" s="1"/>
      <c r="BI5" s="56" t="s">
        <v>79</v>
      </c>
      <c r="BT5" t="s">
        <v>60</v>
      </c>
    </row>
    <row r="6" spans="1:73" x14ac:dyDescent="0.35">
      <c r="C6" s="5" t="s">
        <v>3</v>
      </c>
      <c r="D6" s="6" t="s">
        <v>4</v>
      </c>
      <c r="E6" s="6" t="s">
        <v>90</v>
      </c>
      <c r="F6" s="6" t="s">
        <v>91</v>
      </c>
      <c r="G6" s="6" t="s">
        <v>92</v>
      </c>
      <c r="H6" s="6" t="s">
        <v>93</v>
      </c>
      <c r="I6" s="6" t="s">
        <v>94</v>
      </c>
      <c r="J6" s="6" t="s">
        <v>95</v>
      </c>
      <c r="K6" s="6" t="s">
        <v>96</v>
      </c>
      <c r="L6" s="6" t="s">
        <v>97</v>
      </c>
      <c r="M6" s="6" t="s">
        <v>98</v>
      </c>
      <c r="N6" s="6" t="s">
        <v>99</v>
      </c>
      <c r="O6" s="6" t="s">
        <v>100</v>
      </c>
      <c r="P6" s="6" t="s">
        <v>101</v>
      </c>
      <c r="Q6" s="6" t="s">
        <v>102</v>
      </c>
      <c r="R6" s="6" t="s">
        <v>103</v>
      </c>
      <c r="S6" s="7" t="s">
        <v>104</v>
      </c>
      <c r="T6" s="7" t="s">
        <v>105</v>
      </c>
      <c r="U6" s="7" t="s">
        <v>106</v>
      </c>
      <c r="V6" s="8" t="s">
        <v>107</v>
      </c>
      <c r="W6" s="36" t="s">
        <v>61</v>
      </c>
      <c r="X6" s="33" t="s">
        <v>108</v>
      </c>
      <c r="Y6" s="36" t="s">
        <v>62</v>
      </c>
      <c r="Z6" s="35" t="s">
        <v>109</v>
      </c>
      <c r="AA6" s="34" t="s">
        <v>110</v>
      </c>
      <c r="AB6" s="33" t="s">
        <v>111</v>
      </c>
      <c r="AC6" s="36" t="s">
        <v>112</v>
      </c>
      <c r="AD6" s="35" t="s">
        <v>113</v>
      </c>
      <c r="AE6" s="38" t="s">
        <v>68</v>
      </c>
      <c r="AF6" s="39" t="s">
        <v>70</v>
      </c>
      <c r="AG6" s="39" t="s">
        <v>71</v>
      </c>
      <c r="AH6" s="40" t="s">
        <v>32</v>
      </c>
      <c r="AI6" s="127" t="s">
        <v>136</v>
      </c>
      <c r="AJ6" s="69" t="s">
        <v>35</v>
      </c>
      <c r="AK6" s="70" t="s">
        <v>114</v>
      </c>
      <c r="AL6" s="70" t="s">
        <v>115</v>
      </c>
      <c r="AM6" s="70" t="s">
        <v>116</v>
      </c>
      <c r="AN6" s="70" t="s">
        <v>117</v>
      </c>
      <c r="AO6" s="70" t="s">
        <v>118</v>
      </c>
      <c r="AP6" s="70" t="s">
        <v>119</v>
      </c>
      <c r="AQ6" s="70" t="s">
        <v>120</v>
      </c>
      <c r="AR6" s="70" t="s">
        <v>121</v>
      </c>
      <c r="AS6" s="70" t="s">
        <v>122</v>
      </c>
      <c r="AT6" s="70" t="s">
        <v>123</v>
      </c>
      <c r="AU6" s="70" t="s">
        <v>124</v>
      </c>
      <c r="AV6" s="70" t="s">
        <v>125</v>
      </c>
      <c r="AW6" s="70" t="s">
        <v>126</v>
      </c>
      <c r="AX6" s="70" t="s">
        <v>127</v>
      </c>
      <c r="AY6" s="71" t="s">
        <v>128</v>
      </c>
      <c r="AZ6" s="72" t="s">
        <v>129</v>
      </c>
      <c r="BA6" s="85" t="s">
        <v>134</v>
      </c>
      <c r="BB6" s="88" t="s">
        <v>135</v>
      </c>
      <c r="BC6" s="69" t="s">
        <v>35</v>
      </c>
      <c r="BD6" s="70" t="s">
        <v>114</v>
      </c>
      <c r="BE6" s="70" t="s">
        <v>115</v>
      </c>
      <c r="BF6" s="70" t="s">
        <v>116</v>
      </c>
      <c r="BG6" s="70" t="s">
        <v>117</v>
      </c>
      <c r="BH6" s="70" t="s">
        <v>118</v>
      </c>
      <c r="BI6" s="70" t="s">
        <v>119</v>
      </c>
      <c r="BJ6" s="70" t="s">
        <v>120</v>
      </c>
      <c r="BK6" s="70" t="s">
        <v>121</v>
      </c>
      <c r="BL6" s="70" t="s">
        <v>122</v>
      </c>
      <c r="BM6" s="70" t="s">
        <v>123</v>
      </c>
      <c r="BN6" s="70" t="s">
        <v>124</v>
      </c>
      <c r="BO6" s="70" t="s">
        <v>125</v>
      </c>
      <c r="BP6" s="70" t="s">
        <v>126</v>
      </c>
      <c r="BQ6" s="70" t="s">
        <v>127</v>
      </c>
      <c r="BR6" s="71" t="s">
        <v>128</v>
      </c>
      <c r="BS6" s="72" t="s">
        <v>129</v>
      </c>
      <c r="BT6" s="85" t="s">
        <v>130</v>
      </c>
      <c r="BU6" s="85" t="s">
        <v>132</v>
      </c>
    </row>
    <row r="7" spans="1:73" x14ac:dyDescent="0.35">
      <c r="C7" s="9" t="s">
        <v>5</v>
      </c>
      <c r="D7" s="10" t="s">
        <v>7</v>
      </c>
      <c r="E7" s="10" t="s">
        <v>7</v>
      </c>
      <c r="F7" s="10" t="s">
        <v>7</v>
      </c>
      <c r="G7" s="10" t="s">
        <v>7</v>
      </c>
      <c r="H7" s="10" t="s">
        <v>7</v>
      </c>
      <c r="I7" s="10" t="s">
        <v>7</v>
      </c>
      <c r="J7" s="10" t="s">
        <v>7</v>
      </c>
      <c r="K7" s="10" t="s">
        <v>7</v>
      </c>
      <c r="L7" s="10" t="s">
        <v>7</v>
      </c>
      <c r="M7" s="10" t="s">
        <v>7</v>
      </c>
      <c r="N7" s="10" t="s">
        <v>7</v>
      </c>
      <c r="O7" s="10" t="s">
        <v>7</v>
      </c>
      <c r="P7" s="10" t="s">
        <v>7</v>
      </c>
      <c r="Q7" s="10" t="s">
        <v>7</v>
      </c>
      <c r="R7" s="10" t="s">
        <v>7</v>
      </c>
      <c r="S7" s="11" t="s">
        <v>7</v>
      </c>
      <c r="T7" s="11" t="s">
        <v>6</v>
      </c>
      <c r="U7" s="11" t="s">
        <v>6</v>
      </c>
      <c r="V7" s="12" t="s">
        <v>6</v>
      </c>
      <c r="W7" s="36" t="s">
        <v>63</v>
      </c>
      <c r="X7" s="33" t="s">
        <v>64</v>
      </c>
      <c r="Y7" s="36" t="s">
        <v>63</v>
      </c>
      <c r="Z7" s="35" t="s">
        <v>64</v>
      </c>
      <c r="AA7" s="34" t="s">
        <v>63</v>
      </c>
      <c r="AB7" s="33" t="s">
        <v>64</v>
      </c>
      <c r="AC7" s="36" t="s">
        <v>63</v>
      </c>
      <c r="AD7" s="35" t="s">
        <v>64</v>
      </c>
      <c r="AE7" s="38"/>
      <c r="AF7" s="39" t="s">
        <v>5</v>
      </c>
      <c r="AG7" s="39" t="s">
        <v>72</v>
      </c>
      <c r="AH7" s="40" t="s">
        <v>7</v>
      </c>
      <c r="AI7" s="39" t="s">
        <v>144</v>
      </c>
      <c r="AJ7" s="9" t="s">
        <v>36</v>
      </c>
      <c r="AK7" s="10" t="s">
        <v>36</v>
      </c>
      <c r="AL7" s="10" t="s">
        <v>36</v>
      </c>
      <c r="AM7" s="10" t="s">
        <v>36</v>
      </c>
      <c r="AN7" s="10" t="s">
        <v>36</v>
      </c>
      <c r="AO7" s="10" t="s">
        <v>36</v>
      </c>
      <c r="AP7" s="163" t="s">
        <v>77</v>
      </c>
      <c r="AQ7" s="163" t="s">
        <v>77</v>
      </c>
      <c r="AR7" s="163" t="s">
        <v>77</v>
      </c>
      <c r="AS7" s="163" t="s">
        <v>77</v>
      </c>
      <c r="AT7" s="163" t="s">
        <v>77</v>
      </c>
      <c r="AU7" s="163" t="s">
        <v>77</v>
      </c>
      <c r="AV7" s="163" t="s">
        <v>77</v>
      </c>
      <c r="AW7" s="163" t="s">
        <v>77</v>
      </c>
      <c r="AX7" s="10" t="s">
        <v>36</v>
      </c>
      <c r="AY7" s="12" t="s">
        <v>36</v>
      </c>
      <c r="AZ7" s="163" t="s">
        <v>77</v>
      </c>
      <c r="BA7" s="86" t="s">
        <v>36</v>
      </c>
      <c r="BB7" s="86" t="s">
        <v>36</v>
      </c>
      <c r="BC7" s="9" t="s">
        <v>89</v>
      </c>
      <c r="BD7" s="9" t="s">
        <v>89</v>
      </c>
      <c r="BE7" s="9" t="s">
        <v>89</v>
      </c>
      <c r="BF7" s="9" t="s">
        <v>89</v>
      </c>
      <c r="BG7" s="9" t="s">
        <v>89</v>
      </c>
      <c r="BH7" s="9" t="s">
        <v>89</v>
      </c>
      <c r="BI7" s="9" t="s">
        <v>139</v>
      </c>
      <c r="BJ7" s="9" t="s">
        <v>139</v>
      </c>
      <c r="BK7" s="9" t="s">
        <v>139</v>
      </c>
      <c r="BL7" s="9" t="s">
        <v>139</v>
      </c>
      <c r="BM7" s="9" t="s">
        <v>139</v>
      </c>
      <c r="BN7" s="9" t="s">
        <v>139</v>
      </c>
      <c r="BO7" s="9" t="s">
        <v>139</v>
      </c>
      <c r="BP7" s="9" t="s">
        <v>139</v>
      </c>
      <c r="BQ7" s="9" t="s">
        <v>139</v>
      </c>
      <c r="BR7" s="9" t="s">
        <v>139</v>
      </c>
      <c r="BS7" s="9" t="s">
        <v>89</v>
      </c>
      <c r="BT7" s="9" t="s">
        <v>89</v>
      </c>
      <c r="BU7" s="9" t="s">
        <v>89</v>
      </c>
    </row>
    <row r="8" spans="1:73" ht="16" thickBot="1" x14ac:dyDescent="0.4">
      <c r="A8" s="22" t="s">
        <v>0</v>
      </c>
      <c r="B8" s="73" t="s">
        <v>1</v>
      </c>
      <c r="C8" s="13" t="s">
        <v>6</v>
      </c>
      <c r="D8" s="14" t="s">
        <v>8</v>
      </c>
      <c r="E8" s="14" t="s">
        <v>9</v>
      </c>
      <c r="F8" s="14" t="s">
        <v>10</v>
      </c>
      <c r="G8" s="14" t="s">
        <v>11</v>
      </c>
      <c r="H8" s="14" t="s">
        <v>12</v>
      </c>
      <c r="I8" s="14" t="s">
        <v>13</v>
      </c>
      <c r="J8" s="14" t="s">
        <v>14</v>
      </c>
      <c r="K8" s="14" t="s">
        <v>15</v>
      </c>
      <c r="L8" s="14" t="s">
        <v>16</v>
      </c>
      <c r="M8" s="14" t="s">
        <v>17</v>
      </c>
      <c r="N8" s="14" t="s">
        <v>18</v>
      </c>
      <c r="O8" s="14" t="s">
        <v>19</v>
      </c>
      <c r="P8" s="14" t="s">
        <v>20</v>
      </c>
      <c r="Q8" s="14" t="s">
        <v>21</v>
      </c>
      <c r="R8" s="14" t="s">
        <v>22</v>
      </c>
      <c r="S8" s="15" t="s">
        <v>23</v>
      </c>
      <c r="T8" s="15" t="s">
        <v>24</v>
      </c>
      <c r="U8" s="15" t="s">
        <v>25</v>
      </c>
      <c r="V8" s="16" t="s">
        <v>26</v>
      </c>
      <c r="W8" s="36" t="s">
        <v>65</v>
      </c>
      <c r="X8" s="33" t="s">
        <v>65</v>
      </c>
      <c r="Y8" s="36" t="s">
        <v>66</v>
      </c>
      <c r="Z8" s="35" t="s">
        <v>66</v>
      </c>
      <c r="AA8" s="34" t="s">
        <v>55</v>
      </c>
      <c r="AB8" s="33" t="s">
        <v>55</v>
      </c>
      <c r="AC8" s="36" t="s">
        <v>67</v>
      </c>
      <c r="AD8" s="35" t="s">
        <v>67</v>
      </c>
      <c r="AE8" s="38"/>
      <c r="AF8" s="39"/>
      <c r="AG8" s="39" t="s">
        <v>63</v>
      </c>
      <c r="AH8" s="40" t="s">
        <v>73</v>
      </c>
      <c r="AI8" s="39"/>
      <c r="AJ8" s="13" t="s">
        <v>8</v>
      </c>
      <c r="AK8" s="14" t="s">
        <v>9</v>
      </c>
      <c r="AL8" s="14" t="s">
        <v>10</v>
      </c>
      <c r="AM8" s="14" t="s">
        <v>11</v>
      </c>
      <c r="AN8" s="14" t="s">
        <v>12</v>
      </c>
      <c r="AO8" s="14" t="s">
        <v>13</v>
      </c>
      <c r="AP8" s="164" t="s">
        <v>14</v>
      </c>
      <c r="AQ8" s="14" t="s">
        <v>15</v>
      </c>
      <c r="AR8" s="14" t="s">
        <v>16</v>
      </c>
      <c r="AS8" s="14" t="s">
        <v>17</v>
      </c>
      <c r="AT8" s="14" t="s">
        <v>18</v>
      </c>
      <c r="AU8" s="14" t="s">
        <v>19</v>
      </c>
      <c r="AV8" s="14" t="s">
        <v>20</v>
      </c>
      <c r="AW8" s="14" t="s">
        <v>21</v>
      </c>
      <c r="AX8" s="14" t="s">
        <v>22</v>
      </c>
      <c r="AY8" s="16" t="s">
        <v>23</v>
      </c>
      <c r="AZ8" s="59" t="s">
        <v>78</v>
      </c>
      <c r="BA8" s="87" t="s">
        <v>131</v>
      </c>
      <c r="BB8" s="87" t="s">
        <v>133</v>
      </c>
      <c r="BC8" s="13" t="s">
        <v>8</v>
      </c>
      <c r="BD8" s="14" t="s">
        <v>9</v>
      </c>
      <c r="BE8" s="14" t="s">
        <v>10</v>
      </c>
      <c r="BF8" s="14" t="s">
        <v>11</v>
      </c>
      <c r="BG8" s="14" t="s">
        <v>12</v>
      </c>
      <c r="BH8" s="14" t="s">
        <v>13</v>
      </c>
      <c r="BI8" s="14" t="s">
        <v>14</v>
      </c>
      <c r="BJ8" s="14" t="s">
        <v>15</v>
      </c>
      <c r="BK8" s="14" t="s">
        <v>16</v>
      </c>
      <c r="BL8" s="14" t="s">
        <v>17</v>
      </c>
      <c r="BM8" s="14" t="s">
        <v>18</v>
      </c>
      <c r="BN8" s="14" t="s">
        <v>19</v>
      </c>
      <c r="BO8" s="14" t="s">
        <v>20</v>
      </c>
      <c r="BP8" s="14" t="s">
        <v>21</v>
      </c>
      <c r="BQ8" s="14" t="s">
        <v>22</v>
      </c>
      <c r="BR8" s="16" t="s">
        <v>23</v>
      </c>
      <c r="BS8" s="59" t="s">
        <v>78</v>
      </c>
      <c r="BT8" t="s">
        <v>131</v>
      </c>
      <c r="BU8" t="s">
        <v>133</v>
      </c>
    </row>
    <row r="9" spans="1:73" s="47" customFormat="1" ht="16" thickBot="1" x14ac:dyDescent="0.4">
      <c r="A9" s="63" t="str">
        <f>Table2[[#This Row],[Date]]</f>
        <v>20-03-18</v>
      </c>
      <c r="B9" s="74">
        <f>Table2[[#This Row],[Time]]</f>
        <v>0</v>
      </c>
      <c r="C9" s="41">
        <v>0</v>
      </c>
      <c r="D9" s="18" t="s">
        <v>34</v>
      </c>
      <c r="E9" s="18" t="s">
        <v>34</v>
      </c>
      <c r="F9" s="18" t="s">
        <v>34</v>
      </c>
      <c r="G9" s="18" t="s">
        <v>34</v>
      </c>
      <c r="H9" s="18" t="s">
        <v>34</v>
      </c>
      <c r="I9" s="18" t="s">
        <v>34</v>
      </c>
      <c r="J9" s="18" t="s">
        <v>34</v>
      </c>
      <c r="K9" s="18" t="s">
        <v>34</v>
      </c>
      <c r="L9" s="18" t="s">
        <v>34</v>
      </c>
      <c r="M9" s="18" t="s">
        <v>34</v>
      </c>
      <c r="N9" s="18" t="s">
        <v>34</v>
      </c>
      <c r="O9" s="18" t="s">
        <v>34</v>
      </c>
      <c r="P9" s="18" t="s">
        <v>34</v>
      </c>
      <c r="Q9" s="18" t="s">
        <v>34</v>
      </c>
      <c r="R9" s="18" t="s">
        <v>34</v>
      </c>
      <c r="S9" s="18" t="s">
        <v>34</v>
      </c>
      <c r="T9" s="18" t="s">
        <v>34</v>
      </c>
      <c r="U9" s="18" t="s">
        <v>34</v>
      </c>
      <c r="V9" s="76" t="s">
        <v>34</v>
      </c>
      <c r="W9" s="45"/>
      <c r="X9" s="45"/>
      <c r="Y9" s="45"/>
      <c r="Z9" s="45"/>
      <c r="AA9" s="45"/>
      <c r="AB9" s="45"/>
      <c r="AC9" s="45"/>
      <c r="AD9" s="46"/>
      <c r="AE9" s="91">
        <v>7</v>
      </c>
      <c r="AF9" s="45"/>
      <c r="AG9" s="45"/>
      <c r="AH9" s="45">
        <v>0</v>
      </c>
      <c r="AI9"/>
      <c r="AJ9" s="64" t="str">
        <f>IF(D9="nd","nd",D9*$C9/constants!$B$3)</f>
        <v>nd</v>
      </c>
      <c r="AK9" s="64" t="str">
        <f>IF(E9="nd","nd",E9*$C9/constants!$B$6)</f>
        <v>nd</v>
      </c>
      <c r="AL9" s="64" t="str">
        <f>IF(F9="nd","nd",F9*$C9/constants!$B$7)</f>
        <v>nd</v>
      </c>
      <c r="AM9" s="64" t="str">
        <f>IF(G9="nd","nd",G9*$C9/constants!$B$8)</f>
        <v>nd</v>
      </c>
      <c r="AN9" s="64" t="str">
        <f>IF(H9="nd","nd",H9*$C9/constants!$B$9)</f>
        <v>nd</v>
      </c>
      <c r="AO9" s="64" t="str">
        <f>IF(I9="nd","nd",I9*$C9/constants!$B$10)</f>
        <v>nd</v>
      </c>
      <c r="AP9" s="64" t="e">
        <f>(IF(IFERROR(J9-#REF!,J9)&gt;constants!$D$5,(IFERROR(J9-#REF!,J9)*$C9/constants!$B$5),0))</f>
        <v>#VALUE!</v>
      </c>
      <c r="AQ9" s="64" t="e">
        <f>(IF(IFERROR(K9-#REF!,K9)&gt;constants!$D$11,(IFERROR(K9-#REF!,K9)*$C9/constants!$B$11),0))</f>
        <v>#VALUE!</v>
      </c>
      <c r="AR9" s="64" t="e">
        <f>(IF(IFERROR(L9-#REF!,L9)&gt;constants!$D$19,(IFERROR(L9-#REF!,L9)*$C9/constants!$B$19),0))</f>
        <v>#VALUE!</v>
      </c>
      <c r="AS9" s="64" t="e">
        <f>(IF(IFERROR(M9-#REF!,M9)&gt;constants!$D$4,(IFERROR(M9-#REF!,M9)*$C9/constants!$B$4),0))</f>
        <v>#VALUE!</v>
      </c>
      <c r="AT9" s="64" t="e">
        <f>(IF(IFERROR(N9-#REF!,N9)&gt;constants!$D$5,(IFERROR(N9-#REF!,N9)*$C9/constants!$B$5),0))</f>
        <v>#VALUE!</v>
      </c>
      <c r="AU9" s="64" t="e">
        <f>(IF(IFERROR(O9-#REF!,O9)&gt;constants!$D$12,(IFERROR(O9-#REF!,O9)*$C9/constants!$B$12),0))</f>
        <v>#VALUE!</v>
      </c>
      <c r="AV9" s="64" t="e">
        <f>(IF(IFERROR(P9-#REF!,P9)&gt;constants!$D$5,(IFERROR(P9-#REF!,P9)*$C9/constants!$B$5),0))</f>
        <v>#VALUE!</v>
      </c>
      <c r="AW9" s="64" t="e">
        <f>(IF(IFERROR(Q9-#REF!,Q9)&gt;constants!$D$13,(IFERROR(Q9-#REF!,Q9)*$C9/constants!$B$13),0))</f>
        <v>#VALUE!</v>
      </c>
      <c r="AX9" s="64" t="e">
        <f>(IF(IFERROR(R9-#REF!,R9)&gt;constants!$D$14,(IFERROR(R9-#REF!,R9)*$C9/constants!$B$14),0))</f>
        <v>#VALUE!</v>
      </c>
      <c r="AY9" s="64" t="e">
        <f>(IF(IFERROR(S9-#REF!,S9)&gt;constants!$D$15,(IFERROR(S9-#REF!,S9)*$C9/constants!$B$15),0))</f>
        <v>#VALUE!</v>
      </c>
      <c r="AZ9" s="64">
        <f>IF(AH9="nd","nd",AH9*Table3152025303540[[#This Row],[dilution ]]/constants!$B$3)</f>
        <v>0</v>
      </c>
      <c r="BA9" s="64"/>
      <c r="BB9" s="64"/>
      <c r="BC9" s="64" t="e">
        <f>(Table5162126313641[[#This Row],[Concentration]]*constants!$C$3)/1000</f>
        <v>#VALUE!</v>
      </c>
      <c r="BD9" s="64" t="e">
        <f>(Table5162126313641[[#This Row],[Concentration2]]*constants!$C$6)/1000</f>
        <v>#VALUE!</v>
      </c>
      <c r="BE9" s="64" t="e">
        <f>(Table5162126313641[[#This Row],[Concentration3]]*constants!$C$7)/1000</f>
        <v>#VALUE!</v>
      </c>
      <c r="BF9" s="64" t="e">
        <f>(Table5162126313641[[#This Row],[Concentration4]]*constants!$C$8)/1000</f>
        <v>#VALUE!</v>
      </c>
      <c r="BG9" s="64" t="e">
        <f>(Table5162126313641[[#This Row],[Concentration5]]*constants!$C$9)/1000</f>
        <v>#VALUE!</v>
      </c>
      <c r="BH9" s="64" t="e">
        <f>(Table5162126313641[[#This Row],[Concentration6]]*constants!$C$10)/1000</f>
        <v>#VALUE!</v>
      </c>
      <c r="BI9" s="64" t="e">
        <f>(Table5162126313641[[#This Row],[Concentration7]]*constants!$C$5)</f>
        <v>#VALUE!</v>
      </c>
      <c r="BJ9" s="64" t="e">
        <f>(Table5162126313641[[#This Row],[Concentration8]]*3)</f>
        <v>#VALUE!</v>
      </c>
      <c r="BK9" s="64" t="e">
        <f>(Table5162126313641[[#This Row],[Concentration9]]*4)</f>
        <v>#VALUE!</v>
      </c>
      <c r="BL9" s="64" t="e">
        <f>(Table5162126313641[[#This Row],[Concentration10]]*4)</f>
        <v>#VALUE!</v>
      </c>
      <c r="BM9" s="64" t="e">
        <f>(Table5162126313641[[#This Row],[Concentration11]]*5)</f>
        <v>#VALUE!</v>
      </c>
      <c r="BN9" s="64" t="e">
        <f>(Table5162126313641[[#This Row],[Concentration12]]*5)</f>
        <v>#VALUE!</v>
      </c>
      <c r="BO9" s="64" t="e">
        <f>(Table5162126313641[[#This Row],[Concentration13]]*6)</f>
        <v>#VALUE!</v>
      </c>
      <c r="BP9" s="64" t="e">
        <f>(Table5162126313641[[#This Row],[Concentration14]]*6)</f>
        <v>#VALUE!</v>
      </c>
      <c r="BQ9" s="64" t="e">
        <f>(Table5162126313641[[#This Row],[Concentration15]]*7)</f>
        <v>#VALUE!</v>
      </c>
      <c r="BR9" s="64" t="e">
        <f>(Table5162126313641[[#This Row],[Concentration16]]*8)</f>
        <v>#VALUE!</v>
      </c>
      <c r="BS9" s="64">
        <f>(Table5162126313641[[#This Row],[Concentration17]]*3)/1000</f>
        <v>0</v>
      </c>
      <c r="BT9" s="47">
        <f>Table5162126313641[[#This Row],[Concentration18]]/1000</f>
        <v>0</v>
      </c>
      <c r="BU9" s="47">
        <f>Table5162126313641[[#This Row],[Concentration19]]/1000</f>
        <v>0</v>
      </c>
    </row>
    <row r="10" spans="1:73" s="66" customFormat="1" ht="16" thickBot="1" x14ac:dyDescent="0.4">
      <c r="A10" s="63" t="str">
        <f>Table2[[#This Row],[Date]]</f>
        <v>22-03-18</v>
      </c>
      <c r="B10" s="74">
        <f>Table2[[#This Row],[Time]]</f>
        <v>2</v>
      </c>
      <c r="C10" s="77">
        <v>0</v>
      </c>
      <c r="D10" s="49" t="s">
        <v>34</v>
      </c>
      <c r="E10" s="49" t="s">
        <v>34</v>
      </c>
      <c r="F10" s="49" t="s">
        <v>34</v>
      </c>
      <c r="G10" s="49" t="s">
        <v>34</v>
      </c>
      <c r="H10" s="49" t="s">
        <v>34</v>
      </c>
      <c r="I10" s="49" t="s">
        <v>34</v>
      </c>
      <c r="J10" s="49" t="s">
        <v>34</v>
      </c>
      <c r="K10" s="49" t="s">
        <v>34</v>
      </c>
      <c r="L10" s="49" t="s">
        <v>34</v>
      </c>
      <c r="M10" s="49" t="s">
        <v>34</v>
      </c>
      <c r="N10" s="50" t="s">
        <v>34</v>
      </c>
      <c r="O10" s="49" t="s">
        <v>34</v>
      </c>
      <c r="P10" s="49" t="s">
        <v>34</v>
      </c>
      <c r="Q10" s="49" t="s">
        <v>34</v>
      </c>
      <c r="R10" s="50" t="s">
        <v>34</v>
      </c>
      <c r="S10" s="51" t="s">
        <v>34</v>
      </c>
      <c r="T10" s="51" t="s">
        <v>34</v>
      </c>
      <c r="U10" s="51" t="s">
        <v>34</v>
      </c>
      <c r="V10" s="78" t="s">
        <v>34</v>
      </c>
      <c r="W10" s="32"/>
      <c r="X10" s="32"/>
      <c r="Y10" s="32"/>
      <c r="Z10" s="32"/>
      <c r="AA10" s="32"/>
      <c r="AB10" s="32"/>
      <c r="AC10" s="32"/>
      <c r="AD10" s="32"/>
      <c r="AE10" s="92">
        <v>7.05</v>
      </c>
      <c r="AF10" s="32"/>
      <c r="AG10" s="32"/>
      <c r="AH10" s="45">
        <v>0</v>
      </c>
      <c r="AI10"/>
      <c r="AJ10" s="64" t="str">
        <f>IF(D10="nd","nd",D10*$C10/constants!$B$3)</f>
        <v>nd</v>
      </c>
      <c r="AK10" s="64" t="str">
        <f>IF(E10="nd","nd",E10*$C10/constants!$B$6)</f>
        <v>nd</v>
      </c>
      <c r="AL10" s="64" t="str">
        <f>IF(F10="nd","nd",F10*$C10/constants!$B$7)</f>
        <v>nd</v>
      </c>
      <c r="AM10" s="64" t="str">
        <f>IF(G10="nd","nd",G10*$C10/constants!$B$8)</f>
        <v>nd</v>
      </c>
      <c r="AN10" s="64" t="str">
        <f>IF(H10="nd","nd",H10*$C10/constants!$B$9)</f>
        <v>nd</v>
      </c>
      <c r="AO10" s="64" t="str">
        <f>IF(I10="nd","nd",I10*$C10/constants!$B$10)</f>
        <v>nd</v>
      </c>
      <c r="AP10" s="64" t="e">
        <f>(IF(IFERROR(J10-#REF!,J10)&gt;constants!$D$5,(IFERROR(J10-#REF!,J10)*$C10/constants!$B$5),0))</f>
        <v>#VALUE!</v>
      </c>
      <c r="AQ10" s="64" t="e">
        <f>(IF(IFERROR(K10-#REF!,K10)&gt;constants!$D$11,(IFERROR(K10-#REF!,K10)*$C10/constants!$B$11),0))</f>
        <v>#VALUE!</v>
      </c>
      <c r="AR10" s="64" t="e">
        <f>(IF(IFERROR(L10-#REF!,L10)&gt;constants!$D$19,(IFERROR(L10-#REF!,L10)*$C10/constants!$B$19),0))</f>
        <v>#VALUE!</v>
      </c>
      <c r="AS10" s="64" t="e">
        <f>(IF(IFERROR(M10-#REF!,M10)&gt;constants!$D$4,(IFERROR(M10-#REF!,M10)*$C10/constants!$B$4),0))</f>
        <v>#VALUE!</v>
      </c>
      <c r="AT10" s="64" t="e">
        <f>(IF(IFERROR(N10-#REF!,N10)&gt;constants!$D$5,(IFERROR(N10-#REF!,N10)*$C10/constants!$B$5),0))</f>
        <v>#VALUE!</v>
      </c>
      <c r="AU10" s="64" t="e">
        <f>(IF(IFERROR(O10-#REF!,O10)&gt;constants!$D$12,(IFERROR(O10-#REF!,O10)*$C10/constants!$B$12),0))</f>
        <v>#VALUE!</v>
      </c>
      <c r="AV10" s="64" t="e">
        <f>(IF(IFERROR(P10-#REF!,P10)&gt;constants!$D$5,(IFERROR(P10-#REF!,P10)*$C10/constants!$B$5),0))</f>
        <v>#VALUE!</v>
      </c>
      <c r="AW10" s="64" t="e">
        <f>(IF(IFERROR(Q10-#REF!,Q10)&gt;constants!$D$13,(IFERROR(Q10-#REF!,Q10)*$C10/constants!$B$13),0))</f>
        <v>#VALUE!</v>
      </c>
      <c r="AX10" s="64" t="e">
        <f>(IF(IFERROR(R10-#REF!,R10)&gt;constants!$D$14,(IFERROR(R10-#REF!,R10)*$C10/constants!$B$14),0))</f>
        <v>#VALUE!</v>
      </c>
      <c r="AY10" s="64" t="e">
        <f>(IF(IFERROR(S10-#REF!,S10)&gt;constants!$D$15,(IFERROR(S10-#REF!,S10)*$C10/constants!$B$15),0))</f>
        <v>#VALUE!</v>
      </c>
      <c r="AZ10" s="64">
        <f>IF(AH10="nd","nd",AH10*Table3152025303540[[#This Row],[dilution ]]/constants!$B$3)</f>
        <v>0</v>
      </c>
      <c r="BA10" s="64"/>
      <c r="BB10" s="64"/>
      <c r="BC10" s="64" t="e">
        <f>(Table5162126313641[[#This Row],[Concentration]]*constants!$C$3)/1000</f>
        <v>#VALUE!</v>
      </c>
      <c r="BD10" s="64" t="e">
        <f>(Table5162126313641[[#This Row],[Concentration2]]*constants!$C$6)/1000</f>
        <v>#VALUE!</v>
      </c>
      <c r="BE10" s="64" t="e">
        <f>(Table5162126313641[[#This Row],[Concentration3]]*constants!$C$7)/1000</f>
        <v>#VALUE!</v>
      </c>
      <c r="BF10" s="64" t="e">
        <f>(Table5162126313641[[#This Row],[Concentration4]]*constants!$C$8)/1000</f>
        <v>#VALUE!</v>
      </c>
      <c r="BG10" s="64" t="e">
        <f>(Table5162126313641[[#This Row],[Concentration5]]*constants!$C$9)/1000</f>
        <v>#VALUE!</v>
      </c>
      <c r="BH10" s="64" t="e">
        <f>(Table5162126313641[[#This Row],[Concentration6]]*constants!$C$10)/1000</f>
        <v>#VALUE!</v>
      </c>
      <c r="BI10" s="64" t="e">
        <f>(Table5162126313641[[#This Row],[Concentration7]]*constants!$C$5)</f>
        <v>#VALUE!</v>
      </c>
      <c r="BJ10" s="64" t="e">
        <f>(Table5162126313641[[#This Row],[Concentration8]]*3)</f>
        <v>#VALUE!</v>
      </c>
      <c r="BK10" s="64" t="e">
        <f>(Table5162126313641[[#This Row],[Concentration9]]*4)</f>
        <v>#VALUE!</v>
      </c>
      <c r="BL10" s="64" t="e">
        <f>(Table5162126313641[[#This Row],[Concentration10]]*4)</f>
        <v>#VALUE!</v>
      </c>
      <c r="BM10" s="64" t="e">
        <f>(Table5162126313641[[#This Row],[Concentration11]]*5)</f>
        <v>#VALUE!</v>
      </c>
      <c r="BN10" s="64" t="e">
        <f>(Table5162126313641[[#This Row],[Concentration12]]*5)</f>
        <v>#VALUE!</v>
      </c>
      <c r="BO10" s="64" t="e">
        <f>(Table5162126313641[[#This Row],[Concentration13]]*6)</f>
        <v>#VALUE!</v>
      </c>
      <c r="BP10" s="64" t="e">
        <f>(Table5162126313641[[#This Row],[Concentration14]]*6)</f>
        <v>#VALUE!</v>
      </c>
      <c r="BQ10" s="64" t="e">
        <f>(Table5162126313641[[#This Row],[Concentration15]]*7)</f>
        <v>#VALUE!</v>
      </c>
      <c r="BR10" s="64" t="e">
        <f>(Table5162126313641[[#This Row],[Concentration16]]*8)</f>
        <v>#VALUE!</v>
      </c>
      <c r="BS10" s="64">
        <f>(Table5162126313641[[#This Row],[Concentration17]]*3)/1000</f>
        <v>0</v>
      </c>
      <c r="BT10" s="47">
        <f>Table5162126313641[[#This Row],[Concentration18]]/1000</f>
        <v>0</v>
      </c>
      <c r="BU10" s="47">
        <f>Table5162126313641[[#This Row],[Concentration19]]/1000</f>
        <v>0</v>
      </c>
    </row>
    <row r="11" spans="1:73" s="47" customFormat="1" ht="16" thickBot="1" x14ac:dyDescent="0.4">
      <c r="A11" s="63" t="str">
        <f>Table2[[#This Row],[Date]]</f>
        <v>23-03-18</v>
      </c>
      <c r="B11" s="74">
        <f>Table2[[#This Row],[Time]]</f>
        <v>3</v>
      </c>
      <c r="C11" s="41">
        <v>0</v>
      </c>
      <c r="D11" s="18" t="s">
        <v>34</v>
      </c>
      <c r="E11" s="18" t="s">
        <v>34</v>
      </c>
      <c r="F11" s="18" t="s">
        <v>34</v>
      </c>
      <c r="G11" s="18" t="s">
        <v>34</v>
      </c>
      <c r="H11" s="18" t="s">
        <v>34</v>
      </c>
      <c r="I11" s="18" t="s">
        <v>34</v>
      </c>
      <c r="J11" s="18" t="s">
        <v>34</v>
      </c>
      <c r="K11" s="18" t="s">
        <v>34</v>
      </c>
      <c r="L11" s="18" t="s">
        <v>34</v>
      </c>
      <c r="M11" s="18" t="s">
        <v>34</v>
      </c>
      <c r="N11" s="19" t="s">
        <v>34</v>
      </c>
      <c r="O11" s="18" t="s">
        <v>34</v>
      </c>
      <c r="P11" s="18" t="s">
        <v>34</v>
      </c>
      <c r="Q11" s="18" t="s">
        <v>34</v>
      </c>
      <c r="R11" s="19" t="s">
        <v>34</v>
      </c>
      <c r="S11" s="20" t="s">
        <v>34</v>
      </c>
      <c r="T11" s="20" t="s">
        <v>34</v>
      </c>
      <c r="U11" s="20" t="s">
        <v>34</v>
      </c>
      <c r="V11" s="21" t="s">
        <v>34</v>
      </c>
      <c r="W11" s="52"/>
      <c r="X11" s="52"/>
      <c r="Y11" s="52"/>
      <c r="Z11" s="52"/>
      <c r="AA11" s="52"/>
      <c r="AB11" s="52"/>
      <c r="AC11" s="52"/>
      <c r="AD11" s="52"/>
      <c r="AE11" s="92">
        <v>7.03</v>
      </c>
      <c r="AF11" s="52"/>
      <c r="AG11" s="52"/>
      <c r="AH11" s="45">
        <v>0</v>
      </c>
      <c r="AI11"/>
      <c r="AJ11" s="64" t="str">
        <f>IF(D11="nd","nd",D11*$C11/constants!$B$3)</f>
        <v>nd</v>
      </c>
      <c r="AK11" s="64" t="str">
        <f>IF(E11="nd","nd",E11*$C11/constants!$B$6)</f>
        <v>nd</v>
      </c>
      <c r="AL11" s="64" t="str">
        <f>IF(F11="nd","nd",F11*$C11/constants!$B$7)</f>
        <v>nd</v>
      </c>
      <c r="AM11" s="64" t="str">
        <f>IF(G11="nd","nd",G11*$C11/constants!$B$8)</f>
        <v>nd</v>
      </c>
      <c r="AN11" s="64" t="str">
        <f>IF(H11="nd","nd",H11*$C11/constants!$B$9)</f>
        <v>nd</v>
      </c>
      <c r="AO11" s="64" t="str">
        <f>IF(I11="nd","nd",I11*$C11/constants!$B$10)</f>
        <v>nd</v>
      </c>
      <c r="AP11" s="64" t="e">
        <f>(IF(IFERROR(J11-#REF!,J11)&gt;constants!$D$5,(IFERROR(J11-#REF!,J11)*$C11/constants!$B$5),0))</f>
        <v>#VALUE!</v>
      </c>
      <c r="AQ11" s="64" t="e">
        <f>(IF(IFERROR(K11-#REF!,K11)&gt;constants!$D$11,(IFERROR(K11-#REF!,K11)*$C11/constants!$B$11),0))</f>
        <v>#VALUE!</v>
      </c>
      <c r="AR11" s="64" t="e">
        <f>(IF(IFERROR(L11-#REF!,L11)&gt;constants!$D$19,(IFERROR(L11-#REF!,L11)*$C11/constants!$B$19),0))</f>
        <v>#VALUE!</v>
      </c>
      <c r="AS11" s="64" t="e">
        <f>(IF(IFERROR(M11-#REF!,M11)&gt;constants!$D$4,(IFERROR(M11-#REF!,M11)*$C11/constants!$B$4),0))</f>
        <v>#VALUE!</v>
      </c>
      <c r="AT11" s="64" t="e">
        <f>(IF(IFERROR(N11-#REF!,N11)&gt;constants!$D$5,(IFERROR(N11-#REF!,N11)*$C11/constants!$B$5),0))</f>
        <v>#VALUE!</v>
      </c>
      <c r="AU11" s="64" t="e">
        <f>(IF(IFERROR(O11-#REF!,O11)&gt;constants!$D$12,(IFERROR(O11-#REF!,O11)*$C11/constants!$B$12),0))</f>
        <v>#VALUE!</v>
      </c>
      <c r="AV11" s="64" t="e">
        <f>(IF(IFERROR(P11-#REF!,P11)&gt;constants!$D$5,(IFERROR(P11-#REF!,P11)*$C11/constants!$B$5),0))</f>
        <v>#VALUE!</v>
      </c>
      <c r="AW11" s="64" t="e">
        <f>(IF(IFERROR(Q11-#REF!,Q11)&gt;constants!$D$13,(IFERROR(Q11-#REF!,Q11)*$C11/constants!$B$13),0))</f>
        <v>#VALUE!</v>
      </c>
      <c r="AX11" s="64" t="e">
        <f>(IF(IFERROR(R11-#REF!,R11)&gt;constants!$D$14,(IFERROR(R11-#REF!,R11)*$C11/constants!$B$14),0))</f>
        <v>#VALUE!</v>
      </c>
      <c r="AY11" s="64" t="e">
        <f>(IF(IFERROR(S11-#REF!,S11)&gt;constants!$D$15,(IFERROR(S11-#REF!,S11)*$C11/constants!$B$15),0))</f>
        <v>#VALUE!</v>
      </c>
      <c r="AZ11" s="64">
        <f>IF(AH11="nd","nd",AH11*Table3152025303540[[#This Row],[dilution ]]/constants!$B$3)</f>
        <v>0</v>
      </c>
      <c r="BA11" s="64"/>
      <c r="BB11" s="64"/>
      <c r="BC11" s="64" t="e">
        <f>(Table5162126313641[[#This Row],[Concentration]]*constants!$C$3)/1000</f>
        <v>#VALUE!</v>
      </c>
      <c r="BD11" s="64" t="e">
        <f>(Table5162126313641[[#This Row],[Concentration2]]*constants!$C$6)/1000</f>
        <v>#VALUE!</v>
      </c>
      <c r="BE11" s="64" t="e">
        <f>(Table5162126313641[[#This Row],[Concentration3]]*constants!$C$7)/1000</f>
        <v>#VALUE!</v>
      </c>
      <c r="BF11" s="64" t="e">
        <f>(Table5162126313641[[#This Row],[Concentration4]]*constants!$C$8)/1000</f>
        <v>#VALUE!</v>
      </c>
      <c r="BG11" s="64" t="e">
        <f>(Table5162126313641[[#This Row],[Concentration5]]*constants!$C$9)/1000</f>
        <v>#VALUE!</v>
      </c>
      <c r="BH11" s="64" t="e">
        <f>(Table5162126313641[[#This Row],[Concentration6]]*constants!$C$10)/1000</f>
        <v>#VALUE!</v>
      </c>
      <c r="BI11" s="64" t="e">
        <f>(Table5162126313641[[#This Row],[Concentration7]]*constants!$C$5)</f>
        <v>#VALUE!</v>
      </c>
      <c r="BJ11" s="64" t="e">
        <f>(Table5162126313641[[#This Row],[Concentration8]]*3)</f>
        <v>#VALUE!</v>
      </c>
      <c r="BK11" s="64" t="e">
        <f>(Table5162126313641[[#This Row],[Concentration9]]*4)</f>
        <v>#VALUE!</v>
      </c>
      <c r="BL11" s="64" t="e">
        <f>(Table5162126313641[[#This Row],[Concentration10]]*4)</f>
        <v>#VALUE!</v>
      </c>
      <c r="BM11" s="64" t="e">
        <f>(Table5162126313641[[#This Row],[Concentration11]]*5)</f>
        <v>#VALUE!</v>
      </c>
      <c r="BN11" s="64" t="e">
        <f>(Table5162126313641[[#This Row],[Concentration12]]*5)</f>
        <v>#VALUE!</v>
      </c>
      <c r="BO11" s="64" t="e">
        <f>(Table5162126313641[[#This Row],[Concentration13]]*6)</f>
        <v>#VALUE!</v>
      </c>
      <c r="BP11" s="64" t="e">
        <f>(Table5162126313641[[#This Row],[Concentration14]]*6)</f>
        <v>#VALUE!</v>
      </c>
      <c r="BQ11" s="64" t="e">
        <f>(Table5162126313641[[#This Row],[Concentration15]]*7)</f>
        <v>#VALUE!</v>
      </c>
      <c r="BR11" s="64" t="e">
        <f>(Table5162126313641[[#This Row],[Concentration16]]*8)</f>
        <v>#VALUE!</v>
      </c>
      <c r="BS11" s="64">
        <f>(Table5162126313641[[#This Row],[Concentration17]]*3)/1000</f>
        <v>0</v>
      </c>
      <c r="BT11" s="47">
        <f>Table5162126313641[[#This Row],[Concentration18]]/1000</f>
        <v>0</v>
      </c>
      <c r="BU11" s="47">
        <f>Table5162126313641[[#This Row],[Concentration19]]/1000</f>
        <v>0</v>
      </c>
    </row>
    <row r="12" spans="1:73" s="66" customFormat="1" ht="16" thickBot="1" x14ac:dyDescent="0.4">
      <c r="A12" s="63" t="str">
        <f>Table2[[#This Row],[Date]]</f>
        <v>26-03-18</v>
      </c>
      <c r="B12" s="74">
        <f>Table2[[#This Row],[Time]]</f>
        <v>6</v>
      </c>
      <c r="C12" s="77">
        <v>0</v>
      </c>
      <c r="D12" s="49" t="s">
        <v>34</v>
      </c>
      <c r="E12" s="49" t="s">
        <v>34</v>
      </c>
      <c r="F12" s="49" t="s">
        <v>34</v>
      </c>
      <c r="G12" s="49" t="s">
        <v>34</v>
      </c>
      <c r="H12" s="49" t="s">
        <v>34</v>
      </c>
      <c r="I12" s="49" t="s">
        <v>34</v>
      </c>
      <c r="J12" s="49" t="s">
        <v>34</v>
      </c>
      <c r="K12" s="49" t="s">
        <v>34</v>
      </c>
      <c r="L12" s="49" t="s">
        <v>34</v>
      </c>
      <c r="M12" s="49" t="s">
        <v>34</v>
      </c>
      <c r="N12" s="50" t="s">
        <v>34</v>
      </c>
      <c r="O12" s="49" t="s">
        <v>34</v>
      </c>
      <c r="P12" s="49" t="s">
        <v>34</v>
      </c>
      <c r="Q12" s="49" t="s">
        <v>34</v>
      </c>
      <c r="R12" s="50" t="s">
        <v>34</v>
      </c>
      <c r="S12" s="51" t="s">
        <v>34</v>
      </c>
      <c r="T12" s="51" t="s">
        <v>34</v>
      </c>
      <c r="U12" s="51" t="s">
        <v>34</v>
      </c>
      <c r="V12" s="78" t="s">
        <v>34</v>
      </c>
      <c r="W12" s="32"/>
      <c r="X12" s="32"/>
      <c r="Y12" s="32"/>
      <c r="Z12" s="32"/>
      <c r="AA12" s="32"/>
      <c r="AB12" s="32"/>
      <c r="AC12" s="32"/>
      <c r="AD12" s="32"/>
      <c r="AE12" s="80">
        <v>7.04</v>
      </c>
      <c r="AF12" s="32"/>
      <c r="AG12" s="32"/>
      <c r="AH12" s="45">
        <v>0</v>
      </c>
      <c r="AI12"/>
      <c r="AJ12" s="64" t="str">
        <f>IF(D12="nd","nd",D12*$C12/constants!$B$3)</f>
        <v>nd</v>
      </c>
      <c r="AK12" s="64" t="str">
        <f>IF(E12="nd","nd",E12*$C12/constants!$B$6)</f>
        <v>nd</v>
      </c>
      <c r="AL12" s="64" t="str">
        <f>IF(F12="nd","nd",F12*$C12/constants!$B$7)</f>
        <v>nd</v>
      </c>
      <c r="AM12" s="64" t="str">
        <f>IF(G12="nd","nd",G12*$C12/constants!$B$8)</f>
        <v>nd</v>
      </c>
      <c r="AN12" s="64" t="str">
        <f>IF(H12="nd","nd",H12*$C12/constants!$B$9)</f>
        <v>nd</v>
      </c>
      <c r="AO12" s="64" t="str">
        <f>IF(I12="nd","nd",I12*$C12/constants!$B$10)</f>
        <v>nd</v>
      </c>
      <c r="AP12" s="64" t="e">
        <f>(IF(IFERROR(J12-#REF!,J12)&gt;constants!$D$5,(IFERROR(J12-#REF!,J12)*$C12/constants!$B$5),0))</f>
        <v>#VALUE!</v>
      </c>
      <c r="AQ12" s="64" t="e">
        <f>(IF(IFERROR(K12-#REF!,K12)&gt;constants!$D$11,(IFERROR(K12-#REF!,K12)*$C12/constants!$B$11),0))</f>
        <v>#VALUE!</v>
      </c>
      <c r="AR12" s="64" t="e">
        <f>(IF(IFERROR(L12-#REF!,L12)&gt;constants!$D$19,(IFERROR(L12-#REF!,L12)*$C12/constants!$B$19),0))</f>
        <v>#VALUE!</v>
      </c>
      <c r="AS12" s="64" t="e">
        <f>(IF(IFERROR(M12-#REF!,M12)&gt;constants!$D$4,(IFERROR(M12-#REF!,M12)*$C12/constants!$B$4),0))</f>
        <v>#VALUE!</v>
      </c>
      <c r="AT12" s="64" t="e">
        <f>(IF(IFERROR(N12-#REF!,N12)&gt;constants!$D$5,(IFERROR(N12-#REF!,N12)*$C12/constants!$B$5),0))</f>
        <v>#VALUE!</v>
      </c>
      <c r="AU12" s="64" t="e">
        <f>(IF(IFERROR(O12-#REF!,O12)&gt;constants!$D$12,(IFERROR(O12-#REF!,O12)*$C12/constants!$B$12),0))</f>
        <v>#VALUE!</v>
      </c>
      <c r="AV12" s="64" t="e">
        <f>(IF(IFERROR(P12-#REF!,P12)&gt;constants!$D$5,(IFERROR(P12-#REF!,P12)*$C12/constants!$B$5),0))</f>
        <v>#VALUE!</v>
      </c>
      <c r="AW12" s="64" t="e">
        <f>(IF(IFERROR(Q12-#REF!,Q12)&gt;constants!$D$13,(IFERROR(Q12-#REF!,Q12)*$C12/constants!$B$13),0))</f>
        <v>#VALUE!</v>
      </c>
      <c r="AX12" s="64" t="e">
        <f>(IF(IFERROR(R12-#REF!,R12)&gt;constants!$D$14,(IFERROR(R12-#REF!,R12)*$C12/constants!$B$14),0))</f>
        <v>#VALUE!</v>
      </c>
      <c r="AY12" s="64" t="e">
        <f>(IF(IFERROR(S12-#REF!,S12)&gt;constants!$D$15,(IFERROR(S12-#REF!,S12)*$C12/constants!$B$15),0))</f>
        <v>#VALUE!</v>
      </c>
      <c r="AZ12" s="64">
        <f>IF(AH12="nd","nd",AH12*Table3152025303540[[#This Row],[dilution ]]/constants!$B$3)</f>
        <v>0</v>
      </c>
      <c r="BA12" s="64"/>
      <c r="BB12" s="64"/>
      <c r="BC12" s="64" t="e">
        <f>(Table5162126313641[[#This Row],[Concentration]]*constants!$C$3)/1000</f>
        <v>#VALUE!</v>
      </c>
      <c r="BD12" s="64" t="e">
        <f>(Table5162126313641[[#This Row],[Concentration2]]*constants!$C$6)/1000</f>
        <v>#VALUE!</v>
      </c>
      <c r="BE12" s="64" t="e">
        <f>(Table5162126313641[[#This Row],[Concentration3]]*constants!$C$7)/1000</f>
        <v>#VALUE!</v>
      </c>
      <c r="BF12" s="64" t="e">
        <f>(Table5162126313641[[#This Row],[Concentration4]]*constants!$C$8)/1000</f>
        <v>#VALUE!</v>
      </c>
      <c r="BG12" s="64" t="e">
        <f>(Table5162126313641[[#This Row],[Concentration5]]*constants!$C$9)/1000</f>
        <v>#VALUE!</v>
      </c>
      <c r="BH12" s="64" t="e">
        <f>(Table5162126313641[[#This Row],[Concentration6]]*constants!$C$10)/1000</f>
        <v>#VALUE!</v>
      </c>
      <c r="BI12" s="64" t="e">
        <f>(Table5162126313641[[#This Row],[Concentration7]]*constants!$C$5)</f>
        <v>#VALUE!</v>
      </c>
      <c r="BJ12" s="64" t="e">
        <f>(Table5162126313641[[#This Row],[Concentration8]]*3)</f>
        <v>#VALUE!</v>
      </c>
      <c r="BK12" s="64" t="e">
        <f>(Table5162126313641[[#This Row],[Concentration9]]*4)</f>
        <v>#VALUE!</v>
      </c>
      <c r="BL12" s="64" t="e">
        <f>(Table5162126313641[[#This Row],[Concentration10]]*4)</f>
        <v>#VALUE!</v>
      </c>
      <c r="BM12" s="64" t="e">
        <f>(Table5162126313641[[#This Row],[Concentration11]]*5)</f>
        <v>#VALUE!</v>
      </c>
      <c r="BN12" s="64" t="e">
        <f>(Table5162126313641[[#This Row],[Concentration12]]*5)</f>
        <v>#VALUE!</v>
      </c>
      <c r="BO12" s="64" t="e">
        <f>(Table5162126313641[[#This Row],[Concentration13]]*6)</f>
        <v>#VALUE!</v>
      </c>
      <c r="BP12" s="64" t="e">
        <f>(Table5162126313641[[#This Row],[Concentration14]]*6)</f>
        <v>#VALUE!</v>
      </c>
      <c r="BQ12" s="64" t="e">
        <f>(Table5162126313641[[#This Row],[Concentration15]]*7)</f>
        <v>#VALUE!</v>
      </c>
      <c r="BR12" s="64" t="e">
        <f>(Table5162126313641[[#This Row],[Concentration16]]*8)</f>
        <v>#VALUE!</v>
      </c>
      <c r="BS12" s="64">
        <f>(Table5162126313641[[#This Row],[Concentration17]]*3)/1000</f>
        <v>0</v>
      </c>
      <c r="BT12" s="47">
        <f>Table5162126313641[[#This Row],[Concentration18]]/1000</f>
        <v>0</v>
      </c>
      <c r="BU12" s="47">
        <f>Table5162126313641[[#This Row],[Concentration19]]/1000</f>
        <v>0</v>
      </c>
    </row>
    <row r="13" spans="1:73" s="47" customFormat="1" ht="16" thickBot="1" x14ac:dyDescent="0.4">
      <c r="A13" s="63" t="str">
        <f>Table2[[#This Row],[Date]]</f>
        <v>29-03-18</v>
      </c>
      <c r="B13" s="74">
        <f>Table2[[#This Row],[Time]]</f>
        <v>9</v>
      </c>
      <c r="C13" s="41">
        <v>0</v>
      </c>
      <c r="D13" s="18" t="s">
        <v>34</v>
      </c>
      <c r="E13" s="18" t="s">
        <v>34</v>
      </c>
      <c r="F13" s="18" t="s">
        <v>34</v>
      </c>
      <c r="G13" s="18" t="s">
        <v>34</v>
      </c>
      <c r="H13" s="18" t="s">
        <v>34</v>
      </c>
      <c r="I13" s="18" t="s">
        <v>34</v>
      </c>
      <c r="J13" s="18" t="s">
        <v>34</v>
      </c>
      <c r="K13" s="18" t="s">
        <v>34</v>
      </c>
      <c r="L13" s="18" t="s">
        <v>34</v>
      </c>
      <c r="M13" s="18" t="s">
        <v>34</v>
      </c>
      <c r="N13" s="19" t="s">
        <v>34</v>
      </c>
      <c r="O13" s="18" t="s">
        <v>34</v>
      </c>
      <c r="P13" s="18" t="s">
        <v>34</v>
      </c>
      <c r="Q13" s="18" t="s">
        <v>34</v>
      </c>
      <c r="R13" s="19" t="s">
        <v>34</v>
      </c>
      <c r="S13" s="20" t="s">
        <v>34</v>
      </c>
      <c r="T13" s="20" t="s">
        <v>34</v>
      </c>
      <c r="U13" s="20" t="s">
        <v>34</v>
      </c>
      <c r="V13" s="21" t="s">
        <v>34</v>
      </c>
      <c r="W13" s="52"/>
      <c r="X13" s="52"/>
      <c r="Y13" s="52"/>
      <c r="Z13" s="52"/>
      <c r="AA13" s="52"/>
      <c r="AB13" s="52"/>
      <c r="AC13" s="52"/>
      <c r="AD13" s="52"/>
      <c r="AE13" s="80">
        <v>7.05</v>
      </c>
      <c r="AF13" s="52"/>
      <c r="AG13" s="52"/>
      <c r="AH13" s="45">
        <v>0</v>
      </c>
      <c r="AI13"/>
      <c r="AJ13" s="64" t="str">
        <f>IF(D13="nd","nd",D13*$C13/constants!$B$3)</f>
        <v>nd</v>
      </c>
      <c r="AK13" s="64" t="str">
        <f>IF(E13="nd","nd",E13*$C13/constants!$B$6)</f>
        <v>nd</v>
      </c>
      <c r="AL13" s="64" t="str">
        <f>IF(F13="nd","nd",F13*$C13/constants!$B$7)</f>
        <v>nd</v>
      </c>
      <c r="AM13" s="64" t="str">
        <f>IF(G13="nd","nd",G13*$C13/constants!$B$8)</f>
        <v>nd</v>
      </c>
      <c r="AN13" s="64" t="str">
        <f>IF(H13="nd","nd",H13*$C13/constants!$B$9)</f>
        <v>nd</v>
      </c>
      <c r="AO13" s="64" t="str">
        <f>IF(I13="nd","nd",I13*$C13/constants!$B$10)</f>
        <v>nd</v>
      </c>
      <c r="AP13" s="64" t="e">
        <f>(IF(IFERROR(J13-#REF!,J13)&gt;constants!$D$5,(IFERROR(J13-#REF!,J13)*$C13/constants!$B$5),0))</f>
        <v>#VALUE!</v>
      </c>
      <c r="AQ13" s="64" t="e">
        <f>(IF(IFERROR(K13-#REF!,K13)&gt;constants!$D$11,(IFERROR(K13-#REF!,K13)*$C13/constants!$B$11),0))</f>
        <v>#VALUE!</v>
      </c>
      <c r="AR13" s="64" t="e">
        <f>(IF(IFERROR(L13-#REF!,L13)&gt;constants!$D$19,(IFERROR(L13-#REF!,L13)*$C13/constants!$B$19),0))</f>
        <v>#VALUE!</v>
      </c>
      <c r="AS13" s="64" t="e">
        <f>(IF(IFERROR(M13-#REF!,M13)&gt;constants!$D$4,(IFERROR(M13-#REF!,M13)*$C13/constants!$B$4),0))</f>
        <v>#VALUE!</v>
      </c>
      <c r="AT13" s="64" t="e">
        <f>(IF(IFERROR(N13-#REF!,N13)&gt;constants!$D$5,(IFERROR(N13-#REF!,N13)*$C13/constants!$B$5),0))</f>
        <v>#VALUE!</v>
      </c>
      <c r="AU13" s="64" t="e">
        <f>(IF(IFERROR(O13-#REF!,O13)&gt;constants!$D$12,(IFERROR(O13-#REF!,O13)*$C13/constants!$B$12),0))</f>
        <v>#VALUE!</v>
      </c>
      <c r="AV13" s="64" t="e">
        <f>(IF(IFERROR(P13-#REF!,P13)&gt;constants!$D$5,(IFERROR(P13-#REF!,P13)*$C13/constants!$B$5),0))</f>
        <v>#VALUE!</v>
      </c>
      <c r="AW13" s="64" t="e">
        <f>(IF(IFERROR(Q13-#REF!,Q13)&gt;constants!$D$13,(IFERROR(Q13-#REF!,Q13)*$C13/constants!$B$13),0))</f>
        <v>#VALUE!</v>
      </c>
      <c r="AX13" s="64" t="e">
        <f>(IF(IFERROR(R13-#REF!,R13)&gt;constants!$D$14,(IFERROR(R13-#REF!,R13)*$C13/constants!$B$14),0))</f>
        <v>#VALUE!</v>
      </c>
      <c r="AY13" s="64" t="e">
        <f>(IF(IFERROR(S13-#REF!,S13)&gt;constants!$D$15,(IFERROR(S13-#REF!,S13)*$C13/constants!$B$15),0))</f>
        <v>#VALUE!</v>
      </c>
      <c r="AZ13" s="64">
        <f>IF(AH13="nd","nd",AH13*Table3152025303540[[#This Row],[dilution ]]/constants!$B$3)</f>
        <v>0</v>
      </c>
      <c r="BA13" s="64"/>
      <c r="BB13" s="64"/>
      <c r="BC13" s="64" t="e">
        <f>(Table5162126313641[[#This Row],[Concentration]]*constants!$C$3)/1000</f>
        <v>#VALUE!</v>
      </c>
      <c r="BD13" s="64" t="e">
        <f>(Table5162126313641[[#This Row],[Concentration2]]*constants!$C$6)/1000</f>
        <v>#VALUE!</v>
      </c>
      <c r="BE13" s="64" t="e">
        <f>(Table5162126313641[[#This Row],[Concentration3]]*constants!$C$7)/1000</f>
        <v>#VALUE!</v>
      </c>
      <c r="BF13" s="64" t="e">
        <f>(Table5162126313641[[#This Row],[Concentration4]]*constants!$C$8)/1000</f>
        <v>#VALUE!</v>
      </c>
      <c r="BG13" s="64" t="e">
        <f>(Table5162126313641[[#This Row],[Concentration5]]*constants!$C$9)/1000</f>
        <v>#VALUE!</v>
      </c>
      <c r="BH13" s="64" t="e">
        <f>(Table5162126313641[[#This Row],[Concentration6]]*constants!$C$10)/1000</f>
        <v>#VALUE!</v>
      </c>
      <c r="BI13" s="64" t="e">
        <f>(Table5162126313641[[#This Row],[Concentration7]]*constants!$C$5)</f>
        <v>#VALUE!</v>
      </c>
      <c r="BJ13" s="64" t="e">
        <f>(Table5162126313641[[#This Row],[Concentration8]]*3)</f>
        <v>#VALUE!</v>
      </c>
      <c r="BK13" s="64" t="e">
        <f>(Table5162126313641[[#This Row],[Concentration9]]*4)</f>
        <v>#VALUE!</v>
      </c>
      <c r="BL13" s="64" t="e">
        <f>(Table5162126313641[[#This Row],[Concentration10]]*4)</f>
        <v>#VALUE!</v>
      </c>
      <c r="BM13" s="64" t="e">
        <f>(Table5162126313641[[#This Row],[Concentration11]]*5)</f>
        <v>#VALUE!</v>
      </c>
      <c r="BN13" s="64" t="e">
        <f>(Table5162126313641[[#This Row],[Concentration12]]*5)</f>
        <v>#VALUE!</v>
      </c>
      <c r="BO13" s="64" t="e">
        <f>(Table5162126313641[[#This Row],[Concentration13]]*6)</f>
        <v>#VALUE!</v>
      </c>
      <c r="BP13" s="64" t="e">
        <f>(Table5162126313641[[#This Row],[Concentration14]]*6)</f>
        <v>#VALUE!</v>
      </c>
      <c r="BQ13" s="64" t="e">
        <f>(Table5162126313641[[#This Row],[Concentration15]]*7)</f>
        <v>#VALUE!</v>
      </c>
      <c r="BR13" s="64" t="e">
        <f>(Table5162126313641[[#This Row],[Concentration16]]*8)</f>
        <v>#VALUE!</v>
      </c>
      <c r="BS13" s="64">
        <f>(Table5162126313641[[#This Row],[Concentration17]]*3)/1000</f>
        <v>0</v>
      </c>
      <c r="BT13" s="47">
        <f>Table5162126313641[[#This Row],[Concentration18]]/1000</f>
        <v>0</v>
      </c>
      <c r="BU13" s="47">
        <f>Table5162126313641[[#This Row],[Concentration19]]/1000</f>
        <v>0</v>
      </c>
    </row>
    <row r="14" spans="1:73" s="66" customFormat="1" ht="16" thickBot="1" x14ac:dyDescent="0.4">
      <c r="A14" s="63">
        <f>Table2[[#This Row],[Date]]</f>
        <v>43163</v>
      </c>
      <c r="B14" s="74">
        <f>Table2[[#This Row],[Time]]</f>
        <v>15</v>
      </c>
      <c r="C14" s="77">
        <v>0</v>
      </c>
      <c r="D14" s="49" t="s">
        <v>34</v>
      </c>
      <c r="E14" s="49" t="s">
        <v>34</v>
      </c>
      <c r="F14" s="49" t="s">
        <v>34</v>
      </c>
      <c r="G14" s="49" t="s">
        <v>34</v>
      </c>
      <c r="H14" s="49" t="s">
        <v>34</v>
      </c>
      <c r="I14" s="49" t="s">
        <v>34</v>
      </c>
      <c r="J14" s="49" t="s">
        <v>34</v>
      </c>
      <c r="K14" s="49" t="s">
        <v>34</v>
      </c>
      <c r="L14" s="49" t="s">
        <v>34</v>
      </c>
      <c r="M14" s="49" t="s">
        <v>34</v>
      </c>
      <c r="N14" s="50" t="s">
        <v>34</v>
      </c>
      <c r="O14" s="49" t="s">
        <v>34</v>
      </c>
      <c r="P14" s="49" t="s">
        <v>34</v>
      </c>
      <c r="Q14" s="49" t="s">
        <v>34</v>
      </c>
      <c r="R14" s="50" t="s">
        <v>34</v>
      </c>
      <c r="S14" s="51" t="s">
        <v>34</v>
      </c>
      <c r="T14" s="51" t="s">
        <v>34</v>
      </c>
      <c r="U14" s="51" t="s">
        <v>34</v>
      </c>
      <c r="V14" s="78" t="s">
        <v>34</v>
      </c>
      <c r="W14" s="32"/>
      <c r="X14" s="32"/>
      <c r="Y14" s="32"/>
      <c r="Z14" s="32"/>
      <c r="AA14" s="32"/>
      <c r="AB14" s="32"/>
      <c r="AC14" s="32"/>
      <c r="AD14" s="32"/>
      <c r="AE14" s="80">
        <v>7.06</v>
      </c>
      <c r="AF14" s="32"/>
      <c r="AG14" s="32"/>
      <c r="AH14" s="45">
        <v>0</v>
      </c>
      <c r="AI14"/>
      <c r="AJ14" s="64" t="str">
        <f>IF(D14="nd","nd",D14*$C14/constants!$B$3)</f>
        <v>nd</v>
      </c>
      <c r="AK14" s="64" t="str">
        <f>IF(E14="nd","nd",E14*$C14/constants!$B$6)</f>
        <v>nd</v>
      </c>
      <c r="AL14" s="64" t="str">
        <f>IF(F14="nd","nd",F14*$C14/constants!$B$7)</f>
        <v>nd</v>
      </c>
      <c r="AM14" s="64" t="str">
        <f>IF(G14="nd","nd",G14*$C14/constants!$B$8)</f>
        <v>nd</v>
      </c>
      <c r="AN14" s="64" t="str">
        <f>IF(H14="nd","nd",H14*$C14/constants!$B$9)</f>
        <v>nd</v>
      </c>
      <c r="AO14" s="64" t="str">
        <f>IF(I14="nd","nd",I14*$C14/constants!$B$10)</f>
        <v>nd</v>
      </c>
      <c r="AP14" s="64" t="e">
        <f>(IF(IFERROR(J14-#REF!,J14)&gt;constants!$D$5,(IFERROR(J14-#REF!,J14)*$C14/constants!$B$5),0))</f>
        <v>#VALUE!</v>
      </c>
      <c r="AQ14" s="64" t="e">
        <f>(IF(IFERROR(K14-#REF!,K14)&gt;constants!$D$11,(IFERROR(K14-#REF!,K14)*$C14/constants!$B$11),0))</f>
        <v>#VALUE!</v>
      </c>
      <c r="AR14" s="64" t="e">
        <f>(IF(IFERROR(L14-#REF!,L14)&gt;constants!$D$19,(IFERROR(L14-#REF!,L14)*$C14/constants!$B$19),0))</f>
        <v>#VALUE!</v>
      </c>
      <c r="AS14" s="64" t="e">
        <f>(IF(IFERROR(M14-#REF!,M14)&gt;constants!$D$4,(IFERROR(M14-#REF!,M14)*$C14/constants!$B$4),0))</f>
        <v>#VALUE!</v>
      </c>
      <c r="AT14" s="64" t="e">
        <f>(IF(IFERROR(N14-#REF!,N14)&gt;constants!$D$5,(IFERROR(N14-#REF!,N14)*$C14/constants!$B$5),0))</f>
        <v>#VALUE!</v>
      </c>
      <c r="AU14" s="64" t="e">
        <f>(IF(IFERROR(O14-#REF!,O14)&gt;constants!$D$12,(IFERROR(O14-#REF!,O14)*$C14/constants!$B$12),0))</f>
        <v>#VALUE!</v>
      </c>
      <c r="AV14" s="64" t="e">
        <f>(IF(IFERROR(P14-#REF!,P14)&gt;constants!$D$5,(IFERROR(P14-#REF!,P14)*$C14/constants!$B$5),0))</f>
        <v>#VALUE!</v>
      </c>
      <c r="AW14" s="64" t="e">
        <f>(IF(IFERROR(Q14-#REF!,Q14)&gt;constants!$D$13,(IFERROR(Q14-#REF!,Q14)*$C14/constants!$B$13),0))</f>
        <v>#VALUE!</v>
      </c>
      <c r="AX14" s="64" t="e">
        <f>(IF(IFERROR(R14-#REF!,R14)&gt;constants!$D$14,(IFERROR(R14-#REF!,R14)*$C14/constants!$B$14),0))</f>
        <v>#VALUE!</v>
      </c>
      <c r="AY14" s="64" t="e">
        <f>(IF(IFERROR(S14-#REF!,S14)&gt;constants!$D$15,(IFERROR(S14-#REF!,S14)*$C14/constants!$B$15),0))</f>
        <v>#VALUE!</v>
      </c>
      <c r="AZ14" s="64">
        <f>IF(AH14="nd","nd",AH14*Table3152025303540[[#This Row],[dilution ]]/constants!$B$3)</f>
        <v>0</v>
      </c>
      <c r="BA14" s="64"/>
      <c r="BB14" s="64"/>
      <c r="BC14" s="64" t="e">
        <f>(Table5162126313641[[#This Row],[Concentration]]*constants!$C$3)/1000</f>
        <v>#VALUE!</v>
      </c>
      <c r="BD14" s="64" t="e">
        <f>(Table5162126313641[[#This Row],[Concentration2]]*constants!$C$6)/1000</f>
        <v>#VALUE!</v>
      </c>
      <c r="BE14" s="64" t="e">
        <f>(Table5162126313641[[#This Row],[Concentration3]]*constants!$C$7)/1000</f>
        <v>#VALUE!</v>
      </c>
      <c r="BF14" s="64" t="e">
        <f>(Table5162126313641[[#This Row],[Concentration4]]*constants!$C$8)/1000</f>
        <v>#VALUE!</v>
      </c>
      <c r="BG14" s="64" t="e">
        <f>(Table5162126313641[[#This Row],[Concentration5]]*constants!$C$9)/1000</f>
        <v>#VALUE!</v>
      </c>
      <c r="BH14" s="64" t="e">
        <f>(Table5162126313641[[#This Row],[Concentration6]]*constants!$C$10)/1000</f>
        <v>#VALUE!</v>
      </c>
      <c r="BI14" s="64" t="e">
        <f>(Table5162126313641[[#This Row],[Concentration7]]*constants!$C$5)</f>
        <v>#VALUE!</v>
      </c>
      <c r="BJ14" s="64" t="e">
        <f>(Table5162126313641[[#This Row],[Concentration8]]*3)</f>
        <v>#VALUE!</v>
      </c>
      <c r="BK14" s="64" t="e">
        <f>(Table5162126313641[[#This Row],[Concentration9]]*4)</f>
        <v>#VALUE!</v>
      </c>
      <c r="BL14" s="64" t="e">
        <f>(Table5162126313641[[#This Row],[Concentration10]]*4)</f>
        <v>#VALUE!</v>
      </c>
      <c r="BM14" s="64" t="e">
        <f>(Table5162126313641[[#This Row],[Concentration11]]*5)</f>
        <v>#VALUE!</v>
      </c>
      <c r="BN14" s="64" t="e">
        <f>(Table5162126313641[[#This Row],[Concentration12]]*5)</f>
        <v>#VALUE!</v>
      </c>
      <c r="BO14" s="64" t="e">
        <f>(Table5162126313641[[#This Row],[Concentration13]]*6)</f>
        <v>#VALUE!</v>
      </c>
      <c r="BP14" s="64" t="e">
        <f>(Table5162126313641[[#This Row],[Concentration14]]*6)</f>
        <v>#VALUE!</v>
      </c>
      <c r="BQ14" s="64" t="e">
        <f>(Table5162126313641[[#This Row],[Concentration15]]*7)</f>
        <v>#VALUE!</v>
      </c>
      <c r="BR14" s="64" t="e">
        <f>(Table5162126313641[[#This Row],[Concentration16]]*8)</f>
        <v>#VALUE!</v>
      </c>
      <c r="BS14" s="64">
        <f>(Table5162126313641[[#This Row],[Concentration17]]*3)/1000</f>
        <v>0</v>
      </c>
      <c r="BT14" s="47">
        <f>Table5162126313641[[#This Row],[Concentration18]]/1000</f>
        <v>0</v>
      </c>
      <c r="BU14" s="47">
        <f>Table5162126313641[[#This Row],[Concentration19]]/1000</f>
        <v>0</v>
      </c>
    </row>
    <row r="15" spans="1:73" s="47" customFormat="1" ht="16" thickBot="1" x14ac:dyDescent="0.4">
      <c r="A15" s="63">
        <f>Table2[[#This Row],[Date]]</f>
        <v>43347</v>
      </c>
      <c r="B15" s="74">
        <f>Table2[[#This Row],[Time]]</f>
        <v>21</v>
      </c>
      <c r="C15" s="41">
        <v>0</v>
      </c>
      <c r="D15" s="18" t="s">
        <v>34</v>
      </c>
      <c r="E15" s="18" t="s">
        <v>34</v>
      </c>
      <c r="F15" s="18" t="s">
        <v>34</v>
      </c>
      <c r="G15" s="18" t="s">
        <v>34</v>
      </c>
      <c r="H15" s="18" t="s">
        <v>34</v>
      </c>
      <c r="I15" s="18" t="s">
        <v>34</v>
      </c>
      <c r="J15" s="18" t="s">
        <v>34</v>
      </c>
      <c r="K15" s="18" t="s">
        <v>34</v>
      </c>
      <c r="L15" s="18" t="s">
        <v>34</v>
      </c>
      <c r="M15" s="18" t="s">
        <v>34</v>
      </c>
      <c r="N15" s="19" t="s">
        <v>34</v>
      </c>
      <c r="O15" s="18" t="s">
        <v>34</v>
      </c>
      <c r="P15" s="18" t="s">
        <v>34</v>
      </c>
      <c r="Q15" s="18" t="s">
        <v>34</v>
      </c>
      <c r="R15" s="19" t="s">
        <v>34</v>
      </c>
      <c r="S15" s="20" t="s">
        <v>34</v>
      </c>
      <c r="T15" s="20" t="s">
        <v>34</v>
      </c>
      <c r="U15" s="20" t="s">
        <v>34</v>
      </c>
      <c r="V15" s="21" t="s">
        <v>34</v>
      </c>
      <c r="W15" s="52"/>
      <c r="X15" s="52"/>
      <c r="Y15" s="52"/>
      <c r="Z15" s="52"/>
      <c r="AA15" s="52"/>
      <c r="AB15" s="52"/>
      <c r="AC15" s="52"/>
      <c r="AD15" s="52"/>
      <c r="AE15" s="23">
        <v>7.09</v>
      </c>
      <c r="AF15" s="52"/>
      <c r="AG15" s="52"/>
      <c r="AH15" s="45">
        <v>0</v>
      </c>
      <c r="AI15"/>
      <c r="AJ15" s="64" t="str">
        <f>IF(D15="nd","nd",D15*$C15/constants!$B$3)</f>
        <v>nd</v>
      </c>
      <c r="AK15" s="64" t="str">
        <f>IF(E15="nd","nd",E15*$C15/constants!$B$6)</f>
        <v>nd</v>
      </c>
      <c r="AL15" s="64" t="str">
        <f>IF(F15="nd","nd",F15*$C15/constants!$B$7)</f>
        <v>nd</v>
      </c>
      <c r="AM15" s="64" t="str">
        <f>IF(G15="nd","nd",G15*$C15/constants!$B$8)</f>
        <v>nd</v>
      </c>
      <c r="AN15" s="64" t="str">
        <f>IF(H15="nd","nd",H15*$C15/constants!$B$9)</f>
        <v>nd</v>
      </c>
      <c r="AO15" s="64" t="str">
        <f>IF(I15="nd","nd",I15*$C15/constants!$B$10)</f>
        <v>nd</v>
      </c>
      <c r="AP15" s="64" t="e">
        <f>(IF(IFERROR(J15-#REF!,J15)&gt;constants!$D$5,(IFERROR(J15-#REF!,J15)*$C15/constants!$B$5),0))</f>
        <v>#VALUE!</v>
      </c>
      <c r="AQ15" s="64" t="e">
        <f>(IF(IFERROR(K15-#REF!,K15)&gt;constants!$D$11,(IFERROR(K15-#REF!,K15)*$C15/constants!$B$11),0))</f>
        <v>#VALUE!</v>
      </c>
      <c r="AR15" s="64" t="e">
        <f>(IF(IFERROR(L15-#REF!,L15)&gt;constants!$D$19,(IFERROR(L15-#REF!,L15)*$C15/constants!$B$19),0))</f>
        <v>#VALUE!</v>
      </c>
      <c r="AS15" s="64" t="e">
        <f>(IF(IFERROR(M15-#REF!,M15)&gt;constants!$D$4,(IFERROR(M15-#REF!,M15)*$C15/constants!$B$4),0))</f>
        <v>#VALUE!</v>
      </c>
      <c r="AT15" s="64" t="e">
        <f>(IF(IFERROR(N15-#REF!,N15)&gt;constants!$D$5,(IFERROR(N15-#REF!,N15)*$C15/constants!$B$5),0))</f>
        <v>#VALUE!</v>
      </c>
      <c r="AU15" s="64" t="e">
        <f>(IF(IFERROR(O15-#REF!,O15)&gt;constants!$D$12,(IFERROR(O15-#REF!,O15)*$C15/constants!$B$12),0))</f>
        <v>#VALUE!</v>
      </c>
      <c r="AV15" s="64" t="e">
        <f>(IF(IFERROR(P15-#REF!,P15)&gt;constants!$D$5,(IFERROR(P15-#REF!,P15)*$C15/constants!$B$5),0))</f>
        <v>#VALUE!</v>
      </c>
      <c r="AW15" s="64" t="e">
        <f>(IF(IFERROR(Q15-#REF!,Q15)&gt;constants!$D$13,(IFERROR(Q15-#REF!,Q15)*$C15/constants!$B$13),0))</f>
        <v>#VALUE!</v>
      </c>
      <c r="AX15" s="64" t="e">
        <f>(IF(IFERROR(R15-#REF!,R15)&gt;constants!$D$14,(IFERROR(R15-#REF!,R15)*$C15/constants!$B$14),0))</f>
        <v>#VALUE!</v>
      </c>
      <c r="AY15" s="64" t="e">
        <f>(IF(IFERROR(S15-#REF!,S15)&gt;constants!$D$15,(IFERROR(S15-#REF!,S15)*$C15/constants!$B$15),0))</f>
        <v>#VALUE!</v>
      </c>
      <c r="AZ15" s="64">
        <f>IF(AH15="nd","nd",AH15*Table3152025303540[[#This Row],[dilution ]]/constants!$B$3)</f>
        <v>0</v>
      </c>
      <c r="BA15" s="64"/>
      <c r="BB15" s="64"/>
      <c r="BC15" s="64" t="e">
        <f>(Table5162126313641[[#This Row],[Concentration]]*constants!$C$3)/1000</f>
        <v>#VALUE!</v>
      </c>
      <c r="BD15" s="64" t="e">
        <f>(Table5162126313641[[#This Row],[Concentration2]]*constants!$C$6)/1000</f>
        <v>#VALUE!</v>
      </c>
      <c r="BE15" s="64" t="e">
        <f>(Table5162126313641[[#This Row],[Concentration3]]*constants!$C$7)/1000</f>
        <v>#VALUE!</v>
      </c>
      <c r="BF15" s="64" t="e">
        <f>(Table5162126313641[[#This Row],[Concentration4]]*constants!$C$8)/1000</f>
        <v>#VALUE!</v>
      </c>
      <c r="BG15" s="64" t="e">
        <f>(Table5162126313641[[#This Row],[Concentration5]]*constants!$C$9)/1000</f>
        <v>#VALUE!</v>
      </c>
      <c r="BH15" s="64" t="e">
        <f>(Table5162126313641[[#This Row],[Concentration6]]*constants!$C$10)/1000</f>
        <v>#VALUE!</v>
      </c>
      <c r="BI15" s="64" t="e">
        <f>(Table5162126313641[[#This Row],[Concentration7]]*constants!$C$5)</f>
        <v>#VALUE!</v>
      </c>
      <c r="BJ15" s="64" t="e">
        <f>(Table5162126313641[[#This Row],[Concentration8]]*3)</f>
        <v>#VALUE!</v>
      </c>
      <c r="BK15" s="64" t="e">
        <f>(Table5162126313641[[#This Row],[Concentration9]]*4)</f>
        <v>#VALUE!</v>
      </c>
      <c r="BL15" s="64" t="e">
        <f>(Table5162126313641[[#This Row],[Concentration10]]*4)</f>
        <v>#VALUE!</v>
      </c>
      <c r="BM15" s="64" t="e">
        <f>(Table5162126313641[[#This Row],[Concentration11]]*5)</f>
        <v>#VALUE!</v>
      </c>
      <c r="BN15" s="64" t="e">
        <f>(Table5162126313641[[#This Row],[Concentration12]]*5)</f>
        <v>#VALUE!</v>
      </c>
      <c r="BO15" s="64" t="e">
        <f>(Table5162126313641[[#This Row],[Concentration13]]*6)</f>
        <v>#VALUE!</v>
      </c>
      <c r="BP15" s="64" t="e">
        <f>(Table5162126313641[[#This Row],[Concentration14]]*6)</f>
        <v>#VALUE!</v>
      </c>
      <c r="BQ15" s="64" t="e">
        <f>(Table5162126313641[[#This Row],[Concentration15]]*7)</f>
        <v>#VALUE!</v>
      </c>
      <c r="BR15" s="64" t="e">
        <f>(Table5162126313641[[#This Row],[Concentration16]]*8)</f>
        <v>#VALUE!</v>
      </c>
      <c r="BS15" s="64">
        <f>(Table5162126313641[[#This Row],[Concentration17]]*3)/1000</f>
        <v>0</v>
      </c>
      <c r="BT15" s="47">
        <f>Table5162126313641[[#This Row],[Concentration18]]/1000</f>
        <v>0</v>
      </c>
      <c r="BU15" s="47">
        <f>Table5162126313641[[#This Row],[Concentration19]]/1000</f>
        <v>0</v>
      </c>
    </row>
    <row r="16" spans="1:73" s="66" customFormat="1" ht="16" thickBot="1" x14ac:dyDescent="0.4">
      <c r="A16" s="63">
        <f>Table2[[#This Row],[Date]]</f>
        <v>43347</v>
      </c>
      <c r="B16" s="169">
        <f>Table2[[#This Row],[Time]]</f>
        <v>21</v>
      </c>
      <c r="C16" s="77">
        <v>0</v>
      </c>
      <c r="D16" s="106" t="s">
        <v>27</v>
      </c>
      <c r="E16" s="106" t="s">
        <v>27</v>
      </c>
      <c r="F16" s="106" t="s">
        <v>27</v>
      </c>
      <c r="G16" s="106" t="s">
        <v>27</v>
      </c>
      <c r="H16" s="106" t="s">
        <v>27</v>
      </c>
      <c r="I16" s="106" t="s">
        <v>27</v>
      </c>
      <c r="J16" s="106">
        <v>3.5450079623048172</v>
      </c>
      <c r="K16" s="106">
        <v>14.385061609484268</v>
      </c>
      <c r="L16" s="106" t="s">
        <v>27</v>
      </c>
      <c r="M16" s="106">
        <v>0.4013645132679306</v>
      </c>
      <c r="N16" s="107" t="s">
        <v>27</v>
      </c>
      <c r="O16" s="106" t="s">
        <v>27</v>
      </c>
      <c r="P16" s="106" t="s">
        <v>27</v>
      </c>
      <c r="Q16" s="106">
        <v>1.6107014494759087</v>
      </c>
      <c r="R16" s="107">
        <v>9.9302900540624767E-2</v>
      </c>
      <c r="S16" s="108">
        <v>0.46477543193674442</v>
      </c>
      <c r="T16" s="51" t="s">
        <v>34</v>
      </c>
      <c r="U16" s="51" t="s">
        <v>34</v>
      </c>
      <c r="V16" s="78" t="s">
        <v>34</v>
      </c>
      <c r="W16" s="32"/>
      <c r="X16" s="32"/>
      <c r="Y16" s="32"/>
      <c r="Z16" s="32"/>
      <c r="AA16" s="32"/>
      <c r="AB16" s="32"/>
      <c r="AC16" s="32"/>
      <c r="AD16" s="32"/>
      <c r="AE16">
        <v>7.04</v>
      </c>
      <c r="AF16" s="32"/>
      <c r="AG16" s="32"/>
      <c r="AH16" s="45">
        <v>0</v>
      </c>
      <c r="AI16" s="45"/>
      <c r="AJ16" s="64" t="e">
        <f>IF(D16="nd","nd",D16*$C16/constants!$B$3)</f>
        <v>#VALUE!</v>
      </c>
      <c r="AK16" s="64" t="e">
        <f>IF(E16="nd","nd",E16*$C16/constants!$B$6)</f>
        <v>#VALUE!</v>
      </c>
      <c r="AL16" s="64" t="e">
        <f>IF(F16="nd","nd",F16*$C16/constants!$B$7)</f>
        <v>#VALUE!</v>
      </c>
      <c r="AM16" s="64" t="e">
        <f>IF(G16="nd","nd",G16*$C16/constants!$B$8)</f>
        <v>#VALUE!</v>
      </c>
      <c r="AN16" s="64" t="e">
        <f>IF(H16="nd","nd",H16*$C16/constants!$B$9)</f>
        <v>#VALUE!</v>
      </c>
      <c r="AO16" s="64" t="e">
        <f>IF(I16="nd","nd",I16*$C16/constants!$B$10)</f>
        <v>#VALUE!</v>
      </c>
      <c r="AP16" s="162">
        <f>(IF(IFERROR(J16-#REF!,J16)&gt;constants!$D$5,(IFERROR(J16-#REF!,J16)*$C16/1000),0))</f>
        <v>0</v>
      </c>
      <c r="AQ16" s="162">
        <f>(IF(IFERROR(K16-#REF!,K16)&gt;constants!$D$11,(IFERROR(K16-#REF!,K16)*$C16/1000),0))</f>
        <v>0</v>
      </c>
      <c r="AR16" s="162" t="e">
        <f>(IF(IFERROR(L16-#REF!,L16)&gt;constants!$D$19,(IFERROR(L16-#REF!,L16)*$C16/1000),0))</f>
        <v>#VALUE!</v>
      </c>
      <c r="AS16" s="162">
        <f>(IF(IFERROR(M16-#REF!,M16)&gt;constants!$D$4,(IFERROR(M16-#REF!,M16)*$C16/1000),0))</f>
        <v>0</v>
      </c>
      <c r="AT16" s="162" t="e">
        <f>(IF(IFERROR(N16-#REF!,N16)&gt;constants!$D$5,(IFERROR(N16-#REF!,N16)*$C16/1000),0))</f>
        <v>#VALUE!</v>
      </c>
      <c r="AU16" s="162" t="e">
        <f>(IF(IFERROR(O16-#REF!,O16)&gt;constants!$D$12,(IFERROR(O16-#REF!,O16)*$C16/1000),0))</f>
        <v>#VALUE!</v>
      </c>
      <c r="AV16" s="162" t="e">
        <f>(IF(IFERROR(P16-#REF!,P16)&gt;constants!$D$5,(IFERROR(P16-#REF!,P16)*$C16/1000),0))</f>
        <v>#VALUE!</v>
      </c>
      <c r="AW16" s="162">
        <f>(IF(IFERROR(Q16-#REF!,Q16)&gt;constants!$D$13,(IFERROR(Q16-#REF!,Q16)*$C16/1000),0))</f>
        <v>0</v>
      </c>
      <c r="AX16" s="64">
        <f>(IF(IFERROR(R16-#REF!,R16)&gt;constants!$D$14,(IFERROR(R16-#REF!,R16)*$C16/constants!$B$14),0))</f>
        <v>0</v>
      </c>
      <c r="AY16" s="64">
        <f>(IF(IFERROR(S16-#REF!,S16)&gt;constants!$D$15,(IFERROR(S16-#REF!,S16)*$C16/constants!$B$15),0))</f>
        <v>0</v>
      </c>
      <c r="AZ16" s="162">
        <f>IF(AH16="nd","nd",AH16*Table3152025303540[[#This Row],[dilution ]]/1000)</f>
        <v>0</v>
      </c>
      <c r="BA16" s="64"/>
      <c r="BB16" s="64"/>
      <c r="BC16" s="64" t="e">
        <f>(Table5162126313641[[#This Row],[Concentration]]*constants!$C$3)/1000</f>
        <v>#VALUE!</v>
      </c>
      <c r="BD16" s="64" t="e">
        <f>(Table5162126313641[[#This Row],[Concentration2]]*constants!$C$6)/1000</f>
        <v>#VALUE!</v>
      </c>
      <c r="BE16" s="64" t="e">
        <f>(Table5162126313641[[#This Row],[Concentration3]]*constants!$C$7)/1000</f>
        <v>#VALUE!</v>
      </c>
      <c r="BF16" s="64" t="e">
        <f>(Table5162126313641[[#This Row],[Concentration4]]*constants!$C$8)/1000</f>
        <v>#VALUE!</v>
      </c>
      <c r="BG16" s="64" t="e">
        <f>(Table5162126313641[[#This Row],[Concentration5]]*constants!$C$9)/1000</f>
        <v>#VALUE!</v>
      </c>
      <c r="BH16" s="64" t="e">
        <f>(Table5162126313641[[#This Row],[Concentration6]]*constants!$C$10)/1000</f>
        <v>#VALUE!</v>
      </c>
      <c r="BI16" s="64">
        <f>(Table5162126313641[[#This Row],[Concentration7]]*constants!$C$5)</f>
        <v>0</v>
      </c>
      <c r="BJ16" s="64">
        <f>(Table5162126313641[[#This Row],[Concentration8]]*3)</f>
        <v>0</v>
      </c>
      <c r="BK16" s="64" t="e">
        <f>(Table5162126313641[[#This Row],[Concentration9]]*4)</f>
        <v>#VALUE!</v>
      </c>
      <c r="BL16" s="64">
        <f>(Table5162126313641[[#This Row],[Concentration10]]*4)</f>
        <v>0</v>
      </c>
      <c r="BM16" s="64" t="e">
        <f>(Table5162126313641[[#This Row],[Concentration11]]*5)</f>
        <v>#VALUE!</v>
      </c>
      <c r="BN16" s="64" t="e">
        <f>(Table5162126313641[[#This Row],[Concentration12]]*5)</f>
        <v>#VALUE!</v>
      </c>
      <c r="BO16" s="64" t="e">
        <f>(Table5162126313641[[#This Row],[Concentration13]]*6)</f>
        <v>#VALUE!</v>
      </c>
      <c r="BP16" s="64">
        <f>(Table5162126313641[[#This Row],[Concentration14]]*6)</f>
        <v>0</v>
      </c>
      <c r="BQ16" s="64">
        <f>(Table5162126313641[[#This Row],[Concentration15]]*7)</f>
        <v>0</v>
      </c>
      <c r="BR16" s="64">
        <f>(Table5162126313641[[#This Row],[Concentration16]]*8)</f>
        <v>0</v>
      </c>
      <c r="BS16" s="64">
        <f>(Table5162126313641[[#This Row],[Concentration17]]*3)/1000</f>
        <v>0</v>
      </c>
      <c r="BT16" s="47">
        <f>Table5162126313641[[#This Row],[Concentration18]]/1000</f>
        <v>0</v>
      </c>
      <c r="BU16" s="47">
        <f>Table5162126313641[[#This Row],[Concentration19]]/1000</f>
        <v>0</v>
      </c>
    </row>
    <row r="17" spans="1:73" s="47" customFormat="1" ht="16" thickBot="1" x14ac:dyDescent="0.4">
      <c r="A17" s="63" t="str">
        <f>Table2[[#This Row],[Date]]</f>
        <v>13-04</v>
      </c>
      <c r="B17" s="169">
        <f>Table2[[#This Row],[Time]]</f>
        <v>26</v>
      </c>
      <c r="C17" s="41">
        <v>10</v>
      </c>
      <c r="D17" s="106" t="s">
        <v>27</v>
      </c>
      <c r="E17" s="106" t="s">
        <v>27</v>
      </c>
      <c r="F17" s="106" t="s">
        <v>27</v>
      </c>
      <c r="G17" s="106" t="s">
        <v>27</v>
      </c>
      <c r="H17" s="106" t="s">
        <v>27</v>
      </c>
      <c r="I17" s="106" t="s">
        <v>27</v>
      </c>
      <c r="J17" s="106">
        <v>10.0802551223164</v>
      </c>
      <c r="K17" s="106">
        <v>6.8784138892998454</v>
      </c>
      <c r="L17" s="106" t="s">
        <v>27</v>
      </c>
      <c r="M17" s="106" t="s">
        <v>27</v>
      </c>
      <c r="N17" s="107" t="s">
        <v>27</v>
      </c>
      <c r="O17" s="106" t="s">
        <v>27</v>
      </c>
      <c r="P17" s="106" t="s">
        <v>27</v>
      </c>
      <c r="Q17" s="106" t="s">
        <v>27</v>
      </c>
      <c r="R17" s="107" t="s">
        <v>27</v>
      </c>
      <c r="S17" s="108" t="s">
        <v>27</v>
      </c>
      <c r="T17" s="108" t="s">
        <v>27</v>
      </c>
      <c r="U17" s="108" t="s">
        <v>27</v>
      </c>
      <c r="V17" s="108" t="s">
        <v>27</v>
      </c>
      <c r="W17" s="17"/>
      <c r="X17" s="17"/>
      <c r="Y17" s="17"/>
      <c r="Z17" s="17"/>
      <c r="AA17" s="17"/>
      <c r="AB17" s="17"/>
      <c r="AC17" s="17"/>
      <c r="AD17" s="17"/>
      <c r="AE17">
        <v>7.03</v>
      </c>
      <c r="AF17" s="17"/>
      <c r="AG17" s="17"/>
      <c r="AH17" s="45">
        <v>0</v>
      </c>
      <c r="AI17" s="45"/>
      <c r="AJ17" s="64" t="e">
        <f>IF(D17="nd","nd",D17*$C17/constants!$B$3)</f>
        <v>#VALUE!</v>
      </c>
      <c r="AK17" s="64" t="e">
        <f>IF(E17="nd","nd",E17*$C17/constants!$B$6)</f>
        <v>#VALUE!</v>
      </c>
      <c r="AL17" s="64" t="e">
        <f>IF(F17="nd","nd",F17*$C17/constants!$B$7)</f>
        <v>#VALUE!</v>
      </c>
      <c r="AM17" s="64" t="e">
        <f>IF(G17="nd","nd",G17*$C17/constants!$B$8)</f>
        <v>#VALUE!</v>
      </c>
      <c r="AN17" s="64" t="e">
        <f>IF(H17="nd","nd",H17*$C17/constants!$B$9)</f>
        <v>#VALUE!</v>
      </c>
      <c r="AO17" s="64" t="e">
        <f>IF(I17="nd","nd",I17*$C17/constants!$B$10)</f>
        <v>#VALUE!</v>
      </c>
      <c r="AP17" s="162">
        <f>(IF(IFERROR(J17-#REF!,J17)&gt;constants!$D$5,(IFERROR(J17-#REF!,J17)*$C17/1000),0))</f>
        <v>0.10080255122316401</v>
      </c>
      <c r="AQ17" s="162">
        <f>(IF(IFERROR(K17-#REF!,K17)&gt;constants!$D$11,(IFERROR(K17-#REF!,K17)*$C17/1000),0))</f>
        <v>6.8784138892998462E-2</v>
      </c>
      <c r="AR17" s="162" t="e">
        <f>(IF(IFERROR(L17-#REF!,L17)&gt;constants!$D$19,(IFERROR(L17-#REF!,L17)*$C17/1000),0))</f>
        <v>#VALUE!</v>
      </c>
      <c r="AS17" s="162" t="e">
        <f>(IF(IFERROR(M17-#REF!,M17)&gt;constants!$D$4,(IFERROR(M17-#REF!,M17)*$C17/1000),0))</f>
        <v>#VALUE!</v>
      </c>
      <c r="AT17" s="162" t="e">
        <f>(IF(IFERROR(N17-#REF!,N17)&gt;constants!$D$5,(IFERROR(N17-#REF!,N17)*$C17/1000),0))</f>
        <v>#VALUE!</v>
      </c>
      <c r="AU17" s="162" t="e">
        <f>(IF(IFERROR(O17-#REF!,O17)&gt;constants!$D$12,(IFERROR(O17-#REF!,O17)*$C17/1000),0))</f>
        <v>#VALUE!</v>
      </c>
      <c r="AV17" s="162" t="e">
        <f>(IF(IFERROR(P17-#REF!,P17)&gt;constants!$D$5,(IFERROR(P17-#REF!,P17)*$C17/1000),0))</f>
        <v>#VALUE!</v>
      </c>
      <c r="AW17" s="162" t="e">
        <f>(IF(IFERROR(Q17-#REF!,Q17)&gt;constants!$D$13,(IFERROR(Q17-#REF!,Q17)*$C17/1000),0))</f>
        <v>#VALUE!</v>
      </c>
      <c r="AX17" s="64" t="e">
        <f>(IF(IFERROR(R17-#REF!,R17)&gt;constants!$D$14,(IFERROR(R17-#REF!,R17)*$C17/constants!$B$14),0))</f>
        <v>#VALUE!</v>
      </c>
      <c r="AY17" s="64" t="e">
        <f>(IF(IFERROR(S17-#REF!,S17)&gt;constants!$D$15,(IFERROR(S17-#REF!,S17)*$C17/constants!$B$15),0))</f>
        <v>#VALUE!</v>
      </c>
      <c r="AZ17" s="162">
        <f>IF(AH17="nd","nd",AH17*Table3152025303540[[#This Row],[dilution ]]/1000)</f>
        <v>0</v>
      </c>
      <c r="BA17" s="64"/>
      <c r="BB17" s="64"/>
      <c r="BC17" s="64" t="e">
        <f>(Table5162126313641[[#This Row],[Concentration]]*constants!$C$3)/1000</f>
        <v>#VALUE!</v>
      </c>
      <c r="BD17" s="64" t="e">
        <f>(Table5162126313641[[#This Row],[Concentration2]]*constants!$C$6)/1000</f>
        <v>#VALUE!</v>
      </c>
      <c r="BE17" s="64" t="e">
        <f>(Table5162126313641[[#This Row],[Concentration3]]*constants!$C$7)/1000</f>
        <v>#VALUE!</v>
      </c>
      <c r="BF17" s="64" t="e">
        <f>(Table5162126313641[[#This Row],[Concentration4]]*constants!$C$8)/1000</f>
        <v>#VALUE!</v>
      </c>
      <c r="BG17" s="64" t="e">
        <f>(Table5162126313641[[#This Row],[Concentration5]]*constants!$C$9)/1000</f>
        <v>#VALUE!</v>
      </c>
      <c r="BH17" s="64" t="e">
        <f>(Table5162126313641[[#This Row],[Concentration6]]*constants!$C$10)/1000</f>
        <v>#VALUE!</v>
      </c>
      <c r="BI17" s="64">
        <f>(Table5162126313641[[#This Row],[Concentration7]]*constants!$C$5)</f>
        <v>0.20160510244632801</v>
      </c>
      <c r="BJ17" s="64">
        <f>(Table5162126313641[[#This Row],[Concentration8]]*3)</f>
        <v>0.2063524166789954</v>
      </c>
      <c r="BK17" s="64" t="e">
        <f>(Table5162126313641[[#This Row],[Concentration9]]*4)</f>
        <v>#VALUE!</v>
      </c>
      <c r="BL17" s="64" t="e">
        <f>(Table5162126313641[[#This Row],[Concentration10]]*4)</f>
        <v>#VALUE!</v>
      </c>
      <c r="BM17" s="64" t="e">
        <f>(Table5162126313641[[#This Row],[Concentration11]]*5)</f>
        <v>#VALUE!</v>
      </c>
      <c r="BN17" s="64" t="e">
        <f>(Table5162126313641[[#This Row],[Concentration12]]*5)</f>
        <v>#VALUE!</v>
      </c>
      <c r="BO17" s="64" t="e">
        <f>(Table5162126313641[[#This Row],[Concentration13]]*6)</f>
        <v>#VALUE!</v>
      </c>
      <c r="BP17" s="64" t="e">
        <f>(Table5162126313641[[#This Row],[Concentration14]]*6)</f>
        <v>#VALUE!</v>
      </c>
      <c r="BQ17" s="64" t="e">
        <f>(Table5162126313641[[#This Row],[Concentration15]]*7)</f>
        <v>#VALUE!</v>
      </c>
      <c r="BR17" s="64" t="e">
        <f>(Table5162126313641[[#This Row],[Concentration16]]*8)</f>
        <v>#VALUE!</v>
      </c>
      <c r="BS17" s="64">
        <f>(Table5162126313641[[#This Row],[Concentration17]]*3)/1000</f>
        <v>0</v>
      </c>
      <c r="BT17" s="47">
        <f>Table5162126313641[[#This Row],[Concentration18]]/1000</f>
        <v>0</v>
      </c>
      <c r="BU17" s="47">
        <f>Table5162126313641[[#This Row],[Concentration19]]/1000</f>
        <v>0</v>
      </c>
    </row>
    <row r="18" spans="1:73" s="66" customFormat="1" ht="16" thickBot="1" x14ac:dyDescent="0.4">
      <c r="A18" s="63" t="str">
        <f>Table2[[#This Row],[Date]]</f>
        <v>16-04</v>
      </c>
      <c r="B18" s="169">
        <f>Table2[[#This Row],[Time]]</f>
        <v>29</v>
      </c>
      <c r="C18" s="114">
        <v>10</v>
      </c>
      <c r="D18" s="109" t="s">
        <v>27</v>
      </c>
      <c r="E18" s="141" t="s">
        <v>27</v>
      </c>
      <c r="F18" s="141" t="s">
        <v>27</v>
      </c>
      <c r="G18" s="141" t="s">
        <v>27</v>
      </c>
      <c r="H18" s="141" t="s">
        <v>27</v>
      </c>
      <c r="I18" s="141" t="s">
        <v>27</v>
      </c>
      <c r="J18" s="141">
        <v>1.6752376302083333E-2</v>
      </c>
      <c r="K18" s="141">
        <v>7.5696148003472213E-2</v>
      </c>
      <c r="L18" s="141" t="s">
        <v>27</v>
      </c>
      <c r="M18" s="141" t="s">
        <v>27</v>
      </c>
      <c r="N18" s="141" t="s">
        <v>27</v>
      </c>
      <c r="O18" s="141" t="s">
        <v>27</v>
      </c>
      <c r="P18" s="141" t="s">
        <v>27</v>
      </c>
      <c r="Q18" s="141">
        <v>4.561577690972222E-3</v>
      </c>
      <c r="R18" s="141" t="s">
        <v>27</v>
      </c>
      <c r="S18" s="141" t="s">
        <v>27</v>
      </c>
      <c r="T18" s="142" t="s">
        <v>34</v>
      </c>
      <c r="U18" s="80" t="s">
        <v>34</v>
      </c>
      <c r="V18" s="81" t="s">
        <v>34</v>
      </c>
      <c r="AE18">
        <v>7</v>
      </c>
      <c r="AH18" s="45">
        <v>0</v>
      </c>
      <c r="AI18" s="45"/>
      <c r="AJ18" s="64" t="e">
        <f>IF(D18="nd","nd",D18*$C18/constants!$B$3)</f>
        <v>#VALUE!</v>
      </c>
      <c r="AK18" s="64" t="e">
        <f>IF(E18="nd","nd",E18*$C18/constants!$B$6)</f>
        <v>#VALUE!</v>
      </c>
      <c r="AL18" s="64" t="e">
        <f>IF(F18="nd","nd",F18*$C18/constants!$B$7)</f>
        <v>#VALUE!</v>
      </c>
      <c r="AM18" s="64" t="e">
        <f>IF(G18="nd","nd",G18*$C18/constants!$B$8)</f>
        <v>#VALUE!</v>
      </c>
      <c r="AN18" s="64" t="e">
        <f>IF(H18="nd","nd",H18*$C18/constants!$B$9)</f>
        <v>#VALUE!</v>
      </c>
      <c r="AO18" s="64" t="e">
        <f>IF(I18="nd","nd",I18*$C18/constants!$B$10)</f>
        <v>#VALUE!</v>
      </c>
      <c r="AP18" s="162">
        <f>(IF(IFERROR(J18-#REF!,J18)&gt;constants!$D$5,(IFERROR(J18-#REF!,J18)*$C18/1000),0))</f>
        <v>0</v>
      </c>
      <c r="AQ18" s="162">
        <f>(IF(IFERROR(K18-#REF!,K18)&gt;constants!$D$11,(IFERROR(K18-#REF!,K18)*$C18/1000),0))</f>
        <v>0</v>
      </c>
      <c r="AR18" s="162" t="e">
        <f>(IF(IFERROR(L18-#REF!,L18)&gt;constants!$D$19,(IFERROR(L18-#REF!,L18)*$C18/1000),0))</f>
        <v>#VALUE!</v>
      </c>
      <c r="AS18" s="162" t="e">
        <f>(IF(IFERROR(M18-#REF!,M18)&gt;constants!$D$4,(IFERROR(M18-#REF!,M18)*$C18/1000),0))</f>
        <v>#VALUE!</v>
      </c>
      <c r="AT18" s="162" t="e">
        <f>(IF(IFERROR(N18-#REF!,N18)&gt;constants!$D$5,(IFERROR(N18-#REF!,N18)*$C18/1000),0))</f>
        <v>#VALUE!</v>
      </c>
      <c r="AU18" s="162" t="e">
        <f>(IF(IFERROR(O18-#REF!,O18)&gt;constants!$D$12,(IFERROR(O18-#REF!,O18)*$C18/1000),0))</f>
        <v>#VALUE!</v>
      </c>
      <c r="AV18" s="162" t="e">
        <f>(IF(IFERROR(P18-#REF!,P18)&gt;constants!$D$5,(IFERROR(P18-#REF!,P18)*$C18/1000),0))</f>
        <v>#VALUE!</v>
      </c>
      <c r="AW18" s="162">
        <f>(IF(IFERROR(Q18-#REF!,Q18)&gt;constants!$D$13,(IFERROR(Q18-#REF!,Q18)*$C18/1000),0))</f>
        <v>0</v>
      </c>
      <c r="AX18" s="64" t="e">
        <f>(IF(IFERROR(R18-#REF!,R18)&gt;constants!$D$14,(IFERROR(R18-#REF!,R18)*$C18/constants!$B$14),0))</f>
        <v>#VALUE!</v>
      </c>
      <c r="AY18" s="64" t="e">
        <f>(IF(IFERROR(S18-#REF!,S18)&gt;constants!$D$15,(IFERROR(S18-#REF!,S18)*$C18/constants!$B$15),0))</f>
        <v>#VALUE!</v>
      </c>
      <c r="AZ18" s="162">
        <f>IF(AH18="nd","nd",AH18*Table3152025303540[[#This Row],[dilution ]]/1000)</f>
        <v>0</v>
      </c>
      <c r="BA18" s="64"/>
      <c r="BB18" s="64"/>
      <c r="BC18" s="64" t="e">
        <f>(Table5162126313641[[#This Row],[Concentration]]*constants!$C$3)/1000</f>
        <v>#VALUE!</v>
      </c>
      <c r="BD18" s="64" t="e">
        <f>(Table5162126313641[[#This Row],[Concentration2]]*constants!$C$6)/1000</f>
        <v>#VALUE!</v>
      </c>
      <c r="BE18" s="64" t="e">
        <f>(Table5162126313641[[#This Row],[Concentration3]]*constants!$C$7)/1000</f>
        <v>#VALUE!</v>
      </c>
      <c r="BF18" s="64" t="e">
        <f>(Table5162126313641[[#This Row],[Concentration4]]*constants!$C$8)/1000</f>
        <v>#VALUE!</v>
      </c>
      <c r="BG18" s="64" t="e">
        <f>(Table5162126313641[[#This Row],[Concentration5]]*constants!$C$9)/1000</f>
        <v>#VALUE!</v>
      </c>
      <c r="BH18" s="64" t="e">
        <f>(Table5162126313641[[#This Row],[Concentration6]]*constants!$C$10)/1000</f>
        <v>#VALUE!</v>
      </c>
      <c r="BI18" s="64">
        <f>(Table5162126313641[[#This Row],[Concentration7]]*constants!$C$5)</f>
        <v>0</v>
      </c>
      <c r="BJ18" s="64">
        <f>(Table5162126313641[[#This Row],[Concentration8]]*3)</f>
        <v>0</v>
      </c>
      <c r="BK18" s="64" t="e">
        <f>(Table5162126313641[[#This Row],[Concentration9]]*4)</f>
        <v>#VALUE!</v>
      </c>
      <c r="BL18" s="64" t="e">
        <f>(Table5162126313641[[#This Row],[Concentration10]]*4)</f>
        <v>#VALUE!</v>
      </c>
      <c r="BM18" s="64" t="e">
        <f>(Table5162126313641[[#This Row],[Concentration11]]*5)</f>
        <v>#VALUE!</v>
      </c>
      <c r="BN18" s="64" t="e">
        <f>(Table5162126313641[[#This Row],[Concentration12]]*5)</f>
        <v>#VALUE!</v>
      </c>
      <c r="BO18" s="64" t="e">
        <f>(Table5162126313641[[#This Row],[Concentration13]]*6)</f>
        <v>#VALUE!</v>
      </c>
      <c r="BP18" s="64">
        <f>(Table5162126313641[[#This Row],[Concentration14]]*6)</f>
        <v>0</v>
      </c>
      <c r="BQ18" s="64" t="e">
        <f>(Table5162126313641[[#This Row],[Concentration15]]*7)</f>
        <v>#VALUE!</v>
      </c>
      <c r="BR18" s="64" t="e">
        <f>(Table5162126313641[[#This Row],[Concentration16]]*8)</f>
        <v>#VALUE!</v>
      </c>
      <c r="BS18" s="64">
        <f>(Table5162126313641[[#This Row],[Concentration17]]*3)/1000</f>
        <v>0</v>
      </c>
      <c r="BT18" s="47">
        <f>Table5162126313641[[#This Row],[Concentration18]]/1000</f>
        <v>0</v>
      </c>
      <c r="BU18" s="47">
        <f>Table5162126313641[[#This Row],[Concentration19]]/1000</f>
        <v>0</v>
      </c>
    </row>
    <row r="19" spans="1:73" s="47" customFormat="1" ht="16" thickBot="1" x14ac:dyDescent="0.4">
      <c r="A19" s="63" t="str">
        <f>Table2[[#This Row],[Date]]</f>
        <v>19-04</v>
      </c>
      <c r="B19" s="169">
        <f>Table2[[#This Row],[Time]]</f>
        <v>32</v>
      </c>
      <c r="C19" s="115">
        <v>10</v>
      </c>
      <c r="D19" s="106" t="s">
        <v>27</v>
      </c>
      <c r="E19" s="106" t="s">
        <v>27</v>
      </c>
      <c r="F19" s="106" t="s">
        <v>27</v>
      </c>
      <c r="G19" s="106" t="s">
        <v>27</v>
      </c>
      <c r="H19" s="106" t="s">
        <v>27</v>
      </c>
      <c r="I19" s="106" t="s">
        <v>27</v>
      </c>
      <c r="J19" s="106">
        <v>5.3001217676967576</v>
      </c>
      <c r="K19" s="106">
        <v>7.3344082330228488</v>
      </c>
      <c r="L19" s="106" t="s">
        <v>27</v>
      </c>
      <c r="M19" s="106" t="s">
        <v>27</v>
      </c>
      <c r="N19" s="107" t="s">
        <v>27</v>
      </c>
      <c r="O19" s="106" t="s">
        <v>27</v>
      </c>
      <c r="P19" s="106" t="s">
        <v>27</v>
      </c>
      <c r="Q19" s="106" t="s">
        <v>27</v>
      </c>
      <c r="R19" s="107" t="s">
        <v>27</v>
      </c>
      <c r="S19" s="108" t="s">
        <v>27</v>
      </c>
      <c r="T19" s="108" t="s">
        <v>27</v>
      </c>
      <c r="U19" s="108" t="s">
        <v>27</v>
      </c>
      <c r="V19" s="108" t="s">
        <v>27</v>
      </c>
      <c r="AE19" s="47" t="e">
        <v>#N/A</v>
      </c>
      <c r="AF19" s="66">
        <v>100</v>
      </c>
      <c r="AH19" s="47">
        <v>0</v>
      </c>
      <c r="AJ19" s="64" t="e">
        <f>IF(D19="nd","nd",D19*$C19/constants!$B$3)</f>
        <v>#VALUE!</v>
      </c>
      <c r="AK19" s="64" t="e">
        <f>IF(E19="nd","nd",E19*$C19/constants!$B$6)</f>
        <v>#VALUE!</v>
      </c>
      <c r="AL19" s="64" t="e">
        <f>IF(F19="nd","nd",F19*$C19/constants!$B$7)</f>
        <v>#VALUE!</v>
      </c>
      <c r="AM19" s="64" t="e">
        <f>IF(G19="nd","nd",G19*$C19/constants!$B$8)</f>
        <v>#VALUE!</v>
      </c>
      <c r="AN19" s="64" t="e">
        <f>IF(H19="nd","nd",H19*$C19/constants!$B$9)</f>
        <v>#VALUE!</v>
      </c>
      <c r="AO19" s="64" t="e">
        <f>IF(I19="nd","nd",I19*$C19/constants!$B$10)</f>
        <v>#VALUE!</v>
      </c>
      <c r="AP19" s="162">
        <f>(IF(IFERROR(J19-#REF!,J19)&gt;constants!$D$5,(IFERROR(J19-#REF!,J19)*$C19/1000),0))</f>
        <v>5.3001217676967576E-2</v>
      </c>
      <c r="AQ19" s="162">
        <f>(IF(IFERROR(K19-#REF!,K19)&gt;constants!$D$11,(IFERROR(K19-#REF!,K19)*$C19/1000),0))</f>
        <v>7.3344082330228488E-2</v>
      </c>
      <c r="AR19" s="162" t="e">
        <f>(IF(IFERROR(L19-#REF!,L19)&gt;constants!$D$19,(IFERROR(L19-#REF!,L19)*$C19/1000),0))</f>
        <v>#VALUE!</v>
      </c>
      <c r="AS19" s="162" t="e">
        <f>(IF(IFERROR(M19-#REF!,M19)&gt;constants!$D$4,(IFERROR(M19-#REF!,M19)*$C19/1000),0))</f>
        <v>#VALUE!</v>
      </c>
      <c r="AT19" s="162" t="e">
        <f>(IF(IFERROR(N19-#REF!,N19)&gt;constants!$D$5,(IFERROR(N19-#REF!,N19)*$C19/1000),0))</f>
        <v>#VALUE!</v>
      </c>
      <c r="AU19" s="162" t="e">
        <f>(IF(IFERROR(O19-#REF!,O19)&gt;constants!$D$12,(IFERROR(O19-#REF!,O19)*$C19/1000),0))</f>
        <v>#VALUE!</v>
      </c>
      <c r="AV19" s="162" t="e">
        <f>(IF(IFERROR(P19-#REF!,P19)&gt;constants!$D$5,(IFERROR(P19-#REF!,P19)*$C19/1000),0))</f>
        <v>#VALUE!</v>
      </c>
      <c r="AW19" s="162" t="e">
        <f>(IF(IFERROR(Q19-#REF!,Q19)&gt;constants!$D$13,(IFERROR(Q19-#REF!,Q19)*$C19/1000),0))</f>
        <v>#VALUE!</v>
      </c>
      <c r="AX19" s="64" t="e">
        <f>(IF(IFERROR(R19-#REF!,R19)&gt;constants!$D$14,(IFERROR(R19-#REF!,R19)*$C19/constants!$B$14),0))</f>
        <v>#VALUE!</v>
      </c>
      <c r="AY19" s="64" t="e">
        <f>(IF(IFERROR(S19-#REF!,S19)&gt;constants!$D$15,(IFERROR(S19-#REF!,S19)*$C19/constants!$B$15),0))</f>
        <v>#VALUE!</v>
      </c>
      <c r="AZ19" s="162">
        <f>IF(AH19="nd","nd",AH19*Table3152025303540[[#This Row],[dilution ]]/1000)</f>
        <v>0</v>
      </c>
      <c r="BA19" s="64"/>
      <c r="BB19" s="64"/>
      <c r="BC19" s="64" t="e">
        <f>(Table5162126313641[[#This Row],[Concentration]]*constants!$C$3)/1000</f>
        <v>#VALUE!</v>
      </c>
      <c r="BD19" s="64" t="e">
        <f>(Table5162126313641[[#This Row],[Concentration2]]*constants!$C$6)/1000</f>
        <v>#VALUE!</v>
      </c>
      <c r="BE19" s="64" t="e">
        <f>(Table5162126313641[[#This Row],[Concentration3]]*constants!$C$7)/1000</f>
        <v>#VALUE!</v>
      </c>
      <c r="BF19" s="64" t="e">
        <f>(Table5162126313641[[#This Row],[Concentration4]]*constants!$C$8)/1000</f>
        <v>#VALUE!</v>
      </c>
      <c r="BG19" s="64" t="e">
        <f>(Table5162126313641[[#This Row],[Concentration5]]*constants!$C$9)/1000</f>
        <v>#VALUE!</v>
      </c>
      <c r="BH19" s="64" t="e">
        <f>(Table5162126313641[[#This Row],[Concentration6]]*constants!$C$10)/1000</f>
        <v>#VALUE!</v>
      </c>
      <c r="BI19" s="64">
        <f>(Table5162126313641[[#This Row],[Concentration7]]*constants!$C$5)</f>
        <v>0.10600243535393515</v>
      </c>
      <c r="BJ19" s="64">
        <f>(Table5162126313641[[#This Row],[Concentration8]]*3)</f>
        <v>0.22003224699068546</v>
      </c>
      <c r="BK19" s="64" t="e">
        <f>(Table5162126313641[[#This Row],[Concentration9]]*4)</f>
        <v>#VALUE!</v>
      </c>
      <c r="BL19" s="64" t="e">
        <f>(Table5162126313641[[#This Row],[Concentration10]]*4)</f>
        <v>#VALUE!</v>
      </c>
      <c r="BM19" s="64" t="e">
        <f>(Table5162126313641[[#This Row],[Concentration11]]*5)</f>
        <v>#VALUE!</v>
      </c>
      <c r="BN19" s="64" t="e">
        <f>(Table5162126313641[[#This Row],[Concentration12]]*5)</f>
        <v>#VALUE!</v>
      </c>
      <c r="BO19" s="64" t="e">
        <f>(Table5162126313641[[#This Row],[Concentration13]]*6)</f>
        <v>#VALUE!</v>
      </c>
      <c r="BP19" s="64" t="e">
        <f>(Table5162126313641[[#This Row],[Concentration14]]*6)</f>
        <v>#VALUE!</v>
      </c>
      <c r="BQ19" s="64" t="e">
        <f>(Table5162126313641[[#This Row],[Concentration15]]*7)</f>
        <v>#VALUE!</v>
      </c>
      <c r="BR19" s="64" t="e">
        <f>(Table5162126313641[[#This Row],[Concentration16]]*8)</f>
        <v>#VALUE!</v>
      </c>
      <c r="BS19" s="64">
        <f>(Table5162126313641[[#This Row],[Concentration17]]*3)/1000</f>
        <v>0</v>
      </c>
      <c r="BT19" s="47">
        <f>Table5162126313641[[#This Row],[Concentration18]]/1000</f>
        <v>0</v>
      </c>
      <c r="BU19" s="47">
        <f>Table5162126313641[[#This Row],[Concentration19]]/1000</f>
        <v>0</v>
      </c>
    </row>
    <row r="20" spans="1:73" s="66" customFormat="1" ht="16" thickBot="1" x14ac:dyDescent="0.4">
      <c r="A20" s="63" t="str">
        <f>Table2[[#This Row],[Date]]</f>
        <v>26-04</v>
      </c>
      <c r="B20" s="169">
        <f>Table2[[#This Row],[Time]]</f>
        <v>38</v>
      </c>
      <c r="C20" s="79">
        <v>10</v>
      </c>
      <c r="D20" s="106" t="s">
        <v>27</v>
      </c>
      <c r="E20" s="106" t="s">
        <v>27</v>
      </c>
      <c r="F20" s="106" t="s">
        <v>27</v>
      </c>
      <c r="G20" s="106" t="s">
        <v>27</v>
      </c>
      <c r="H20" s="106" t="s">
        <v>27</v>
      </c>
      <c r="I20" s="106" t="s">
        <v>27</v>
      </c>
      <c r="J20" s="106">
        <v>12.336612833558332</v>
      </c>
      <c r="K20" s="106">
        <v>5.0276945501705068</v>
      </c>
      <c r="L20" s="106" t="s">
        <v>27</v>
      </c>
      <c r="M20" s="106">
        <v>2.5084331710642003</v>
      </c>
      <c r="N20" s="107" t="s">
        <v>27</v>
      </c>
      <c r="O20" s="106" t="s">
        <v>27</v>
      </c>
      <c r="P20" s="106" t="s">
        <v>27</v>
      </c>
      <c r="Q20" s="106">
        <v>1.3620256758469551</v>
      </c>
      <c r="R20" s="107" t="s">
        <v>27</v>
      </c>
      <c r="S20" s="108">
        <v>11.232108360551132</v>
      </c>
      <c r="T20" s="108" t="s">
        <v>27</v>
      </c>
      <c r="U20" s="108" t="s">
        <v>27</v>
      </c>
      <c r="V20" s="108" t="s">
        <v>27</v>
      </c>
      <c r="W20" s="96">
        <v>0.97566666666666668</v>
      </c>
      <c r="X20" s="97">
        <v>1.657690023001563</v>
      </c>
      <c r="Y20" s="96">
        <v>1.3481666666666665</v>
      </c>
      <c r="Z20" s="98">
        <v>89.321021880370068</v>
      </c>
      <c r="AA20" s="99" t="s">
        <v>27</v>
      </c>
      <c r="AB20" s="97" t="s">
        <v>27</v>
      </c>
      <c r="AC20" s="96">
        <v>2.524</v>
      </c>
      <c r="AD20" s="100">
        <v>2.5051908964387399</v>
      </c>
      <c r="AE20" s="65" t="e">
        <v>#N/A</v>
      </c>
      <c r="AF20" s="66">
        <v>100</v>
      </c>
      <c r="AH20" s="47">
        <v>0</v>
      </c>
      <c r="AJ20" s="64" t="e">
        <f>IF(D20="nd","nd",D20*$C20/constants!$B$3)</f>
        <v>#VALUE!</v>
      </c>
      <c r="AK20" s="64" t="e">
        <f>IF(E20="nd","nd",E20*$C20/constants!$B$6)</f>
        <v>#VALUE!</v>
      </c>
      <c r="AL20" s="64" t="e">
        <f>IF(F20="nd","nd",F20*$C20/constants!$B$7)</f>
        <v>#VALUE!</v>
      </c>
      <c r="AM20" s="64" t="e">
        <f>IF(G20="nd","nd",G20*$C20/constants!$B$8)</f>
        <v>#VALUE!</v>
      </c>
      <c r="AN20" s="64" t="e">
        <f>IF(H20="nd","nd",H20*$C20/constants!$B$9)</f>
        <v>#VALUE!</v>
      </c>
      <c r="AO20" s="64" t="e">
        <f>IF(I20="nd","nd",I20*$C20/constants!$B$10)</f>
        <v>#VALUE!</v>
      </c>
      <c r="AP20" s="162">
        <f>(IF(IFERROR(J20-#REF!,J20)&gt;constants!$D$5,(IFERROR(J20-#REF!,J20)*$C20/1000),0))</f>
        <v>0.12336612833558333</v>
      </c>
      <c r="AQ20" s="162">
        <f>(IF(IFERROR(K20-#REF!,K20)&gt;constants!$D$11,(IFERROR(K20-#REF!,K20)*$C20/1000),0))</f>
        <v>5.027694550170507E-2</v>
      </c>
      <c r="AR20" s="162" t="e">
        <f>(IF(IFERROR(L20-#REF!,L20)&gt;constants!$D$19,(IFERROR(L20-#REF!,L20)*$C20/1000),0))</f>
        <v>#VALUE!</v>
      </c>
      <c r="AS20" s="162">
        <f>(IF(IFERROR(M20-#REF!,M20)&gt;constants!$D$4,(IFERROR(M20-#REF!,M20)*$C20/1000),0))</f>
        <v>0</v>
      </c>
      <c r="AT20" s="162" t="e">
        <f>(IF(IFERROR(N20-#REF!,N20)&gt;constants!$D$5,(IFERROR(N20-#REF!,N20)*$C20/1000),0))</f>
        <v>#VALUE!</v>
      </c>
      <c r="AU20" s="162" t="e">
        <f>(IF(IFERROR(O20-#REF!,O20)&gt;constants!$D$12,(IFERROR(O20-#REF!,O20)*$C20/1000),0))</f>
        <v>#VALUE!</v>
      </c>
      <c r="AV20" s="162" t="e">
        <f>(IF(IFERROR(P20-#REF!,P20)&gt;constants!$D$5,(IFERROR(P20-#REF!,P20)*$C20/1000),0))</f>
        <v>#VALUE!</v>
      </c>
      <c r="AW20" s="162">
        <f>(IF(IFERROR(Q20-#REF!,Q20)&gt;constants!$D$13,(IFERROR(Q20-#REF!,Q20)*$C20/1000),0))</f>
        <v>0</v>
      </c>
      <c r="AX20" s="64" t="e">
        <f>(IF(IFERROR(R20-#REF!,R20)&gt;constants!$D$14,(IFERROR(R20-#REF!,R20)*$C20/constants!$B$14),0))</f>
        <v>#VALUE!</v>
      </c>
      <c r="AY20" s="64">
        <f>(IF(IFERROR(S20-#REF!,S20)&gt;constants!$D$15,(IFERROR(S20-#REF!,S20)*$C20/constants!$B$15),0))</f>
        <v>0.77885006729936979</v>
      </c>
      <c r="AZ20" s="162">
        <f>IF(AH20="nd","nd",AH20*Table3152025303540[[#This Row],[dilution ]]/1000)</f>
        <v>0</v>
      </c>
      <c r="BA20" s="64">
        <f>10</f>
        <v>10</v>
      </c>
      <c r="BB20" s="64"/>
      <c r="BC20" s="64" t="e">
        <f>(Table5162126313641[[#This Row],[Concentration]]*constants!$C$3)/1000</f>
        <v>#VALUE!</v>
      </c>
      <c r="BD20" s="64" t="e">
        <f>(Table5162126313641[[#This Row],[Concentration2]]*constants!$C$6)/1000</f>
        <v>#VALUE!</v>
      </c>
      <c r="BE20" s="64" t="e">
        <f>(Table5162126313641[[#This Row],[Concentration3]]*constants!$C$7)/1000</f>
        <v>#VALUE!</v>
      </c>
      <c r="BF20" s="64" t="e">
        <f>(Table5162126313641[[#This Row],[Concentration4]]*constants!$C$8)/1000</f>
        <v>#VALUE!</v>
      </c>
      <c r="BG20" s="64" t="e">
        <f>(Table5162126313641[[#This Row],[Concentration5]]*constants!$C$9)/1000</f>
        <v>#VALUE!</v>
      </c>
      <c r="BH20" s="64" t="e">
        <f>(Table5162126313641[[#This Row],[Concentration6]]*constants!$C$10)/1000</f>
        <v>#VALUE!</v>
      </c>
      <c r="BI20" s="64">
        <f>(Table5162126313641[[#This Row],[Concentration7]]*constants!$C$5)</f>
        <v>0.24673225667116666</v>
      </c>
      <c r="BJ20" s="64">
        <f>(Table5162126313641[[#This Row],[Concentration8]]*3)</f>
        <v>0.1508308365051152</v>
      </c>
      <c r="BK20" s="64" t="e">
        <f>(Table5162126313641[[#This Row],[Concentration9]]*4)</f>
        <v>#VALUE!</v>
      </c>
      <c r="BL20" s="64">
        <f>(Table5162126313641[[#This Row],[Concentration10]]*4)</f>
        <v>0</v>
      </c>
      <c r="BM20" s="64" t="e">
        <f>(Table5162126313641[[#This Row],[Concentration11]]*5)</f>
        <v>#VALUE!</v>
      </c>
      <c r="BN20" s="64" t="e">
        <f>(Table5162126313641[[#This Row],[Concentration12]]*5)</f>
        <v>#VALUE!</v>
      </c>
      <c r="BO20" s="64" t="e">
        <f>(Table5162126313641[[#This Row],[Concentration13]]*6)</f>
        <v>#VALUE!</v>
      </c>
      <c r="BP20" s="64">
        <f>(Table5162126313641[[#This Row],[Concentration14]]*6)</f>
        <v>0</v>
      </c>
      <c r="BQ20" s="64" t="e">
        <f>(Table5162126313641[[#This Row],[Concentration15]]*7)</f>
        <v>#VALUE!</v>
      </c>
      <c r="BR20" s="64">
        <f>(Table5162126313641[[#This Row],[Concentration16]]*8)</f>
        <v>6.2308005383949583</v>
      </c>
      <c r="BS20" s="64">
        <f>(Table5162126313641[[#This Row],[Concentration17]]*3)/1000</f>
        <v>0</v>
      </c>
      <c r="BT20" s="47">
        <f>Table5162126313641[[#This Row],[Concentration18]]</f>
        <v>10</v>
      </c>
      <c r="BU20" s="47">
        <f>Table5162126313641[[#This Row],[Concentration19]]/1000</f>
        <v>0</v>
      </c>
    </row>
    <row r="21" spans="1:73" s="47" customFormat="1" ht="16" thickBot="1" x14ac:dyDescent="0.4">
      <c r="A21" s="63">
        <f>Table2[[#This Row],[Date]]</f>
        <v>43105</v>
      </c>
      <c r="B21" s="169">
        <f>Table2[[#This Row],[Time]]</f>
        <v>43</v>
      </c>
      <c r="C21" s="54">
        <v>20</v>
      </c>
      <c r="D21" s="106" t="s">
        <v>27</v>
      </c>
      <c r="E21" s="106" t="s">
        <v>27</v>
      </c>
      <c r="F21" s="106" t="s">
        <v>27</v>
      </c>
      <c r="G21" s="106" t="s">
        <v>27</v>
      </c>
      <c r="H21" s="106" t="s">
        <v>27</v>
      </c>
      <c r="I21" s="106" t="s">
        <v>27</v>
      </c>
      <c r="J21" s="106">
        <v>8.2986632381713328</v>
      </c>
      <c r="K21" s="106">
        <v>2.8181594689992364</v>
      </c>
      <c r="L21" s="106" t="s">
        <v>27</v>
      </c>
      <c r="M21" s="106" t="s">
        <v>27</v>
      </c>
      <c r="N21" s="107" t="s">
        <v>27</v>
      </c>
      <c r="O21" s="106" t="s">
        <v>27</v>
      </c>
      <c r="P21" s="106" t="s">
        <v>27</v>
      </c>
      <c r="Q21" s="106" t="s">
        <v>27</v>
      </c>
      <c r="R21" s="107" t="s">
        <v>27</v>
      </c>
      <c r="S21" s="108" t="s">
        <v>27</v>
      </c>
      <c r="T21" s="108" t="s">
        <v>27</v>
      </c>
      <c r="U21" s="108" t="s">
        <v>27</v>
      </c>
      <c r="V21" s="108" t="s">
        <v>27</v>
      </c>
      <c r="AE21" s="55">
        <v>7.13</v>
      </c>
      <c r="AF21" s="66">
        <v>100</v>
      </c>
      <c r="AH21" s="47">
        <v>0</v>
      </c>
      <c r="AJ21" s="64" t="e">
        <f>IF(D21="nd","nd",D21*$C21/constants!$B$3)</f>
        <v>#VALUE!</v>
      </c>
      <c r="AK21" s="64" t="e">
        <f>IF(E21="nd","nd",E21*$C21/constants!$B$6)</f>
        <v>#VALUE!</v>
      </c>
      <c r="AL21" s="64" t="e">
        <f>IF(F21="nd","nd",F21*$C21/constants!$B$7)</f>
        <v>#VALUE!</v>
      </c>
      <c r="AM21" s="64" t="e">
        <f>IF(G21="nd","nd",G21*$C21/constants!$B$8)</f>
        <v>#VALUE!</v>
      </c>
      <c r="AN21" s="64" t="e">
        <f>IF(H21="nd","nd",H21*$C21/constants!$B$9)</f>
        <v>#VALUE!</v>
      </c>
      <c r="AO21" s="64" t="e">
        <f>IF(I21="nd","nd",I21*$C21/constants!$B$10)</f>
        <v>#VALUE!</v>
      </c>
      <c r="AP21" s="162">
        <f>(IF(IFERROR(J21-#REF!,J21)&gt;constants!$D$5,(IFERROR(J21-#REF!,J21)*$C21/1000),0))</f>
        <v>0.16597326476342664</v>
      </c>
      <c r="AQ21" s="162">
        <f>(IF(IFERROR(K21-#REF!,K21)&gt;constants!$D$11,(IFERROR(K21-#REF!,K21)*$C21/1000),0))</f>
        <v>0</v>
      </c>
      <c r="AR21" s="162" t="e">
        <f>(IF(IFERROR(L21-#REF!,L21)&gt;constants!$D$19,(IFERROR(L21-#REF!,L21)*$C21/1000),0))</f>
        <v>#VALUE!</v>
      </c>
      <c r="AS21" s="162" t="e">
        <f>(IF(IFERROR(M21-#REF!,M21)&gt;constants!$D$4,(IFERROR(M21-#REF!,M21)*$C21/1000),0))</f>
        <v>#VALUE!</v>
      </c>
      <c r="AT21" s="162" t="e">
        <f>(IF(IFERROR(N21-#REF!,N21)&gt;constants!$D$5,(IFERROR(N21-#REF!,N21)*$C21/1000),0))</f>
        <v>#VALUE!</v>
      </c>
      <c r="AU21" s="162" t="e">
        <f>(IF(IFERROR(O21-#REF!,O21)&gt;constants!$D$12,(IFERROR(O21-#REF!,O21)*$C21/1000),0))</f>
        <v>#VALUE!</v>
      </c>
      <c r="AV21" s="162" t="e">
        <f>(IF(IFERROR(P21-#REF!,P21)&gt;constants!$D$5,(IFERROR(P21-#REF!,P21)*$C21/1000),0))</f>
        <v>#VALUE!</v>
      </c>
      <c r="AW21" s="162" t="e">
        <f>(IF(IFERROR(Q21-#REF!,Q21)&gt;constants!$D$13,(IFERROR(Q21-#REF!,Q21)*$C21/1000),0))</f>
        <v>#VALUE!</v>
      </c>
      <c r="AX21" s="64" t="e">
        <f>(IF(IFERROR(R21-#REF!,R21)&gt;constants!$D$14,(IFERROR(R21-#REF!,R21)*$C21/constants!$B$14),0))</f>
        <v>#VALUE!</v>
      </c>
      <c r="AY21" s="64" t="e">
        <f>(IF(IFERROR(S21-#REF!,S21)&gt;constants!$D$15,(IFERROR(S21-#REF!,S21)*$C21/constants!$B$15),0))</f>
        <v>#VALUE!</v>
      </c>
      <c r="AZ21" s="162">
        <f>IF(AH21="nd","nd",AH21*Table3152025303540[[#This Row],[dilution ]]/1000)</f>
        <v>0</v>
      </c>
      <c r="BA21" s="64"/>
      <c r="BB21" s="64"/>
      <c r="BC21" s="64" t="e">
        <f>(Table5162126313641[[#This Row],[Concentration]]*constants!$C$3)/1000</f>
        <v>#VALUE!</v>
      </c>
      <c r="BD21" s="64" t="e">
        <f>(Table5162126313641[[#This Row],[Concentration2]]*constants!$C$6)/1000</f>
        <v>#VALUE!</v>
      </c>
      <c r="BE21" s="64" t="e">
        <f>(Table5162126313641[[#This Row],[Concentration3]]*constants!$C$7)/1000</f>
        <v>#VALUE!</v>
      </c>
      <c r="BF21" s="64" t="e">
        <f>(Table5162126313641[[#This Row],[Concentration4]]*constants!$C$8)/1000</f>
        <v>#VALUE!</v>
      </c>
      <c r="BG21" s="64" t="e">
        <f>(Table5162126313641[[#This Row],[Concentration5]]*constants!$C$9)/1000</f>
        <v>#VALUE!</v>
      </c>
      <c r="BH21" s="64" t="e">
        <f>(Table5162126313641[[#This Row],[Concentration6]]*constants!$C$10)/1000</f>
        <v>#VALUE!</v>
      </c>
      <c r="BI21" s="64">
        <f>(Table5162126313641[[#This Row],[Concentration7]]*constants!$C$5)</f>
        <v>0.33194652952685327</v>
      </c>
      <c r="BJ21" s="64">
        <f>(Table5162126313641[[#This Row],[Concentration8]]*3)</f>
        <v>0</v>
      </c>
      <c r="BK21" s="64" t="e">
        <f>(Table5162126313641[[#This Row],[Concentration9]]*4)</f>
        <v>#VALUE!</v>
      </c>
      <c r="BL21" s="64" t="e">
        <f>(Table5162126313641[[#This Row],[Concentration10]]*4)</f>
        <v>#VALUE!</v>
      </c>
      <c r="BM21" s="64" t="e">
        <f>(Table5162126313641[[#This Row],[Concentration11]]*5)</f>
        <v>#VALUE!</v>
      </c>
      <c r="BN21" s="64" t="e">
        <f>(Table5162126313641[[#This Row],[Concentration12]]*5)</f>
        <v>#VALUE!</v>
      </c>
      <c r="BO21" s="64" t="e">
        <f>(Table5162126313641[[#This Row],[Concentration13]]*6)</f>
        <v>#VALUE!</v>
      </c>
      <c r="BP21" s="64" t="e">
        <f>(Table5162126313641[[#This Row],[Concentration14]]*6)</f>
        <v>#VALUE!</v>
      </c>
      <c r="BQ21" s="64" t="e">
        <f>(Table5162126313641[[#This Row],[Concentration15]]*7)</f>
        <v>#VALUE!</v>
      </c>
      <c r="BR21" s="64" t="e">
        <f>(Table5162126313641[[#This Row],[Concentration16]]*8)</f>
        <v>#VALUE!</v>
      </c>
      <c r="BS21" s="64">
        <f>(Table5162126313641[[#This Row],[Concentration17]]*3)/1000</f>
        <v>0</v>
      </c>
      <c r="BT21" s="47">
        <f>Table5162126313641[[#This Row],[Concentration18]]/1000</f>
        <v>0</v>
      </c>
      <c r="BU21" s="47">
        <f>Table5162126313641[[#This Row],[Concentration19]]/1000</f>
        <v>0</v>
      </c>
    </row>
    <row r="22" spans="1:73" s="66" customFormat="1" ht="16" thickBot="1" x14ac:dyDescent="0.4">
      <c r="A22" s="63">
        <f>Table2[[#This Row],[Date]]</f>
        <v>43195</v>
      </c>
      <c r="B22" s="169">
        <f>Table2[[#This Row],[Time]]</f>
        <v>46</v>
      </c>
      <c r="C22" s="79">
        <v>20</v>
      </c>
      <c r="D22" s="106" t="s">
        <v>27</v>
      </c>
      <c r="E22" s="106" t="s">
        <v>27</v>
      </c>
      <c r="F22" s="106" t="s">
        <v>27</v>
      </c>
      <c r="G22" s="106" t="s">
        <v>27</v>
      </c>
      <c r="H22" s="106" t="s">
        <v>27</v>
      </c>
      <c r="I22" s="106" t="s">
        <v>27</v>
      </c>
      <c r="J22" s="106">
        <v>9.1304559548436899</v>
      </c>
      <c r="K22" s="106">
        <v>1.3397932322885846</v>
      </c>
      <c r="L22" s="106" t="s">
        <v>27</v>
      </c>
      <c r="M22" s="106">
        <v>1.8521694554682839</v>
      </c>
      <c r="N22" s="107" t="s">
        <v>27</v>
      </c>
      <c r="O22" s="106" t="s">
        <v>27</v>
      </c>
      <c r="P22" s="106" t="s">
        <v>27</v>
      </c>
      <c r="Q22" s="106" t="s">
        <v>27</v>
      </c>
      <c r="R22" s="107" t="s">
        <v>27</v>
      </c>
      <c r="S22" s="108" t="s">
        <v>27</v>
      </c>
      <c r="T22" s="108" t="s">
        <v>27</v>
      </c>
      <c r="U22" s="108" t="s">
        <v>27</v>
      </c>
      <c r="V22" s="108" t="s">
        <v>27</v>
      </c>
      <c r="AE22" s="65">
        <v>7.03</v>
      </c>
      <c r="AF22" s="66">
        <v>100</v>
      </c>
      <c r="AH22" s="47">
        <v>0</v>
      </c>
      <c r="AJ22" s="64" t="e">
        <f>IF(D22="nd","nd",D22*$C22/constants!$B$3)</f>
        <v>#VALUE!</v>
      </c>
      <c r="AK22" s="64" t="e">
        <f>IF(E22="nd","nd",E22*$C22/constants!$B$6)</f>
        <v>#VALUE!</v>
      </c>
      <c r="AL22" s="64" t="e">
        <f>IF(F22="nd","nd",F22*$C22/constants!$B$7)</f>
        <v>#VALUE!</v>
      </c>
      <c r="AM22" s="64" t="e">
        <f>IF(G22="nd","nd",G22*$C22/constants!$B$8)</f>
        <v>#VALUE!</v>
      </c>
      <c r="AN22" s="64" t="e">
        <f>IF(H22="nd","nd",H22*$C22/constants!$B$9)</f>
        <v>#VALUE!</v>
      </c>
      <c r="AO22" s="64" t="e">
        <f>IF(I22="nd","nd",I22*$C22/constants!$B$10)</f>
        <v>#VALUE!</v>
      </c>
      <c r="AP22" s="162">
        <f>(IF(IFERROR(J22-#REF!,J22)&gt;constants!$D$5,(IFERROR(J22-#REF!,J22)*$C22/1000),0))</f>
        <v>0.1826091190968738</v>
      </c>
      <c r="AQ22" s="162">
        <f>(IF(IFERROR(K22-#REF!,K22)&gt;constants!$D$11,(IFERROR(K22-#REF!,K22)*$C22/1000),0))</f>
        <v>0</v>
      </c>
      <c r="AR22" s="162" t="e">
        <f>(IF(IFERROR(L22-#REF!,L22)&gt;constants!$D$19,(IFERROR(L22-#REF!,L22)*$C22/1000),0))</f>
        <v>#VALUE!</v>
      </c>
      <c r="AS22" s="162">
        <f>(IF(IFERROR(M22-#REF!,M22)&gt;constants!$D$4,(IFERROR(M22-#REF!,M22)*$C22/1000),0))</f>
        <v>0</v>
      </c>
      <c r="AT22" s="162" t="e">
        <f>(IF(IFERROR(N22-#REF!,N22)&gt;constants!$D$5,(IFERROR(N22-#REF!,N22)*$C22/1000),0))</f>
        <v>#VALUE!</v>
      </c>
      <c r="AU22" s="162" t="e">
        <f>(IF(IFERROR(O22-#REF!,O22)&gt;constants!$D$12,(IFERROR(O22-#REF!,O22)*$C22/1000),0))</f>
        <v>#VALUE!</v>
      </c>
      <c r="AV22" s="162" t="e">
        <f>(IF(IFERROR(P22-#REF!,P22)&gt;constants!$D$5,(IFERROR(P22-#REF!,P22)*$C22/1000),0))</f>
        <v>#VALUE!</v>
      </c>
      <c r="AW22" s="162" t="e">
        <f>(IF(IFERROR(Q22-#REF!,Q22)&gt;constants!$D$13,(IFERROR(Q22-#REF!,Q22)*$C22/1000),0))</f>
        <v>#VALUE!</v>
      </c>
      <c r="AX22" s="64" t="e">
        <f>(IF(IFERROR(R22-#REF!,R22)&gt;constants!$D$14,(IFERROR(R22-#REF!,R22)*$C22/constants!$B$14),0))</f>
        <v>#VALUE!</v>
      </c>
      <c r="AY22" s="64" t="e">
        <f>(IF(IFERROR(S22-#REF!,S22)&gt;constants!$D$15,(IFERROR(S22-#REF!,S22)*$C22/constants!$B$15),0))</f>
        <v>#VALUE!</v>
      </c>
      <c r="AZ22" s="162">
        <f>IF(AH22="nd","nd",AH22*Table3152025303540[[#This Row],[dilution ]]/1000)</f>
        <v>0</v>
      </c>
      <c r="BA22" s="64"/>
      <c r="BB22" s="64"/>
      <c r="BC22" s="64" t="e">
        <f>(Table5162126313641[[#This Row],[Concentration]]*constants!$C$3)/1000</f>
        <v>#VALUE!</v>
      </c>
      <c r="BD22" s="64" t="e">
        <f>(Table5162126313641[[#This Row],[Concentration2]]*constants!$C$6)/1000</f>
        <v>#VALUE!</v>
      </c>
      <c r="BE22" s="64" t="e">
        <f>(Table5162126313641[[#This Row],[Concentration3]]*constants!$C$7)/1000</f>
        <v>#VALUE!</v>
      </c>
      <c r="BF22" s="64" t="e">
        <f>(Table5162126313641[[#This Row],[Concentration4]]*constants!$C$8)/1000</f>
        <v>#VALUE!</v>
      </c>
      <c r="BG22" s="64" t="e">
        <f>(Table5162126313641[[#This Row],[Concentration5]]*constants!$C$9)/1000</f>
        <v>#VALUE!</v>
      </c>
      <c r="BH22" s="64" t="e">
        <f>(Table5162126313641[[#This Row],[Concentration6]]*constants!$C$10)/1000</f>
        <v>#VALUE!</v>
      </c>
      <c r="BI22" s="64">
        <f>(Table5162126313641[[#This Row],[Concentration7]]*constants!$C$5)</f>
        <v>0.3652182381937476</v>
      </c>
      <c r="BJ22" s="64">
        <f>(Table5162126313641[[#This Row],[Concentration8]]*3)</f>
        <v>0</v>
      </c>
      <c r="BK22" s="64" t="e">
        <f>(Table5162126313641[[#This Row],[Concentration9]]*4)</f>
        <v>#VALUE!</v>
      </c>
      <c r="BL22" s="64">
        <f>(Table5162126313641[[#This Row],[Concentration10]]*4)</f>
        <v>0</v>
      </c>
      <c r="BM22" s="64" t="e">
        <f>(Table5162126313641[[#This Row],[Concentration11]]*5)</f>
        <v>#VALUE!</v>
      </c>
      <c r="BN22" s="64" t="e">
        <f>(Table5162126313641[[#This Row],[Concentration12]]*5)</f>
        <v>#VALUE!</v>
      </c>
      <c r="BO22" s="64" t="e">
        <f>(Table5162126313641[[#This Row],[Concentration13]]*6)</f>
        <v>#VALUE!</v>
      </c>
      <c r="BP22" s="64" t="e">
        <f>(Table5162126313641[[#This Row],[Concentration14]]*6)</f>
        <v>#VALUE!</v>
      </c>
      <c r="BQ22" s="64" t="e">
        <f>(Table5162126313641[[#This Row],[Concentration15]]*7)</f>
        <v>#VALUE!</v>
      </c>
      <c r="BR22" s="64" t="e">
        <f>(Table5162126313641[[#This Row],[Concentration16]]*8)</f>
        <v>#VALUE!</v>
      </c>
      <c r="BS22" s="64">
        <f>(Table5162126313641[[#This Row],[Concentration17]]*3)/1000</f>
        <v>0</v>
      </c>
      <c r="BT22" s="47">
        <f>Table5162126313641[[#This Row],[Concentration18]]/1000</f>
        <v>0</v>
      </c>
      <c r="BU22" s="47">
        <f>Table5162126313641[[#This Row],[Concentration19]]/1000</f>
        <v>0</v>
      </c>
    </row>
    <row r="23" spans="1:73" s="47" customFormat="1" ht="16" thickBot="1" x14ac:dyDescent="0.4">
      <c r="A23" s="63">
        <f>Table2[[#This Row],[Date]]</f>
        <v>43317</v>
      </c>
      <c r="B23" s="169">
        <f>Table2[[#This Row],[Time]]</f>
        <v>50</v>
      </c>
      <c r="C23" s="54">
        <v>0</v>
      </c>
      <c r="V23" s="82"/>
      <c r="AE23" s="55" t="e">
        <v>#N/A</v>
      </c>
      <c r="AF23" s="47">
        <v>10</v>
      </c>
      <c r="AH23" s="47">
        <v>0</v>
      </c>
      <c r="AJ23" s="64">
        <f>IF(D23="nd","nd",D23*$C23/constants!$B$3)</f>
        <v>0</v>
      </c>
      <c r="AK23" s="64">
        <f>IF(E23="nd","nd",E23*$C23/constants!$B$6)</f>
        <v>0</v>
      </c>
      <c r="AL23" s="64">
        <f>IF(F23="nd","nd",F23*$C23/constants!$B$7)</f>
        <v>0</v>
      </c>
      <c r="AM23" s="64">
        <f>IF(G23="nd","nd",G23*$C23/constants!$B$8)</f>
        <v>0</v>
      </c>
      <c r="AN23" s="64">
        <f>IF(H23="nd","nd",H23*$C23/constants!$B$9)</f>
        <v>0</v>
      </c>
      <c r="AO23" s="64">
        <f>IF(I23="nd","nd",I23*$C23/constants!$B$10)</f>
        <v>0</v>
      </c>
      <c r="AP23" s="162">
        <f>(IF(IFERROR(J23-#REF!,J23)&gt;constants!$D$5,(IFERROR(J23-#REF!,J23)*$C23/1000),0))</f>
        <v>0</v>
      </c>
      <c r="AQ23" s="162">
        <f>(IF(IFERROR(K23-#REF!,K23)&gt;constants!$D$11,(IFERROR(K23-#REF!,K23)*$C23/1000),0))</f>
        <v>0</v>
      </c>
      <c r="AR23" s="162">
        <f>(IF(IFERROR(L23-#REF!,L23)&gt;constants!$D$19,(IFERROR(L23-#REF!,L23)*$C23/1000),0))</f>
        <v>0</v>
      </c>
      <c r="AS23" s="162">
        <f>(IF(IFERROR(M23-#REF!,M23)&gt;constants!$D$4,(IFERROR(M23-#REF!,M23)*$C23/1000),0))</f>
        <v>0</v>
      </c>
      <c r="AT23" s="162">
        <f>(IF(IFERROR(N23-#REF!,N23)&gt;constants!$D$5,(IFERROR(N23-#REF!,N23)*$C23/1000),0))</f>
        <v>0</v>
      </c>
      <c r="AU23" s="162">
        <f>(IF(IFERROR(O23-#REF!,O23)&gt;constants!$D$12,(IFERROR(O23-#REF!,O23)*$C23/1000),0))</f>
        <v>0</v>
      </c>
      <c r="AV23" s="162">
        <f>(IF(IFERROR(P23-#REF!,P23)&gt;constants!$D$5,(IFERROR(P23-#REF!,P23)*$C23/1000),0))</f>
        <v>0</v>
      </c>
      <c r="AW23" s="162">
        <f>(IF(IFERROR(Q23-#REF!,Q23)&gt;constants!$D$13,(IFERROR(Q23-#REF!,Q23)*$C23/1000),0))</f>
        <v>0</v>
      </c>
      <c r="AX23" s="64">
        <f>(IF(IFERROR(R23-#REF!,R23)&gt;constants!$D$14,(IFERROR(R23-#REF!,R23)*$C23/constants!$B$14),0))</f>
        <v>0</v>
      </c>
      <c r="AY23" s="64">
        <f>(IF(IFERROR(S23-#REF!,S23)&gt;constants!$D$15,(IFERROR(S23-#REF!,S23)*$C23/constants!$B$15),0))</f>
        <v>0</v>
      </c>
      <c r="AZ23" s="162">
        <f>IF(AH23="nd","nd",AH23*Table3152025303540[[#This Row],[dilution ]]/1000)</f>
        <v>0</v>
      </c>
      <c r="BA23" s="64"/>
      <c r="BB23" s="64"/>
      <c r="BC23" s="64">
        <f>(Table5162126313641[[#This Row],[Concentration]]*constants!$C$3)/1000</f>
        <v>0</v>
      </c>
      <c r="BD23" s="64">
        <f>(Table5162126313641[[#This Row],[Concentration2]]*constants!$C$6)/1000</f>
        <v>0</v>
      </c>
      <c r="BE23" s="64">
        <f>(Table5162126313641[[#This Row],[Concentration3]]*constants!$C$7)/1000</f>
        <v>0</v>
      </c>
      <c r="BF23" s="64">
        <f>(Table5162126313641[[#This Row],[Concentration4]]*constants!$C$8)/1000</f>
        <v>0</v>
      </c>
      <c r="BG23" s="64">
        <f>(Table5162126313641[[#This Row],[Concentration5]]*constants!$C$9)/1000</f>
        <v>0</v>
      </c>
      <c r="BH23" s="64">
        <f>(Table5162126313641[[#This Row],[Concentration6]]*constants!$C$10)/1000</f>
        <v>0</v>
      </c>
      <c r="BI23" s="64">
        <f>(Table5162126313641[[#This Row],[Concentration7]]*constants!$C$5)</f>
        <v>0</v>
      </c>
      <c r="BJ23" s="64">
        <f>(Table5162126313641[[#This Row],[Concentration8]]*3)</f>
        <v>0</v>
      </c>
      <c r="BK23" s="64">
        <f>(Table5162126313641[[#This Row],[Concentration9]]*4)</f>
        <v>0</v>
      </c>
      <c r="BL23" s="64">
        <f>(Table5162126313641[[#This Row],[Concentration10]]*4)</f>
        <v>0</v>
      </c>
      <c r="BM23" s="64">
        <f>(Table5162126313641[[#This Row],[Concentration11]]*5)</f>
        <v>0</v>
      </c>
      <c r="BN23" s="64">
        <f>(Table5162126313641[[#This Row],[Concentration12]]*5)</f>
        <v>0</v>
      </c>
      <c r="BO23" s="64">
        <f>(Table5162126313641[[#This Row],[Concentration13]]*6)</f>
        <v>0</v>
      </c>
      <c r="BP23" s="64">
        <f>(Table5162126313641[[#This Row],[Concentration14]]*6)</f>
        <v>0</v>
      </c>
      <c r="BQ23" s="64">
        <f>(Table5162126313641[[#This Row],[Concentration15]]*7)</f>
        <v>0</v>
      </c>
      <c r="BR23" s="64">
        <f>(Table5162126313641[[#This Row],[Concentration16]]*8)</f>
        <v>0</v>
      </c>
      <c r="BS23" s="64">
        <f>(Table5162126313641[[#This Row],[Concentration17]]*3)/1000</f>
        <v>0</v>
      </c>
      <c r="BT23" s="47">
        <f>Table5162126313641[[#This Row],[Concentration18]]/1000</f>
        <v>0</v>
      </c>
      <c r="BU23" s="47">
        <f>Table5162126313641[[#This Row],[Concentration19]]/1000</f>
        <v>0</v>
      </c>
    </row>
    <row r="24" spans="1:73" s="66" customFormat="1" ht="16" thickBot="1" x14ac:dyDescent="0.4">
      <c r="A24" s="63" t="str">
        <f>Table2[[#This Row],[Date]]</f>
        <v>16-05-2018</v>
      </c>
      <c r="B24" s="169">
        <f>Table2[[#This Row],[Time]]</f>
        <v>58</v>
      </c>
      <c r="C24" s="79">
        <v>20</v>
      </c>
      <c r="D24" s="106" t="s">
        <v>27</v>
      </c>
      <c r="E24" s="106" t="s">
        <v>27</v>
      </c>
      <c r="F24" s="106" t="s">
        <v>27</v>
      </c>
      <c r="G24" s="106" t="s">
        <v>27</v>
      </c>
      <c r="H24" s="106" t="s">
        <v>27</v>
      </c>
      <c r="I24" s="106" t="s">
        <v>27</v>
      </c>
      <c r="J24" s="106">
        <v>1.7230937188135487</v>
      </c>
      <c r="K24" s="106">
        <v>1.6582331915165036</v>
      </c>
      <c r="L24" s="106" t="s">
        <v>27</v>
      </c>
      <c r="M24" s="106">
        <v>3.496428945829297</v>
      </c>
      <c r="N24" s="107" t="s">
        <v>27</v>
      </c>
      <c r="O24" s="106" t="s">
        <v>27</v>
      </c>
      <c r="P24" s="106" t="s">
        <v>27</v>
      </c>
      <c r="Q24" s="106" t="s">
        <v>27</v>
      </c>
      <c r="R24" s="107" t="s">
        <v>27</v>
      </c>
      <c r="S24" s="108" t="s">
        <v>27</v>
      </c>
      <c r="T24" s="108" t="s">
        <v>27</v>
      </c>
      <c r="U24" s="108" t="s">
        <v>27</v>
      </c>
      <c r="V24" s="108" t="s">
        <v>27</v>
      </c>
      <c r="AE24" s="65">
        <v>7.16</v>
      </c>
      <c r="AJ24" s="64" t="e">
        <f>IF(D24="nd","nd",D24*$C24/constants!$B$3)</f>
        <v>#VALUE!</v>
      </c>
      <c r="AK24" s="64" t="e">
        <f>IF(E24="nd","nd",E24*$C24/constants!$B$6)</f>
        <v>#VALUE!</v>
      </c>
      <c r="AL24" s="64" t="e">
        <f>IF(F24="nd","nd",F24*$C24/constants!$B$7)</f>
        <v>#VALUE!</v>
      </c>
      <c r="AM24" s="64" t="e">
        <f>IF(G24="nd","nd",G24*$C24/constants!$B$8)</f>
        <v>#VALUE!</v>
      </c>
      <c r="AN24" s="64" t="e">
        <f>IF(H24="nd","nd",H24*$C24/constants!$B$9)</f>
        <v>#VALUE!</v>
      </c>
      <c r="AO24" s="64" t="e">
        <f>IF(I24="nd","nd",I24*$C24/constants!$B$10)</f>
        <v>#VALUE!</v>
      </c>
      <c r="AP24" s="162">
        <f>(IF(IFERROR(J24-#REF!,J24)&gt;constants!$D$5,(IFERROR(J24-#REF!,J24)*$C24/1000),0))</f>
        <v>0</v>
      </c>
      <c r="AQ24" s="162">
        <f>(IF(IFERROR(K24-#REF!,K24)&gt;constants!$D$11,(IFERROR(K24-#REF!,K24)*$C24/1000),0))</f>
        <v>0</v>
      </c>
      <c r="AR24" s="162" t="e">
        <f>(IF(IFERROR(L24-#REF!,L24)&gt;constants!$D$19,(IFERROR(L24-#REF!,L24)*$C24/1000),0))</f>
        <v>#VALUE!</v>
      </c>
      <c r="AS24" s="162">
        <f>(IF(IFERROR(M24-#REF!,M24)&gt;constants!$D$4,(IFERROR(M24-#REF!,M24)*$C24/1000),0))</f>
        <v>0</v>
      </c>
      <c r="AT24" s="162" t="e">
        <f>(IF(IFERROR(N24-#REF!,N24)&gt;constants!$D$5,(IFERROR(N24-#REF!,N24)*$C24/1000),0))</f>
        <v>#VALUE!</v>
      </c>
      <c r="AU24" s="162" t="e">
        <f>(IF(IFERROR(O24-#REF!,O24)&gt;constants!$D$12,(IFERROR(O24-#REF!,O24)*$C24/1000),0))</f>
        <v>#VALUE!</v>
      </c>
      <c r="AV24" s="162" t="e">
        <f>(IF(IFERROR(P24-#REF!,P24)&gt;constants!$D$5,(IFERROR(P24-#REF!,P24)*$C24/1000),0))</f>
        <v>#VALUE!</v>
      </c>
      <c r="AW24" s="162" t="e">
        <f>(IF(IFERROR(Q24-#REF!,Q24)&gt;constants!$D$13,(IFERROR(Q24-#REF!,Q24)*$C24/1000),0))</f>
        <v>#VALUE!</v>
      </c>
      <c r="AX24" s="64" t="e">
        <f>(IF(IFERROR(R24-#REF!,R24)&gt;constants!$D$14,(IFERROR(R24-#REF!,R24)*$C24/constants!$B$14),0))</f>
        <v>#VALUE!</v>
      </c>
      <c r="AY24" s="64" t="e">
        <f>(IF(IFERROR(S24-#REF!,S24)&gt;constants!$D$15,(IFERROR(S24-#REF!,S24)*$C24/constants!$B$15),0))</f>
        <v>#VALUE!</v>
      </c>
      <c r="AZ24" s="162">
        <f>IF(AH24="nd","nd",AH24*Table3152025303540[[#This Row],[dilution ]]/1000)</f>
        <v>0</v>
      </c>
      <c r="BA24" s="64"/>
      <c r="BB24" s="64"/>
      <c r="BC24" s="64" t="e">
        <f>(Table5162126313641[[#This Row],[Concentration]]*constants!$C$3)/1000</f>
        <v>#VALUE!</v>
      </c>
      <c r="BD24" s="64" t="e">
        <f>(Table5162126313641[[#This Row],[Concentration2]]*constants!$C$6)/1000</f>
        <v>#VALUE!</v>
      </c>
      <c r="BE24" s="64" t="e">
        <f>(Table5162126313641[[#This Row],[Concentration3]]*constants!$C$7)/1000</f>
        <v>#VALUE!</v>
      </c>
      <c r="BF24" s="64" t="e">
        <f>(Table5162126313641[[#This Row],[Concentration4]]*constants!$C$8)/1000</f>
        <v>#VALUE!</v>
      </c>
      <c r="BG24" s="64" t="e">
        <f>(Table5162126313641[[#This Row],[Concentration5]]*constants!$C$9)/1000</f>
        <v>#VALUE!</v>
      </c>
      <c r="BH24" s="64" t="e">
        <f>(Table5162126313641[[#This Row],[Concentration6]]*constants!$C$10)/1000</f>
        <v>#VALUE!</v>
      </c>
      <c r="BI24" s="64">
        <f>(Table5162126313641[[#This Row],[Concentration7]]*constants!$C$5)</f>
        <v>0</v>
      </c>
      <c r="BJ24" s="64">
        <f>(Table5162126313641[[#This Row],[Concentration8]]*3)</f>
        <v>0</v>
      </c>
      <c r="BK24" s="64" t="e">
        <f>(Table5162126313641[[#This Row],[Concentration9]]*4)</f>
        <v>#VALUE!</v>
      </c>
      <c r="BL24" s="64">
        <f>(Table5162126313641[[#This Row],[Concentration10]]*4)</f>
        <v>0</v>
      </c>
      <c r="BM24" s="64" t="e">
        <f>(Table5162126313641[[#This Row],[Concentration11]]*5)</f>
        <v>#VALUE!</v>
      </c>
      <c r="BN24" s="64" t="e">
        <f>(Table5162126313641[[#This Row],[Concentration12]]*5)</f>
        <v>#VALUE!</v>
      </c>
      <c r="BO24" s="64" t="e">
        <f>(Table5162126313641[[#This Row],[Concentration13]]*6)</f>
        <v>#VALUE!</v>
      </c>
      <c r="BP24" s="64" t="e">
        <f>(Table5162126313641[[#This Row],[Concentration14]]*6)</f>
        <v>#VALUE!</v>
      </c>
      <c r="BQ24" s="64" t="e">
        <f>(Table5162126313641[[#This Row],[Concentration15]]*7)</f>
        <v>#VALUE!</v>
      </c>
      <c r="BR24" s="64" t="e">
        <f>(Table5162126313641[[#This Row],[Concentration16]]*8)</f>
        <v>#VALUE!</v>
      </c>
      <c r="BS24" s="64">
        <f>(Table5162126313641[[#This Row],[Concentration17]]*3)/1000</f>
        <v>0</v>
      </c>
      <c r="BT24" s="47">
        <f>Table5162126313641[[#This Row],[Concentration18]]/1000</f>
        <v>0</v>
      </c>
      <c r="BU24" s="47">
        <f>Table5162126313641[[#This Row],[Concentration19]]/1000</f>
        <v>0</v>
      </c>
    </row>
    <row r="25" spans="1:73" s="47" customFormat="1" ht="16" thickBot="1" x14ac:dyDescent="0.4">
      <c r="A25" s="63">
        <f>Table2[[#This Row],[Date]]</f>
        <v>0</v>
      </c>
      <c r="B25" s="74">
        <f>Table2[[#This Row],[Time]]</f>
        <v>0</v>
      </c>
      <c r="C25" s="54">
        <v>20</v>
      </c>
      <c r="D25" s="106" t="s">
        <v>27</v>
      </c>
      <c r="E25" s="106" t="s">
        <v>27</v>
      </c>
      <c r="F25" s="106" t="s">
        <v>27</v>
      </c>
      <c r="G25" s="106" t="s">
        <v>27</v>
      </c>
      <c r="H25" s="106" t="s">
        <v>27</v>
      </c>
      <c r="I25" s="106" t="s">
        <v>27</v>
      </c>
      <c r="J25" s="106" t="s">
        <v>27</v>
      </c>
      <c r="K25" s="106" t="s">
        <v>27</v>
      </c>
      <c r="L25" s="106" t="s">
        <v>27</v>
      </c>
      <c r="M25" s="106">
        <v>2.7542613842072492</v>
      </c>
      <c r="N25" s="107" t="s">
        <v>27</v>
      </c>
      <c r="O25" s="106" t="s">
        <v>27</v>
      </c>
      <c r="P25" s="106" t="s">
        <v>27</v>
      </c>
      <c r="Q25" s="106" t="s">
        <v>27</v>
      </c>
      <c r="R25" s="107" t="s">
        <v>27</v>
      </c>
      <c r="S25" s="108" t="s">
        <v>27</v>
      </c>
      <c r="T25" s="108" t="s">
        <v>27</v>
      </c>
      <c r="U25" s="108" t="s">
        <v>27</v>
      </c>
      <c r="V25" s="108" t="s">
        <v>27</v>
      </c>
      <c r="AE25" s="55">
        <v>6.92</v>
      </c>
      <c r="AJ25" s="64" t="e">
        <f>IF(D25="nd","nd",D25*$C25/constants!$B$3)</f>
        <v>#VALUE!</v>
      </c>
      <c r="AK25" s="64" t="e">
        <f>IF(E25="nd","nd",E25*$C25/constants!$B$6)</f>
        <v>#VALUE!</v>
      </c>
      <c r="AL25" s="64" t="e">
        <f>IF(F25="nd","nd",F25*$C25/constants!$B$7)</f>
        <v>#VALUE!</v>
      </c>
      <c r="AM25" s="64" t="e">
        <f>IF(G25="nd","nd",G25*$C25/constants!$B$8)</f>
        <v>#VALUE!</v>
      </c>
      <c r="AN25" s="64" t="e">
        <f>IF(H25="nd","nd",H25*$C25/constants!$B$9)</f>
        <v>#VALUE!</v>
      </c>
      <c r="AO25" s="64" t="e">
        <f>IF(I25="nd","nd",I25*$C25/constants!$B$10)</f>
        <v>#VALUE!</v>
      </c>
      <c r="AP25" s="64" t="e">
        <f>(IF(IFERROR(J25-#REF!,J25)&gt;constants!$D$5,(IFERROR(J25-#REF!,J25)*$C25/constants!$B$5),0))</f>
        <v>#VALUE!</v>
      </c>
      <c r="AQ25" s="64" t="e">
        <f>(IF(IFERROR(K25-#REF!,K25)&gt;constants!$D$11,(IFERROR(K25-#REF!,K25)*$C25/constants!$B$11),0))</f>
        <v>#VALUE!</v>
      </c>
      <c r="AR25" s="64" t="e">
        <f>(IF(IFERROR(L25-#REF!,L25)&gt;constants!$D$19,(IFERROR(L25-#REF!,L25)*$C25/constants!$B$19),0))</f>
        <v>#VALUE!</v>
      </c>
      <c r="AS25" s="64">
        <f>(IF(IFERROR(M25-#REF!,M25)&gt;constants!$D$4,(IFERROR(M25-#REF!,M25)*$C25/constants!$B$4),0))</f>
        <v>0</v>
      </c>
      <c r="AT25" s="64" t="e">
        <f>(IF(IFERROR(N25-#REF!,N25)&gt;constants!$D$5,(IFERROR(N25-#REF!,N25)*$C25/constants!$B$5),0))</f>
        <v>#VALUE!</v>
      </c>
      <c r="AU25" s="64" t="e">
        <f>(IF(IFERROR(O25-#REF!,O25)&gt;constants!$D$12,(IFERROR(O25-#REF!,O25)*$C25/constants!$B$12),0))</f>
        <v>#VALUE!</v>
      </c>
      <c r="AV25" s="64" t="e">
        <f>(IF(IFERROR(P25-#REF!,P25)&gt;constants!$D$5,(IFERROR(P25-#REF!,P25)*$C25/constants!$B$5),0))</f>
        <v>#VALUE!</v>
      </c>
      <c r="AW25" s="64" t="e">
        <f>(IF(IFERROR(Q25-#REF!,Q25)&gt;constants!$D$13,(IFERROR(Q25-#REF!,Q25)*$C25/constants!$B$13),0))</f>
        <v>#VALUE!</v>
      </c>
      <c r="AX25" s="64" t="e">
        <f>(IF(IFERROR(R25-#REF!,R25)&gt;constants!$D$14,(IFERROR(R25-#REF!,R25)*$C25/constants!$B$14),0))</f>
        <v>#VALUE!</v>
      </c>
      <c r="AY25" s="64" t="e">
        <f>(IF(IFERROR(S25-#REF!,S25)&gt;constants!$D$15,(IFERROR(S25-#REF!,S25)*$C25/constants!$B$15),0))</f>
        <v>#VALUE!</v>
      </c>
      <c r="AZ25" s="64">
        <f>IF(AH25="nd","nd",AH25*Table3152025303540[[#This Row],[dilution ]]/constants!$B$3)</f>
        <v>0</v>
      </c>
      <c r="BA25" s="64"/>
      <c r="BB25" s="64"/>
      <c r="BC25" s="64" t="e">
        <f>(Table5162126313641[[#This Row],[Concentration]]*constants!$C$3)/1000</f>
        <v>#VALUE!</v>
      </c>
      <c r="BD25" s="64" t="e">
        <f>(Table5162126313641[[#This Row],[Concentration2]]*constants!$C$6)/1000</f>
        <v>#VALUE!</v>
      </c>
      <c r="BE25" s="64" t="e">
        <f>(Table5162126313641[[#This Row],[Concentration3]]*constants!$C$7)/1000</f>
        <v>#VALUE!</v>
      </c>
      <c r="BF25" s="64" t="e">
        <f>(Table5162126313641[[#This Row],[Concentration4]]*constants!$C$8)/1000</f>
        <v>#VALUE!</v>
      </c>
      <c r="BG25" s="64" t="e">
        <f>(Table5162126313641[[#This Row],[Concentration5]]*constants!$C$9)/1000</f>
        <v>#VALUE!</v>
      </c>
      <c r="BH25" s="64" t="e">
        <f>(Table5162126313641[[#This Row],[Concentration6]]*constants!$C$10)/1000</f>
        <v>#VALUE!</v>
      </c>
      <c r="BI25" s="64" t="e">
        <f>(Table5162126313641[[#This Row],[Concentration7]]*constants!$C$5)</f>
        <v>#VALUE!</v>
      </c>
      <c r="BJ25" s="64" t="e">
        <f>(Table5162126313641[[#This Row],[Concentration8]]*3)</f>
        <v>#VALUE!</v>
      </c>
      <c r="BK25" s="64" t="e">
        <f>(Table5162126313641[[#This Row],[Concentration9]]*4)</f>
        <v>#VALUE!</v>
      </c>
      <c r="BL25" s="64">
        <f>(Table5162126313641[[#This Row],[Concentration10]]*4)</f>
        <v>0</v>
      </c>
      <c r="BM25" s="64" t="e">
        <f>(Table5162126313641[[#This Row],[Concentration11]]*5)</f>
        <v>#VALUE!</v>
      </c>
      <c r="BN25" s="64" t="e">
        <f>(Table5162126313641[[#This Row],[Concentration12]]*5)</f>
        <v>#VALUE!</v>
      </c>
      <c r="BO25" s="64" t="e">
        <f>(Table5162126313641[[#This Row],[Concentration13]]*6)</f>
        <v>#VALUE!</v>
      </c>
      <c r="BP25" s="64" t="e">
        <f>(Table5162126313641[[#This Row],[Concentration14]]*6)</f>
        <v>#VALUE!</v>
      </c>
      <c r="BQ25" s="64" t="e">
        <f>(Table5162126313641[[#This Row],[Concentration15]]*7)</f>
        <v>#VALUE!</v>
      </c>
      <c r="BR25" s="64" t="e">
        <f>(Table5162126313641[[#This Row],[Concentration16]]*8)</f>
        <v>#VALUE!</v>
      </c>
      <c r="BS25" s="64">
        <f>(Table5162126313641[[#This Row],[Concentration17]]*3)/1000</f>
        <v>0</v>
      </c>
      <c r="BT25" s="47">
        <f>Table5162126313641[[#This Row],[Concentration18]]/1000</f>
        <v>0</v>
      </c>
      <c r="BU25" s="47">
        <f>Table5162126313641[[#This Row],[Concentration19]]/1000</f>
        <v>0</v>
      </c>
    </row>
    <row r="26" spans="1:73" s="66" customFormat="1" ht="16" thickBot="1" x14ac:dyDescent="0.4">
      <c r="A26" s="63">
        <f>Table2[[#This Row],[Date]]</f>
        <v>0</v>
      </c>
      <c r="B26" s="74">
        <f>Table2[[#This Row],[Time]]</f>
        <v>0</v>
      </c>
      <c r="C26" s="79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1"/>
      <c r="AE26" s="65"/>
      <c r="AJ26" s="154" t="e">
        <f>AJ24-AJ25</f>
        <v>#VALUE!</v>
      </c>
      <c r="AK26" s="154" t="e">
        <f t="shared" ref="AK26:AY26" si="0">AK24-AK25</f>
        <v>#VALUE!</v>
      </c>
      <c r="AL26" s="154" t="e">
        <f t="shared" si="0"/>
        <v>#VALUE!</v>
      </c>
      <c r="AM26" s="154" t="e">
        <f t="shared" si="0"/>
        <v>#VALUE!</v>
      </c>
      <c r="AN26" s="154" t="e">
        <f t="shared" si="0"/>
        <v>#VALUE!</v>
      </c>
      <c r="AO26" s="154" t="e">
        <f t="shared" si="0"/>
        <v>#VALUE!</v>
      </c>
      <c r="AP26" s="154" t="e">
        <f t="shared" si="0"/>
        <v>#VALUE!</v>
      </c>
      <c r="AQ26" s="154" t="e">
        <f t="shared" si="0"/>
        <v>#VALUE!</v>
      </c>
      <c r="AR26" s="154" t="e">
        <f t="shared" si="0"/>
        <v>#VALUE!</v>
      </c>
      <c r="AS26" s="154">
        <f t="shared" si="0"/>
        <v>0</v>
      </c>
      <c r="AT26" s="154" t="e">
        <f t="shared" si="0"/>
        <v>#VALUE!</v>
      </c>
      <c r="AU26" s="154" t="e">
        <f t="shared" si="0"/>
        <v>#VALUE!</v>
      </c>
      <c r="AV26" s="154" t="e">
        <f t="shared" si="0"/>
        <v>#VALUE!</v>
      </c>
      <c r="AW26" s="154" t="e">
        <f t="shared" si="0"/>
        <v>#VALUE!</v>
      </c>
      <c r="AX26" s="154" t="e">
        <f t="shared" si="0"/>
        <v>#VALUE!</v>
      </c>
      <c r="AY26" s="154" t="e">
        <f t="shared" si="0"/>
        <v>#VALUE!</v>
      </c>
      <c r="AZ26" s="64">
        <f>IF(AH26="nd","nd",AH26*Table3152025303540[[#This Row],[dilution ]]/constants!$B$3)</f>
        <v>0</v>
      </c>
      <c r="BA26" s="64"/>
      <c r="BB26" s="64"/>
      <c r="BC26" s="64" t="e">
        <f>(Table5162126313641[[#This Row],[Concentration]]*constants!$C$3)/1000</f>
        <v>#VALUE!</v>
      </c>
      <c r="BD26" s="64" t="e">
        <f>(Table5162126313641[[#This Row],[Concentration2]]*constants!$C$6)/1000</f>
        <v>#VALUE!</v>
      </c>
      <c r="BE26" s="64" t="e">
        <f>(Table5162126313641[[#This Row],[Concentration3]]*constants!$C$7)/1000</f>
        <v>#VALUE!</v>
      </c>
      <c r="BF26" s="64" t="e">
        <f>(Table5162126313641[[#This Row],[Concentration4]]*constants!$C$8)/1000</f>
        <v>#VALUE!</v>
      </c>
      <c r="BG26" s="64" t="e">
        <f>(Table5162126313641[[#This Row],[Concentration5]]*constants!$C$9)/1000</f>
        <v>#VALUE!</v>
      </c>
      <c r="BH26" s="64" t="e">
        <f>(Table5162126313641[[#This Row],[Concentration6]]*constants!$C$10)/1000</f>
        <v>#VALUE!</v>
      </c>
      <c r="BI26" s="64" t="e">
        <f>(Table5162126313641[[#This Row],[Concentration7]]*constants!$C$5)</f>
        <v>#VALUE!</v>
      </c>
      <c r="BJ26" s="64" t="e">
        <f>(Table5162126313641[[#This Row],[Concentration8]]*3)</f>
        <v>#VALUE!</v>
      </c>
      <c r="BK26" s="64" t="e">
        <f>(Table5162126313641[[#This Row],[Concentration9]]*4)</f>
        <v>#VALUE!</v>
      </c>
      <c r="BL26" s="64">
        <f>(Table5162126313641[[#This Row],[Concentration10]]*4)</f>
        <v>0</v>
      </c>
      <c r="BM26" s="64" t="e">
        <f>(Table5162126313641[[#This Row],[Concentration11]]*5)</f>
        <v>#VALUE!</v>
      </c>
      <c r="BN26" s="64" t="e">
        <f>(Table5162126313641[[#This Row],[Concentration12]]*5)</f>
        <v>#VALUE!</v>
      </c>
      <c r="BO26" s="64" t="e">
        <f>(Table5162126313641[[#This Row],[Concentration13]]*6)</f>
        <v>#VALUE!</v>
      </c>
      <c r="BP26" s="64" t="e">
        <f>(Table5162126313641[[#This Row],[Concentration14]]*6)</f>
        <v>#VALUE!</v>
      </c>
      <c r="BQ26" s="64" t="e">
        <f>(Table5162126313641[[#This Row],[Concentration15]]*7)</f>
        <v>#VALUE!</v>
      </c>
      <c r="BR26" s="64" t="e">
        <f>(Table5162126313641[[#This Row],[Concentration16]]*8)</f>
        <v>#VALUE!</v>
      </c>
      <c r="BS26" s="64">
        <f>(Table5162126313641[[#This Row],[Concentration17]]*3)/1000</f>
        <v>0</v>
      </c>
      <c r="BT26" s="47">
        <f>Table5162126313641[[#This Row],[Concentration18]]/1000</f>
        <v>0</v>
      </c>
      <c r="BU26" s="47">
        <f>Table5162126313641[[#This Row],[Concentration19]]/1000</f>
        <v>0</v>
      </c>
    </row>
    <row r="27" spans="1:73" s="47" customFormat="1" ht="16" thickBot="1" x14ac:dyDescent="0.4">
      <c r="A27" s="63">
        <f>Table2[[#This Row],[Date]]</f>
        <v>0</v>
      </c>
      <c r="B27" s="74">
        <f>Table2[[#This Row],[Time]]</f>
        <v>0</v>
      </c>
      <c r="C27" s="54"/>
      <c r="V27" s="82"/>
      <c r="AE27" s="55"/>
      <c r="AJ27" s="64">
        <f>IF(D27="nd","nd",D27*$C27/constants!$B$3)</f>
        <v>0</v>
      </c>
      <c r="AK27" s="64">
        <f>IF(E27="nd","nd",E27*$C27/constants!$B$6)</f>
        <v>0</v>
      </c>
      <c r="AL27" s="64">
        <f>IF(F27="nd","nd",F27*$C27/constants!$B$7)</f>
        <v>0</v>
      </c>
      <c r="AM27" s="64">
        <f>IF(G27="nd","nd",G27*$C27/constants!$B$8)</f>
        <v>0</v>
      </c>
      <c r="AN27" s="64">
        <f>IF(H27="nd","nd",H27*$C27/constants!$B$9)</f>
        <v>0</v>
      </c>
      <c r="AO27" s="64">
        <f>IF(I27="nd","nd",I27*$C27/constants!$B$10)</f>
        <v>0</v>
      </c>
      <c r="AP27" s="64">
        <f>(IF(IFERROR(J27-#REF!,J27)&gt;constants!$D$5,(IFERROR(J27-#REF!,J27)*$C27/constants!$B$5),0))</f>
        <v>0</v>
      </c>
      <c r="AQ27" s="64">
        <f>(IF(IFERROR(K27-#REF!,K27)&gt;constants!$D$11,(IFERROR(K27-#REF!,K27)*$C27/constants!$B$11),0))</f>
        <v>0</v>
      </c>
      <c r="AR27" s="64">
        <f>(IF(IFERROR(L27-#REF!,L27)&gt;constants!$D$19,(IFERROR(L27-#REF!,L27)*$C27/constants!$B$19),0))</f>
        <v>0</v>
      </c>
      <c r="AS27" s="64">
        <f>(IF(IFERROR(M27-#REF!,M27)&gt;constants!$D$4,(IFERROR(M27-#REF!,M27)*$C27/constants!$B$4),0))</f>
        <v>0</v>
      </c>
      <c r="AT27" s="64">
        <f>(IF(IFERROR(N27-#REF!,N27)&gt;constants!$D$5,(IFERROR(N27-#REF!,N27)*$C27/constants!$B$5),0))</f>
        <v>0</v>
      </c>
      <c r="AU27" s="64">
        <f>(IF(IFERROR(O27-#REF!,O27)&gt;constants!$D$12,(IFERROR(O27-#REF!,O27)*$C27/constants!$B$12),0))</f>
        <v>0</v>
      </c>
      <c r="AV27" s="64">
        <f>(IF(IFERROR(P27-#REF!,P27)&gt;constants!$D$5,(IFERROR(P27-#REF!,P27)*$C27/constants!$B$5),0))</f>
        <v>0</v>
      </c>
      <c r="AW27" s="64">
        <f>(IF(IFERROR(Q27-#REF!,Q27)&gt;constants!$D$13,(IFERROR(Q27-#REF!,Q27)*$C27/constants!$B$13),0))</f>
        <v>0</v>
      </c>
      <c r="AX27" s="64">
        <f>(IF(IFERROR(R27-#REF!,R27)&gt;constants!$D$14,(IFERROR(R27-#REF!,R27)*$C27/constants!$B$14),0))</f>
        <v>0</v>
      </c>
      <c r="AY27" s="64">
        <f>(IF(IFERROR(S27-#REF!,S27)&gt;constants!$D$15,(IFERROR(S27-#REF!,S27)*$C27/constants!$B$15),0))</f>
        <v>0</v>
      </c>
      <c r="AZ27" s="64">
        <f>IF(AH27="nd","nd",AH27*Table3152025303540[[#This Row],[dilution ]]/constants!$B$3)</f>
        <v>0</v>
      </c>
      <c r="BA27" s="64"/>
      <c r="BB27" s="64"/>
      <c r="BC27" s="64">
        <f>(Table5162126313641[[#This Row],[Concentration]]*constants!$C$3)/1000</f>
        <v>0</v>
      </c>
      <c r="BD27" s="64">
        <f>(Table5162126313641[[#This Row],[Concentration2]]*constants!$C$6)/1000</f>
        <v>0</v>
      </c>
      <c r="BE27" s="64">
        <f>(Table5162126313641[[#This Row],[Concentration3]]*constants!$C$7)/1000</f>
        <v>0</v>
      </c>
      <c r="BF27" s="64">
        <f>(Table5162126313641[[#This Row],[Concentration4]]*constants!$C$8)/1000</f>
        <v>0</v>
      </c>
      <c r="BG27" s="64">
        <f>(Table5162126313641[[#This Row],[Concentration5]]*constants!$C$9)/1000</f>
        <v>0</v>
      </c>
      <c r="BH27" s="64">
        <f>(Table5162126313641[[#This Row],[Concentration6]]*constants!$C$10)/1000</f>
        <v>0</v>
      </c>
      <c r="BI27" s="64">
        <f>(Table5162126313641[[#This Row],[Concentration7]]*constants!$C$5)</f>
        <v>0</v>
      </c>
      <c r="BJ27" s="64">
        <f>(Table5162126313641[[#This Row],[Concentration8]]*3)</f>
        <v>0</v>
      </c>
      <c r="BK27" s="64">
        <f>(Table5162126313641[[#This Row],[Concentration9]]*4)</f>
        <v>0</v>
      </c>
      <c r="BL27" s="64">
        <f>(Table5162126313641[[#This Row],[Concentration10]]*4)</f>
        <v>0</v>
      </c>
      <c r="BM27" s="64">
        <f>(Table5162126313641[[#This Row],[Concentration11]]*5)</f>
        <v>0</v>
      </c>
      <c r="BN27" s="64">
        <f>(Table5162126313641[[#This Row],[Concentration12]]*5)</f>
        <v>0</v>
      </c>
      <c r="BO27" s="64">
        <f>(Table5162126313641[[#This Row],[Concentration13]]*6)</f>
        <v>0</v>
      </c>
      <c r="BP27" s="64">
        <f>(Table5162126313641[[#This Row],[Concentration14]]*6)</f>
        <v>0</v>
      </c>
      <c r="BQ27" s="64">
        <f>(Table5162126313641[[#This Row],[Concentration15]]*7)</f>
        <v>0</v>
      </c>
      <c r="BR27" s="64">
        <f>(Table5162126313641[[#This Row],[Concentration16]]*8)</f>
        <v>0</v>
      </c>
      <c r="BS27" s="64">
        <f>(Table5162126313641[[#This Row],[Concentration17]]*3)/1000</f>
        <v>0</v>
      </c>
      <c r="BT27" s="47">
        <f>Table5162126313641[[#This Row],[Concentration18]]/1000</f>
        <v>0</v>
      </c>
      <c r="BU27" s="47">
        <f>Table5162126313641[[#This Row],[Concentration19]]/1000</f>
        <v>0</v>
      </c>
    </row>
    <row r="28" spans="1:73" s="66" customFormat="1" ht="16" thickBot="1" x14ac:dyDescent="0.4">
      <c r="A28" s="63">
        <f>Table2[[#This Row],[Date]]</f>
        <v>0</v>
      </c>
      <c r="B28" s="74">
        <f>Table2[[#This Row],[Time]]</f>
        <v>0</v>
      </c>
      <c r="C28" s="79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1"/>
      <c r="AE28" s="65"/>
      <c r="AJ28" s="64">
        <f>IF(D28="nd","nd",D28*$C28/constants!$B$3)</f>
        <v>0</v>
      </c>
      <c r="AK28" s="64">
        <f>IF(E28="nd","nd",E28*$C28/constants!$B$6)</f>
        <v>0</v>
      </c>
      <c r="AL28" s="64">
        <f>IF(F28="nd","nd",F28*$C28/constants!$B$7)</f>
        <v>0</v>
      </c>
      <c r="AM28" s="64">
        <f>IF(G28="nd","nd",G28*$C28/constants!$B$8)</f>
        <v>0</v>
      </c>
      <c r="AN28" s="64">
        <f>IF(H28="nd","nd",H28*$C28/constants!$B$9)</f>
        <v>0</v>
      </c>
      <c r="AO28" s="64">
        <f>IF(I28="nd","nd",I28*$C28/constants!$B$10)</f>
        <v>0</v>
      </c>
      <c r="AP28" s="64">
        <f>(IF(IFERROR(J28-#REF!,J28)&gt;constants!$D$5,(IFERROR(J28-#REF!,J28)*$C28/constants!$B$5),0))</f>
        <v>0</v>
      </c>
      <c r="AQ28" s="64">
        <f>(IF(IFERROR(K28-#REF!,K28)&gt;constants!$D$11,(IFERROR(K28-#REF!,K28)*$C28/constants!$B$11),0))</f>
        <v>0</v>
      </c>
      <c r="AR28" s="64">
        <f>(IF(IFERROR(L28-#REF!,L28)&gt;constants!$D$19,(IFERROR(L28-#REF!,L28)*$C28/constants!$B$19),0))</f>
        <v>0</v>
      </c>
      <c r="AS28" s="64">
        <f>(IF(IFERROR(M28-#REF!,M28)&gt;constants!$D$4,(IFERROR(M28-#REF!,M28)*$C28/constants!$B$4),0))</f>
        <v>0</v>
      </c>
      <c r="AT28" s="64">
        <f>(IF(IFERROR(N28-#REF!,N28)&gt;constants!$D$5,(IFERROR(N28-#REF!,N28)*$C28/constants!$B$5),0))</f>
        <v>0</v>
      </c>
      <c r="AU28" s="64">
        <f>(IF(IFERROR(O28-#REF!,O28)&gt;constants!$D$12,(IFERROR(O28-#REF!,O28)*$C28/constants!$B$12),0))</f>
        <v>0</v>
      </c>
      <c r="AV28" s="64">
        <f>(IF(IFERROR(P28-#REF!,P28)&gt;constants!$D$5,(IFERROR(P28-#REF!,P28)*$C28/constants!$B$5),0))</f>
        <v>0</v>
      </c>
      <c r="AW28" s="64">
        <f>(IF(IFERROR(Q28-#REF!,Q28)&gt;constants!$D$13,(IFERROR(Q28-#REF!,Q28)*$C28/constants!$B$13),0))</f>
        <v>0</v>
      </c>
      <c r="AX28" s="64">
        <f>(IF(IFERROR(R28-#REF!,R28)&gt;constants!$D$14,(IFERROR(R28-#REF!,R28)*$C28/constants!$B$14),0))</f>
        <v>0</v>
      </c>
      <c r="AY28" s="64">
        <f>(IF(IFERROR(S28-#REF!,S28)&gt;constants!$D$15,(IFERROR(S28-#REF!,S28)*$C28/constants!$B$15),0))</f>
        <v>0</v>
      </c>
      <c r="AZ28" s="64">
        <f>IF(AH28="nd","nd",AH28*Table3152025303540[[#This Row],[dilution ]]/constants!$B$3)</f>
        <v>0</v>
      </c>
      <c r="BA28" s="64"/>
      <c r="BB28" s="64"/>
      <c r="BC28" s="64">
        <f>(Table5162126313641[[#This Row],[Concentration]]*constants!$C$3)/1000</f>
        <v>0</v>
      </c>
      <c r="BD28" s="64">
        <f>(Table5162126313641[[#This Row],[Concentration2]]*constants!$C$6)/1000</f>
        <v>0</v>
      </c>
      <c r="BE28" s="64">
        <f>(Table5162126313641[[#This Row],[Concentration3]]*constants!$C$7)/1000</f>
        <v>0</v>
      </c>
      <c r="BF28" s="64">
        <f>(Table5162126313641[[#This Row],[Concentration4]]*constants!$C$8)/1000</f>
        <v>0</v>
      </c>
      <c r="BG28" s="64">
        <f>(Table5162126313641[[#This Row],[Concentration5]]*constants!$C$9)/1000</f>
        <v>0</v>
      </c>
      <c r="BH28" s="64">
        <f>(Table5162126313641[[#This Row],[Concentration6]]*constants!$C$10)/1000</f>
        <v>0</v>
      </c>
      <c r="BI28" s="64">
        <f>(Table5162126313641[[#This Row],[Concentration7]]*constants!$C$5)</f>
        <v>0</v>
      </c>
      <c r="BJ28" s="64">
        <f>(Table5162126313641[[#This Row],[Concentration8]]*3)</f>
        <v>0</v>
      </c>
      <c r="BK28" s="64">
        <f>(Table5162126313641[[#This Row],[Concentration9]]*4)</f>
        <v>0</v>
      </c>
      <c r="BL28" s="64">
        <f>(Table5162126313641[[#This Row],[Concentration10]]*4)</f>
        <v>0</v>
      </c>
      <c r="BM28" s="64">
        <f>(Table5162126313641[[#This Row],[Concentration11]]*5)</f>
        <v>0</v>
      </c>
      <c r="BN28" s="64">
        <f>(Table5162126313641[[#This Row],[Concentration12]]*5)</f>
        <v>0</v>
      </c>
      <c r="BO28" s="64">
        <f>(Table5162126313641[[#This Row],[Concentration13]]*6)</f>
        <v>0</v>
      </c>
      <c r="BP28" s="64">
        <f>(Table5162126313641[[#This Row],[Concentration14]]*6)</f>
        <v>0</v>
      </c>
      <c r="BQ28" s="64">
        <f>(Table5162126313641[[#This Row],[Concentration15]]*7)</f>
        <v>0</v>
      </c>
      <c r="BR28" s="64">
        <f>(Table5162126313641[[#This Row],[Concentration16]]*8)</f>
        <v>0</v>
      </c>
      <c r="BS28" s="64">
        <f>(Table5162126313641[[#This Row],[Concentration17]]*3)/1000</f>
        <v>0</v>
      </c>
      <c r="BT28" s="47">
        <f>Table5162126313641[[#This Row],[Concentration18]]/1000</f>
        <v>0</v>
      </c>
      <c r="BU28" s="47">
        <f>Table5162126313641[[#This Row],[Concentration19]]/1000</f>
        <v>0</v>
      </c>
    </row>
    <row r="29" spans="1:73" s="47" customFormat="1" ht="16" thickBot="1" x14ac:dyDescent="0.4">
      <c r="A29" s="63">
        <f>Table2[[#This Row],[Date]]</f>
        <v>0</v>
      </c>
      <c r="B29" s="74">
        <f>Table2[[#This Row],[Time]]</f>
        <v>0</v>
      </c>
      <c r="C29" s="54"/>
      <c r="V29" s="82"/>
      <c r="AE29" s="55"/>
      <c r="AJ29" s="64">
        <f>IF(D29="nd","nd",D29*$C29/constants!$B$3)</f>
        <v>0</v>
      </c>
      <c r="AK29" s="64">
        <f>IF(E29="nd","nd",E29*$C29/constants!$B$6)</f>
        <v>0</v>
      </c>
      <c r="AL29" s="64">
        <f>IF(F29="nd","nd",F29*$C29/constants!$B$7)</f>
        <v>0</v>
      </c>
      <c r="AM29" s="64">
        <f>IF(G29="nd","nd",G29*$C29/constants!$B$8)</f>
        <v>0</v>
      </c>
      <c r="AN29" s="64">
        <f>IF(H29="nd","nd",H29*$C29/constants!$B$9)</f>
        <v>0</v>
      </c>
      <c r="AO29" s="64">
        <f>IF(I29="nd","nd",I29*$C29/constants!$B$10)</f>
        <v>0</v>
      </c>
      <c r="AP29" s="64">
        <f>(IF(IFERROR(J29-#REF!,J29)&gt;constants!$D$5,(IFERROR(J29-#REF!,J29)*$C29/constants!$B$5),0))</f>
        <v>0</v>
      </c>
      <c r="AQ29" s="64">
        <f>(IF(IFERROR(K29-#REF!,K29)&gt;constants!$D$11,(IFERROR(K29-#REF!,K29)*$C29/constants!$B$11),0))</f>
        <v>0</v>
      </c>
      <c r="AR29" s="64">
        <f>(IF(IFERROR(L29-#REF!,L29)&gt;constants!$D$19,(IFERROR(L29-#REF!,L29)*$C29/constants!$B$19),0))</f>
        <v>0</v>
      </c>
      <c r="AS29" s="64">
        <f>(IF(IFERROR(M29-#REF!,M29)&gt;constants!$D$4,(IFERROR(M29-#REF!,M29)*$C29/constants!$B$4),0))</f>
        <v>0</v>
      </c>
      <c r="AT29" s="64">
        <f>(IF(IFERROR(N29-#REF!,N29)&gt;constants!$D$5,(IFERROR(N29-#REF!,N29)*$C29/constants!$B$5),0))</f>
        <v>0</v>
      </c>
      <c r="AU29" s="64">
        <f>(IF(IFERROR(O29-#REF!,O29)&gt;constants!$D$12,(IFERROR(O29-#REF!,O29)*$C29/constants!$B$12),0))</f>
        <v>0</v>
      </c>
      <c r="AV29" s="64">
        <f>(IF(IFERROR(P29-#REF!,P29)&gt;constants!$D$5,(IFERROR(P29-#REF!,P29)*$C29/constants!$B$5),0))</f>
        <v>0</v>
      </c>
      <c r="AW29" s="64">
        <f>(IF(IFERROR(Q29-#REF!,Q29)&gt;constants!$D$13,(IFERROR(Q29-#REF!,Q29)*$C29/constants!$B$13),0))</f>
        <v>0</v>
      </c>
      <c r="AX29" s="64">
        <f>(IF(IFERROR(R29-#REF!,R29)&gt;constants!$D$14,(IFERROR(R29-#REF!,R29)*$C29/constants!$B$14),0))</f>
        <v>0</v>
      </c>
      <c r="AY29" s="64">
        <f>(IF(IFERROR(S29-#REF!,S29)&gt;constants!$D$15,(IFERROR(S29-#REF!,S29)*$C29/constants!$B$15),0))</f>
        <v>0</v>
      </c>
      <c r="AZ29" s="64">
        <f>IF(AH29="nd","nd",AH29*Table3152025303540[[#This Row],[dilution ]]/constants!$B$3)</f>
        <v>0</v>
      </c>
      <c r="BA29" s="64"/>
      <c r="BB29" s="64"/>
      <c r="BC29" s="64">
        <f>(Table5162126313641[[#This Row],[Concentration]]*constants!$C$3)/1000</f>
        <v>0</v>
      </c>
      <c r="BD29" s="64">
        <f>(Table5162126313641[[#This Row],[Concentration2]]*constants!$C$6)/1000</f>
        <v>0</v>
      </c>
      <c r="BE29" s="64">
        <f>(Table5162126313641[[#This Row],[Concentration3]]*constants!$C$7)/1000</f>
        <v>0</v>
      </c>
      <c r="BF29" s="64">
        <f>(Table5162126313641[[#This Row],[Concentration4]]*constants!$C$8)/1000</f>
        <v>0</v>
      </c>
      <c r="BG29" s="64">
        <f>(Table5162126313641[[#This Row],[Concentration5]]*constants!$C$9)/1000</f>
        <v>0</v>
      </c>
      <c r="BH29" s="64">
        <f>(Table5162126313641[[#This Row],[Concentration6]]*constants!$C$10)/1000</f>
        <v>0</v>
      </c>
      <c r="BI29" s="64">
        <f>(Table5162126313641[[#This Row],[Concentration7]]*constants!$C$5)</f>
        <v>0</v>
      </c>
      <c r="BJ29" s="64">
        <f>(Table5162126313641[[#This Row],[Concentration8]]*3)</f>
        <v>0</v>
      </c>
      <c r="BK29" s="64">
        <f>(Table5162126313641[[#This Row],[Concentration9]]*4)</f>
        <v>0</v>
      </c>
      <c r="BL29" s="64">
        <f>(Table5162126313641[[#This Row],[Concentration10]]*4)</f>
        <v>0</v>
      </c>
      <c r="BM29" s="64">
        <f>(Table5162126313641[[#This Row],[Concentration11]]*5)</f>
        <v>0</v>
      </c>
      <c r="BN29" s="64">
        <f>(Table5162126313641[[#This Row],[Concentration12]]*5)</f>
        <v>0</v>
      </c>
      <c r="BO29" s="64">
        <f>(Table5162126313641[[#This Row],[Concentration13]]*6)</f>
        <v>0</v>
      </c>
      <c r="BP29" s="64">
        <f>(Table5162126313641[[#This Row],[Concentration14]]*6)</f>
        <v>0</v>
      </c>
      <c r="BQ29" s="64">
        <f>(Table5162126313641[[#This Row],[Concentration15]]*7)</f>
        <v>0</v>
      </c>
      <c r="BR29" s="64">
        <f>(Table5162126313641[[#This Row],[Concentration16]]*8)</f>
        <v>0</v>
      </c>
      <c r="BS29" s="64">
        <f>(Table5162126313641[[#This Row],[Concentration17]]*3)/1000</f>
        <v>0</v>
      </c>
      <c r="BT29" s="47">
        <f>Table5162126313641[[#This Row],[Concentration18]]/1000</f>
        <v>0</v>
      </c>
      <c r="BU29" s="47">
        <f>Table5162126313641[[#This Row],[Concentration19]]/1000</f>
        <v>0</v>
      </c>
    </row>
    <row r="30" spans="1:73" s="66" customFormat="1" ht="16" thickBot="1" x14ac:dyDescent="0.4">
      <c r="A30" s="63">
        <f>Table2[[#This Row],[Date]]</f>
        <v>0</v>
      </c>
      <c r="B30" s="74">
        <f>Table2[[#This Row],[Time]]</f>
        <v>0</v>
      </c>
      <c r="C30" s="79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1"/>
      <c r="AE30" s="65"/>
      <c r="AJ30" s="64">
        <f>IF(D30="nd","nd",D30*$C30/constants!$B$3)</f>
        <v>0</v>
      </c>
      <c r="AK30" s="64">
        <f>IF(E30="nd","nd",E30*$C30/constants!$B$6)</f>
        <v>0</v>
      </c>
      <c r="AL30" s="64">
        <f>IF(F30="nd","nd",F30*$C30/constants!$B$7)</f>
        <v>0</v>
      </c>
      <c r="AM30" s="64">
        <f>IF(G30="nd","nd",G30*$C30/constants!$B$8)</f>
        <v>0</v>
      </c>
      <c r="AN30" s="64">
        <f>IF(H30="nd","nd",H30*$C30/constants!$B$9)</f>
        <v>0</v>
      </c>
      <c r="AO30" s="64">
        <f>IF(I30="nd","nd",I30*$C30/constants!$B$10)</f>
        <v>0</v>
      </c>
      <c r="AP30" s="64">
        <f>(IF(IFERROR(J30-#REF!,J30)&gt;constants!$D$5,(IFERROR(J30-#REF!,J30)*$C30/constants!$B$5),0))</f>
        <v>0</v>
      </c>
      <c r="AQ30" s="64">
        <f>(IF(IFERROR(K30-#REF!,K30)&gt;constants!$D$11,(IFERROR(K30-#REF!,K30)*$C30/constants!$B$11),0))</f>
        <v>0</v>
      </c>
      <c r="AR30" s="64">
        <f>(IF(IFERROR(L30-#REF!,L30)&gt;constants!$D$19,(IFERROR(L30-#REF!,L30)*$C30/constants!$B$19),0))</f>
        <v>0</v>
      </c>
      <c r="AS30" s="64">
        <f>(IF(IFERROR(M30-#REF!,M30)&gt;constants!$D$4,(IFERROR(M30-#REF!,M30)*$C30/constants!$B$4),0))</f>
        <v>0</v>
      </c>
      <c r="AT30" s="64">
        <f>(IF(IFERROR(N30-#REF!,N30)&gt;constants!$D$5,(IFERROR(N30-#REF!,N30)*$C30/constants!$B$5),0))</f>
        <v>0</v>
      </c>
      <c r="AU30" s="64">
        <f>(IF(IFERROR(O30-#REF!,O30)&gt;constants!$D$12,(IFERROR(O30-#REF!,O30)*$C30/constants!$B$12),0))</f>
        <v>0</v>
      </c>
      <c r="AV30" s="64">
        <f>(IF(IFERROR(P30-#REF!,P30)&gt;constants!$D$5,(IFERROR(P30-#REF!,P30)*$C30/constants!$B$5),0))</f>
        <v>0</v>
      </c>
      <c r="AW30" s="64">
        <f>(IF(IFERROR(Q30-#REF!,Q30)&gt;constants!$D$13,(IFERROR(Q30-#REF!,Q30)*$C30/constants!$B$13),0))</f>
        <v>0</v>
      </c>
      <c r="AX30" s="64">
        <f>(IF(IFERROR(R30-#REF!,R30)&gt;constants!$D$14,(IFERROR(R30-#REF!,R30)*$C30/constants!$B$14),0))</f>
        <v>0</v>
      </c>
      <c r="AY30" s="64">
        <f>(IF(IFERROR(S30-#REF!,S30)&gt;constants!$D$15,(IFERROR(S30-#REF!,S30)*$C30/constants!$B$15),0))</f>
        <v>0</v>
      </c>
      <c r="AZ30" s="64">
        <f>IF(AH30="nd","nd",AH30*Table3152025303540[[#This Row],[dilution ]]/constants!$B$3)</f>
        <v>0</v>
      </c>
      <c r="BA30" s="64"/>
      <c r="BB30" s="64"/>
      <c r="BC30" s="64">
        <f>(Table5162126313641[[#This Row],[Concentration]]*constants!$C$3)/1000</f>
        <v>0</v>
      </c>
      <c r="BD30" s="64">
        <f>(Table5162126313641[[#This Row],[Concentration2]]*constants!$C$6)/1000</f>
        <v>0</v>
      </c>
      <c r="BE30" s="64">
        <f>(Table5162126313641[[#This Row],[Concentration3]]*constants!$C$7)/1000</f>
        <v>0</v>
      </c>
      <c r="BF30" s="64">
        <f>(Table5162126313641[[#This Row],[Concentration4]]*constants!$C$8)/1000</f>
        <v>0</v>
      </c>
      <c r="BG30" s="64">
        <f>(Table5162126313641[[#This Row],[Concentration5]]*constants!$C$9)/1000</f>
        <v>0</v>
      </c>
      <c r="BH30" s="64">
        <f>(Table5162126313641[[#This Row],[Concentration6]]*constants!$C$10)/1000</f>
        <v>0</v>
      </c>
      <c r="BI30" s="64">
        <f>(Table5162126313641[[#This Row],[Concentration7]]*constants!$C$5)</f>
        <v>0</v>
      </c>
      <c r="BJ30" s="64">
        <f>(Table5162126313641[[#This Row],[Concentration8]]*3)</f>
        <v>0</v>
      </c>
      <c r="BK30" s="64">
        <f>(Table5162126313641[[#This Row],[Concentration9]]*4)</f>
        <v>0</v>
      </c>
      <c r="BL30" s="64">
        <f>(Table5162126313641[[#This Row],[Concentration10]]*4)</f>
        <v>0</v>
      </c>
      <c r="BM30" s="64">
        <f>(Table5162126313641[[#This Row],[Concentration11]]*5)</f>
        <v>0</v>
      </c>
      <c r="BN30" s="64">
        <f>(Table5162126313641[[#This Row],[Concentration12]]*5)</f>
        <v>0</v>
      </c>
      <c r="BO30" s="64">
        <f>(Table5162126313641[[#This Row],[Concentration13]]*6)</f>
        <v>0</v>
      </c>
      <c r="BP30" s="64">
        <f>(Table5162126313641[[#This Row],[Concentration14]]*6)</f>
        <v>0</v>
      </c>
      <c r="BQ30" s="64">
        <f>(Table5162126313641[[#This Row],[Concentration15]]*7)</f>
        <v>0</v>
      </c>
      <c r="BR30" s="64">
        <f>(Table5162126313641[[#This Row],[Concentration16]]*8)</f>
        <v>0</v>
      </c>
      <c r="BS30" s="64">
        <f>(Table5162126313641[[#This Row],[Concentration17]]*3)/1000</f>
        <v>0</v>
      </c>
      <c r="BT30" s="47">
        <f>Table5162126313641[[#This Row],[Concentration18]]/1000</f>
        <v>0</v>
      </c>
      <c r="BU30" s="47">
        <f>Table5162126313641[[#This Row],[Concentration19]]/1000</f>
        <v>0</v>
      </c>
    </row>
    <row r="31" spans="1:73" s="47" customFormat="1" ht="16" thickBot="1" x14ac:dyDescent="0.4">
      <c r="A31" s="63">
        <f>Table2[[#This Row],[Date]]</f>
        <v>0</v>
      </c>
      <c r="B31" s="74">
        <f>Table2[[#This Row],[Time]]</f>
        <v>0</v>
      </c>
      <c r="C31" s="54"/>
      <c r="V31" s="82"/>
      <c r="AE31" s="55"/>
      <c r="AJ31" s="64">
        <f>IF(D31="nd","nd",D31*$C31/constants!$B$3)</f>
        <v>0</v>
      </c>
      <c r="AK31" s="64">
        <f>IF(E31="nd","nd",E31*$C31/constants!$B$6)</f>
        <v>0</v>
      </c>
      <c r="AL31" s="64">
        <f>IF(F31="nd","nd",F31*$C31/constants!$B$7)</f>
        <v>0</v>
      </c>
      <c r="AM31" s="64">
        <f>IF(G31="nd","nd",G31*$C31/constants!$B$8)</f>
        <v>0</v>
      </c>
      <c r="AN31" s="64">
        <f>IF(H31="nd","nd",H31*$C31/constants!$B$9)</f>
        <v>0</v>
      </c>
      <c r="AO31" s="64">
        <f>IF(I31="nd","nd",I31*$C31/constants!$B$10)</f>
        <v>0</v>
      </c>
      <c r="AP31" s="64">
        <f>(IF(IFERROR(J31-#REF!,J31)&gt;constants!$D$5,(IFERROR(J31-#REF!,J31)*$C31/constants!$B$5),0))</f>
        <v>0</v>
      </c>
      <c r="AQ31" s="64">
        <f>(IF(IFERROR(K31-#REF!,K31)&gt;constants!$D$11,(IFERROR(K31-#REF!,K31)*$C31/constants!$B$11),0))</f>
        <v>0</v>
      </c>
      <c r="AR31" s="64">
        <f>(IF(IFERROR(L31-#REF!,L31)&gt;constants!$D$19,(IFERROR(L31-#REF!,L31)*$C31/constants!$B$19),0))</f>
        <v>0</v>
      </c>
      <c r="AS31" s="64">
        <f>(IF(IFERROR(M31-#REF!,M31)&gt;constants!$D$4,(IFERROR(M31-#REF!,M31)*$C31/constants!$B$4),0))</f>
        <v>0</v>
      </c>
      <c r="AT31" s="64">
        <f>(IF(IFERROR(N31-#REF!,N31)&gt;constants!$D$5,(IFERROR(N31-#REF!,N31)*$C31/constants!$B$5),0))</f>
        <v>0</v>
      </c>
      <c r="AU31" s="64">
        <f>(IF(IFERROR(O31-#REF!,O31)&gt;constants!$D$12,(IFERROR(O31-#REF!,O31)*$C31/constants!$B$12),0))</f>
        <v>0</v>
      </c>
      <c r="AV31" s="64">
        <f>(IF(IFERROR(P31-#REF!,P31)&gt;constants!$D$5,(IFERROR(P31-#REF!,P31)*$C31/constants!$B$5),0))</f>
        <v>0</v>
      </c>
      <c r="AW31" s="64">
        <f>(IF(IFERROR(Q31-#REF!,Q31)&gt;constants!$D$13,(IFERROR(Q31-#REF!,Q31)*$C31/constants!$B$13),0))</f>
        <v>0</v>
      </c>
      <c r="AX31" s="64">
        <f>(IF(IFERROR(R31-#REF!,R31)&gt;constants!$D$14,(IFERROR(R31-#REF!,R31)*$C31/constants!$B$14),0))</f>
        <v>0</v>
      </c>
      <c r="AY31" s="64">
        <f>(IF(IFERROR(S31-#REF!,S31)&gt;constants!$D$15,(IFERROR(S31-#REF!,S31)*$C31/constants!$B$15),0))</f>
        <v>0</v>
      </c>
      <c r="AZ31" s="64">
        <f>IF(AH31="nd","nd",AH31*Table3152025303540[[#This Row],[dilution ]]/constants!$B$3)</f>
        <v>0</v>
      </c>
      <c r="BA31" s="64"/>
      <c r="BB31" s="64"/>
      <c r="BC31" s="64">
        <f>(Table5162126313641[[#This Row],[Concentration]]*constants!$C$3)/1000</f>
        <v>0</v>
      </c>
      <c r="BD31" s="64">
        <f>(Table5162126313641[[#This Row],[Concentration2]]*constants!$C$6)/1000</f>
        <v>0</v>
      </c>
      <c r="BE31" s="64">
        <f>(Table5162126313641[[#This Row],[Concentration3]]*constants!$C$7)/1000</f>
        <v>0</v>
      </c>
      <c r="BF31" s="64">
        <f>(Table5162126313641[[#This Row],[Concentration4]]*constants!$C$8)/1000</f>
        <v>0</v>
      </c>
      <c r="BG31" s="64">
        <f>(Table5162126313641[[#This Row],[Concentration5]]*constants!$C$9)/1000</f>
        <v>0</v>
      </c>
      <c r="BH31" s="64">
        <f>(Table5162126313641[[#This Row],[Concentration6]]*constants!$C$10)/1000</f>
        <v>0</v>
      </c>
      <c r="BI31" s="64">
        <f>(Table5162126313641[[#This Row],[Concentration7]]*constants!$C$5)</f>
        <v>0</v>
      </c>
      <c r="BJ31" s="64">
        <f>(Table5162126313641[[#This Row],[Concentration8]]*3)</f>
        <v>0</v>
      </c>
      <c r="BK31" s="64">
        <f>(Table5162126313641[[#This Row],[Concentration9]]*4)</f>
        <v>0</v>
      </c>
      <c r="BL31" s="64">
        <f>(Table5162126313641[[#This Row],[Concentration10]]*4)</f>
        <v>0</v>
      </c>
      <c r="BM31" s="64">
        <f>(Table5162126313641[[#This Row],[Concentration11]]*5)</f>
        <v>0</v>
      </c>
      <c r="BN31" s="64">
        <f>(Table5162126313641[[#This Row],[Concentration12]]*5)</f>
        <v>0</v>
      </c>
      <c r="BO31" s="64">
        <f>(Table5162126313641[[#This Row],[Concentration13]]*6)</f>
        <v>0</v>
      </c>
      <c r="BP31" s="64">
        <f>(Table5162126313641[[#This Row],[Concentration14]]*6)</f>
        <v>0</v>
      </c>
      <c r="BQ31" s="64">
        <f>(Table5162126313641[[#This Row],[Concentration15]]*7)</f>
        <v>0</v>
      </c>
      <c r="BR31" s="64">
        <f>(Table5162126313641[[#This Row],[Concentration16]]*8)</f>
        <v>0</v>
      </c>
      <c r="BS31" s="64">
        <f>(Table5162126313641[[#This Row],[Concentration17]]*3)/1000</f>
        <v>0</v>
      </c>
      <c r="BT31" s="47">
        <f>Table5162126313641[[#This Row],[Concentration18]]/1000</f>
        <v>0</v>
      </c>
      <c r="BU31" s="47">
        <f>Table5162126313641[[#This Row],[Concentration19]]/1000</f>
        <v>0</v>
      </c>
    </row>
    <row r="32" spans="1:73" ht="16" thickBot="1" x14ac:dyDescent="0.4">
      <c r="A32" s="63">
        <f>Table2[[#This Row],[Date]]</f>
        <v>0</v>
      </c>
      <c r="C32" s="8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84"/>
      <c r="AE32" s="43"/>
      <c r="AJ32" s="64">
        <f>IF(D32="nd","nd",D32*$C32/constants!$B$3)</f>
        <v>0</v>
      </c>
      <c r="AK32" s="64">
        <f>IF(E32="nd","nd",E32*$C32/constants!$B$6)</f>
        <v>0</v>
      </c>
      <c r="AL32" s="64">
        <f>IF(F32="nd","nd",F32*$C32/constants!$B$7)</f>
        <v>0</v>
      </c>
      <c r="AM32" s="64">
        <f>IF(G32="nd","nd",G32*$C32/constants!$B$8)</f>
        <v>0</v>
      </c>
      <c r="AN32" s="64">
        <f>IF(H32="nd","nd",H32*$C32/constants!$B$9)</f>
        <v>0</v>
      </c>
      <c r="AO32" s="64">
        <f>IF(I32="nd","nd",I32*$C32/constants!$B$10)</f>
        <v>0</v>
      </c>
      <c r="AP32" s="64">
        <f>(IF(IFERROR(J32-#REF!,J32)&gt;constants!$D$5,(IFERROR(J32-#REF!,J32)*$C32/constants!$B$5),0))</f>
        <v>0</v>
      </c>
      <c r="AQ32" s="64">
        <f>(IF(IFERROR(K32-#REF!,K32)&gt;constants!$D$11,(IFERROR(K32-#REF!,K32)*$C32/constants!$B$11),0))</f>
        <v>0</v>
      </c>
      <c r="AR32" s="64">
        <f>(IF(IFERROR(L32-#REF!,L32)&gt;constants!$D$19,(IFERROR(L32-#REF!,L32)*$C32/constants!$B$19),0))</f>
        <v>0</v>
      </c>
      <c r="AS32" s="64">
        <f>(IF(IFERROR(M32-#REF!,M32)&gt;constants!$D$4,(IFERROR(M32-#REF!,M32)*$C32/constants!$B$4),0))</f>
        <v>0</v>
      </c>
      <c r="AT32" s="64">
        <f>(IF(IFERROR(N32-#REF!,N32)&gt;constants!$D$5,(IFERROR(N32-#REF!,N32)*$C32/constants!$B$5),0))</f>
        <v>0</v>
      </c>
      <c r="AU32" s="64">
        <f>(IF(IFERROR(O32-#REF!,O32)&gt;constants!$D$12,(IFERROR(O32-#REF!,O32)*$C32/constants!$B$12),0))</f>
        <v>0</v>
      </c>
      <c r="AV32" s="64">
        <f>(IF(IFERROR(P32-#REF!,P32)&gt;constants!$D$5,(IFERROR(P32-#REF!,P32)*$C32/constants!$B$5),0))</f>
        <v>0</v>
      </c>
      <c r="AW32" s="64">
        <f>(IF(IFERROR(Q32-#REF!,Q32)&gt;constants!$D$13,(IFERROR(Q32-#REF!,Q32)*$C32/constants!$B$13),0))</f>
        <v>0</v>
      </c>
      <c r="AX32" s="64">
        <f>(IF(IFERROR(R32-#REF!,R32)&gt;constants!$D$14,(IFERROR(R32-#REF!,R32)*$C32/constants!$B$14),0))</f>
        <v>0</v>
      </c>
      <c r="AY32" s="64">
        <f>(IF(IFERROR(S32-#REF!,S32)&gt;constants!$D$15,(IFERROR(S32-#REF!,S32)*$C32/constants!$B$15),0))</f>
        <v>0</v>
      </c>
      <c r="AZ32" s="64">
        <f>IF(AH32="nd","nd",AH32*Table3152025303540[[#This Row],[dilution ]]/constants!$B$3)</f>
        <v>0</v>
      </c>
      <c r="BA32" s="64"/>
      <c r="BB32" s="64"/>
      <c r="BC32" s="64">
        <f>(Table5162126313641[[#This Row],[Concentration]]*constants!$C$3)/1000</f>
        <v>0</v>
      </c>
      <c r="BD32" s="64">
        <f>(Table5162126313641[[#This Row],[Concentration2]]*constants!$C$6)/1000</f>
        <v>0</v>
      </c>
      <c r="BE32" s="64">
        <f>(Table5162126313641[[#This Row],[Concentration3]]*constants!$C$7)/1000</f>
        <v>0</v>
      </c>
      <c r="BF32" s="64">
        <f>(Table5162126313641[[#This Row],[Concentration4]]*constants!$C$8)/1000</f>
        <v>0</v>
      </c>
      <c r="BG32" s="64">
        <f>(Table5162126313641[[#This Row],[Concentration5]]*constants!$C$9)/1000</f>
        <v>0</v>
      </c>
      <c r="BH32" s="64">
        <f>(Table5162126313641[[#This Row],[Concentration6]]*constants!$C$10)/1000</f>
        <v>0</v>
      </c>
      <c r="BI32" s="64">
        <f>(Table5162126313641[[#This Row],[Concentration7]]*constants!$C$5)</f>
        <v>0</v>
      </c>
      <c r="BJ32" s="64">
        <f>(Table5162126313641[[#This Row],[Concentration8]]*3)</f>
        <v>0</v>
      </c>
      <c r="BK32" s="64">
        <f>(Table5162126313641[[#This Row],[Concentration9]]*4)</f>
        <v>0</v>
      </c>
      <c r="BL32" s="64">
        <f>(Table5162126313641[[#This Row],[Concentration10]]*4)</f>
        <v>0</v>
      </c>
      <c r="BM32" s="64">
        <f>(Table5162126313641[[#This Row],[Concentration11]]*5)</f>
        <v>0</v>
      </c>
      <c r="BN32" s="64">
        <f>(Table5162126313641[[#This Row],[Concentration12]]*5)</f>
        <v>0</v>
      </c>
      <c r="BO32" s="64">
        <f>(Table5162126313641[[#This Row],[Concentration13]]*6)</f>
        <v>0</v>
      </c>
      <c r="BP32" s="64">
        <f>(Table5162126313641[[#This Row],[Concentration14]]*6)</f>
        <v>0</v>
      </c>
      <c r="BQ32" s="64">
        <f>(Table5162126313641[[#This Row],[Concentration15]]*7)</f>
        <v>0</v>
      </c>
      <c r="BR32" s="64">
        <f>(Table5162126313641[[#This Row],[Concentration16]]*8)</f>
        <v>0</v>
      </c>
      <c r="BS32" s="64">
        <f>(Table5162126313641[[#This Row],[Concentration17]]*3)/1000</f>
        <v>0</v>
      </c>
    </row>
    <row r="33" spans="1:31" x14ac:dyDescent="0.35">
      <c r="A33" s="60"/>
      <c r="AE33" s="43"/>
    </row>
    <row r="34" spans="1:31" x14ac:dyDescent="0.35">
      <c r="AE34" s="43"/>
    </row>
    <row r="35" spans="1:31" x14ac:dyDescent="0.35">
      <c r="AE35" s="43"/>
    </row>
    <row r="36" spans="1:31" ht="15" thickBot="1" x14ac:dyDescent="0.4">
      <c r="AE36" s="44"/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Figures</vt:lpstr>
      <vt:lpstr>B1</vt:lpstr>
      <vt:lpstr>B2</vt:lpstr>
      <vt:lpstr>B3</vt:lpstr>
      <vt:lpstr>B4</vt:lpstr>
      <vt:lpstr>B5</vt:lpstr>
      <vt:lpstr>B6</vt:lpstr>
      <vt:lpstr>BL7</vt:lpstr>
      <vt:lpstr>BL8</vt:lpstr>
      <vt:lpstr>B1B3 Aver</vt:lpstr>
      <vt:lpstr>B4B6 Aver</vt:lpstr>
      <vt:lpstr>Blank average</vt:lpstr>
      <vt:lpstr>constants</vt:lpstr>
    </vt:vector>
  </TitlesOfParts>
  <Company>Wageningen University and Research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Heusschen, Brian</dc:creator>
  <cp:lastModifiedBy>Strik, David</cp:lastModifiedBy>
  <dcterms:created xsi:type="dcterms:W3CDTF">2018-04-26T07:42:43Z</dcterms:created>
  <dcterms:modified xsi:type="dcterms:W3CDTF">2023-08-09T11:47:19Z</dcterms:modified>
</cp:coreProperties>
</file>