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deltares-my.sharepoint.com/personal/lieke_husken_deltares_nl/Documents/Desktop/PhD/Papers/Literature review on financing barriers/Journal 2/Repository/"/>
    </mc:Choice>
  </mc:AlternateContent>
  <xr:revisionPtr revIDLastSave="3" documentId="8_{8A0A60D9-9BB5-41BF-9CC9-92E6C4ECC93D}" xr6:coauthVersionLast="47" xr6:coauthVersionMax="47" xr10:uidLastSave="{162B3603-D805-44D6-B844-11375BF106B1}"/>
  <bookViews>
    <workbookView xWindow="-120" yWindow="-120" windowWidth="38640" windowHeight="21240" activeTab="3" xr2:uid="{5C896436-4CEE-4270-90A6-E7D2BAD15296}"/>
  </bookViews>
  <sheets>
    <sheet name="Articles included (ID)" sheetId="1" r:id="rId1"/>
    <sheet name="Themes, subthemes, topics" sheetId="55" r:id="rId2"/>
    <sheet name="Full data set" sheetId="46" r:id="rId3"/>
    <sheet name="Statistics_Occurencies" sheetId="54" r:id="rId4"/>
    <sheet name="1" sheetId="43" r:id="rId5"/>
    <sheet name="2" sheetId="41" r:id="rId6"/>
    <sheet name="3" sheetId="33" r:id="rId7"/>
    <sheet name="4" sheetId="26" r:id="rId8"/>
    <sheet name="5" sheetId="13" r:id="rId9"/>
    <sheet name="6" sheetId="16" r:id="rId10"/>
    <sheet name="7" sheetId="6" r:id="rId11"/>
    <sheet name="8" sheetId="34" r:id="rId12"/>
    <sheet name="9" sheetId="31" r:id="rId13"/>
    <sheet name="10" sheetId="29" r:id="rId14"/>
    <sheet name="11" sheetId="2" r:id="rId15"/>
    <sheet name="12" sheetId="44" r:id="rId16"/>
    <sheet name="13" sheetId="24" r:id="rId17"/>
    <sheet name="14" sheetId="38" r:id="rId18"/>
    <sheet name="15" sheetId="39" r:id="rId19"/>
    <sheet name="16" sheetId="3" r:id="rId20"/>
    <sheet name="17" sheetId="23" r:id="rId21"/>
    <sheet name="18" sheetId="30" r:id="rId22"/>
    <sheet name="19" sheetId="15" r:id="rId23"/>
    <sheet name="20" sheetId="37" r:id="rId24"/>
    <sheet name="21" sheetId="45" r:id="rId25"/>
    <sheet name="22" sheetId="22" r:id="rId26"/>
    <sheet name="23" sheetId="25" r:id="rId27"/>
    <sheet name="24" sheetId="42" r:id="rId28"/>
    <sheet name="25" sheetId="28" r:id="rId29"/>
    <sheet name="26" sheetId="27" r:id="rId30"/>
    <sheet name="27" sheetId="21" r:id="rId31"/>
    <sheet name="28" sheetId="8" r:id="rId32"/>
    <sheet name="29" sheetId="20" r:id="rId33"/>
    <sheet name="30" sheetId="35" r:id="rId34"/>
    <sheet name="31" sheetId="4" r:id="rId35"/>
    <sheet name="32" sheetId="32" r:id="rId36"/>
    <sheet name="33" sheetId="11" r:id="rId37"/>
    <sheet name="34" sheetId="36" r:id="rId38"/>
    <sheet name="Sheet5" sheetId="18" r:id="rId39"/>
    <sheet name="Sheet6" sheetId="19" r:id="rId40"/>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63" i="54" l="1"/>
  <c r="M53" i="54"/>
  <c r="M52" i="54"/>
  <c r="K3" i="54"/>
  <c r="K14" i="54"/>
  <c r="K13" i="54"/>
  <c r="K12" i="54"/>
  <c r="K11" i="54"/>
  <c r="K10" i="54"/>
  <c r="K9" i="54"/>
  <c r="K8" i="54"/>
  <c r="K7" i="54"/>
  <c r="K6" i="54"/>
  <c r="K5" i="54"/>
  <c r="F649" i="54"/>
  <c r="E649" i="54"/>
  <c r="D649" i="54"/>
  <c r="C649" i="54"/>
  <c r="B649" i="54"/>
  <c r="A649" i="54"/>
  <c r="F648" i="54"/>
  <c r="E648" i="54"/>
  <c r="D648" i="54"/>
  <c r="C648" i="54"/>
  <c r="B648" i="54"/>
  <c r="A648" i="54"/>
  <c r="F647" i="54"/>
  <c r="E647" i="54"/>
  <c r="D647" i="54"/>
  <c r="C647" i="54"/>
  <c r="B647" i="54"/>
  <c r="A647" i="54"/>
  <c r="F646" i="54"/>
  <c r="E646" i="54"/>
  <c r="D646" i="54"/>
  <c r="C646" i="54"/>
  <c r="B646" i="54"/>
  <c r="A646" i="54"/>
  <c r="F645" i="54"/>
  <c r="E645" i="54"/>
  <c r="D645" i="54"/>
  <c r="C645" i="54"/>
  <c r="B645" i="54"/>
  <c r="A645" i="54"/>
  <c r="F644" i="54"/>
  <c r="E644" i="54"/>
  <c r="D644" i="54"/>
  <c r="C644" i="54"/>
  <c r="B644" i="54"/>
  <c r="A644" i="54"/>
  <c r="F643" i="54"/>
  <c r="E643" i="54"/>
  <c r="D643" i="54"/>
  <c r="C643" i="54"/>
  <c r="B643" i="54"/>
  <c r="A643" i="54"/>
  <c r="F642" i="54"/>
  <c r="E642" i="54"/>
  <c r="D642" i="54"/>
  <c r="C642" i="54"/>
  <c r="B642" i="54"/>
  <c r="A642" i="54"/>
  <c r="F641" i="54"/>
  <c r="E641" i="54"/>
  <c r="D641" i="54"/>
  <c r="C641" i="54"/>
  <c r="B641" i="54"/>
  <c r="A641" i="54"/>
  <c r="F640" i="54"/>
  <c r="E640" i="54"/>
  <c r="D640" i="54"/>
  <c r="C640" i="54"/>
  <c r="B640" i="54"/>
  <c r="A640" i="54"/>
  <c r="F639" i="54"/>
  <c r="E639" i="54"/>
  <c r="D639" i="54"/>
  <c r="C639" i="54"/>
  <c r="B639" i="54"/>
  <c r="A639" i="54"/>
  <c r="F638" i="54"/>
  <c r="E638" i="54"/>
  <c r="D638" i="54"/>
  <c r="C638" i="54"/>
  <c r="B638" i="54"/>
  <c r="A638" i="54"/>
  <c r="F637" i="54"/>
  <c r="E637" i="54"/>
  <c r="D637" i="54"/>
  <c r="C637" i="54"/>
  <c r="B637" i="54"/>
  <c r="A637" i="54"/>
  <c r="F636" i="54"/>
  <c r="E636" i="54"/>
  <c r="D636" i="54"/>
  <c r="C636" i="54"/>
  <c r="B636" i="54"/>
  <c r="A636" i="54"/>
  <c r="F635" i="54"/>
  <c r="E635" i="54"/>
  <c r="D635" i="54"/>
  <c r="C635" i="54"/>
  <c r="B635" i="54"/>
  <c r="A635" i="54"/>
  <c r="F634" i="54"/>
  <c r="E634" i="54"/>
  <c r="D634" i="54"/>
  <c r="C634" i="54"/>
  <c r="B634" i="54"/>
  <c r="A634" i="54"/>
  <c r="F633" i="54"/>
  <c r="E633" i="54"/>
  <c r="D633" i="54"/>
  <c r="C633" i="54"/>
  <c r="B633" i="54"/>
  <c r="A633" i="54"/>
  <c r="F632" i="54"/>
  <c r="E632" i="54"/>
  <c r="D632" i="54"/>
  <c r="C632" i="54"/>
  <c r="B632" i="54"/>
  <c r="A632" i="54"/>
  <c r="F631" i="54"/>
  <c r="E631" i="54"/>
  <c r="D631" i="54"/>
  <c r="C631" i="54"/>
  <c r="B631" i="54"/>
  <c r="A631" i="54"/>
  <c r="F630" i="54"/>
  <c r="E630" i="54"/>
  <c r="D630" i="54"/>
  <c r="C630" i="54"/>
  <c r="B630" i="54"/>
  <c r="A630" i="54"/>
  <c r="F629" i="54"/>
  <c r="E629" i="54"/>
  <c r="D629" i="54"/>
  <c r="C629" i="54"/>
  <c r="B629" i="54"/>
  <c r="A629" i="54"/>
  <c r="F628" i="54"/>
  <c r="E628" i="54"/>
  <c r="D628" i="54"/>
  <c r="C628" i="54"/>
  <c r="B628" i="54"/>
  <c r="A628" i="54"/>
  <c r="F627" i="54"/>
  <c r="E627" i="54"/>
  <c r="D627" i="54"/>
  <c r="C627" i="54"/>
  <c r="B627" i="54"/>
  <c r="A627" i="54"/>
  <c r="F626" i="54"/>
  <c r="E626" i="54"/>
  <c r="D626" i="54"/>
  <c r="C626" i="54"/>
  <c r="B626" i="54"/>
  <c r="A626" i="54"/>
  <c r="F625" i="54"/>
  <c r="E625" i="54"/>
  <c r="D625" i="54"/>
  <c r="C625" i="54"/>
  <c r="B625" i="54"/>
  <c r="A625" i="54"/>
  <c r="F624" i="54"/>
  <c r="E624" i="54"/>
  <c r="D624" i="54"/>
  <c r="C624" i="54"/>
  <c r="B624" i="54"/>
  <c r="A624" i="54"/>
  <c r="F623" i="54"/>
  <c r="E623" i="54"/>
  <c r="D623" i="54"/>
  <c r="C623" i="54"/>
  <c r="B623" i="54"/>
  <c r="A623" i="54"/>
  <c r="F622" i="54"/>
  <c r="E622" i="54"/>
  <c r="D622" i="54"/>
  <c r="C622" i="54"/>
  <c r="B622" i="54"/>
  <c r="A622" i="54"/>
  <c r="F621" i="54"/>
  <c r="E621" i="54"/>
  <c r="D621" i="54"/>
  <c r="C621" i="54"/>
  <c r="B621" i="54"/>
  <c r="A621" i="54"/>
  <c r="F620" i="54"/>
  <c r="E620" i="54"/>
  <c r="D620" i="54"/>
  <c r="C620" i="54"/>
  <c r="B620" i="54"/>
  <c r="A620" i="54"/>
  <c r="F619" i="54"/>
  <c r="E619" i="54"/>
  <c r="D619" i="54"/>
  <c r="C619" i="54"/>
  <c r="B619" i="54"/>
  <c r="A619" i="54"/>
  <c r="F618" i="54"/>
  <c r="E618" i="54"/>
  <c r="D618" i="54"/>
  <c r="C618" i="54"/>
  <c r="B618" i="54"/>
  <c r="A618" i="54"/>
  <c r="F617" i="54"/>
  <c r="E617" i="54"/>
  <c r="D617" i="54"/>
  <c r="C617" i="54"/>
  <c r="B617" i="54"/>
  <c r="A617" i="54"/>
  <c r="F616" i="54"/>
  <c r="E616" i="54"/>
  <c r="D616" i="54"/>
  <c r="C616" i="54"/>
  <c r="B616" i="54"/>
  <c r="A616" i="54"/>
  <c r="F615" i="54"/>
  <c r="E615" i="54"/>
  <c r="D615" i="54"/>
  <c r="C615" i="54"/>
  <c r="B615" i="54"/>
  <c r="A615" i="54"/>
  <c r="F614" i="54"/>
  <c r="E614" i="54"/>
  <c r="D614" i="54"/>
  <c r="C614" i="54"/>
  <c r="B614" i="54"/>
  <c r="A614" i="54"/>
  <c r="F613" i="54"/>
  <c r="E613" i="54"/>
  <c r="D613" i="54"/>
  <c r="C613" i="54"/>
  <c r="B613" i="54"/>
  <c r="A613" i="54"/>
  <c r="F612" i="54"/>
  <c r="E612" i="54"/>
  <c r="D612" i="54"/>
  <c r="C612" i="54"/>
  <c r="B612" i="54"/>
  <c r="A612" i="54"/>
  <c r="F611" i="54"/>
  <c r="E611" i="54"/>
  <c r="D611" i="54"/>
  <c r="C611" i="54"/>
  <c r="B611" i="54"/>
  <c r="A611" i="54"/>
  <c r="F610" i="54"/>
  <c r="E610" i="54"/>
  <c r="D610" i="54"/>
  <c r="C610" i="54"/>
  <c r="B610" i="54"/>
  <c r="A610" i="54"/>
  <c r="F609" i="54"/>
  <c r="E609" i="54"/>
  <c r="D609" i="54"/>
  <c r="C609" i="54"/>
  <c r="B609" i="54"/>
  <c r="A609" i="54"/>
  <c r="F608" i="54"/>
  <c r="E608" i="54"/>
  <c r="D608" i="54"/>
  <c r="C608" i="54"/>
  <c r="B608" i="54"/>
  <c r="A608" i="54"/>
  <c r="F607" i="54"/>
  <c r="E607" i="54"/>
  <c r="D607" i="54"/>
  <c r="C607" i="54"/>
  <c r="B607" i="54"/>
  <c r="A607" i="54"/>
  <c r="F606" i="54"/>
  <c r="E606" i="54"/>
  <c r="D606" i="54"/>
  <c r="C606" i="54"/>
  <c r="B606" i="54"/>
  <c r="A606" i="54"/>
  <c r="F605" i="54"/>
  <c r="E605" i="54"/>
  <c r="D605" i="54"/>
  <c r="C605" i="54"/>
  <c r="B605" i="54"/>
  <c r="A605" i="54"/>
  <c r="F604" i="54"/>
  <c r="E604" i="54"/>
  <c r="D604" i="54"/>
  <c r="C604" i="54"/>
  <c r="B604" i="54"/>
  <c r="A604" i="54"/>
  <c r="F603" i="54"/>
  <c r="E603" i="54"/>
  <c r="D603" i="54"/>
  <c r="C603" i="54"/>
  <c r="B603" i="54"/>
  <c r="A603" i="54"/>
  <c r="F602" i="54"/>
  <c r="E602" i="54"/>
  <c r="D602" i="54"/>
  <c r="C602" i="54"/>
  <c r="B602" i="54"/>
  <c r="A602" i="54"/>
  <c r="F601" i="54"/>
  <c r="E601" i="54"/>
  <c r="D601" i="54"/>
  <c r="C601" i="54"/>
  <c r="B601" i="54"/>
  <c r="A601" i="54"/>
  <c r="F600" i="54"/>
  <c r="E600" i="54"/>
  <c r="D600" i="54"/>
  <c r="C600" i="54"/>
  <c r="B600" i="54"/>
  <c r="A600" i="54"/>
  <c r="F599" i="54"/>
  <c r="E599" i="54"/>
  <c r="D599" i="54"/>
  <c r="C599" i="54"/>
  <c r="B599" i="54"/>
  <c r="A599" i="54"/>
  <c r="F598" i="54"/>
  <c r="E598" i="54"/>
  <c r="D598" i="54"/>
  <c r="C598" i="54"/>
  <c r="B598" i="54"/>
  <c r="A598" i="54"/>
  <c r="F597" i="54"/>
  <c r="E597" i="54"/>
  <c r="D597" i="54"/>
  <c r="C597" i="54"/>
  <c r="B597" i="54"/>
  <c r="A597" i="54"/>
  <c r="F596" i="54"/>
  <c r="E596" i="54"/>
  <c r="D596" i="54"/>
  <c r="C596" i="54"/>
  <c r="B596" i="54"/>
  <c r="A596" i="54"/>
  <c r="F595" i="54"/>
  <c r="E595" i="54"/>
  <c r="D595" i="54"/>
  <c r="C595" i="54"/>
  <c r="B595" i="54"/>
  <c r="A595" i="54"/>
  <c r="F594" i="54"/>
  <c r="E594" i="54"/>
  <c r="D594" i="54"/>
  <c r="C594" i="54"/>
  <c r="B594" i="54"/>
  <c r="A594" i="54"/>
  <c r="F593" i="54"/>
  <c r="E593" i="54"/>
  <c r="D593" i="54"/>
  <c r="C593" i="54"/>
  <c r="B593" i="54"/>
  <c r="A593" i="54"/>
  <c r="F592" i="54"/>
  <c r="E592" i="54"/>
  <c r="D592" i="54"/>
  <c r="C592" i="54"/>
  <c r="B592" i="54"/>
  <c r="A592" i="54"/>
  <c r="F591" i="54"/>
  <c r="E591" i="54"/>
  <c r="D591" i="54"/>
  <c r="C591" i="54"/>
  <c r="B591" i="54"/>
  <c r="A591" i="54"/>
  <c r="F590" i="54"/>
  <c r="E590" i="54"/>
  <c r="D590" i="54"/>
  <c r="C590" i="54"/>
  <c r="B590" i="54"/>
  <c r="A590" i="54"/>
  <c r="F589" i="54"/>
  <c r="E589" i="54"/>
  <c r="D589" i="54"/>
  <c r="C589" i="54"/>
  <c r="B589" i="54"/>
  <c r="A589" i="54"/>
  <c r="F588" i="54"/>
  <c r="E588" i="54"/>
  <c r="D588" i="54"/>
  <c r="C588" i="54"/>
  <c r="B588" i="54"/>
  <c r="A588" i="54"/>
  <c r="F587" i="54"/>
  <c r="E587" i="54"/>
  <c r="D587" i="54"/>
  <c r="C587" i="54"/>
  <c r="B587" i="54"/>
  <c r="A587" i="54"/>
  <c r="F586" i="54"/>
  <c r="E586" i="54"/>
  <c r="D586" i="54"/>
  <c r="C586" i="54"/>
  <c r="B586" i="54"/>
  <c r="A586" i="54"/>
  <c r="F585" i="54"/>
  <c r="E585" i="54"/>
  <c r="D585" i="54"/>
  <c r="C585" i="54"/>
  <c r="B585" i="54"/>
  <c r="A585" i="54"/>
  <c r="F584" i="54"/>
  <c r="E584" i="54"/>
  <c r="D584" i="54"/>
  <c r="C584" i="54"/>
  <c r="B584" i="54"/>
  <c r="A584" i="54"/>
  <c r="F583" i="54"/>
  <c r="E583" i="54"/>
  <c r="D583" i="54"/>
  <c r="C583" i="54"/>
  <c r="B583" i="54"/>
  <c r="A583" i="54"/>
  <c r="F582" i="54"/>
  <c r="E582" i="54"/>
  <c r="D582" i="54"/>
  <c r="C582" i="54"/>
  <c r="B582" i="54"/>
  <c r="A582" i="54"/>
  <c r="F581" i="54"/>
  <c r="E581" i="54"/>
  <c r="D581" i="54"/>
  <c r="C581" i="54"/>
  <c r="B581" i="54"/>
  <c r="A581" i="54"/>
  <c r="F580" i="54"/>
  <c r="E580" i="54"/>
  <c r="D580" i="54"/>
  <c r="C580" i="54"/>
  <c r="B580" i="54"/>
  <c r="A580" i="54"/>
  <c r="F579" i="54"/>
  <c r="E579" i="54"/>
  <c r="D579" i="54"/>
  <c r="C579" i="54"/>
  <c r="B579" i="54"/>
  <c r="A579" i="54"/>
  <c r="F578" i="54"/>
  <c r="E578" i="54"/>
  <c r="D578" i="54"/>
  <c r="C578" i="54"/>
  <c r="B578" i="54"/>
  <c r="A578" i="54"/>
  <c r="F577" i="54"/>
  <c r="E577" i="54"/>
  <c r="D577" i="54"/>
  <c r="C577" i="54"/>
  <c r="B577" i="54"/>
  <c r="A577" i="54"/>
  <c r="F576" i="54"/>
  <c r="E576" i="54"/>
  <c r="D576" i="54"/>
  <c r="C576" i="54"/>
  <c r="B576" i="54"/>
  <c r="A576" i="54"/>
  <c r="F575" i="54"/>
  <c r="E575" i="54"/>
  <c r="D575" i="54"/>
  <c r="C575" i="54"/>
  <c r="B575" i="54"/>
  <c r="A575" i="54"/>
  <c r="F574" i="54"/>
  <c r="E574" i="54"/>
  <c r="D574" i="54"/>
  <c r="C574" i="54"/>
  <c r="B574" i="54"/>
  <c r="A574" i="54"/>
  <c r="F573" i="54"/>
  <c r="E573" i="54"/>
  <c r="D573" i="54"/>
  <c r="C573" i="54"/>
  <c r="B573" i="54"/>
  <c r="A573" i="54"/>
  <c r="F572" i="54"/>
  <c r="E572" i="54"/>
  <c r="D572" i="54"/>
  <c r="C572" i="54"/>
  <c r="B572" i="54"/>
  <c r="A572" i="54"/>
  <c r="F571" i="54"/>
  <c r="E571" i="54"/>
  <c r="D571" i="54"/>
  <c r="C571" i="54"/>
  <c r="B571" i="54"/>
  <c r="A571" i="54"/>
  <c r="F570" i="54"/>
  <c r="E570" i="54"/>
  <c r="D570" i="54"/>
  <c r="C570" i="54"/>
  <c r="B570" i="54"/>
  <c r="A570" i="54"/>
  <c r="F569" i="54"/>
  <c r="E569" i="54"/>
  <c r="D569" i="54"/>
  <c r="C569" i="54"/>
  <c r="B569" i="54"/>
  <c r="A569" i="54"/>
  <c r="F568" i="54"/>
  <c r="E568" i="54"/>
  <c r="D568" i="54"/>
  <c r="C568" i="54"/>
  <c r="B568" i="54"/>
  <c r="A568" i="54"/>
  <c r="F567" i="54"/>
  <c r="E567" i="54"/>
  <c r="D567" i="54"/>
  <c r="C567" i="54"/>
  <c r="B567" i="54"/>
  <c r="A567" i="54"/>
  <c r="F566" i="54"/>
  <c r="E566" i="54"/>
  <c r="D566" i="54"/>
  <c r="C566" i="54"/>
  <c r="B566" i="54"/>
  <c r="A566" i="54"/>
  <c r="F565" i="54"/>
  <c r="E565" i="54"/>
  <c r="D565" i="54"/>
  <c r="C565" i="54"/>
  <c r="B565" i="54"/>
  <c r="A565" i="54"/>
  <c r="F564" i="54"/>
  <c r="E564" i="54"/>
  <c r="D564" i="54"/>
  <c r="C564" i="54"/>
  <c r="B564" i="54"/>
  <c r="A564" i="54"/>
  <c r="F563" i="54"/>
  <c r="E563" i="54"/>
  <c r="C563" i="54"/>
  <c r="B563" i="54"/>
  <c r="A563" i="54"/>
  <c r="F562" i="54"/>
  <c r="E562" i="54"/>
  <c r="D562" i="54"/>
  <c r="C562" i="54"/>
  <c r="B562" i="54"/>
  <c r="A562" i="54"/>
  <c r="F561" i="54"/>
  <c r="E561" i="54"/>
  <c r="D561" i="54"/>
  <c r="C561" i="54"/>
  <c r="B561" i="54"/>
  <c r="A561" i="54"/>
  <c r="F560" i="54"/>
  <c r="E560" i="54"/>
  <c r="D560" i="54"/>
  <c r="C560" i="54"/>
  <c r="B560" i="54"/>
  <c r="A560" i="54"/>
  <c r="F559" i="54"/>
  <c r="E559" i="54"/>
  <c r="D559" i="54"/>
  <c r="C559" i="54"/>
  <c r="B559" i="54"/>
  <c r="A559" i="54"/>
  <c r="F558" i="54"/>
  <c r="E558" i="54"/>
  <c r="D558" i="54"/>
  <c r="C558" i="54"/>
  <c r="B558" i="54"/>
  <c r="A558" i="54"/>
  <c r="F557" i="54"/>
  <c r="E557" i="54"/>
  <c r="D557" i="54"/>
  <c r="C557" i="54"/>
  <c r="B557" i="54"/>
  <c r="A557" i="54"/>
  <c r="F556" i="54"/>
  <c r="E556" i="54"/>
  <c r="D556" i="54"/>
  <c r="C556" i="54"/>
  <c r="B556" i="54"/>
  <c r="A556" i="54"/>
  <c r="F555" i="54"/>
  <c r="E555" i="54"/>
  <c r="D555" i="54"/>
  <c r="C555" i="54"/>
  <c r="B555" i="54"/>
  <c r="A555" i="54"/>
  <c r="F554" i="54"/>
  <c r="E554" i="54"/>
  <c r="D554" i="54"/>
  <c r="C554" i="54"/>
  <c r="B554" i="54"/>
  <c r="A554" i="54"/>
  <c r="F553" i="54"/>
  <c r="E553" i="54"/>
  <c r="D553" i="54"/>
  <c r="C553" i="54"/>
  <c r="B553" i="54"/>
  <c r="A553" i="54"/>
  <c r="F552" i="54"/>
  <c r="E552" i="54"/>
  <c r="D552" i="54"/>
  <c r="C552" i="54"/>
  <c r="B552" i="54"/>
  <c r="A552" i="54"/>
  <c r="F551" i="54"/>
  <c r="E551" i="54"/>
  <c r="D551" i="54"/>
  <c r="C551" i="54"/>
  <c r="B551" i="54"/>
  <c r="A551" i="54"/>
  <c r="F550" i="54"/>
  <c r="E550" i="54"/>
  <c r="D550" i="54"/>
  <c r="C550" i="54"/>
  <c r="B550" i="54"/>
  <c r="A550" i="54"/>
  <c r="F549" i="54"/>
  <c r="E549" i="54"/>
  <c r="D549" i="54"/>
  <c r="C549" i="54"/>
  <c r="B549" i="54"/>
  <c r="A549" i="54"/>
  <c r="F548" i="54"/>
  <c r="E548" i="54"/>
  <c r="D548" i="54"/>
  <c r="C548" i="54"/>
  <c r="B548" i="54"/>
  <c r="A548" i="54"/>
  <c r="F547" i="54"/>
  <c r="E547" i="54"/>
  <c r="D547" i="54"/>
  <c r="C547" i="54"/>
  <c r="B547" i="54"/>
  <c r="A547" i="54"/>
  <c r="F546" i="54"/>
  <c r="E546" i="54"/>
  <c r="D546" i="54"/>
  <c r="C546" i="54"/>
  <c r="B546" i="54"/>
  <c r="A546" i="54"/>
  <c r="F545" i="54"/>
  <c r="E545" i="54"/>
  <c r="D545" i="54"/>
  <c r="C545" i="54"/>
  <c r="B545" i="54"/>
  <c r="A545" i="54"/>
  <c r="F544" i="54"/>
  <c r="E544" i="54"/>
  <c r="D544" i="54"/>
  <c r="C544" i="54"/>
  <c r="B544" i="54"/>
  <c r="A544" i="54"/>
  <c r="F543" i="54"/>
  <c r="E543" i="54"/>
  <c r="D543" i="54"/>
  <c r="C543" i="54"/>
  <c r="B543" i="54"/>
  <c r="A543" i="54"/>
  <c r="F542" i="54"/>
  <c r="E542" i="54"/>
  <c r="D542" i="54"/>
  <c r="C542" i="54"/>
  <c r="B542" i="54"/>
  <c r="A542" i="54"/>
  <c r="F541" i="54"/>
  <c r="E541" i="54"/>
  <c r="D541" i="54"/>
  <c r="C541" i="54"/>
  <c r="B541" i="54"/>
  <c r="A541" i="54"/>
  <c r="F540" i="54"/>
  <c r="E540" i="54"/>
  <c r="D540" i="54"/>
  <c r="C540" i="54"/>
  <c r="B540" i="54"/>
  <c r="A540" i="54"/>
  <c r="F539" i="54"/>
  <c r="E539" i="54"/>
  <c r="D539" i="54"/>
  <c r="C539" i="54"/>
  <c r="B539" i="54"/>
  <c r="A539" i="54"/>
  <c r="F538" i="54"/>
  <c r="E538" i="54"/>
  <c r="D538" i="54"/>
  <c r="C538" i="54"/>
  <c r="B538" i="54"/>
  <c r="A538" i="54"/>
  <c r="F537" i="54"/>
  <c r="E537" i="54"/>
  <c r="D537" i="54"/>
  <c r="C537" i="54"/>
  <c r="B537" i="54"/>
  <c r="A537" i="54"/>
  <c r="F536" i="54"/>
  <c r="E536" i="54"/>
  <c r="D536" i="54"/>
  <c r="C536" i="54"/>
  <c r="B536" i="54"/>
  <c r="A536" i="54"/>
  <c r="F535" i="54"/>
  <c r="E535" i="54"/>
  <c r="D535" i="54"/>
  <c r="C535" i="54"/>
  <c r="B535" i="54"/>
  <c r="A535" i="54"/>
  <c r="F534" i="54"/>
  <c r="E534" i="54"/>
  <c r="D534" i="54"/>
  <c r="C534" i="54"/>
  <c r="B534" i="54"/>
  <c r="A534" i="54"/>
  <c r="F533" i="54"/>
  <c r="E533" i="54"/>
  <c r="D533" i="54"/>
  <c r="C533" i="54"/>
  <c r="B533" i="54"/>
  <c r="A533" i="54"/>
  <c r="F532" i="54"/>
  <c r="E532" i="54"/>
  <c r="D532" i="54"/>
  <c r="C532" i="54"/>
  <c r="B532" i="54"/>
  <c r="A532" i="54"/>
  <c r="F531" i="54"/>
  <c r="E531" i="54"/>
  <c r="D531" i="54"/>
  <c r="C531" i="54"/>
  <c r="B531" i="54"/>
  <c r="A531" i="54"/>
  <c r="F530" i="54"/>
  <c r="E530" i="54"/>
  <c r="D530" i="54"/>
  <c r="C530" i="54"/>
  <c r="B530" i="54"/>
  <c r="A530" i="54"/>
  <c r="F529" i="54"/>
  <c r="E529" i="54"/>
  <c r="D529" i="54"/>
  <c r="C529" i="54"/>
  <c r="B529" i="54"/>
  <c r="A529" i="54"/>
  <c r="F528" i="54"/>
  <c r="E528" i="54"/>
  <c r="D528" i="54"/>
  <c r="C528" i="54"/>
  <c r="B528" i="54"/>
  <c r="A528" i="54"/>
  <c r="F527" i="54"/>
  <c r="E527" i="54"/>
  <c r="D527" i="54"/>
  <c r="C527" i="54"/>
  <c r="B527" i="54"/>
  <c r="A527" i="54"/>
  <c r="F526" i="54"/>
  <c r="E526" i="54"/>
  <c r="D526" i="54"/>
  <c r="C526" i="54"/>
  <c r="B526" i="54"/>
  <c r="A526" i="54"/>
  <c r="F525" i="54"/>
  <c r="E525" i="54"/>
  <c r="D525" i="54"/>
  <c r="C525" i="54"/>
  <c r="B525" i="54"/>
  <c r="A525" i="54"/>
  <c r="F524" i="54"/>
  <c r="E524" i="54"/>
  <c r="D524" i="54"/>
  <c r="C524" i="54"/>
  <c r="B524" i="54"/>
  <c r="A524" i="54"/>
  <c r="F523" i="54"/>
  <c r="E523" i="54"/>
  <c r="D523" i="54"/>
  <c r="C523" i="54"/>
  <c r="B523" i="54"/>
  <c r="A523" i="54"/>
  <c r="F522" i="54"/>
  <c r="E522" i="54"/>
  <c r="D522" i="54"/>
  <c r="C522" i="54"/>
  <c r="B522" i="54"/>
  <c r="A522" i="54"/>
  <c r="F521" i="54"/>
  <c r="E521" i="54"/>
  <c r="D521" i="54"/>
  <c r="C521" i="54"/>
  <c r="B521" i="54"/>
  <c r="A521" i="54"/>
  <c r="F520" i="54"/>
  <c r="E520" i="54"/>
  <c r="D520" i="54"/>
  <c r="C520" i="54"/>
  <c r="B520" i="54"/>
  <c r="A520" i="54"/>
  <c r="F519" i="54"/>
  <c r="E519" i="54"/>
  <c r="D519" i="54"/>
  <c r="C519" i="54"/>
  <c r="B519" i="54"/>
  <c r="A519" i="54"/>
  <c r="F518" i="54"/>
  <c r="E518" i="54"/>
  <c r="D518" i="54"/>
  <c r="C518" i="54"/>
  <c r="B518" i="54"/>
  <c r="A518" i="54"/>
  <c r="F517" i="54"/>
  <c r="E517" i="54"/>
  <c r="D517" i="54"/>
  <c r="C517" i="54"/>
  <c r="B517" i="54"/>
  <c r="A517" i="54"/>
  <c r="F516" i="54"/>
  <c r="E516" i="54"/>
  <c r="D516" i="54"/>
  <c r="C516" i="54"/>
  <c r="B516" i="54"/>
  <c r="A516" i="54"/>
  <c r="F515" i="54"/>
  <c r="E515" i="54"/>
  <c r="D515" i="54"/>
  <c r="C515" i="54"/>
  <c r="B515" i="54"/>
  <c r="A515" i="54"/>
  <c r="F514" i="54"/>
  <c r="E514" i="54"/>
  <c r="D514" i="54"/>
  <c r="C514" i="54"/>
  <c r="B514" i="54"/>
  <c r="A514" i="54"/>
  <c r="F513" i="54"/>
  <c r="E513" i="54"/>
  <c r="D513" i="54"/>
  <c r="C513" i="54"/>
  <c r="B513" i="54"/>
  <c r="A513" i="54"/>
  <c r="F512" i="54"/>
  <c r="E512" i="54"/>
  <c r="D512" i="54"/>
  <c r="C512" i="54"/>
  <c r="B512" i="54"/>
  <c r="A512" i="54"/>
  <c r="F511" i="54"/>
  <c r="E511" i="54"/>
  <c r="D511" i="54"/>
  <c r="C511" i="54"/>
  <c r="B511" i="54"/>
  <c r="A511" i="54"/>
  <c r="F510" i="54"/>
  <c r="E510" i="54"/>
  <c r="D510" i="54"/>
  <c r="C510" i="54"/>
  <c r="B510" i="54"/>
  <c r="A510" i="54"/>
  <c r="F509" i="54"/>
  <c r="E509" i="54"/>
  <c r="D509" i="54"/>
  <c r="C509" i="54"/>
  <c r="B509" i="54"/>
  <c r="A509" i="54"/>
  <c r="F508" i="54"/>
  <c r="E508" i="54"/>
  <c r="D508" i="54"/>
  <c r="C508" i="54"/>
  <c r="B508" i="54"/>
  <c r="A508" i="54"/>
  <c r="F507" i="54"/>
  <c r="E507" i="54"/>
  <c r="D507" i="54"/>
  <c r="C507" i="54"/>
  <c r="B507" i="54"/>
  <c r="A507" i="54"/>
  <c r="F506" i="54"/>
  <c r="E506" i="54"/>
  <c r="D506" i="54"/>
  <c r="C506" i="54"/>
  <c r="B506" i="54"/>
  <c r="A506" i="54"/>
  <c r="F505" i="54"/>
  <c r="E505" i="54"/>
  <c r="D505" i="54"/>
  <c r="C505" i="54"/>
  <c r="B505" i="54"/>
  <c r="A505" i="54"/>
  <c r="F504" i="54"/>
  <c r="E504" i="54"/>
  <c r="D504" i="54"/>
  <c r="C504" i="54"/>
  <c r="B504" i="54"/>
  <c r="A504" i="54"/>
  <c r="F503" i="54"/>
  <c r="E503" i="54"/>
  <c r="D503" i="54"/>
  <c r="C503" i="54"/>
  <c r="B503" i="54"/>
  <c r="A503" i="54"/>
  <c r="F502" i="54"/>
  <c r="E502" i="54"/>
  <c r="D502" i="54"/>
  <c r="C502" i="54"/>
  <c r="B502" i="54"/>
  <c r="A502" i="54"/>
  <c r="F501" i="54"/>
  <c r="E501" i="54"/>
  <c r="D501" i="54"/>
  <c r="C501" i="54"/>
  <c r="B501" i="54"/>
  <c r="A501" i="54"/>
  <c r="F500" i="54"/>
  <c r="E500" i="54"/>
  <c r="D500" i="54"/>
  <c r="C500" i="54"/>
  <c r="B500" i="54"/>
  <c r="A500" i="54"/>
  <c r="F499" i="54"/>
  <c r="E499" i="54"/>
  <c r="D499" i="54"/>
  <c r="C499" i="54"/>
  <c r="B499" i="54"/>
  <c r="A499" i="54"/>
  <c r="F498" i="54"/>
  <c r="E498" i="54"/>
  <c r="D498" i="54"/>
  <c r="C498" i="54"/>
  <c r="B498" i="54"/>
  <c r="A498" i="54"/>
  <c r="F497" i="54"/>
  <c r="E497" i="54"/>
  <c r="D497" i="54"/>
  <c r="C497" i="54"/>
  <c r="B497" i="54"/>
  <c r="A497" i="54"/>
  <c r="F496" i="54"/>
  <c r="E496" i="54"/>
  <c r="D496" i="54"/>
  <c r="C496" i="54"/>
  <c r="B496" i="54"/>
  <c r="A496" i="54"/>
  <c r="F495" i="54"/>
  <c r="E495" i="54"/>
  <c r="D495" i="54"/>
  <c r="C495" i="54"/>
  <c r="B495" i="54"/>
  <c r="A495" i="54"/>
  <c r="F494" i="54"/>
  <c r="E494" i="54"/>
  <c r="D494" i="54"/>
  <c r="C494" i="54"/>
  <c r="B494" i="54"/>
  <c r="A494" i="54"/>
  <c r="F493" i="54"/>
  <c r="E493" i="54"/>
  <c r="D493" i="54"/>
  <c r="C493" i="54"/>
  <c r="B493" i="54"/>
  <c r="A493" i="54"/>
  <c r="F492" i="54"/>
  <c r="E492" i="54"/>
  <c r="D492" i="54"/>
  <c r="C492" i="54"/>
  <c r="B492" i="54"/>
  <c r="A492" i="54"/>
  <c r="F491" i="54"/>
  <c r="E491" i="54"/>
  <c r="D491" i="54"/>
  <c r="C491" i="54"/>
  <c r="B491" i="54"/>
  <c r="A491" i="54"/>
  <c r="F490" i="54"/>
  <c r="E490" i="54"/>
  <c r="D490" i="54"/>
  <c r="C490" i="54"/>
  <c r="B490" i="54"/>
  <c r="A490" i="54"/>
  <c r="F489" i="54"/>
  <c r="E489" i="54"/>
  <c r="D489" i="54"/>
  <c r="C489" i="54"/>
  <c r="B489" i="54"/>
  <c r="A489" i="54"/>
  <c r="F488" i="54"/>
  <c r="E488" i="54"/>
  <c r="D488" i="54"/>
  <c r="C488" i="54"/>
  <c r="B488" i="54"/>
  <c r="A488" i="54"/>
  <c r="F487" i="54"/>
  <c r="E487" i="54"/>
  <c r="D487" i="54"/>
  <c r="C487" i="54"/>
  <c r="B487" i="54"/>
  <c r="A487" i="54"/>
  <c r="F486" i="54"/>
  <c r="E486" i="54"/>
  <c r="D486" i="54"/>
  <c r="C486" i="54"/>
  <c r="B486" i="54"/>
  <c r="A486" i="54"/>
  <c r="F485" i="54"/>
  <c r="E485" i="54"/>
  <c r="D485" i="54"/>
  <c r="C485" i="54"/>
  <c r="B485" i="54"/>
  <c r="A485" i="54"/>
  <c r="F484" i="54"/>
  <c r="E484" i="54"/>
  <c r="D484" i="54"/>
  <c r="C484" i="54"/>
  <c r="B484" i="54"/>
  <c r="A484" i="54"/>
  <c r="F483" i="54"/>
  <c r="E483" i="54"/>
  <c r="D483" i="54"/>
  <c r="C483" i="54"/>
  <c r="B483" i="54"/>
  <c r="A483" i="54"/>
  <c r="F482" i="54"/>
  <c r="E482" i="54"/>
  <c r="D482" i="54"/>
  <c r="C482" i="54"/>
  <c r="B482" i="54"/>
  <c r="A482" i="54"/>
  <c r="F481" i="54"/>
  <c r="E481" i="54"/>
  <c r="D481" i="54"/>
  <c r="C481" i="54"/>
  <c r="B481" i="54"/>
  <c r="A481" i="54"/>
  <c r="F480" i="54"/>
  <c r="E480" i="54"/>
  <c r="D480" i="54"/>
  <c r="C480" i="54"/>
  <c r="B480" i="54"/>
  <c r="A480" i="54"/>
  <c r="F479" i="54"/>
  <c r="E479" i="54"/>
  <c r="D479" i="54"/>
  <c r="C479" i="54"/>
  <c r="B479" i="54"/>
  <c r="A479" i="54"/>
  <c r="F478" i="54"/>
  <c r="E478" i="54"/>
  <c r="D478" i="54"/>
  <c r="C478" i="54"/>
  <c r="B478" i="54"/>
  <c r="A478" i="54"/>
  <c r="F477" i="54"/>
  <c r="E477" i="54"/>
  <c r="D477" i="54"/>
  <c r="C477" i="54"/>
  <c r="B477" i="54"/>
  <c r="A477" i="54"/>
  <c r="F476" i="54"/>
  <c r="E476" i="54"/>
  <c r="D476" i="54"/>
  <c r="C476" i="54"/>
  <c r="B476" i="54"/>
  <c r="A476" i="54"/>
  <c r="F475" i="54"/>
  <c r="E475" i="54"/>
  <c r="D475" i="54"/>
  <c r="C475" i="54"/>
  <c r="B475" i="54"/>
  <c r="A475" i="54"/>
  <c r="F474" i="54"/>
  <c r="E474" i="54"/>
  <c r="D474" i="54"/>
  <c r="C474" i="54"/>
  <c r="B474" i="54"/>
  <c r="A474" i="54"/>
  <c r="F473" i="54"/>
  <c r="E473" i="54"/>
  <c r="D473" i="54"/>
  <c r="C473" i="54"/>
  <c r="B473" i="54"/>
  <c r="A473" i="54"/>
  <c r="F472" i="54"/>
  <c r="E472" i="54"/>
  <c r="D472" i="54"/>
  <c r="C472" i="54"/>
  <c r="B472" i="54"/>
  <c r="A472" i="54"/>
  <c r="F471" i="54"/>
  <c r="E471" i="54"/>
  <c r="D471" i="54"/>
  <c r="C471" i="54"/>
  <c r="B471" i="54"/>
  <c r="A471" i="54"/>
  <c r="F470" i="54"/>
  <c r="E470" i="54"/>
  <c r="D470" i="54"/>
  <c r="C470" i="54"/>
  <c r="B470" i="54"/>
  <c r="A470" i="54"/>
  <c r="F469" i="54"/>
  <c r="E469" i="54"/>
  <c r="D469" i="54"/>
  <c r="C469" i="54"/>
  <c r="B469" i="54"/>
  <c r="A469" i="54"/>
  <c r="F468" i="54"/>
  <c r="E468" i="54"/>
  <c r="D468" i="54"/>
  <c r="C468" i="54"/>
  <c r="B468" i="54"/>
  <c r="A468" i="54"/>
  <c r="F467" i="54"/>
  <c r="E467" i="54"/>
  <c r="D467" i="54"/>
  <c r="C467" i="54"/>
  <c r="B467" i="54"/>
  <c r="A467" i="54"/>
  <c r="F466" i="54"/>
  <c r="E466" i="54"/>
  <c r="D466" i="54"/>
  <c r="C466" i="54"/>
  <c r="B466" i="54"/>
  <c r="A466" i="54"/>
  <c r="F465" i="54"/>
  <c r="E465" i="54"/>
  <c r="D465" i="54"/>
  <c r="C465" i="54"/>
  <c r="B465" i="54"/>
  <c r="A465" i="54"/>
  <c r="F464" i="54"/>
  <c r="E464" i="54"/>
  <c r="D464" i="54"/>
  <c r="C464" i="54"/>
  <c r="B464" i="54"/>
  <c r="A464" i="54"/>
  <c r="F463" i="54"/>
  <c r="E463" i="54"/>
  <c r="D463" i="54"/>
  <c r="C463" i="54"/>
  <c r="B463" i="54"/>
  <c r="A463" i="54"/>
  <c r="F462" i="54"/>
  <c r="E462" i="54"/>
  <c r="D462" i="54"/>
  <c r="C462" i="54"/>
  <c r="B462" i="54"/>
  <c r="A462" i="54"/>
  <c r="F461" i="54"/>
  <c r="E461" i="54"/>
  <c r="D461" i="54"/>
  <c r="C461" i="54"/>
  <c r="B461" i="54"/>
  <c r="A461" i="54"/>
  <c r="F460" i="54"/>
  <c r="E460" i="54"/>
  <c r="D460" i="54"/>
  <c r="C460" i="54"/>
  <c r="B460" i="54"/>
  <c r="A460" i="54"/>
  <c r="F459" i="54"/>
  <c r="E459" i="54"/>
  <c r="D459" i="54"/>
  <c r="C459" i="54"/>
  <c r="B459" i="54"/>
  <c r="A459" i="54"/>
  <c r="F458" i="54"/>
  <c r="E458" i="54"/>
  <c r="D458" i="54"/>
  <c r="C458" i="54"/>
  <c r="B458" i="54"/>
  <c r="A458" i="54"/>
  <c r="F457" i="54"/>
  <c r="E457" i="54"/>
  <c r="D457" i="54"/>
  <c r="C457" i="54"/>
  <c r="B457" i="54"/>
  <c r="A457" i="54"/>
  <c r="F456" i="54"/>
  <c r="E456" i="54"/>
  <c r="D456" i="54"/>
  <c r="C456" i="54"/>
  <c r="B456" i="54"/>
  <c r="A456" i="54"/>
  <c r="F455" i="54"/>
  <c r="E455" i="54"/>
  <c r="D455" i="54"/>
  <c r="C455" i="54"/>
  <c r="B455" i="54"/>
  <c r="A455" i="54"/>
  <c r="F454" i="54"/>
  <c r="E454" i="54"/>
  <c r="D454" i="54"/>
  <c r="C454" i="54"/>
  <c r="B454" i="54"/>
  <c r="A454" i="54"/>
  <c r="F453" i="54"/>
  <c r="E453" i="54"/>
  <c r="D453" i="54"/>
  <c r="C453" i="54"/>
  <c r="B453" i="54"/>
  <c r="A453" i="54"/>
  <c r="F452" i="54"/>
  <c r="E452" i="54"/>
  <c r="D452" i="54"/>
  <c r="C452" i="54"/>
  <c r="B452" i="54"/>
  <c r="A452" i="54"/>
  <c r="F451" i="54"/>
  <c r="E451" i="54"/>
  <c r="D451" i="54"/>
  <c r="C451" i="54"/>
  <c r="B451" i="54"/>
  <c r="A451" i="54"/>
  <c r="F450" i="54"/>
  <c r="E450" i="54"/>
  <c r="D450" i="54"/>
  <c r="C450" i="54"/>
  <c r="B450" i="54"/>
  <c r="A450" i="54"/>
  <c r="F449" i="54"/>
  <c r="E449" i="54"/>
  <c r="D449" i="54"/>
  <c r="C449" i="54"/>
  <c r="B449" i="54"/>
  <c r="A449" i="54"/>
  <c r="F448" i="54"/>
  <c r="E448" i="54"/>
  <c r="D448" i="54"/>
  <c r="C448" i="54"/>
  <c r="B448" i="54"/>
  <c r="A448" i="54"/>
  <c r="F447" i="54"/>
  <c r="E447" i="54"/>
  <c r="D447" i="54"/>
  <c r="C447" i="54"/>
  <c r="B447" i="54"/>
  <c r="A447" i="54"/>
  <c r="F446" i="54"/>
  <c r="E446" i="54"/>
  <c r="D446" i="54"/>
  <c r="C446" i="54"/>
  <c r="B446" i="54"/>
  <c r="A446" i="54"/>
  <c r="F445" i="54"/>
  <c r="E445" i="54"/>
  <c r="D445" i="54"/>
  <c r="C445" i="54"/>
  <c r="B445" i="54"/>
  <c r="A445" i="54"/>
  <c r="F444" i="54"/>
  <c r="E444" i="54"/>
  <c r="D444" i="54"/>
  <c r="C444" i="54"/>
  <c r="B444" i="54"/>
  <c r="A444" i="54"/>
  <c r="F443" i="54"/>
  <c r="E443" i="54"/>
  <c r="D443" i="54"/>
  <c r="C443" i="54"/>
  <c r="B443" i="54"/>
  <c r="A443" i="54"/>
  <c r="F442" i="54"/>
  <c r="E442" i="54"/>
  <c r="D442" i="54"/>
  <c r="C442" i="54"/>
  <c r="B442" i="54"/>
  <c r="A442" i="54"/>
  <c r="F441" i="54"/>
  <c r="E441" i="54"/>
  <c r="D441" i="54"/>
  <c r="C441" i="54"/>
  <c r="B441" i="54"/>
  <c r="A441" i="54"/>
  <c r="F440" i="54"/>
  <c r="E440" i="54"/>
  <c r="D440" i="54"/>
  <c r="C440" i="54"/>
  <c r="B440" i="54"/>
  <c r="A440" i="54"/>
  <c r="F439" i="54"/>
  <c r="E439" i="54"/>
  <c r="D439" i="54"/>
  <c r="C439" i="54"/>
  <c r="B439" i="54"/>
  <c r="A439" i="54"/>
  <c r="F438" i="54"/>
  <c r="E438" i="54"/>
  <c r="D438" i="54"/>
  <c r="C438" i="54"/>
  <c r="B438" i="54"/>
  <c r="A438" i="54"/>
  <c r="F437" i="54"/>
  <c r="E437" i="54"/>
  <c r="D437" i="54"/>
  <c r="C437" i="54"/>
  <c r="B437" i="54"/>
  <c r="A437" i="54"/>
  <c r="F436" i="54"/>
  <c r="E436" i="54"/>
  <c r="D436" i="54"/>
  <c r="C436" i="54"/>
  <c r="B436" i="54"/>
  <c r="A436" i="54"/>
  <c r="F435" i="54"/>
  <c r="E435" i="54"/>
  <c r="D435" i="54"/>
  <c r="C435" i="54"/>
  <c r="B435" i="54"/>
  <c r="A435" i="54"/>
  <c r="F434" i="54"/>
  <c r="E434" i="54"/>
  <c r="D434" i="54"/>
  <c r="C434" i="54"/>
  <c r="B434" i="54"/>
  <c r="A434" i="54"/>
  <c r="F433" i="54"/>
  <c r="E433" i="54"/>
  <c r="D433" i="54"/>
  <c r="C433" i="54"/>
  <c r="B433" i="54"/>
  <c r="A433" i="54"/>
  <c r="F432" i="54"/>
  <c r="E432" i="54"/>
  <c r="D432" i="54"/>
  <c r="C432" i="54"/>
  <c r="B432" i="54"/>
  <c r="A432" i="54"/>
  <c r="F431" i="54"/>
  <c r="E431" i="54"/>
  <c r="D431" i="54"/>
  <c r="C431" i="54"/>
  <c r="B431" i="54"/>
  <c r="A431" i="54"/>
  <c r="F430" i="54"/>
  <c r="E430" i="54"/>
  <c r="D430" i="54"/>
  <c r="C430" i="54"/>
  <c r="B430" i="54"/>
  <c r="A430" i="54"/>
  <c r="F429" i="54"/>
  <c r="E429" i="54"/>
  <c r="D429" i="54"/>
  <c r="C429" i="54"/>
  <c r="B429" i="54"/>
  <c r="A429" i="54"/>
  <c r="F428" i="54"/>
  <c r="E428" i="54"/>
  <c r="D428" i="54"/>
  <c r="C428" i="54"/>
  <c r="B428" i="54"/>
  <c r="A428" i="54"/>
  <c r="F427" i="54"/>
  <c r="E427" i="54"/>
  <c r="D427" i="54"/>
  <c r="C427" i="54"/>
  <c r="B427" i="54"/>
  <c r="A427" i="54"/>
  <c r="F426" i="54"/>
  <c r="E426" i="54"/>
  <c r="D426" i="54"/>
  <c r="C426" i="54"/>
  <c r="B426" i="54"/>
  <c r="A426" i="54"/>
  <c r="F425" i="54"/>
  <c r="E425" i="54"/>
  <c r="D425" i="54"/>
  <c r="C425" i="54"/>
  <c r="B425" i="54"/>
  <c r="A425" i="54"/>
  <c r="F424" i="54"/>
  <c r="E424" i="54"/>
  <c r="D424" i="54"/>
  <c r="C424" i="54"/>
  <c r="B424" i="54"/>
  <c r="A424" i="54"/>
  <c r="F423" i="54"/>
  <c r="E423" i="54"/>
  <c r="D423" i="54"/>
  <c r="C423" i="54"/>
  <c r="B423" i="54"/>
  <c r="A423" i="54"/>
  <c r="F422" i="54"/>
  <c r="E422" i="54"/>
  <c r="D422" i="54"/>
  <c r="C422" i="54"/>
  <c r="B422" i="54"/>
  <c r="A422" i="54"/>
  <c r="F421" i="54"/>
  <c r="E421" i="54"/>
  <c r="D421" i="54"/>
  <c r="C421" i="54"/>
  <c r="B421" i="54"/>
  <c r="A421" i="54"/>
  <c r="F420" i="54"/>
  <c r="E420" i="54"/>
  <c r="D420" i="54"/>
  <c r="C420" i="54"/>
  <c r="B420" i="54"/>
  <c r="A420" i="54"/>
  <c r="F419" i="54"/>
  <c r="E419" i="54"/>
  <c r="D419" i="54"/>
  <c r="C419" i="54"/>
  <c r="B419" i="54"/>
  <c r="A419" i="54"/>
  <c r="F418" i="54"/>
  <c r="E418" i="54"/>
  <c r="D418" i="54"/>
  <c r="C418" i="54"/>
  <c r="B418" i="54"/>
  <c r="A418" i="54"/>
  <c r="F417" i="54"/>
  <c r="E417" i="54"/>
  <c r="D417" i="54"/>
  <c r="C417" i="54"/>
  <c r="B417" i="54"/>
  <c r="A417" i="54"/>
  <c r="F416" i="54"/>
  <c r="E416" i="54"/>
  <c r="D416" i="54"/>
  <c r="C416" i="54"/>
  <c r="B416" i="54"/>
  <c r="A416" i="54"/>
  <c r="F415" i="54"/>
  <c r="E415" i="54"/>
  <c r="D415" i="54"/>
  <c r="C415" i="54"/>
  <c r="B415" i="54"/>
  <c r="A415" i="54"/>
  <c r="F414" i="54"/>
  <c r="E414" i="54"/>
  <c r="D414" i="54"/>
  <c r="C414" i="54"/>
  <c r="B414" i="54"/>
  <c r="A414" i="54"/>
  <c r="F413" i="54"/>
  <c r="E413" i="54"/>
  <c r="D413" i="54"/>
  <c r="C413" i="54"/>
  <c r="B413" i="54"/>
  <c r="A413" i="54"/>
  <c r="F412" i="54"/>
  <c r="E412" i="54"/>
  <c r="D412" i="54"/>
  <c r="C412" i="54"/>
  <c r="B412" i="54"/>
  <c r="A412" i="54"/>
  <c r="F411" i="54"/>
  <c r="E411" i="54"/>
  <c r="D411" i="54"/>
  <c r="C411" i="54"/>
  <c r="B411" i="54"/>
  <c r="A411" i="54"/>
  <c r="F410" i="54"/>
  <c r="E410" i="54"/>
  <c r="D410" i="54"/>
  <c r="C410" i="54"/>
  <c r="B410" i="54"/>
  <c r="A410" i="54"/>
  <c r="F409" i="54"/>
  <c r="E409" i="54"/>
  <c r="D409" i="54"/>
  <c r="C409" i="54"/>
  <c r="B409" i="54"/>
  <c r="A409" i="54"/>
  <c r="F408" i="54"/>
  <c r="E408" i="54"/>
  <c r="D408" i="54"/>
  <c r="C408" i="54"/>
  <c r="B408" i="54"/>
  <c r="A408" i="54"/>
  <c r="F407" i="54"/>
  <c r="E407" i="54"/>
  <c r="D407" i="54"/>
  <c r="C407" i="54"/>
  <c r="B407" i="54"/>
  <c r="A407" i="54"/>
  <c r="F406" i="54"/>
  <c r="E406" i="54"/>
  <c r="D406" i="54"/>
  <c r="C406" i="54"/>
  <c r="B406" i="54"/>
  <c r="A406" i="54"/>
  <c r="F405" i="54"/>
  <c r="E405" i="54"/>
  <c r="D405" i="54"/>
  <c r="C405" i="54"/>
  <c r="B405" i="54"/>
  <c r="A405" i="54"/>
  <c r="F404" i="54"/>
  <c r="E404" i="54"/>
  <c r="D404" i="54"/>
  <c r="C404" i="54"/>
  <c r="B404" i="54"/>
  <c r="A404" i="54"/>
  <c r="F403" i="54"/>
  <c r="E403" i="54"/>
  <c r="D403" i="54"/>
  <c r="C403" i="54"/>
  <c r="B403" i="54"/>
  <c r="A403" i="54"/>
  <c r="F402" i="54"/>
  <c r="E402" i="54"/>
  <c r="D402" i="54"/>
  <c r="C402" i="54"/>
  <c r="B402" i="54"/>
  <c r="A402" i="54"/>
  <c r="F401" i="54"/>
  <c r="E401" i="54"/>
  <c r="D401" i="54"/>
  <c r="C401" i="54"/>
  <c r="B401" i="54"/>
  <c r="A401" i="54"/>
  <c r="F400" i="54"/>
  <c r="E400" i="54"/>
  <c r="D400" i="54"/>
  <c r="C400" i="54"/>
  <c r="B400" i="54"/>
  <c r="A400" i="54"/>
  <c r="F399" i="54"/>
  <c r="E399" i="54"/>
  <c r="D399" i="54"/>
  <c r="C399" i="54"/>
  <c r="B399" i="54"/>
  <c r="A399" i="54"/>
  <c r="F398" i="54"/>
  <c r="E398" i="54"/>
  <c r="D398" i="54"/>
  <c r="C398" i="54"/>
  <c r="B398" i="54"/>
  <c r="A398" i="54"/>
  <c r="F397" i="54"/>
  <c r="E397" i="54"/>
  <c r="D397" i="54"/>
  <c r="C397" i="54"/>
  <c r="B397" i="54"/>
  <c r="A397" i="54"/>
  <c r="F396" i="54"/>
  <c r="E396" i="54"/>
  <c r="D396" i="54"/>
  <c r="C396" i="54"/>
  <c r="B396" i="54"/>
  <c r="A396" i="54"/>
  <c r="F395" i="54"/>
  <c r="E395" i="54"/>
  <c r="D395" i="54"/>
  <c r="C395" i="54"/>
  <c r="B395" i="54"/>
  <c r="A395" i="54"/>
  <c r="F394" i="54"/>
  <c r="E394" i="54"/>
  <c r="D394" i="54"/>
  <c r="C394" i="54"/>
  <c r="B394" i="54"/>
  <c r="A394" i="54"/>
  <c r="F393" i="54"/>
  <c r="E393" i="54"/>
  <c r="D393" i="54"/>
  <c r="C393" i="54"/>
  <c r="B393" i="54"/>
  <c r="A393" i="54"/>
  <c r="F392" i="54"/>
  <c r="E392" i="54"/>
  <c r="D392" i="54"/>
  <c r="C392" i="54"/>
  <c r="B392" i="54"/>
  <c r="A392" i="54"/>
  <c r="F391" i="54"/>
  <c r="E391" i="54"/>
  <c r="D391" i="54"/>
  <c r="C391" i="54"/>
  <c r="B391" i="54"/>
  <c r="A391" i="54"/>
  <c r="F390" i="54"/>
  <c r="E390" i="54"/>
  <c r="D390" i="54"/>
  <c r="C390" i="54"/>
  <c r="B390" i="54"/>
  <c r="A390" i="54"/>
  <c r="F389" i="54"/>
  <c r="E389" i="54"/>
  <c r="D389" i="54"/>
  <c r="C389" i="54"/>
  <c r="B389" i="54"/>
  <c r="A389" i="54"/>
  <c r="F388" i="54"/>
  <c r="E388" i="54"/>
  <c r="D388" i="54"/>
  <c r="C388" i="54"/>
  <c r="B388" i="54"/>
  <c r="A388" i="54"/>
  <c r="F387" i="54"/>
  <c r="E387" i="54"/>
  <c r="D387" i="54"/>
  <c r="C387" i="54"/>
  <c r="B387" i="54"/>
  <c r="A387" i="54"/>
  <c r="F386" i="54"/>
  <c r="E386" i="54"/>
  <c r="D386" i="54"/>
  <c r="C386" i="54"/>
  <c r="B386" i="54"/>
  <c r="A386" i="54"/>
  <c r="F385" i="54"/>
  <c r="E385" i="54"/>
  <c r="D385" i="54"/>
  <c r="C385" i="54"/>
  <c r="B385" i="54"/>
  <c r="A385" i="54"/>
  <c r="F384" i="54"/>
  <c r="E384" i="54"/>
  <c r="D384" i="54"/>
  <c r="C384" i="54"/>
  <c r="B384" i="54"/>
  <c r="A384" i="54"/>
  <c r="F383" i="54"/>
  <c r="E383" i="54"/>
  <c r="D383" i="54"/>
  <c r="C383" i="54"/>
  <c r="B383" i="54"/>
  <c r="A383" i="54"/>
  <c r="F382" i="54"/>
  <c r="E382" i="54"/>
  <c r="D382" i="54"/>
  <c r="C382" i="54"/>
  <c r="B382" i="54"/>
  <c r="A382" i="54"/>
  <c r="F381" i="54"/>
  <c r="E381" i="54"/>
  <c r="D381" i="54"/>
  <c r="C381" i="54"/>
  <c r="B381" i="54"/>
  <c r="A381" i="54"/>
  <c r="F380" i="54"/>
  <c r="E380" i="54"/>
  <c r="D380" i="54"/>
  <c r="C380" i="54"/>
  <c r="B380" i="54"/>
  <c r="A380" i="54"/>
  <c r="F379" i="54"/>
  <c r="E379" i="54"/>
  <c r="D379" i="54"/>
  <c r="C379" i="54"/>
  <c r="B379" i="54"/>
  <c r="A379" i="54"/>
  <c r="F378" i="54"/>
  <c r="E378" i="54"/>
  <c r="D378" i="54"/>
  <c r="C378" i="54"/>
  <c r="B378" i="54"/>
  <c r="A378" i="54"/>
  <c r="F377" i="54"/>
  <c r="E377" i="54"/>
  <c r="D377" i="54"/>
  <c r="C377" i="54"/>
  <c r="B377" i="54"/>
  <c r="A377" i="54"/>
  <c r="F376" i="54"/>
  <c r="E376" i="54"/>
  <c r="D376" i="54"/>
  <c r="C376" i="54"/>
  <c r="B376" i="54"/>
  <c r="A376" i="54"/>
  <c r="F375" i="54"/>
  <c r="E375" i="54"/>
  <c r="D375" i="54"/>
  <c r="C375" i="54"/>
  <c r="B375" i="54"/>
  <c r="A375" i="54"/>
  <c r="F374" i="54"/>
  <c r="E374" i="54"/>
  <c r="D374" i="54"/>
  <c r="C374" i="54"/>
  <c r="B374" i="54"/>
  <c r="A374" i="54"/>
  <c r="F373" i="54"/>
  <c r="E373" i="54"/>
  <c r="D373" i="54"/>
  <c r="C373" i="54"/>
  <c r="B373" i="54"/>
  <c r="A373" i="54"/>
  <c r="F372" i="54"/>
  <c r="E372" i="54"/>
  <c r="D372" i="54"/>
  <c r="C372" i="54"/>
  <c r="B372" i="54"/>
  <c r="A372" i="54"/>
  <c r="F371" i="54"/>
  <c r="E371" i="54"/>
  <c r="D371" i="54"/>
  <c r="C371" i="54"/>
  <c r="B371" i="54"/>
  <c r="A371" i="54"/>
  <c r="F370" i="54"/>
  <c r="E370" i="54"/>
  <c r="D370" i="54"/>
  <c r="C370" i="54"/>
  <c r="B370" i="54"/>
  <c r="A370" i="54"/>
  <c r="F369" i="54"/>
  <c r="E369" i="54"/>
  <c r="D369" i="54"/>
  <c r="C369" i="54"/>
  <c r="B369" i="54"/>
  <c r="A369" i="54"/>
  <c r="F368" i="54"/>
  <c r="E368" i="54"/>
  <c r="D368" i="54"/>
  <c r="C368" i="54"/>
  <c r="B368" i="54"/>
  <c r="A368" i="54"/>
  <c r="F367" i="54"/>
  <c r="E367" i="54"/>
  <c r="D367" i="54"/>
  <c r="C367" i="54"/>
  <c r="B367" i="54"/>
  <c r="A367" i="54"/>
  <c r="F366" i="54"/>
  <c r="E366" i="54"/>
  <c r="D366" i="54"/>
  <c r="C366" i="54"/>
  <c r="B366" i="54"/>
  <c r="A366" i="54"/>
  <c r="F365" i="54"/>
  <c r="E365" i="54"/>
  <c r="D365" i="54"/>
  <c r="C365" i="54"/>
  <c r="B365" i="54"/>
  <c r="A365" i="54"/>
  <c r="F364" i="54"/>
  <c r="E364" i="54"/>
  <c r="D364" i="54"/>
  <c r="C364" i="54"/>
  <c r="B364" i="54"/>
  <c r="A364" i="54"/>
  <c r="F363" i="54"/>
  <c r="E363" i="54"/>
  <c r="D363" i="54"/>
  <c r="C363" i="54"/>
  <c r="B363" i="54"/>
  <c r="A363" i="54"/>
  <c r="F362" i="54"/>
  <c r="E362" i="54"/>
  <c r="D362" i="54"/>
  <c r="C362" i="54"/>
  <c r="B362" i="54"/>
  <c r="A362" i="54"/>
  <c r="F361" i="54"/>
  <c r="E361" i="54"/>
  <c r="D361" i="54"/>
  <c r="C361" i="54"/>
  <c r="B361" i="54"/>
  <c r="A361" i="54"/>
  <c r="F360" i="54"/>
  <c r="E360" i="54"/>
  <c r="D360" i="54"/>
  <c r="C360" i="54"/>
  <c r="B360" i="54"/>
  <c r="A360" i="54"/>
  <c r="F359" i="54"/>
  <c r="E359" i="54"/>
  <c r="D359" i="54"/>
  <c r="C359" i="54"/>
  <c r="B359" i="54"/>
  <c r="A359" i="54"/>
  <c r="F358" i="54"/>
  <c r="E358" i="54"/>
  <c r="D358" i="54"/>
  <c r="C358" i="54"/>
  <c r="B358" i="54"/>
  <c r="A358" i="54"/>
  <c r="F357" i="54"/>
  <c r="E357" i="54"/>
  <c r="D357" i="54"/>
  <c r="C357" i="54"/>
  <c r="B357" i="54"/>
  <c r="A357" i="54"/>
  <c r="F356" i="54"/>
  <c r="E356" i="54"/>
  <c r="D356" i="54"/>
  <c r="C356" i="54"/>
  <c r="B356" i="54"/>
  <c r="A356" i="54"/>
  <c r="F355" i="54"/>
  <c r="E355" i="54"/>
  <c r="D355" i="54"/>
  <c r="C355" i="54"/>
  <c r="B355" i="54"/>
  <c r="A355" i="54"/>
  <c r="F354" i="54"/>
  <c r="E354" i="54"/>
  <c r="D354" i="54"/>
  <c r="C354" i="54"/>
  <c r="B354" i="54"/>
  <c r="A354" i="54"/>
  <c r="F353" i="54"/>
  <c r="E353" i="54"/>
  <c r="D353" i="54"/>
  <c r="C353" i="54"/>
  <c r="B353" i="54"/>
  <c r="A353" i="54"/>
  <c r="F352" i="54"/>
  <c r="E352" i="54"/>
  <c r="D352" i="54"/>
  <c r="C352" i="54"/>
  <c r="B352" i="54"/>
  <c r="A352" i="54"/>
  <c r="F351" i="54"/>
  <c r="E351" i="54"/>
  <c r="D351" i="54"/>
  <c r="C351" i="54"/>
  <c r="B351" i="54"/>
  <c r="A351" i="54"/>
  <c r="F350" i="54"/>
  <c r="E350" i="54"/>
  <c r="D350" i="54"/>
  <c r="C350" i="54"/>
  <c r="B350" i="54"/>
  <c r="A350" i="54"/>
  <c r="F349" i="54"/>
  <c r="E349" i="54"/>
  <c r="D349" i="54"/>
  <c r="C349" i="54"/>
  <c r="B349" i="54"/>
  <c r="A349" i="54"/>
  <c r="F348" i="54"/>
  <c r="E348" i="54"/>
  <c r="D348" i="54"/>
  <c r="C348" i="54"/>
  <c r="B348" i="54"/>
  <c r="A348" i="54"/>
  <c r="F347" i="54"/>
  <c r="E347" i="54"/>
  <c r="D347" i="54"/>
  <c r="C347" i="54"/>
  <c r="B347" i="54"/>
  <c r="A347" i="54"/>
  <c r="F346" i="54"/>
  <c r="E346" i="54"/>
  <c r="D346" i="54"/>
  <c r="C346" i="54"/>
  <c r="B346" i="54"/>
  <c r="A346" i="54"/>
  <c r="F345" i="54"/>
  <c r="E345" i="54"/>
  <c r="D345" i="54"/>
  <c r="C345" i="54"/>
  <c r="B345" i="54"/>
  <c r="A345" i="54"/>
  <c r="F344" i="54"/>
  <c r="E344" i="54"/>
  <c r="D344" i="54"/>
  <c r="C344" i="54"/>
  <c r="B344" i="54"/>
  <c r="A344" i="54"/>
  <c r="F343" i="54"/>
  <c r="E343" i="54"/>
  <c r="D343" i="54"/>
  <c r="C343" i="54"/>
  <c r="B343" i="54"/>
  <c r="A343" i="54"/>
  <c r="F342" i="54"/>
  <c r="E342" i="54"/>
  <c r="D342" i="54"/>
  <c r="C342" i="54"/>
  <c r="B342" i="54"/>
  <c r="A342" i="54"/>
  <c r="F341" i="54"/>
  <c r="E341" i="54"/>
  <c r="D341" i="54"/>
  <c r="C341" i="54"/>
  <c r="B341" i="54"/>
  <c r="A341" i="54"/>
  <c r="F340" i="54"/>
  <c r="E340" i="54"/>
  <c r="D340" i="54"/>
  <c r="C340" i="54"/>
  <c r="B340" i="54"/>
  <c r="A340" i="54"/>
  <c r="F339" i="54"/>
  <c r="E339" i="54"/>
  <c r="D339" i="54"/>
  <c r="C339" i="54"/>
  <c r="B339" i="54"/>
  <c r="A339" i="54"/>
  <c r="F338" i="54"/>
  <c r="E338" i="54"/>
  <c r="D338" i="54"/>
  <c r="C338" i="54"/>
  <c r="B338" i="54"/>
  <c r="A338" i="54"/>
  <c r="F337" i="54"/>
  <c r="E337" i="54"/>
  <c r="D337" i="54"/>
  <c r="C337" i="54"/>
  <c r="B337" i="54"/>
  <c r="A337" i="54"/>
  <c r="F336" i="54"/>
  <c r="E336" i="54"/>
  <c r="D336" i="54"/>
  <c r="C336" i="54"/>
  <c r="B336" i="54"/>
  <c r="A336" i="54"/>
  <c r="F335" i="54"/>
  <c r="E335" i="54"/>
  <c r="D335" i="54"/>
  <c r="C335" i="54"/>
  <c r="B335" i="54"/>
  <c r="A335" i="54"/>
  <c r="F334" i="54"/>
  <c r="E334" i="54"/>
  <c r="D334" i="54"/>
  <c r="C334" i="54"/>
  <c r="B334" i="54"/>
  <c r="A334" i="54"/>
  <c r="F333" i="54"/>
  <c r="E333" i="54"/>
  <c r="D333" i="54"/>
  <c r="C333" i="54"/>
  <c r="B333" i="54"/>
  <c r="A333" i="54"/>
  <c r="F332" i="54"/>
  <c r="E332" i="54"/>
  <c r="D332" i="54"/>
  <c r="C332" i="54"/>
  <c r="B332" i="54"/>
  <c r="A332" i="54"/>
  <c r="F331" i="54"/>
  <c r="E331" i="54"/>
  <c r="D331" i="54"/>
  <c r="C331" i="54"/>
  <c r="B331" i="54"/>
  <c r="A331" i="54"/>
  <c r="F330" i="54"/>
  <c r="E330" i="54"/>
  <c r="D330" i="54"/>
  <c r="C330" i="54"/>
  <c r="B330" i="54"/>
  <c r="A330" i="54"/>
  <c r="F329" i="54"/>
  <c r="E329" i="54"/>
  <c r="D329" i="54"/>
  <c r="C329" i="54"/>
  <c r="B329" i="54"/>
  <c r="A329" i="54"/>
  <c r="F328" i="54"/>
  <c r="E328" i="54"/>
  <c r="D328" i="54"/>
  <c r="C328" i="54"/>
  <c r="B328" i="54"/>
  <c r="A328" i="54"/>
  <c r="F327" i="54"/>
  <c r="E327" i="54"/>
  <c r="D327" i="54"/>
  <c r="C327" i="54"/>
  <c r="B327" i="54"/>
  <c r="A327" i="54"/>
  <c r="F326" i="54"/>
  <c r="E326" i="54"/>
  <c r="D326" i="54"/>
  <c r="C326" i="54"/>
  <c r="B326" i="54"/>
  <c r="A326" i="54"/>
  <c r="F325" i="54"/>
  <c r="E325" i="54"/>
  <c r="D325" i="54"/>
  <c r="C325" i="54"/>
  <c r="B325" i="54"/>
  <c r="A325" i="54"/>
  <c r="F324" i="54"/>
  <c r="E324" i="54"/>
  <c r="D324" i="54"/>
  <c r="C324" i="54"/>
  <c r="B324" i="54"/>
  <c r="A324" i="54"/>
  <c r="F323" i="54"/>
  <c r="E323" i="54"/>
  <c r="D323" i="54"/>
  <c r="C323" i="54"/>
  <c r="B323" i="54"/>
  <c r="A323" i="54"/>
  <c r="F322" i="54"/>
  <c r="E322" i="54"/>
  <c r="D322" i="54"/>
  <c r="C322" i="54"/>
  <c r="B322" i="54"/>
  <c r="A322" i="54"/>
  <c r="F321" i="54"/>
  <c r="E321" i="54"/>
  <c r="D321" i="54"/>
  <c r="C321" i="54"/>
  <c r="B321" i="54"/>
  <c r="A321" i="54"/>
  <c r="F320" i="54"/>
  <c r="E320" i="54"/>
  <c r="D320" i="54"/>
  <c r="C320" i="54"/>
  <c r="B320" i="54"/>
  <c r="A320" i="54"/>
  <c r="F319" i="54"/>
  <c r="E319" i="54"/>
  <c r="D319" i="54"/>
  <c r="C319" i="54"/>
  <c r="B319" i="54"/>
  <c r="A319" i="54"/>
  <c r="F318" i="54"/>
  <c r="E318" i="54"/>
  <c r="D318" i="54"/>
  <c r="C318" i="54"/>
  <c r="B318" i="54"/>
  <c r="A318" i="54"/>
  <c r="F317" i="54"/>
  <c r="E317" i="54"/>
  <c r="D317" i="54"/>
  <c r="C317" i="54"/>
  <c r="B317" i="54"/>
  <c r="A317" i="54"/>
  <c r="F316" i="54"/>
  <c r="E316" i="54"/>
  <c r="D316" i="54"/>
  <c r="C316" i="54"/>
  <c r="B316" i="54"/>
  <c r="A316" i="54"/>
  <c r="F315" i="54"/>
  <c r="E315" i="54"/>
  <c r="D315" i="54"/>
  <c r="C315" i="54"/>
  <c r="B315" i="54"/>
  <c r="A315" i="54"/>
  <c r="F314" i="54"/>
  <c r="E314" i="54"/>
  <c r="D314" i="54"/>
  <c r="C314" i="54"/>
  <c r="B314" i="54"/>
  <c r="A314" i="54"/>
  <c r="F313" i="54"/>
  <c r="E313" i="54"/>
  <c r="D313" i="54"/>
  <c r="C313" i="54"/>
  <c r="B313" i="54"/>
  <c r="A313" i="54"/>
  <c r="F312" i="54"/>
  <c r="E312" i="54"/>
  <c r="D312" i="54"/>
  <c r="C312" i="54"/>
  <c r="B312" i="54"/>
  <c r="A312" i="54"/>
  <c r="F311" i="54"/>
  <c r="E311" i="54"/>
  <c r="D311" i="54"/>
  <c r="C311" i="54"/>
  <c r="B311" i="54"/>
  <c r="A311" i="54"/>
  <c r="F310" i="54"/>
  <c r="E310" i="54"/>
  <c r="D310" i="54"/>
  <c r="C310" i="54"/>
  <c r="B310" i="54"/>
  <c r="A310" i="54"/>
  <c r="F309" i="54"/>
  <c r="E309" i="54"/>
  <c r="D309" i="54"/>
  <c r="C309" i="54"/>
  <c r="B309" i="54"/>
  <c r="A309" i="54"/>
  <c r="F308" i="54"/>
  <c r="E308" i="54"/>
  <c r="D308" i="54"/>
  <c r="C308" i="54"/>
  <c r="B308" i="54"/>
  <c r="A308" i="54"/>
  <c r="F307" i="54"/>
  <c r="E307" i="54"/>
  <c r="D307" i="54"/>
  <c r="C307" i="54"/>
  <c r="B307" i="54"/>
  <c r="A307" i="54"/>
  <c r="F306" i="54"/>
  <c r="E306" i="54"/>
  <c r="D306" i="54"/>
  <c r="C306" i="54"/>
  <c r="B306" i="54"/>
  <c r="A306" i="54"/>
  <c r="F305" i="54"/>
  <c r="E305" i="54"/>
  <c r="D305" i="54"/>
  <c r="C305" i="54"/>
  <c r="B305" i="54"/>
  <c r="A305" i="54"/>
  <c r="F304" i="54"/>
  <c r="E304" i="54"/>
  <c r="D304" i="54"/>
  <c r="C304" i="54"/>
  <c r="B304" i="54"/>
  <c r="A304" i="54"/>
  <c r="F303" i="54"/>
  <c r="E303" i="54"/>
  <c r="D303" i="54"/>
  <c r="C303" i="54"/>
  <c r="B303" i="54"/>
  <c r="A303" i="54"/>
  <c r="F302" i="54"/>
  <c r="E302" i="54"/>
  <c r="D302" i="54"/>
  <c r="C302" i="54"/>
  <c r="B302" i="54"/>
  <c r="A302" i="54"/>
  <c r="F301" i="54"/>
  <c r="E301" i="54"/>
  <c r="D301" i="54"/>
  <c r="C301" i="54"/>
  <c r="B301" i="54"/>
  <c r="A301" i="54"/>
  <c r="F300" i="54"/>
  <c r="E300" i="54"/>
  <c r="D300" i="54"/>
  <c r="C300" i="54"/>
  <c r="B300" i="54"/>
  <c r="A300" i="54"/>
  <c r="F299" i="54"/>
  <c r="E299" i="54"/>
  <c r="D299" i="54"/>
  <c r="C299" i="54"/>
  <c r="B299" i="54"/>
  <c r="A299" i="54"/>
  <c r="F298" i="54"/>
  <c r="E298" i="54"/>
  <c r="D298" i="54"/>
  <c r="C298" i="54"/>
  <c r="B298" i="54"/>
  <c r="A298" i="54"/>
  <c r="F297" i="54"/>
  <c r="E297" i="54"/>
  <c r="D297" i="54"/>
  <c r="C297" i="54"/>
  <c r="B297" i="54"/>
  <c r="A297" i="54"/>
  <c r="F296" i="54"/>
  <c r="E296" i="54"/>
  <c r="D296" i="54"/>
  <c r="C296" i="54"/>
  <c r="B296" i="54"/>
  <c r="A296" i="54"/>
  <c r="F295" i="54"/>
  <c r="E295" i="54"/>
  <c r="D295" i="54"/>
  <c r="C295" i="54"/>
  <c r="B295" i="54"/>
  <c r="A295" i="54"/>
  <c r="F294" i="54"/>
  <c r="E294" i="54"/>
  <c r="D294" i="54"/>
  <c r="C294" i="54"/>
  <c r="B294" i="54"/>
  <c r="A294" i="54"/>
  <c r="F293" i="54"/>
  <c r="E293" i="54"/>
  <c r="D293" i="54"/>
  <c r="C293" i="54"/>
  <c r="B293" i="54"/>
  <c r="A293" i="54"/>
  <c r="F292" i="54"/>
  <c r="E292" i="54"/>
  <c r="D292" i="54"/>
  <c r="C292" i="54"/>
  <c r="B292" i="54"/>
  <c r="A292" i="54"/>
  <c r="F291" i="54"/>
  <c r="E291" i="54"/>
  <c r="D291" i="54"/>
  <c r="C291" i="54"/>
  <c r="B291" i="54"/>
  <c r="A291" i="54"/>
  <c r="F290" i="54"/>
  <c r="E290" i="54"/>
  <c r="D290" i="54"/>
  <c r="C290" i="54"/>
  <c r="B290" i="54"/>
  <c r="A290" i="54"/>
  <c r="F289" i="54"/>
  <c r="E289" i="54"/>
  <c r="D289" i="54"/>
  <c r="C289" i="54"/>
  <c r="B289" i="54"/>
  <c r="A289" i="54"/>
  <c r="F288" i="54"/>
  <c r="E288" i="54"/>
  <c r="D288" i="54"/>
  <c r="C288" i="54"/>
  <c r="B288" i="54"/>
  <c r="A288" i="54"/>
  <c r="F287" i="54"/>
  <c r="E287" i="54"/>
  <c r="D287" i="54"/>
  <c r="C287" i="54"/>
  <c r="B287" i="54"/>
  <c r="A287" i="54"/>
  <c r="F286" i="54"/>
  <c r="E286" i="54"/>
  <c r="D286" i="54"/>
  <c r="C286" i="54"/>
  <c r="B286" i="54"/>
  <c r="A286" i="54"/>
  <c r="F285" i="54"/>
  <c r="E285" i="54"/>
  <c r="D285" i="54"/>
  <c r="C285" i="54"/>
  <c r="B285" i="54"/>
  <c r="A285" i="54"/>
  <c r="F284" i="54"/>
  <c r="E284" i="54"/>
  <c r="D284" i="54"/>
  <c r="C284" i="54"/>
  <c r="B284" i="54"/>
  <c r="A284" i="54"/>
  <c r="F283" i="54"/>
  <c r="E283" i="54"/>
  <c r="D283" i="54"/>
  <c r="C283" i="54"/>
  <c r="B283" i="54"/>
  <c r="A283" i="54"/>
  <c r="F282" i="54"/>
  <c r="E282" i="54"/>
  <c r="D282" i="54"/>
  <c r="C282" i="54"/>
  <c r="B282" i="54"/>
  <c r="A282" i="54"/>
  <c r="F281" i="54"/>
  <c r="E281" i="54"/>
  <c r="D281" i="54"/>
  <c r="C281" i="54"/>
  <c r="B281" i="54"/>
  <c r="A281" i="54"/>
  <c r="F280" i="54"/>
  <c r="E280" i="54"/>
  <c r="D280" i="54"/>
  <c r="C280" i="54"/>
  <c r="B280" i="54"/>
  <c r="A280" i="54"/>
  <c r="F279" i="54"/>
  <c r="E279" i="54"/>
  <c r="D279" i="54"/>
  <c r="C279" i="54"/>
  <c r="B279" i="54"/>
  <c r="A279" i="54"/>
  <c r="F278" i="54"/>
  <c r="E278" i="54"/>
  <c r="D278" i="54"/>
  <c r="C278" i="54"/>
  <c r="B278" i="54"/>
  <c r="A278" i="54"/>
  <c r="F277" i="54"/>
  <c r="E277" i="54"/>
  <c r="D277" i="54"/>
  <c r="C277" i="54"/>
  <c r="B277" i="54"/>
  <c r="A277" i="54"/>
  <c r="F276" i="54"/>
  <c r="E276" i="54"/>
  <c r="D276" i="54"/>
  <c r="C276" i="54"/>
  <c r="B276" i="54"/>
  <c r="A276" i="54"/>
  <c r="F275" i="54"/>
  <c r="E275" i="54"/>
  <c r="D275" i="54"/>
  <c r="C275" i="54"/>
  <c r="B275" i="54"/>
  <c r="A275" i="54"/>
  <c r="F274" i="54"/>
  <c r="E274" i="54"/>
  <c r="D274" i="54"/>
  <c r="C274" i="54"/>
  <c r="B274" i="54"/>
  <c r="A274" i="54"/>
  <c r="F273" i="54"/>
  <c r="E273" i="54"/>
  <c r="D273" i="54"/>
  <c r="C273" i="54"/>
  <c r="B273" i="54"/>
  <c r="A273" i="54"/>
  <c r="F272" i="54"/>
  <c r="E272" i="54"/>
  <c r="D272" i="54"/>
  <c r="C272" i="54"/>
  <c r="B272" i="54"/>
  <c r="A272" i="54"/>
  <c r="F271" i="54"/>
  <c r="E271" i="54"/>
  <c r="D271" i="54"/>
  <c r="C271" i="54"/>
  <c r="B271" i="54"/>
  <c r="A271" i="54"/>
  <c r="F270" i="54"/>
  <c r="E270" i="54"/>
  <c r="D270" i="54"/>
  <c r="C270" i="54"/>
  <c r="B270" i="54"/>
  <c r="A270" i="54"/>
  <c r="F269" i="54"/>
  <c r="E269" i="54"/>
  <c r="D269" i="54"/>
  <c r="C269" i="54"/>
  <c r="B269" i="54"/>
  <c r="A269" i="54"/>
  <c r="F268" i="54"/>
  <c r="E268" i="54"/>
  <c r="D268" i="54"/>
  <c r="C268" i="54"/>
  <c r="B268" i="54"/>
  <c r="A268" i="54"/>
  <c r="F267" i="54"/>
  <c r="E267" i="54"/>
  <c r="D267" i="54"/>
  <c r="C267" i="54"/>
  <c r="B267" i="54"/>
  <c r="A267" i="54"/>
  <c r="F266" i="54"/>
  <c r="E266" i="54"/>
  <c r="D266" i="54"/>
  <c r="C266" i="54"/>
  <c r="B266" i="54"/>
  <c r="A266" i="54"/>
  <c r="F265" i="54"/>
  <c r="E265" i="54"/>
  <c r="D265" i="54"/>
  <c r="C265" i="54"/>
  <c r="B265" i="54"/>
  <c r="A265" i="54"/>
  <c r="F264" i="54"/>
  <c r="E264" i="54"/>
  <c r="D264" i="54"/>
  <c r="C264" i="54"/>
  <c r="B264" i="54"/>
  <c r="A264" i="54"/>
  <c r="F263" i="54"/>
  <c r="E263" i="54"/>
  <c r="D263" i="54"/>
  <c r="C263" i="54"/>
  <c r="B263" i="54"/>
  <c r="A263" i="54"/>
  <c r="F262" i="54"/>
  <c r="E262" i="54"/>
  <c r="D262" i="54"/>
  <c r="C262" i="54"/>
  <c r="B262" i="54"/>
  <c r="A262" i="54"/>
  <c r="F261" i="54"/>
  <c r="E261" i="54"/>
  <c r="D261" i="54"/>
  <c r="C261" i="54"/>
  <c r="B261" i="54"/>
  <c r="A261" i="54"/>
  <c r="F260" i="54"/>
  <c r="E260" i="54"/>
  <c r="D260" i="54"/>
  <c r="C260" i="54"/>
  <c r="B260" i="54"/>
  <c r="A260" i="54"/>
  <c r="F259" i="54"/>
  <c r="E259" i="54"/>
  <c r="D259" i="54"/>
  <c r="C259" i="54"/>
  <c r="B259" i="54"/>
  <c r="A259" i="54"/>
  <c r="F258" i="54"/>
  <c r="E258" i="54"/>
  <c r="D258" i="54"/>
  <c r="C258" i="54"/>
  <c r="B258" i="54"/>
  <c r="A258" i="54"/>
  <c r="F257" i="54"/>
  <c r="E257" i="54"/>
  <c r="D257" i="54"/>
  <c r="C257" i="54"/>
  <c r="B257" i="54"/>
  <c r="A257" i="54"/>
  <c r="F256" i="54"/>
  <c r="E256" i="54"/>
  <c r="D256" i="54"/>
  <c r="C256" i="54"/>
  <c r="B256" i="54"/>
  <c r="A256" i="54"/>
  <c r="F255" i="54"/>
  <c r="E255" i="54"/>
  <c r="D255" i="54"/>
  <c r="C255" i="54"/>
  <c r="B255" i="54"/>
  <c r="A255" i="54"/>
  <c r="F254" i="54"/>
  <c r="E254" i="54"/>
  <c r="D254" i="54"/>
  <c r="C254" i="54"/>
  <c r="B254" i="54"/>
  <c r="A254" i="54"/>
  <c r="F253" i="54"/>
  <c r="E253" i="54"/>
  <c r="D253" i="54"/>
  <c r="C253" i="54"/>
  <c r="B253" i="54"/>
  <c r="A253" i="54"/>
  <c r="F252" i="54"/>
  <c r="E252" i="54"/>
  <c r="D252" i="54"/>
  <c r="C252" i="54"/>
  <c r="B252" i="54"/>
  <c r="A252" i="54"/>
  <c r="F251" i="54"/>
  <c r="E251" i="54"/>
  <c r="D251" i="54"/>
  <c r="C251" i="54"/>
  <c r="B251" i="54"/>
  <c r="A251" i="54"/>
  <c r="F250" i="54"/>
  <c r="E250" i="54"/>
  <c r="D250" i="54"/>
  <c r="C250" i="54"/>
  <c r="B250" i="54"/>
  <c r="A250" i="54"/>
  <c r="F249" i="54"/>
  <c r="E249" i="54"/>
  <c r="D249" i="54"/>
  <c r="C249" i="54"/>
  <c r="B249" i="54"/>
  <c r="A249" i="54"/>
  <c r="F248" i="54"/>
  <c r="E248" i="54"/>
  <c r="D248" i="54"/>
  <c r="C248" i="54"/>
  <c r="B248" i="54"/>
  <c r="A248" i="54"/>
  <c r="F247" i="54"/>
  <c r="E247" i="54"/>
  <c r="D247" i="54"/>
  <c r="C247" i="54"/>
  <c r="B247" i="54"/>
  <c r="A247" i="54"/>
  <c r="F246" i="54"/>
  <c r="E246" i="54"/>
  <c r="D246" i="54"/>
  <c r="C246" i="54"/>
  <c r="B246" i="54"/>
  <c r="A246" i="54"/>
  <c r="F245" i="54"/>
  <c r="E245" i="54"/>
  <c r="D245" i="54"/>
  <c r="C245" i="54"/>
  <c r="B245" i="54"/>
  <c r="A245" i="54"/>
  <c r="F244" i="54"/>
  <c r="E244" i="54"/>
  <c r="D244" i="54"/>
  <c r="C244" i="54"/>
  <c r="B244" i="54"/>
  <c r="A244" i="54"/>
  <c r="F243" i="54"/>
  <c r="E243" i="54"/>
  <c r="D243" i="54"/>
  <c r="C243" i="54"/>
  <c r="B243" i="54"/>
  <c r="A243" i="54"/>
  <c r="F242" i="54"/>
  <c r="E242" i="54"/>
  <c r="D242" i="54"/>
  <c r="C242" i="54"/>
  <c r="B242" i="54"/>
  <c r="A242" i="54"/>
  <c r="F241" i="54"/>
  <c r="E241" i="54"/>
  <c r="D241" i="54"/>
  <c r="C241" i="54"/>
  <c r="B241" i="54"/>
  <c r="A241" i="54"/>
  <c r="F240" i="54"/>
  <c r="E240" i="54"/>
  <c r="D240" i="54"/>
  <c r="C240" i="54"/>
  <c r="B240" i="54"/>
  <c r="A240" i="54"/>
  <c r="F239" i="54"/>
  <c r="E239" i="54"/>
  <c r="D239" i="54"/>
  <c r="C239" i="54"/>
  <c r="B239" i="54"/>
  <c r="A239" i="54"/>
  <c r="F238" i="54"/>
  <c r="E238" i="54"/>
  <c r="D238" i="54"/>
  <c r="C238" i="54"/>
  <c r="B238" i="54"/>
  <c r="A238" i="54"/>
  <c r="F237" i="54"/>
  <c r="E237" i="54"/>
  <c r="D237" i="54"/>
  <c r="C237" i="54"/>
  <c r="B237" i="54"/>
  <c r="A237" i="54"/>
  <c r="F236" i="54"/>
  <c r="E236" i="54"/>
  <c r="D236" i="54"/>
  <c r="C236" i="54"/>
  <c r="B236" i="54"/>
  <c r="A236" i="54"/>
  <c r="F235" i="54"/>
  <c r="E235" i="54"/>
  <c r="D235" i="54"/>
  <c r="C235" i="54"/>
  <c r="B235" i="54"/>
  <c r="A235" i="54"/>
  <c r="F234" i="54"/>
  <c r="E234" i="54"/>
  <c r="D234" i="54"/>
  <c r="C234" i="54"/>
  <c r="B234" i="54"/>
  <c r="A234" i="54"/>
  <c r="F233" i="54"/>
  <c r="E233" i="54"/>
  <c r="D233" i="54"/>
  <c r="C233" i="54"/>
  <c r="B233" i="54"/>
  <c r="A233" i="54"/>
  <c r="F232" i="54"/>
  <c r="E232" i="54"/>
  <c r="D232" i="54"/>
  <c r="C232" i="54"/>
  <c r="B232" i="54"/>
  <c r="A232" i="54"/>
  <c r="F231" i="54"/>
  <c r="E231" i="54"/>
  <c r="D231" i="54"/>
  <c r="C231" i="54"/>
  <c r="B231" i="54"/>
  <c r="A231" i="54"/>
  <c r="F230" i="54"/>
  <c r="E230" i="54"/>
  <c r="D230" i="54"/>
  <c r="C230" i="54"/>
  <c r="B230" i="54"/>
  <c r="A230" i="54"/>
  <c r="F229" i="54"/>
  <c r="E229" i="54"/>
  <c r="D229" i="54"/>
  <c r="C229" i="54"/>
  <c r="B229" i="54"/>
  <c r="A229" i="54"/>
  <c r="F228" i="54"/>
  <c r="E228" i="54"/>
  <c r="D228" i="54"/>
  <c r="C228" i="54"/>
  <c r="B228" i="54"/>
  <c r="A228" i="54"/>
  <c r="F227" i="54"/>
  <c r="E227" i="54"/>
  <c r="D227" i="54"/>
  <c r="C227" i="54"/>
  <c r="B227" i="54"/>
  <c r="A227" i="54"/>
  <c r="F226" i="54"/>
  <c r="E226" i="54"/>
  <c r="D226" i="54"/>
  <c r="C226" i="54"/>
  <c r="B226" i="54"/>
  <c r="A226" i="54"/>
  <c r="F225" i="54"/>
  <c r="E225" i="54"/>
  <c r="D225" i="54"/>
  <c r="C225" i="54"/>
  <c r="B225" i="54"/>
  <c r="A225" i="54"/>
  <c r="F224" i="54"/>
  <c r="E224" i="54"/>
  <c r="D224" i="54"/>
  <c r="C224" i="54"/>
  <c r="B224" i="54"/>
  <c r="A224" i="54"/>
  <c r="F223" i="54"/>
  <c r="E223" i="54"/>
  <c r="D223" i="54"/>
  <c r="C223" i="54"/>
  <c r="B223" i="54"/>
  <c r="A223" i="54"/>
  <c r="F222" i="54"/>
  <c r="E222" i="54"/>
  <c r="D222" i="54"/>
  <c r="C222" i="54"/>
  <c r="B222" i="54"/>
  <c r="A222" i="54"/>
  <c r="F221" i="54"/>
  <c r="E221" i="54"/>
  <c r="D221" i="54"/>
  <c r="C221" i="54"/>
  <c r="B221" i="54"/>
  <c r="A221" i="54"/>
  <c r="F220" i="54"/>
  <c r="E220" i="54"/>
  <c r="D220" i="54"/>
  <c r="C220" i="54"/>
  <c r="B220" i="54"/>
  <c r="A220" i="54"/>
  <c r="F219" i="54"/>
  <c r="E219" i="54"/>
  <c r="D219" i="54"/>
  <c r="C219" i="54"/>
  <c r="B219" i="54"/>
  <c r="A219" i="54"/>
  <c r="F218" i="54"/>
  <c r="E218" i="54"/>
  <c r="D218" i="54"/>
  <c r="C218" i="54"/>
  <c r="B218" i="54"/>
  <c r="A218" i="54"/>
  <c r="F217" i="54"/>
  <c r="E217" i="54"/>
  <c r="D217" i="54"/>
  <c r="C217" i="54"/>
  <c r="B217" i="54"/>
  <c r="A217" i="54"/>
  <c r="F216" i="54"/>
  <c r="E216" i="54"/>
  <c r="D216" i="54"/>
  <c r="C216" i="54"/>
  <c r="B216" i="54"/>
  <c r="A216" i="54"/>
  <c r="F215" i="54"/>
  <c r="E215" i="54"/>
  <c r="D215" i="54"/>
  <c r="C215" i="54"/>
  <c r="B215" i="54"/>
  <c r="A215" i="54"/>
  <c r="F214" i="54"/>
  <c r="E214" i="54"/>
  <c r="D214" i="54"/>
  <c r="C214" i="54"/>
  <c r="B214" i="54"/>
  <c r="A214" i="54"/>
  <c r="F213" i="54"/>
  <c r="E213" i="54"/>
  <c r="D213" i="54"/>
  <c r="C213" i="54"/>
  <c r="B213" i="54"/>
  <c r="A213" i="54"/>
  <c r="F212" i="54"/>
  <c r="E212" i="54"/>
  <c r="D212" i="54"/>
  <c r="C212" i="54"/>
  <c r="B212" i="54"/>
  <c r="A212" i="54"/>
  <c r="F211" i="54"/>
  <c r="E211" i="54"/>
  <c r="D211" i="54"/>
  <c r="C211" i="54"/>
  <c r="B211" i="54"/>
  <c r="A211" i="54"/>
  <c r="F210" i="54"/>
  <c r="E210" i="54"/>
  <c r="D210" i="54"/>
  <c r="C210" i="54"/>
  <c r="B210" i="54"/>
  <c r="A210" i="54"/>
  <c r="F209" i="54"/>
  <c r="E209" i="54"/>
  <c r="D209" i="54"/>
  <c r="C209" i="54"/>
  <c r="B209" i="54"/>
  <c r="A209" i="54"/>
  <c r="F208" i="54"/>
  <c r="E208" i="54"/>
  <c r="D208" i="54"/>
  <c r="C208" i="54"/>
  <c r="B208" i="54"/>
  <c r="A208" i="54"/>
  <c r="F207" i="54"/>
  <c r="E207" i="54"/>
  <c r="D207" i="54"/>
  <c r="C207" i="54"/>
  <c r="B207" i="54"/>
  <c r="A207" i="54"/>
  <c r="F206" i="54"/>
  <c r="E206" i="54"/>
  <c r="D206" i="54"/>
  <c r="C206" i="54"/>
  <c r="B206" i="54"/>
  <c r="A206" i="54"/>
  <c r="F205" i="54"/>
  <c r="E205" i="54"/>
  <c r="D205" i="54"/>
  <c r="C205" i="54"/>
  <c r="B205" i="54"/>
  <c r="A205" i="54"/>
  <c r="F204" i="54"/>
  <c r="E204" i="54"/>
  <c r="D204" i="54"/>
  <c r="C204" i="54"/>
  <c r="B204" i="54"/>
  <c r="A204" i="54"/>
  <c r="F203" i="54"/>
  <c r="E203" i="54"/>
  <c r="D203" i="54"/>
  <c r="C203" i="54"/>
  <c r="B203" i="54"/>
  <c r="A203" i="54"/>
  <c r="F202" i="54"/>
  <c r="E202" i="54"/>
  <c r="D202" i="54"/>
  <c r="C202" i="54"/>
  <c r="B202" i="54"/>
  <c r="A202" i="54"/>
  <c r="F201" i="54"/>
  <c r="E201" i="54"/>
  <c r="D201" i="54"/>
  <c r="C201" i="54"/>
  <c r="B201" i="54"/>
  <c r="A201" i="54"/>
  <c r="F200" i="54"/>
  <c r="E200" i="54"/>
  <c r="D200" i="54"/>
  <c r="C200" i="54"/>
  <c r="B200" i="54"/>
  <c r="A200" i="54"/>
  <c r="F199" i="54"/>
  <c r="E199" i="54"/>
  <c r="D199" i="54"/>
  <c r="C199" i="54"/>
  <c r="B199" i="54"/>
  <c r="A199" i="54"/>
  <c r="F198" i="54"/>
  <c r="E198" i="54"/>
  <c r="D198" i="54"/>
  <c r="C198" i="54"/>
  <c r="B198" i="54"/>
  <c r="A198" i="54"/>
  <c r="F197" i="54"/>
  <c r="E197" i="54"/>
  <c r="D197" i="54"/>
  <c r="C197" i="54"/>
  <c r="B197" i="54"/>
  <c r="A197" i="54"/>
  <c r="F196" i="54"/>
  <c r="E196" i="54"/>
  <c r="D196" i="54"/>
  <c r="C196" i="54"/>
  <c r="B196" i="54"/>
  <c r="A196" i="54"/>
  <c r="F195" i="54"/>
  <c r="E195" i="54"/>
  <c r="D195" i="54"/>
  <c r="C195" i="54"/>
  <c r="B195" i="54"/>
  <c r="A195" i="54"/>
  <c r="F194" i="54"/>
  <c r="E194" i="54"/>
  <c r="D194" i="54"/>
  <c r="C194" i="54"/>
  <c r="B194" i="54"/>
  <c r="A194" i="54"/>
  <c r="F193" i="54"/>
  <c r="E193" i="54"/>
  <c r="D193" i="54"/>
  <c r="C193" i="54"/>
  <c r="B193" i="54"/>
  <c r="A193" i="54"/>
  <c r="F192" i="54"/>
  <c r="E192" i="54"/>
  <c r="D192" i="54"/>
  <c r="C192" i="54"/>
  <c r="B192" i="54"/>
  <c r="A192" i="54"/>
  <c r="F191" i="54"/>
  <c r="E191" i="54"/>
  <c r="D191" i="54"/>
  <c r="C191" i="54"/>
  <c r="B191" i="54"/>
  <c r="A191" i="54"/>
  <c r="F190" i="54"/>
  <c r="E190" i="54"/>
  <c r="D190" i="54"/>
  <c r="C190" i="54"/>
  <c r="B190" i="54"/>
  <c r="A190" i="54"/>
  <c r="F189" i="54"/>
  <c r="E189" i="54"/>
  <c r="D189" i="54"/>
  <c r="C189" i="54"/>
  <c r="B189" i="54"/>
  <c r="A189" i="54"/>
  <c r="F188" i="54"/>
  <c r="E188" i="54"/>
  <c r="D188" i="54"/>
  <c r="C188" i="54"/>
  <c r="B188" i="54"/>
  <c r="A188" i="54"/>
  <c r="F187" i="54"/>
  <c r="E187" i="54"/>
  <c r="D187" i="54"/>
  <c r="C187" i="54"/>
  <c r="B187" i="54"/>
  <c r="A187" i="54"/>
  <c r="F186" i="54"/>
  <c r="E186" i="54"/>
  <c r="D186" i="54"/>
  <c r="C186" i="54"/>
  <c r="B186" i="54"/>
  <c r="A186" i="54"/>
  <c r="F185" i="54"/>
  <c r="E185" i="54"/>
  <c r="D185" i="54"/>
  <c r="C185" i="54"/>
  <c r="B185" i="54"/>
  <c r="A185" i="54"/>
  <c r="F184" i="54"/>
  <c r="E184" i="54"/>
  <c r="D184" i="54"/>
  <c r="C184" i="54"/>
  <c r="B184" i="54"/>
  <c r="A184" i="54"/>
  <c r="F183" i="54"/>
  <c r="E183" i="54"/>
  <c r="D183" i="54"/>
  <c r="C183" i="54"/>
  <c r="B183" i="54"/>
  <c r="A183" i="54"/>
  <c r="F182" i="54"/>
  <c r="E182" i="54"/>
  <c r="D182" i="54"/>
  <c r="C182" i="54"/>
  <c r="B182" i="54"/>
  <c r="A182" i="54"/>
  <c r="F181" i="54"/>
  <c r="E181" i="54"/>
  <c r="D181" i="54"/>
  <c r="C181" i="54"/>
  <c r="B181" i="54"/>
  <c r="A181" i="54"/>
  <c r="F180" i="54"/>
  <c r="E180" i="54"/>
  <c r="D180" i="54"/>
  <c r="C180" i="54"/>
  <c r="B180" i="54"/>
  <c r="A180" i="54"/>
  <c r="F179" i="54"/>
  <c r="E179" i="54"/>
  <c r="D179" i="54"/>
  <c r="C179" i="54"/>
  <c r="B179" i="54"/>
  <c r="A179" i="54"/>
  <c r="F178" i="54"/>
  <c r="E178" i="54"/>
  <c r="D178" i="54"/>
  <c r="C178" i="54"/>
  <c r="B178" i="54"/>
  <c r="A178" i="54"/>
  <c r="F177" i="54"/>
  <c r="E177" i="54"/>
  <c r="D177" i="54"/>
  <c r="C177" i="54"/>
  <c r="B177" i="54"/>
  <c r="A177" i="54"/>
  <c r="F176" i="54"/>
  <c r="E176" i="54"/>
  <c r="D176" i="54"/>
  <c r="C176" i="54"/>
  <c r="B176" i="54"/>
  <c r="A176" i="54"/>
  <c r="F175" i="54"/>
  <c r="E175" i="54"/>
  <c r="D175" i="54"/>
  <c r="C175" i="54"/>
  <c r="B175" i="54"/>
  <c r="A175" i="54"/>
  <c r="F174" i="54"/>
  <c r="E174" i="54"/>
  <c r="D174" i="54"/>
  <c r="C174" i="54"/>
  <c r="B174" i="54"/>
  <c r="A174" i="54"/>
  <c r="F173" i="54"/>
  <c r="E173" i="54"/>
  <c r="D173" i="54"/>
  <c r="C173" i="54"/>
  <c r="B173" i="54"/>
  <c r="A173" i="54"/>
  <c r="F172" i="54"/>
  <c r="E172" i="54"/>
  <c r="D172" i="54"/>
  <c r="C172" i="54"/>
  <c r="B172" i="54"/>
  <c r="A172" i="54"/>
  <c r="F171" i="54"/>
  <c r="E171" i="54"/>
  <c r="D171" i="54"/>
  <c r="C171" i="54"/>
  <c r="B171" i="54"/>
  <c r="A171" i="54"/>
  <c r="F170" i="54"/>
  <c r="E170" i="54"/>
  <c r="D170" i="54"/>
  <c r="C170" i="54"/>
  <c r="B170" i="54"/>
  <c r="A170" i="54"/>
  <c r="F169" i="54"/>
  <c r="E169" i="54"/>
  <c r="D169" i="54"/>
  <c r="C169" i="54"/>
  <c r="B169" i="54"/>
  <c r="A169" i="54"/>
  <c r="F168" i="54"/>
  <c r="E168" i="54"/>
  <c r="D168" i="54"/>
  <c r="C168" i="54"/>
  <c r="B168" i="54"/>
  <c r="A168" i="54"/>
  <c r="F167" i="54"/>
  <c r="E167" i="54"/>
  <c r="D167" i="54"/>
  <c r="C167" i="54"/>
  <c r="B167" i="54"/>
  <c r="A167" i="54"/>
  <c r="F166" i="54"/>
  <c r="E166" i="54"/>
  <c r="D166" i="54"/>
  <c r="C166" i="54"/>
  <c r="B166" i="54"/>
  <c r="A166" i="54"/>
  <c r="F165" i="54"/>
  <c r="E165" i="54"/>
  <c r="D165" i="54"/>
  <c r="C165" i="54"/>
  <c r="B165" i="54"/>
  <c r="A165" i="54"/>
  <c r="F164" i="54"/>
  <c r="E164" i="54"/>
  <c r="D164" i="54"/>
  <c r="C164" i="54"/>
  <c r="B164" i="54"/>
  <c r="A164" i="54"/>
  <c r="F163" i="54"/>
  <c r="E163" i="54"/>
  <c r="D163" i="54"/>
  <c r="C163" i="54"/>
  <c r="B163" i="54"/>
  <c r="A163" i="54"/>
  <c r="F162" i="54"/>
  <c r="E162" i="54"/>
  <c r="D162" i="54"/>
  <c r="C162" i="54"/>
  <c r="B162" i="54"/>
  <c r="A162" i="54"/>
  <c r="F161" i="54"/>
  <c r="E161" i="54"/>
  <c r="D161" i="54"/>
  <c r="C161" i="54"/>
  <c r="B161" i="54"/>
  <c r="A161" i="54"/>
  <c r="F160" i="54"/>
  <c r="E160" i="54"/>
  <c r="D160" i="54"/>
  <c r="C160" i="54"/>
  <c r="B160" i="54"/>
  <c r="A160" i="54"/>
  <c r="F159" i="54"/>
  <c r="E159" i="54"/>
  <c r="D159" i="54"/>
  <c r="C159" i="54"/>
  <c r="B159" i="54"/>
  <c r="A159" i="54"/>
  <c r="F158" i="54"/>
  <c r="E158" i="54"/>
  <c r="D158" i="54"/>
  <c r="C158" i="54"/>
  <c r="B158" i="54"/>
  <c r="A158" i="54"/>
  <c r="F157" i="54"/>
  <c r="E157" i="54"/>
  <c r="D157" i="54"/>
  <c r="C157" i="54"/>
  <c r="B157" i="54"/>
  <c r="A157" i="54"/>
  <c r="F156" i="54"/>
  <c r="E156" i="54"/>
  <c r="D156" i="54"/>
  <c r="C156" i="54"/>
  <c r="B156" i="54"/>
  <c r="A156" i="54"/>
  <c r="F155" i="54"/>
  <c r="E155" i="54"/>
  <c r="D155" i="54"/>
  <c r="C155" i="54"/>
  <c r="B155" i="54"/>
  <c r="A155" i="54"/>
  <c r="F154" i="54"/>
  <c r="E154" i="54"/>
  <c r="D154" i="54"/>
  <c r="C154" i="54"/>
  <c r="B154" i="54"/>
  <c r="A154" i="54"/>
  <c r="F153" i="54"/>
  <c r="E153" i="54"/>
  <c r="D153" i="54"/>
  <c r="C153" i="54"/>
  <c r="B153" i="54"/>
  <c r="A153" i="54"/>
  <c r="F152" i="54"/>
  <c r="E152" i="54"/>
  <c r="D152" i="54"/>
  <c r="C152" i="54"/>
  <c r="B152" i="54"/>
  <c r="A152" i="54"/>
  <c r="F151" i="54"/>
  <c r="E151" i="54"/>
  <c r="D151" i="54"/>
  <c r="C151" i="54"/>
  <c r="B151" i="54"/>
  <c r="A151" i="54"/>
  <c r="F150" i="54"/>
  <c r="E150" i="54"/>
  <c r="D150" i="54"/>
  <c r="C150" i="54"/>
  <c r="B150" i="54"/>
  <c r="A150" i="54"/>
  <c r="F149" i="54"/>
  <c r="E149" i="54"/>
  <c r="D149" i="54"/>
  <c r="C149" i="54"/>
  <c r="B149" i="54"/>
  <c r="A149" i="54"/>
  <c r="F148" i="54"/>
  <c r="E148" i="54"/>
  <c r="D148" i="54"/>
  <c r="C148" i="54"/>
  <c r="B148" i="54"/>
  <c r="A148" i="54"/>
  <c r="F147" i="54"/>
  <c r="E147" i="54"/>
  <c r="D147" i="54"/>
  <c r="C147" i="54"/>
  <c r="B147" i="54"/>
  <c r="A147" i="54"/>
  <c r="F146" i="54"/>
  <c r="E146" i="54"/>
  <c r="D146" i="54"/>
  <c r="C146" i="54"/>
  <c r="B146" i="54"/>
  <c r="A146" i="54"/>
  <c r="F145" i="54"/>
  <c r="E145" i="54"/>
  <c r="D145" i="54"/>
  <c r="C145" i="54"/>
  <c r="B145" i="54"/>
  <c r="A145" i="54"/>
  <c r="F144" i="54"/>
  <c r="E144" i="54"/>
  <c r="D144" i="54"/>
  <c r="C144" i="54"/>
  <c r="B144" i="54"/>
  <c r="A144" i="54"/>
  <c r="F143" i="54"/>
  <c r="E143" i="54"/>
  <c r="D143" i="54"/>
  <c r="C143" i="54"/>
  <c r="B143" i="54"/>
  <c r="A143" i="54"/>
  <c r="F142" i="54"/>
  <c r="E142" i="54"/>
  <c r="D142" i="54"/>
  <c r="C142" i="54"/>
  <c r="B142" i="54"/>
  <c r="A142" i="54"/>
  <c r="F141" i="54"/>
  <c r="E141" i="54"/>
  <c r="D141" i="54"/>
  <c r="C141" i="54"/>
  <c r="B141" i="54"/>
  <c r="A141" i="54"/>
  <c r="F140" i="54"/>
  <c r="E140" i="54"/>
  <c r="D140" i="54"/>
  <c r="C140" i="54"/>
  <c r="B140" i="54"/>
  <c r="A140" i="54"/>
  <c r="F139" i="54"/>
  <c r="E139" i="54"/>
  <c r="D139" i="54"/>
  <c r="C139" i="54"/>
  <c r="B139" i="54"/>
  <c r="A139" i="54"/>
  <c r="F138" i="54"/>
  <c r="E138" i="54"/>
  <c r="D138" i="54"/>
  <c r="C138" i="54"/>
  <c r="B138" i="54"/>
  <c r="A138" i="54"/>
  <c r="F137" i="54"/>
  <c r="E137" i="54"/>
  <c r="D137" i="54"/>
  <c r="C137" i="54"/>
  <c r="B137" i="54"/>
  <c r="A137" i="54"/>
  <c r="F136" i="54"/>
  <c r="E136" i="54"/>
  <c r="D136" i="54"/>
  <c r="C136" i="54"/>
  <c r="B136" i="54"/>
  <c r="A136" i="54"/>
  <c r="F135" i="54"/>
  <c r="E135" i="54"/>
  <c r="D135" i="54"/>
  <c r="C135" i="54"/>
  <c r="B135" i="54"/>
  <c r="A135" i="54"/>
  <c r="F134" i="54"/>
  <c r="E134" i="54"/>
  <c r="D134" i="54"/>
  <c r="C134" i="54"/>
  <c r="B134" i="54"/>
  <c r="A134" i="54"/>
  <c r="F133" i="54"/>
  <c r="E133" i="54"/>
  <c r="D133" i="54"/>
  <c r="C133" i="54"/>
  <c r="B133" i="54"/>
  <c r="A133" i="54"/>
  <c r="F132" i="54"/>
  <c r="E132" i="54"/>
  <c r="D132" i="54"/>
  <c r="C132" i="54"/>
  <c r="B132" i="54"/>
  <c r="A132" i="54"/>
  <c r="F131" i="54"/>
  <c r="E131" i="54"/>
  <c r="D131" i="54"/>
  <c r="C131" i="54"/>
  <c r="B131" i="54"/>
  <c r="A131" i="54"/>
  <c r="F130" i="54"/>
  <c r="E130" i="54"/>
  <c r="D130" i="54"/>
  <c r="C130" i="54"/>
  <c r="B130" i="54"/>
  <c r="A130" i="54"/>
  <c r="F129" i="54"/>
  <c r="E129" i="54"/>
  <c r="D129" i="54"/>
  <c r="C129" i="54"/>
  <c r="B129" i="54"/>
  <c r="A129" i="54"/>
  <c r="F128" i="54"/>
  <c r="E128" i="54"/>
  <c r="D128" i="54"/>
  <c r="C128" i="54"/>
  <c r="B128" i="54"/>
  <c r="A128" i="54"/>
  <c r="F127" i="54"/>
  <c r="E127" i="54"/>
  <c r="D127" i="54"/>
  <c r="C127" i="54"/>
  <c r="B127" i="54"/>
  <c r="A127" i="54"/>
  <c r="F126" i="54"/>
  <c r="E126" i="54"/>
  <c r="D126" i="54"/>
  <c r="C126" i="54"/>
  <c r="B126" i="54"/>
  <c r="A126" i="54"/>
  <c r="F125" i="54"/>
  <c r="E125" i="54"/>
  <c r="D125" i="54"/>
  <c r="C125" i="54"/>
  <c r="B125" i="54"/>
  <c r="A125" i="54"/>
  <c r="F124" i="54"/>
  <c r="E124" i="54"/>
  <c r="D124" i="54"/>
  <c r="C124" i="54"/>
  <c r="B124" i="54"/>
  <c r="A124" i="54"/>
  <c r="F123" i="54"/>
  <c r="E123" i="54"/>
  <c r="D123" i="54"/>
  <c r="C123" i="54"/>
  <c r="B123" i="54"/>
  <c r="A123" i="54"/>
  <c r="F122" i="54"/>
  <c r="E122" i="54"/>
  <c r="D122" i="54"/>
  <c r="C122" i="54"/>
  <c r="B122" i="54"/>
  <c r="A122" i="54"/>
  <c r="F121" i="54"/>
  <c r="E121" i="54"/>
  <c r="D121" i="54"/>
  <c r="C121" i="54"/>
  <c r="B121" i="54"/>
  <c r="A121" i="54"/>
  <c r="F120" i="54"/>
  <c r="E120" i="54"/>
  <c r="D120" i="54"/>
  <c r="C120" i="54"/>
  <c r="B120" i="54"/>
  <c r="A120" i="54"/>
  <c r="F119" i="54"/>
  <c r="E119" i="54"/>
  <c r="D119" i="54"/>
  <c r="C119" i="54"/>
  <c r="B119" i="54"/>
  <c r="A119" i="54"/>
  <c r="F118" i="54"/>
  <c r="E118" i="54"/>
  <c r="D118" i="54"/>
  <c r="C118" i="54"/>
  <c r="B118" i="54"/>
  <c r="A118" i="54"/>
  <c r="F117" i="54"/>
  <c r="E117" i="54"/>
  <c r="D117" i="54"/>
  <c r="C117" i="54"/>
  <c r="B117" i="54"/>
  <c r="A117" i="54"/>
  <c r="F116" i="54"/>
  <c r="E116" i="54"/>
  <c r="D116" i="54"/>
  <c r="C116" i="54"/>
  <c r="B116" i="54"/>
  <c r="A116" i="54"/>
  <c r="F115" i="54"/>
  <c r="E115" i="54"/>
  <c r="D115" i="54"/>
  <c r="C115" i="54"/>
  <c r="B115" i="54"/>
  <c r="A115" i="54"/>
  <c r="F114" i="54"/>
  <c r="E114" i="54"/>
  <c r="D114" i="54"/>
  <c r="C114" i="54"/>
  <c r="B114" i="54"/>
  <c r="A114" i="54"/>
  <c r="F113" i="54"/>
  <c r="E113" i="54"/>
  <c r="D113" i="54"/>
  <c r="C113" i="54"/>
  <c r="B113" i="54"/>
  <c r="A113" i="54"/>
  <c r="F112" i="54"/>
  <c r="E112" i="54"/>
  <c r="D112" i="54"/>
  <c r="C112" i="54"/>
  <c r="B112" i="54"/>
  <c r="A112" i="54"/>
  <c r="F111" i="54"/>
  <c r="E111" i="54"/>
  <c r="D111" i="54"/>
  <c r="C111" i="54"/>
  <c r="B111" i="54"/>
  <c r="A111" i="54"/>
  <c r="F110" i="54"/>
  <c r="E110" i="54"/>
  <c r="D110" i="54"/>
  <c r="C110" i="54"/>
  <c r="B110" i="54"/>
  <c r="A110" i="54"/>
  <c r="F109" i="54"/>
  <c r="E109" i="54"/>
  <c r="D109" i="54"/>
  <c r="C109" i="54"/>
  <c r="B109" i="54"/>
  <c r="A109" i="54"/>
  <c r="F108" i="54"/>
  <c r="E108" i="54"/>
  <c r="D108" i="54"/>
  <c r="C108" i="54"/>
  <c r="B108" i="54"/>
  <c r="A108" i="54"/>
  <c r="F107" i="54"/>
  <c r="E107" i="54"/>
  <c r="D107" i="54"/>
  <c r="C107" i="54"/>
  <c r="B107" i="54"/>
  <c r="A107" i="54"/>
  <c r="F106" i="54"/>
  <c r="E106" i="54"/>
  <c r="D106" i="54"/>
  <c r="C106" i="54"/>
  <c r="B106" i="54"/>
  <c r="A106" i="54"/>
  <c r="F105" i="54"/>
  <c r="E105" i="54"/>
  <c r="D105" i="54"/>
  <c r="C105" i="54"/>
  <c r="B105" i="54"/>
  <c r="A105" i="54"/>
  <c r="F104" i="54"/>
  <c r="E104" i="54"/>
  <c r="D104" i="54"/>
  <c r="C104" i="54"/>
  <c r="B104" i="54"/>
  <c r="A104" i="54"/>
  <c r="F103" i="54"/>
  <c r="E103" i="54"/>
  <c r="D103" i="54"/>
  <c r="C103" i="54"/>
  <c r="B103" i="54"/>
  <c r="A103" i="54"/>
  <c r="F102" i="54"/>
  <c r="E102" i="54"/>
  <c r="D102" i="54"/>
  <c r="C102" i="54"/>
  <c r="B102" i="54"/>
  <c r="A102" i="54"/>
  <c r="F101" i="54"/>
  <c r="E101" i="54"/>
  <c r="D101" i="54"/>
  <c r="C101" i="54"/>
  <c r="B101" i="54"/>
  <c r="A101" i="54"/>
  <c r="F100" i="54"/>
  <c r="E100" i="54"/>
  <c r="D100" i="54"/>
  <c r="C100" i="54"/>
  <c r="B100" i="54"/>
  <c r="A100" i="54"/>
  <c r="F99" i="54"/>
  <c r="E99" i="54"/>
  <c r="D99" i="54"/>
  <c r="C99" i="54"/>
  <c r="B99" i="54"/>
  <c r="A99" i="54"/>
  <c r="F98" i="54"/>
  <c r="E98" i="54"/>
  <c r="D98" i="54"/>
  <c r="C98" i="54"/>
  <c r="B98" i="54"/>
  <c r="A98" i="54"/>
  <c r="F97" i="54"/>
  <c r="E97" i="54"/>
  <c r="D97" i="54"/>
  <c r="C97" i="54"/>
  <c r="B97" i="54"/>
  <c r="A97" i="54"/>
  <c r="F96" i="54"/>
  <c r="E96" i="54"/>
  <c r="D96" i="54"/>
  <c r="C96" i="54"/>
  <c r="B96" i="54"/>
  <c r="A96" i="54"/>
  <c r="F95" i="54"/>
  <c r="E95" i="54"/>
  <c r="D95" i="54"/>
  <c r="C95" i="54"/>
  <c r="B95" i="54"/>
  <c r="A95" i="54"/>
  <c r="F94" i="54"/>
  <c r="E94" i="54"/>
  <c r="D94" i="54"/>
  <c r="C94" i="54"/>
  <c r="B94" i="54"/>
  <c r="A94" i="54"/>
  <c r="F93" i="54"/>
  <c r="E93" i="54"/>
  <c r="D93" i="54"/>
  <c r="C93" i="54"/>
  <c r="B93" i="54"/>
  <c r="A93" i="54"/>
  <c r="F92" i="54"/>
  <c r="E92" i="54"/>
  <c r="D92" i="54"/>
  <c r="C92" i="54"/>
  <c r="B92" i="54"/>
  <c r="A92" i="54"/>
  <c r="F91" i="54"/>
  <c r="E91" i="54"/>
  <c r="D91" i="54"/>
  <c r="C91" i="54"/>
  <c r="B91" i="54"/>
  <c r="A91" i="54"/>
  <c r="F90" i="54"/>
  <c r="E90" i="54"/>
  <c r="D90" i="54"/>
  <c r="C90" i="54"/>
  <c r="B90" i="54"/>
  <c r="A90" i="54"/>
  <c r="F89" i="54"/>
  <c r="E89" i="54"/>
  <c r="D89" i="54"/>
  <c r="C89" i="54"/>
  <c r="B89" i="54"/>
  <c r="A89" i="54"/>
  <c r="F88" i="54"/>
  <c r="E88" i="54"/>
  <c r="D88" i="54"/>
  <c r="C88" i="54"/>
  <c r="B88" i="54"/>
  <c r="A88" i="54"/>
  <c r="F87" i="54"/>
  <c r="E87" i="54"/>
  <c r="D87" i="54"/>
  <c r="C87" i="54"/>
  <c r="B87" i="54"/>
  <c r="A87" i="54"/>
  <c r="F86" i="54"/>
  <c r="E86" i="54"/>
  <c r="D86" i="54"/>
  <c r="C86" i="54"/>
  <c r="B86" i="54"/>
  <c r="A86" i="54"/>
  <c r="F85" i="54"/>
  <c r="E85" i="54"/>
  <c r="D85" i="54"/>
  <c r="C85" i="54"/>
  <c r="B85" i="54"/>
  <c r="A85" i="54"/>
  <c r="F84" i="54"/>
  <c r="E84" i="54"/>
  <c r="D84" i="54"/>
  <c r="C84" i="54"/>
  <c r="B84" i="54"/>
  <c r="A84" i="54"/>
  <c r="F83" i="54"/>
  <c r="E83" i="54"/>
  <c r="D83" i="54"/>
  <c r="C83" i="54"/>
  <c r="B83" i="54"/>
  <c r="A83" i="54"/>
  <c r="F82" i="54"/>
  <c r="E82" i="54"/>
  <c r="D82" i="54"/>
  <c r="C82" i="54"/>
  <c r="B82" i="54"/>
  <c r="A82" i="54"/>
  <c r="F81" i="54"/>
  <c r="E81" i="54"/>
  <c r="D81" i="54"/>
  <c r="C81" i="54"/>
  <c r="B81" i="54"/>
  <c r="A81" i="54"/>
  <c r="F80" i="54"/>
  <c r="E80" i="54"/>
  <c r="D80" i="54"/>
  <c r="C80" i="54"/>
  <c r="B80" i="54"/>
  <c r="A80" i="54"/>
  <c r="F79" i="54"/>
  <c r="E79" i="54"/>
  <c r="D79" i="54"/>
  <c r="C79" i="54"/>
  <c r="B79" i="54"/>
  <c r="A79" i="54"/>
  <c r="F78" i="54"/>
  <c r="E78" i="54"/>
  <c r="D78" i="54"/>
  <c r="C78" i="54"/>
  <c r="B78" i="54"/>
  <c r="A78" i="54"/>
  <c r="F77" i="54"/>
  <c r="E77" i="54"/>
  <c r="D77" i="54"/>
  <c r="C77" i="54"/>
  <c r="B77" i="54"/>
  <c r="A77" i="54"/>
  <c r="F76" i="54"/>
  <c r="E76" i="54"/>
  <c r="D76" i="54"/>
  <c r="C76" i="54"/>
  <c r="B76" i="54"/>
  <c r="A76" i="54"/>
  <c r="F75" i="54"/>
  <c r="E75" i="54"/>
  <c r="D75" i="54"/>
  <c r="C75" i="54"/>
  <c r="B75" i="54"/>
  <c r="A75" i="54"/>
  <c r="F74" i="54"/>
  <c r="E74" i="54"/>
  <c r="D74" i="54"/>
  <c r="C74" i="54"/>
  <c r="B74" i="54"/>
  <c r="A74" i="54"/>
  <c r="F73" i="54"/>
  <c r="E73" i="54"/>
  <c r="D73" i="54"/>
  <c r="C73" i="54"/>
  <c r="B73" i="54"/>
  <c r="A73" i="54"/>
  <c r="F72" i="54"/>
  <c r="E72" i="54"/>
  <c r="D72" i="54"/>
  <c r="C72" i="54"/>
  <c r="B72" i="54"/>
  <c r="A72" i="54"/>
  <c r="F71" i="54"/>
  <c r="E71" i="54"/>
  <c r="D71" i="54"/>
  <c r="C71" i="54"/>
  <c r="B71" i="54"/>
  <c r="A71" i="54"/>
  <c r="F70" i="54"/>
  <c r="E70" i="54"/>
  <c r="D70" i="54"/>
  <c r="C70" i="54"/>
  <c r="B70" i="54"/>
  <c r="A70" i="54"/>
  <c r="F69" i="54"/>
  <c r="E69" i="54"/>
  <c r="D69" i="54"/>
  <c r="C69" i="54"/>
  <c r="B69" i="54"/>
  <c r="A69" i="54"/>
  <c r="F68" i="54"/>
  <c r="E68" i="54"/>
  <c r="D68" i="54"/>
  <c r="C68" i="54"/>
  <c r="B68" i="54"/>
  <c r="A68" i="54"/>
  <c r="F67" i="54"/>
  <c r="E67" i="54"/>
  <c r="D67" i="54"/>
  <c r="C67" i="54"/>
  <c r="B67" i="54"/>
  <c r="A67" i="54"/>
  <c r="F66" i="54"/>
  <c r="E66" i="54"/>
  <c r="D66" i="54"/>
  <c r="C66" i="54"/>
  <c r="B66" i="54"/>
  <c r="A66" i="54"/>
  <c r="F65" i="54"/>
  <c r="E65" i="54"/>
  <c r="D65" i="54"/>
  <c r="C65" i="54"/>
  <c r="B65" i="54"/>
  <c r="A65" i="54"/>
  <c r="F64" i="54"/>
  <c r="E64" i="54"/>
  <c r="D64" i="54"/>
  <c r="C64" i="54"/>
  <c r="B64" i="54"/>
  <c r="A64" i="54"/>
  <c r="F63" i="54"/>
  <c r="E63" i="54"/>
  <c r="D63" i="54"/>
  <c r="C63" i="54"/>
  <c r="B63" i="54"/>
  <c r="A63" i="54"/>
  <c r="F62" i="54"/>
  <c r="E62" i="54"/>
  <c r="D62" i="54"/>
  <c r="C62" i="54"/>
  <c r="B62" i="54"/>
  <c r="A62" i="54"/>
  <c r="F61" i="54"/>
  <c r="E61" i="54"/>
  <c r="D61" i="54"/>
  <c r="C61" i="54"/>
  <c r="B61" i="54"/>
  <c r="A61" i="54"/>
  <c r="F60" i="54"/>
  <c r="E60" i="54"/>
  <c r="D60" i="54"/>
  <c r="C60" i="54"/>
  <c r="B60" i="54"/>
  <c r="A60" i="54"/>
  <c r="F59" i="54"/>
  <c r="E59" i="54"/>
  <c r="D59" i="54"/>
  <c r="C59" i="54"/>
  <c r="B59" i="54"/>
  <c r="A59" i="54"/>
  <c r="F58" i="54"/>
  <c r="E58" i="54"/>
  <c r="D58" i="54"/>
  <c r="C58" i="54"/>
  <c r="B58" i="54"/>
  <c r="A58" i="54"/>
  <c r="F57" i="54"/>
  <c r="E57" i="54"/>
  <c r="D57" i="54"/>
  <c r="C57" i="54"/>
  <c r="B57" i="54"/>
  <c r="A57" i="54"/>
  <c r="F56" i="54"/>
  <c r="E56" i="54"/>
  <c r="D56" i="54"/>
  <c r="C56" i="54"/>
  <c r="B56" i="54"/>
  <c r="A56" i="54"/>
  <c r="F55" i="54"/>
  <c r="E55" i="54"/>
  <c r="D55" i="54"/>
  <c r="C55" i="54"/>
  <c r="B55" i="54"/>
  <c r="A55" i="54"/>
  <c r="F54" i="54"/>
  <c r="E54" i="54"/>
  <c r="D54" i="54"/>
  <c r="C54" i="54"/>
  <c r="B54" i="54"/>
  <c r="A54" i="54"/>
  <c r="F53" i="54"/>
  <c r="E53" i="54"/>
  <c r="D53" i="54"/>
  <c r="C53" i="54"/>
  <c r="B53" i="54"/>
  <c r="A53" i="54"/>
  <c r="F52" i="54"/>
  <c r="E52" i="54"/>
  <c r="D52" i="54"/>
  <c r="C52" i="54"/>
  <c r="B52" i="54"/>
  <c r="A52" i="54"/>
  <c r="F51" i="54"/>
  <c r="E51" i="54"/>
  <c r="D51" i="54"/>
  <c r="C51" i="54"/>
  <c r="B51" i="54"/>
  <c r="A51" i="54"/>
  <c r="F50" i="54"/>
  <c r="E50" i="54"/>
  <c r="D50" i="54"/>
  <c r="C50" i="54"/>
  <c r="B50" i="54"/>
  <c r="A50" i="54"/>
  <c r="F49" i="54"/>
  <c r="E49" i="54"/>
  <c r="D49" i="54"/>
  <c r="C49" i="54"/>
  <c r="B49" i="54"/>
  <c r="A49" i="54"/>
  <c r="F48" i="54"/>
  <c r="E48" i="54"/>
  <c r="D48" i="54"/>
  <c r="C48" i="54"/>
  <c r="B48" i="54"/>
  <c r="A48" i="54"/>
  <c r="F47" i="54"/>
  <c r="E47" i="54"/>
  <c r="D47" i="54"/>
  <c r="C47" i="54"/>
  <c r="B47" i="54"/>
  <c r="A47" i="54"/>
  <c r="F46" i="54"/>
  <c r="E46" i="54"/>
  <c r="D46" i="54"/>
  <c r="C46" i="54"/>
  <c r="B46" i="54"/>
  <c r="A46" i="54"/>
  <c r="F45" i="54"/>
  <c r="E45" i="54"/>
  <c r="D45" i="54"/>
  <c r="C45" i="54"/>
  <c r="B45" i="54"/>
  <c r="A45" i="54"/>
  <c r="F44" i="54"/>
  <c r="E44" i="54"/>
  <c r="D44" i="54"/>
  <c r="C44" i="54"/>
  <c r="B44" i="54"/>
  <c r="A44" i="54"/>
  <c r="F43" i="54"/>
  <c r="E43" i="54"/>
  <c r="D43" i="54"/>
  <c r="C43" i="54"/>
  <c r="B43" i="54"/>
  <c r="A43" i="54"/>
  <c r="F42" i="54"/>
  <c r="E42" i="54"/>
  <c r="D42" i="54"/>
  <c r="C42" i="54"/>
  <c r="B42" i="54"/>
  <c r="A42" i="54"/>
  <c r="F41" i="54"/>
  <c r="E41" i="54"/>
  <c r="D41" i="54"/>
  <c r="C41" i="54"/>
  <c r="B41" i="54"/>
  <c r="A41" i="54"/>
  <c r="F40" i="54"/>
  <c r="E40" i="54"/>
  <c r="D40" i="54"/>
  <c r="C40" i="54"/>
  <c r="B40" i="54"/>
  <c r="A40" i="54"/>
  <c r="F39" i="54"/>
  <c r="E39" i="54"/>
  <c r="D39" i="54"/>
  <c r="C39" i="54"/>
  <c r="B39" i="54"/>
  <c r="A39" i="54"/>
  <c r="F38" i="54"/>
  <c r="E38" i="54"/>
  <c r="D38" i="54"/>
  <c r="C38" i="54"/>
  <c r="B38" i="54"/>
  <c r="A38" i="54"/>
  <c r="F37" i="54"/>
  <c r="E37" i="54"/>
  <c r="D37" i="54"/>
  <c r="C37" i="54"/>
  <c r="B37" i="54"/>
  <c r="A37" i="54"/>
  <c r="F36" i="54"/>
  <c r="E36" i="54"/>
  <c r="D36" i="54"/>
  <c r="C36" i="54"/>
  <c r="B36" i="54"/>
  <c r="A36" i="54"/>
  <c r="F35" i="54"/>
  <c r="E35" i="54"/>
  <c r="D35" i="54"/>
  <c r="C35" i="54"/>
  <c r="B35" i="54"/>
  <c r="A35" i="54"/>
  <c r="F34" i="54"/>
  <c r="E34" i="54"/>
  <c r="D34" i="54"/>
  <c r="C34" i="54"/>
  <c r="B34" i="54"/>
  <c r="A34" i="54"/>
  <c r="F33" i="54"/>
  <c r="E33" i="54"/>
  <c r="D33" i="54"/>
  <c r="C33" i="54"/>
  <c r="B33" i="54"/>
  <c r="A33" i="54"/>
  <c r="F32" i="54"/>
  <c r="E32" i="54"/>
  <c r="D32" i="54"/>
  <c r="C32" i="54"/>
  <c r="B32" i="54"/>
  <c r="A32" i="54"/>
  <c r="F31" i="54"/>
  <c r="E31" i="54"/>
  <c r="D31" i="54"/>
  <c r="C31" i="54"/>
  <c r="B31" i="54"/>
  <c r="A31" i="54"/>
  <c r="F30" i="54"/>
  <c r="E30" i="54"/>
  <c r="D30" i="54"/>
  <c r="C30" i="54"/>
  <c r="B30" i="54"/>
  <c r="A30" i="54"/>
  <c r="F29" i="54"/>
  <c r="E29" i="54"/>
  <c r="D29" i="54"/>
  <c r="C29" i="54"/>
  <c r="B29" i="54"/>
  <c r="A29" i="54"/>
  <c r="F28" i="54"/>
  <c r="E28" i="54"/>
  <c r="D28" i="54"/>
  <c r="C28" i="54"/>
  <c r="B28" i="54"/>
  <c r="A28" i="54"/>
  <c r="F27" i="54"/>
  <c r="E27" i="54"/>
  <c r="D27" i="54"/>
  <c r="C27" i="54"/>
  <c r="B27" i="54"/>
  <c r="A27" i="54"/>
  <c r="F26" i="54"/>
  <c r="E26" i="54"/>
  <c r="D26" i="54"/>
  <c r="C26" i="54"/>
  <c r="B26" i="54"/>
  <c r="A26" i="54"/>
  <c r="F25" i="54"/>
  <c r="E25" i="54"/>
  <c r="D25" i="54"/>
  <c r="C25" i="54"/>
  <c r="B25" i="54"/>
  <c r="A25" i="54"/>
  <c r="F24" i="54"/>
  <c r="E24" i="54"/>
  <c r="D24" i="54"/>
  <c r="C24" i="54"/>
  <c r="B24" i="54"/>
  <c r="A24" i="54"/>
  <c r="F23" i="54"/>
  <c r="E23" i="54"/>
  <c r="D23" i="54"/>
  <c r="C23" i="54"/>
  <c r="B23" i="54"/>
  <c r="A23" i="54"/>
  <c r="F22" i="54"/>
  <c r="E22" i="54"/>
  <c r="D22" i="54"/>
  <c r="C22" i="54"/>
  <c r="B22" i="54"/>
  <c r="A22" i="54"/>
  <c r="F21" i="54"/>
  <c r="M66" i="54" s="1"/>
  <c r="E21" i="54"/>
  <c r="D21" i="54"/>
  <c r="C21" i="54"/>
  <c r="B21" i="54"/>
  <c r="A21" i="54"/>
  <c r="F20" i="54"/>
  <c r="E20" i="54"/>
  <c r="D20" i="54"/>
  <c r="C20" i="54"/>
  <c r="B20" i="54"/>
  <c r="A20" i="54"/>
  <c r="F19" i="54"/>
  <c r="E19" i="54"/>
  <c r="D19" i="54"/>
  <c r="C19" i="54"/>
  <c r="B19" i="54"/>
  <c r="A19" i="54"/>
  <c r="F18" i="54"/>
  <c r="E18" i="54"/>
  <c r="D18" i="54"/>
  <c r="C18" i="54"/>
  <c r="B18" i="54"/>
  <c r="A18" i="54"/>
  <c r="F17" i="54"/>
  <c r="E17" i="54"/>
  <c r="D17" i="54"/>
  <c r="C17" i="54"/>
  <c r="B17" i="54"/>
  <c r="A17" i="54"/>
  <c r="F16" i="54"/>
  <c r="E16" i="54"/>
  <c r="D16" i="54"/>
  <c r="C16" i="54"/>
  <c r="B16" i="54"/>
  <c r="A16" i="54"/>
  <c r="F15" i="54"/>
  <c r="E15" i="54"/>
  <c r="D15" i="54"/>
  <c r="C15" i="54"/>
  <c r="B15" i="54"/>
  <c r="A15" i="54"/>
  <c r="F14" i="54"/>
  <c r="E14" i="54"/>
  <c r="D14" i="54"/>
  <c r="C14" i="54"/>
  <c r="B14" i="54"/>
  <c r="A14" i="54"/>
  <c r="F13" i="54"/>
  <c r="E13" i="54"/>
  <c r="D13" i="54"/>
  <c r="C13" i="54"/>
  <c r="B13" i="54"/>
  <c r="A13" i="54"/>
  <c r="F12" i="54"/>
  <c r="E12" i="54"/>
  <c r="D12" i="54"/>
  <c r="C12" i="54"/>
  <c r="B12" i="54"/>
  <c r="A12" i="54"/>
  <c r="F11" i="54"/>
  <c r="E11" i="54"/>
  <c r="D11" i="54"/>
  <c r="C11" i="54"/>
  <c r="B11" i="54"/>
  <c r="A11" i="54"/>
  <c r="F10" i="54"/>
  <c r="E10" i="54"/>
  <c r="D10" i="54"/>
  <c r="C10" i="54"/>
  <c r="B10" i="54"/>
  <c r="A10" i="54"/>
  <c r="F9" i="54"/>
  <c r="E9" i="54"/>
  <c r="D9" i="54"/>
  <c r="C9" i="54"/>
  <c r="B9" i="54"/>
  <c r="A9" i="54"/>
  <c r="F8" i="54"/>
  <c r="E8" i="54"/>
  <c r="D8" i="54"/>
  <c r="C8" i="54"/>
  <c r="B8" i="54"/>
  <c r="A8" i="54"/>
  <c r="F7" i="54"/>
  <c r="E7" i="54"/>
  <c r="D7" i="54"/>
  <c r="C7" i="54"/>
  <c r="B7" i="54"/>
  <c r="A7" i="54"/>
  <c r="F6" i="54"/>
  <c r="E6" i="54"/>
  <c r="D6" i="54"/>
  <c r="C6" i="54"/>
  <c r="B6" i="54"/>
  <c r="A6" i="54"/>
  <c r="F5" i="54"/>
  <c r="M61" i="54" s="1"/>
  <c r="E5" i="54"/>
  <c r="D5" i="54"/>
  <c r="C5" i="54"/>
  <c r="B5" i="54"/>
  <c r="A5" i="54"/>
  <c r="F4" i="54"/>
  <c r="E4" i="54"/>
  <c r="D4" i="54"/>
  <c r="C4" i="54"/>
  <c r="B4" i="54"/>
  <c r="A4" i="54"/>
  <c r="F3" i="54"/>
  <c r="E3" i="54"/>
  <c r="D3" i="54"/>
  <c r="C3" i="54"/>
  <c r="B3" i="54"/>
  <c r="A3" i="54"/>
  <c r="F2" i="54"/>
  <c r="E2" i="54"/>
  <c r="K4" i="54" s="1"/>
  <c r="D2" i="54"/>
  <c r="I3" i="54" s="1"/>
  <c r="C2" i="54"/>
  <c r="B2" i="54"/>
  <c r="A2" i="54"/>
  <c r="D570" i="46"/>
  <c r="E570" i="46"/>
  <c r="F570" i="46"/>
  <c r="D571" i="46"/>
  <c r="E571" i="46"/>
  <c r="F571" i="46"/>
  <c r="D572" i="46"/>
  <c r="E572" i="46"/>
  <c r="F572" i="46"/>
  <c r="D573" i="46"/>
  <c r="E573" i="46"/>
  <c r="F573" i="46"/>
  <c r="D574" i="46"/>
  <c r="E574" i="46"/>
  <c r="F574" i="46"/>
  <c r="D575" i="46"/>
  <c r="E575" i="46"/>
  <c r="F575" i="46"/>
  <c r="D576" i="46"/>
  <c r="E576" i="46"/>
  <c r="F576" i="46"/>
  <c r="D577" i="46"/>
  <c r="E577" i="46"/>
  <c r="F577" i="46"/>
  <c r="D578" i="46"/>
  <c r="E578" i="46"/>
  <c r="F578" i="46"/>
  <c r="D579" i="46"/>
  <c r="E579" i="46"/>
  <c r="F579" i="46"/>
  <c r="D580" i="46"/>
  <c r="E580" i="46"/>
  <c r="F580" i="46"/>
  <c r="D581" i="46"/>
  <c r="E581" i="46"/>
  <c r="F581" i="46"/>
  <c r="D582" i="46"/>
  <c r="E582" i="46"/>
  <c r="F582" i="46"/>
  <c r="D583" i="46"/>
  <c r="E583" i="46"/>
  <c r="F583" i="46"/>
  <c r="D584" i="46"/>
  <c r="E584" i="46"/>
  <c r="F584" i="46"/>
  <c r="D585" i="46"/>
  <c r="E585" i="46"/>
  <c r="F585" i="46"/>
  <c r="D586" i="46"/>
  <c r="E586" i="46"/>
  <c r="F586" i="46"/>
  <c r="D587" i="46"/>
  <c r="E587" i="46"/>
  <c r="F587" i="46"/>
  <c r="D588" i="46"/>
  <c r="E588" i="46"/>
  <c r="F588" i="46"/>
  <c r="D589" i="46"/>
  <c r="E589" i="46"/>
  <c r="F589" i="46"/>
  <c r="D590" i="46"/>
  <c r="E590" i="46"/>
  <c r="F590" i="46"/>
  <c r="D591" i="46"/>
  <c r="E591" i="46"/>
  <c r="F591" i="46"/>
  <c r="D592" i="46"/>
  <c r="E592" i="46"/>
  <c r="F592" i="46"/>
  <c r="D593" i="46"/>
  <c r="E593" i="46"/>
  <c r="F593" i="46"/>
  <c r="D594" i="46"/>
  <c r="E594" i="46"/>
  <c r="F594" i="46"/>
  <c r="D595" i="46"/>
  <c r="E595" i="46"/>
  <c r="F595" i="46"/>
  <c r="D596" i="46"/>
  <c r="E596" i="46"/>
  <c r="F596" i="46"/>
  <c r="D597" i="46"/>
  <c r="E597" i="46"/>
  <c r="F597" i="46"/>
  <c r="D598" i="46"/>
  <c r="E598" i="46"/>
  <c r="F598" i="46"/>
  <c r="D599" i="46"/>
  <c r="E599" i="46"/>
  <c r="F599" i="46"/>
  <c r="B570" i="46"/>
  <c r="B571" i="46"/>
  <c r="B572" i="46"/>
  <c r="B573" i="46"/>
  <c r="B574" i="46"/>
  <c r="B575" i="46"/>
  <c r="B576" i="46"/>
  <c r="B577" i="46"/>
  <c r="B578" i="46"/>
  <c r="B579" i="46"/>
  <c r="B580" i="46"/>
  <c r="B581" i="46"/>
  <c r="B582" i="46"/>
  <c r="B583" i="46"/>
  <c r="B584" i="46"/>
  <c r="B585" i="46"/>
  <c r="B586" i="46"/>
  <c r="B587" i="46"/>
  <c r="B588" i="46"/>
  <c r="B589" i="46"/>
  <c r="B590" i="46"/>
  <c r="B591" i="46"/>
  <c r="B592" i="46"/>
  <c r="B593" i="46"/>
  <c r="B594" i="46"/>
  <c r="B595" i="46"/>
  <c r="B596" i="46"/>
  <c r="B597" i="46"/>
  <c r="B598" i="46"/>
  <c r="B599" i="46"/>
  <c r="A570" i="46"/>
  <c r="A571" i="46"/>
  <c r="A572" i="46"/>
  <c r="A573" i="46"/>
  <c r="A574" i="46"/>
  <c r="A575" i="46"/>
  <c r="A576" i="46"/>
  <c r="A577" i="46"/>
  <c r="A578" i="46"/>
  <c r="A579" i="46"/>
  <c r="A580" i="46"/>
  <c r="A581" i="46"/>
  <c r="A582" i="46"/>
  <c r="A583" i="46"/>
  <c r="A584" i="46"/>
  <c r="A585" i="46"/>
  <c r="A586" i="46"/>
  <c r="A587" i="46"/>
  <c r="A588" i="46"/>
  <c r="A589" i="46"/>
  <c r="A590" i="46"/>
  <c r="A591" i="46"/>
  <c r="A592" i="46"/>
  <c r="A593" i="46"/>
  <c r="A594" i="46"/>
  <c r="A595" i="46"/>
  <c r="A596" i="46"/>
  <c r="A597" i="46"/>
  <c r="A598" i="46"/>
  <c r="A599" i="46"/>
  <c r="C570" i="46"/>
  <c r="C571" i="46"/>
  <c r="C572" i="46"/>
  <c r="C573" i="46"/>
  <c r="C574" i="46"/>
  <c r="C575" i="46"/>
  <c r="C576" i="46"/>
  <c r="C577" i="46"/>
  <c r="C578" i="46"/>
  <c r="C579" i="46"/>
  <c r="C580" i="46"/>
  <c r="C581" i="46"/>
  <c r="C582" i="46"/>
  <c r="C583" i="46"/>
  <c r="C584" i="46"/>
  <c r="C585" i="46"/>
  <c r="C586" i="46"/>
  <c r="C587" i="46"/>
  <c r="C588" i="46"/>
  <c r="C589" i="46"/>
  <c r="C590" i="46"/>
  <c r="C591" i="46"/>
  <c r="C592" i="46"/>
  <c r="C593" i="46"/>
  <c r="C594" i="46"/>
  <c r="C595" i="46"/>
  <c r="C596" i="46"/>
  <c r="C597" i="46"/>
  <c r="C598" i="46"/>
  <c r="C599" i="46"/>
  <c r="C569" i="46"/>
  <c r="B569" i="46"/>
  <c r="D638" i="46"/>
  <c r="E638" i="46"/>
  <c r="F638" i="46"/>
  <c r="D639" i="46"/>
  <c r="E639" i="46"/>
  <c r="F639" i="46"/>
  <c r="D640" i="46"/>
  <c r="E640" i="46"/>
  <c r="F640" i="46"/>
  <c r="D641" i="46"/>
  <c r="E641" i="46"/>
  <c r="F641" i="46"/>
  <c r="D642" i="46"/>
  <c r="E642" i="46"/>
  <c r="F642" i="46"/>
  <c r="D643" i="46"/>
  <c r="E643" i="46"/>
  <c r="F643" i="46"/>
  <c r="D644" i="46"/>
  <c r="E644" i="46"/>
  <c r="F644" i="46"/>
  <c r="D645" i="46"/>
  <c r="E645" i="46"/>
  <c r="F645" i="46"/>
  <c r="D646" i="46"/>
  <c r="E646" i="46"/>
  <c r="F646" i="46"/>
  <c r="D647" i="46"/>
  <c r="E647" i="46"/>
  <c r="F647" i="46"/>
  <c r="D648" i="46"/>
  <c r="E648" i="46"/>
  <c r="F648" i="46"/>
  <c r="D649" i="46"/>
  <c r="E649" i="46"/>
  <c r="F649" i="46"/>
  <c r="C638" i="46"/>
  <c r="C639" i="46"/>
  <c r="C640" i="46"/>
  <c r="C641" i="46"/>
  <c r="C642" i="46"/>
  <c r="C643" i="46"/>
  <c r="C644" i="46"/>
  <c r="C645" i="46"/>
  <c r="C646" i="46"/>
  <c r="C647" i="46"/>
  <c r="C648" i="46"/>
  <c r="C649" i="46"/>
  <c r="B638" i="46"/>
  <c r="B639" i="46"/>
  <c r="B640" i="46"/>
  <c r="B641" i="46"/>
  <c r="B642" i="46"/>
  <c r="B643" i="46"/>
  <c r="B644" i="46"/>
  <c r="B645" i="46"/>
  <c r="B646" i="46"/>
  <c r="B647" i="46"/>
  <c r="B648" i="46"/>
  <c r="B649" i="46"/>
  <c r="A638" i="46"/>
  <c r="A639" i="46"/>
  <c r="A640" i="46"/>
  <c r="A641" i="46"/>
  <c r="A642" i="46"/>
  <c r="A643" i="46"/>
  <c r="A644" i="46"/>
  <c r="A645" i="46"/>
  <c r="A646" i="46"/>
  <c r="A647" i="46"/>
  <c r="A648" i="46"/>
  <c r="A649" i="46"/>
  <c r="D607" i="46"/>
  <c r="E607" i="46"/>
  <c r="F607" i="46"/>
  <c r="D608" i="46"/>
  <c r="E608" i="46"/>
  <c r="F608" i="46"/>
  <c r="D609" i="46"/>
  <c r="E609" i="46"/>
  <c r="F609" i="46"/>
  <c r="D610" i="46"/>
  <c r="E610" i="46"/>
  <c r="F610" i="46"/>
  <c r="D611" i="46"/>
  <c r="E611" i="46"/>
  <c r="F611" i="46"/>
  <c r="D612" i="46"/>
  <c r="E612" i="46"/>
  <c r="F612" i="46"/>
  <c r="D613" i="46"/>
  <c r="E613" i="46"/>
  <c r="F613" i="46"/>
  <c r="D614" i="46"/>
  <c r="E614" i="46"/>
  <c r="F614" i="46"/>
  <c r="D615" i="46"/>
  <c r="E615" i="46"/>
  <c r="F615" i="46"/>
  <c r="D616" i="46"/>
  <c r="E616" i="46"/>
  <c r="F616" i="46"/>
  <c r="D617" i="46"/>
  <c r="E617" i="46"/>
  <c r="F617" i="46"/>
  <c r="D618" i="46"/>
  <c r="E618" i="46"/>
  <c r="F618" i="46"/>
  <c r="D619" i="46"/>
  <c r="E619" i="46"/>
  <c r="F619" i="46"/>
  <c r="D620" i="46"/>
  <c r="E620" i="46"/>
  <c r="F620" i="46"/>
  <c r="D621" i="46"/>
  <c r="E621" i="46"/>
  <c r="F621" i="46"/>
  <c r="D622" i="46"/>
  <c r="E622" i="46"/>
  <c r="F622" i="46"/>
  <c r="D623" i="46"/>
  <c r="E623" i="46"/>
  <c r="F623" i="46"/>
  <c r="D624" i="46"/>
  <c r="E624" i="46"/>
  <c r="F624" i="46"/>
  <c r="D625" i="46"/>
  <c r="E625" i="46"/>
  <c r="F625" i="46"/>
  <c r="D626" i="46"/>
  <c r="E626" i="46"/>
  <c r="F626" i="46"/>
  <c r="D627" i="46"/>
  <c r="E627" i="46"/>
  <c r="F627" i="46"/>
  <c r="D628" i="46"/>
  <c r="E628" i="46"/>
  <c r="F628" i="46"/>
  <c r="D629" i="46"/>
  <c r="E629" i="46"/>
  <c r="F629" i="46"/>
  <c r="D630" i="46"/>
  <c r="E630" i="46"/>
  <c r="F630" i="46"/>
  <c r="D631" i="46"/>
  <c r="E631" i="46"/>
  <c r="F631" i="46"/>
  <c r="D632" i="46"/>
  <c r="E632" i="46"/>
  <c r="F632" i="46"/>
  <c r="D633" i="46"/>
  <c r="E633" i="46"/>
  <c r="F633" i="46"/>
  <c r="D634" i="46"/>
  <c r="E634" i="46"/>
  <c r="F634" i="46"/>
  <c r="D635" i="46"/>
  <c r="E635" i="46"/>
  <c r="F635" i="46"/>
  <c r="D636" i="46"/>
  <c r="E636" i="46"/>
  <c r="F636" i="46"/>
  <c r="D606" i="46"/>
  <c r="E606" i="46"/>
  <c r="F606" i="46"/>
  <c r="C607" i="46"/>
  <c r="C608" i="46"/>
  <c r="C609" i="46"/>
  <c r="C610" i="46"/>
  <c r="C611" i="46"/>
  <c r="C612" i="46"/>
  <c r="C613" i="46"/>
  <c r="C614" i="46"/>
  <c r="C615" i="46"/>
  <c r="C616" i="46"/>
  <c r="C617" i="46"/>
  <c r="C618" i="46"/>
  <c r="C619" i="46"/>
  <c r="C620" i="46"/>
  <c r="C621" i="46"/>
  <c r="C622" i="46"/>
  <c r="C623" i="46"/>
  <c r="C624" i="46"/>
  <c r="C625" i="46"/>
  <c r="C626" i="46"/>
  <c r="C627" i="46"/>
  <c r="C628" i="46"/>
  <c r="C629" i="46"/>
  <c r="C630" i="46"/>
  <c r="C631" i="46"/>
  <c r="C632" i="46"/>
  <c r="C633" i="46"/>
  <c r="C634" i="46"/>
  <c r="C635" i="46"/>
  <c r="C636" i="46"/>
  <c r="B607" i="46"/>
  <c r="B608" i="46"/>
  <c r="B609" i="46"/>
  <c r="B610" i="46"/>
  <c r="B611" i="46"/>
  <c r="B612" i="46"/>
  <c r="B613" i="46"/>
  <c r="B614" i="46"/>
  <c r="B615" i="46"/>
  <c r="B616" i="46"/>
  <c r="B617" i="46"/>
  <c r="B618" i="46"/>
  <c r="B619" i="46"/>
  <c r="B620" i="46"/>
  <c r="B621" i="46"/>
  <c r="B622" i="46"/>
  <c r="B623" i="46"/>
  <c r="B624" i="46"/>
  <c r="B625" i="46"/>
  <c r="B626" i="46"/>
  <c r="B627" i="46"/>
  <c r="B628" i="46"/>
  <c r="B629" i="46"/>
  <c r="B630" i="46"/>
  <c r="B631" i="46"/>
  <c r="B632" i="46"/>
  <c r="B633" i="46"/>
  <c r="B634" i="46"/>
  <c r="B635" i="46"/>
  <c r="B636" i="46"/>
  <c r="A607" i="46"/>
  <c r="A608" i="46"/>
  <c r="A609" i="46"/>
  <c r="A610" i="46"/>
  <c r="A611" i="46"/>
  <c r="A612" i="46"/>
  <c r="A613" i="46"/>
  <c r="A614" i="46"/>
  <c r="A615" i="46"/>
  <c r="A616" i="46"/>
  <c r="A617" i="46"/>
  <c r="A618" i="46"/>
  <c r="A619" i="46"/>
  <c r="A620" i="46"/>
  <c r="A621" i="46"/>
  <c r="A622" i="46"/>
  <c r="A623" i="46"/>
  <c r="A624" i="46"/>
  <c r="A625" i="46"/>
  <c r="A626" i="46"/>
  <c r="A627" i="46"/>
  <c r="A628" i="46"/>
  <c r="A629" i="46"/>
  <c r="A630" i="46"/>
  <c r="A631" i="46"/>
  <c r="A632" i="46"/>
  <c r="A633" i="46"/>
  <c r="A634" i="46"/>
  <c r="A635" i="46"/>
  <c r="A636" i="46"/>
  <c r="D601" i="46"/>
  <c r="E601" i="46"/>
  <c r="F601" i="46"/>
  <c r="D602" i="46"/>
  <c r="E602" i="46"/>
  <c r="F602" i="46"/>
  <c r="D603" i="46"/>
  <c r="E603" i="46"/>
  <c r="F603" i="46"/>
  <c r="D604" i="46"/>
  <c r="E604" i="46"/>
  <c r="F604" i="46"/>
  <c r="D605" i="46"/>
  <c r="E605" i="46"/>
  <c r="F605" i="46"/>
  <c r="C601" i="46"/>
  <c r="C602" i="46"/>
  <c r="C603" i="46"/>
  <c r="C604" i="46"/>
  <c r="C605" i="46"/>
  <c r="B601" i="46"/>
  <c r="B602" i="46"/>
  <c r="B603" i="46"/>
  <c r="B604" i="46"/>
  <c r="B605" i="46"/>
  <c r="A601" i="46"/>
  <c r="A602" i="46"/>
  <c r="A603" i="46"/>
  <c r="A604" i="46"/>
  <c r="A605" i="46"/>
  <c r="D529" i="46"/>
  <c r="E529" i="46"/>
  <c r="F529" i="46"/>
  <c r="D530" i="46"/>
  <c r="E530" i="46"/>
  <c r="F530" i="46"/>
  <c r="D531" i="46"/>
  <c r="E531" i="46"/>
  <c r="F531" i="46"/>
  <c r="D532" i="46"/>
  <c r="E532" i="46"/>
  <c r="F532" i="46"/>
  <c r="D533" i="46"/>
  <c r="E533" i="46"/>
  <c r="F533" i="46"/>
  <c r="D534" i="46"/>
  <c r="E534" i="46"/>
  <c r="F534" i="46"/>
  <c r="D535" i="46"/>
  <c r="E535" i="46"/>
  <c r="F535" i="46"/>
  <c r="D536" i="46"/>
  <c r="E536" i="46"/>
  <c r="F536" i="46"/>
  <c r="D537" i="46"/>
  <c r="E537" i="46"/>
  <c r="F537" i="46"/>
  <c r="D538" i="46"/>
  <c r="E538" i="46"/>
  <c r="F538" i="46"/>
  <c r="D539" i="46"/>
  <c r="E539" i="46"/>
  <c r="F539" i="46"/>
  <c r="D540" i="46"/>
  <c r="E540" i="46"/>
  <c r="F540" i="46"/>
  <c r="D541" i="46"/>
  <c r="E541" i="46"/>
  <c r="F541" i="46"/>
  <c r="D542" i="46"/>
  <c r="E542" i="46"/>
  <c r="F542" i="46"/>
  <c r="D543" i="46"/>
  <c r="E543" i="46"/>
  <c r="F543" i="46"/>
  <c r="D544" i="46"/>
  <c r="E544" i="46"/>
  <c r="F544" i="46"/>
  <c r="D545" i="46"/>
  <c r="E545" i="46"/>
  <c r="F545" i="46"/>
  <c r="D546" i="46"/>
  <c r="E546" i="46"/>
  <c r="F546" i="46"/>
  <c r="D547" i="46"/>
  <c r="E547" i="46"/>
  <c r="F547" i="46"/>
  <c r="D548" i="46"/>
  <c r="E548" i="46"/>
  <c r="F548" i="46"/>
  <c r="D549" i="46"/>
  <c r="E549" i="46"/>
  <c r="F549" i="46"/>
  <c r="D550" i="46"/>
  <c r="E550" i="46"/>
  <c r="F550" i="46"/>
  <c r="D551" i="46"/>
  <c r="E551" i="46"/>
  <c r="F551" i="46"/>
  <c r="D552" i="46"/>
  <c r="E552" i="46"/>
  <c r="F552" i="46"/>
  <c r="D553" i="46"/>
  <c r="E553" i="46"/>
  <c r="F553" i="46"/>
  <c r="D554" i="46"/>
  <c r="E554" i="46"/>
  <c r="F554" i="46"/>
  <c r="D555" i="46"/>
  <c r="E555" i="46"/>
  <c r="F555" i="46"/>
  <c r="D556" i="46"/>
  <c r="E556" i="46"/>
  <c r="F556" i="46"/>
  <c r="D557" i="46"/>
  <c r="E557" i="46"/>
  <c r="F557" i="46"/>
  <c r="D558" i="46"/>
  <c r="E558" i="46"/>
  <c r="F558" i="46"/>
  <c r="D559" i="46"/>
  <c r="E559" i="46"/>
  <c r="F559" i="46"/>
  <c r="D560" i="46"/>
  <c r="E560" i="46"/>
  <c r="F560" i="46"/>
  <c r="D561" i="46"/>
  <c r="E561" i="46"/>
  <c r="F561" i="46"/>
  <c r="D562" i="46"/>
  <c r="E562" i="46"/>
  <c r="F562" i="46"/>
  <c r="D563" i="46"/>
  <c r="E563" i="46"/>
  <c r="F563" i="46"/>
  <c r="D564" i="46"/>
  <c r="E564" i="46"/>
  <c r="F564" i="46"/>
  <c r="D565" i="46"/>
  <c r="E565" i="46"/>
  <c r="F565" i="46"/>
  <c r="D566" i="46"/>
  <c r="E566" i="46"/>
  <c r="F566" i="46"/>
  <c r="D567" i="46"/>
  <c r="E567" i="46"/>
  <c r="F567" i="46"/>
  <c r="D568" i="46"/>
  <c r="E568" i="46"/>
  <c r="F568" i="46"/>
  <c r="C529" i="46"/>
  <c r="C530" i="46"/>
  <c r="C531" i="46"/>
  <c r="C532" i="46"/>
  <c r="C533" i="46"/>
  <c r="C534" i="46"/>
  <c r="C535" i="46"/>
  <c r="C536" i="46"/>
  <c r="C537" i="46"/>
  <c r="C538" i="46"/>
  <c r="C539" i="46"/>
  <c r="C540" i="46"/>
  <c r="C541" i="46"/>
  <c r="C542" i="46"/>
  <c r="C543" i="46"/>
  <c r="C544" i="46"/>
  <c r="C545" i="46"/>
  <c r="C546" i="46"/>
  <c r="C547" i="46"/>
  <c r="C548" i="46"/>
  <c r="C549" i="46"/>
  <c r="C550" i="46"/>
  <c r="C551" i="46"/>
  <c r="C552" i="46"/>
  <c r="C553" i="46"/>
  <c r="C554" i="46"/>
  <c r="C555" i="46"/>
  <c r="C556" i="46"/>
  <c r="C557" i="46"/>
  <c r="C558" i="46"/>
  <c r="C559" i="46"/>
  <c r="C560" i="46"/>
  <c r="C561" i="46"/>
  <c r="C562" i="46"/>
  <c r="C563" i="46"/>
  <c r="C564" i="46"/>
  <c r="C565" i="46"/>
  <c r="C566" i="46"/>
  <c r="C567" i="46"/>
  <c r="C568" i="46"/>
  <c r="B529" i="46"/>
  <c r="B530" i="46"/>
  <c r="B531" i="46"/>
  <c r="B532" i="46"/>
  <c r="B533" i="46"/>
  <c r="B534" i="46"/>
  <c r="B535" i="46"/>
  <c r="B536" i="46"/>
  <c r="B537" i="46"/>
  <c r="B538" i="46"/>
  <c r="B539" i="46"/>
  <c r="B540" i="46"/>
  <c r="B541" i="46"/>
  <c r="B542" i="46"/>
  <c r="B543" i="46"/>
  <c r="B544" i="46"/>
  <c r="B545" i="46"/>
  <c r="B546" i="46"/>
  <c r="B547" i="46"/>
  <c r="B548" i="46"/>
  <c r="B549" i="46"/>
  <c r="B550" i="46"/>
  <c r="B551" i="46"/>
  <c r="B552" i="46"/>
  <c r="B553" i="46"/>
  <c r="B554" i="46"/>
  <c r="B555" i="46"/>
  <c r="B556" i="46"/>
  <c r="B557" i="46"/>
  <c r="B558" i="46"/>
  <c r="B559" i="46"/>
  <c r="B560" i="46"/>
  <c r="B561" i="46"/>
  <c r="B562" i="46"/>
  <c r="B563" i="46"/>
  <c r="B564" i="46"/>
  <c r="B565" i="46"/>
  <c r="B566" i="46"/>
  <c r="B567" i="46"/>
  <c r="B568" i="46"/>
  <c r="A529" i="46"/>
  <c r="A530" i="46"/>
  <c r="A531" i="46"/>
  <c r="A532" i="46"/>
  <c r="A533" i="46"/>
  <c r="A534" i="46"/>
  <c r="A535" i="46"/>
  <c r="A536" i="46"/>
  <c r="A537" i="46"/>
  <c r="A538" i="46"/>
  <c r="A539" i="46"/>
  <c r="A540" i="46"/>
  <c r="A541" i="46"/>
  <c r="A542" i="46"/>
  <c r="A543" i="46"/>
  <c r="A544" i="46"/>
  <c r="A545" i="46"/>
  <c r="A546" i="46"/>
  <c r="A547" i="46"/>
  <c r="A548" i="46"/>
  <c r="A549" i="46"/>
  <c r="A550" i="46"/>
  <c r="A551" i="46"/>
  <c r="A552" i="46"/>
  <c r="A553" i="46"/>
  <c r="A554" i="46"/>
  <c r="A555" i="46"/>
  <c r="A556" i="46"/>
  <c r="A557" i="46"/>
  <c r="A558" i="46"/>
  <c r="A559" i="46"/>
  <c r="A560" i="46"/>
  <c r="A561" i="46"/>
  <c r="A562" i="46"/>
  <c r="A563" i="46"/>
  <c r="A564" i="46"/>
  <c r="A565" i="46"/>
  <c r="A566" i="46"/>
  <c r="A567" i="46"/>
  <c r="A568" i="46"/>
  <c r="D524" i="46"/>
  <c r="E524" i="46"/>
  <c r="F524" i="46"/>
  <c r="D525" i="46"/>
  <c r="E525" i="46"/>
  <c r="F525" i="46"/>
  <c r="D526" i="46"/>
  <c r="E526" i="46"/>
  <c r="F526" i="46"/>
  <c r="D527" i="46"/>
  <c r="E527" i="46"/>
  <c r="F527" i="46"/>
  <c r="C524" i="46"/>
  <c r="C525" i="46"/>
  <c r="C526" i="46"/>
  <c r="C527" i="46"/>
  <c r="B524" i="46"/>
  <c r="B525" i="46"/>
  <c r="B526" i="46"/>
  <c r="B527" i="46"/>
  <c r="A524" i="46"/>
  <c r="A525" i="46"/>
  <c r="A526" i="46"/>
  <c r="A527" i="46"/>
  <c r="D487" i="46"/>
  <c r="E487" i="46"/>
  <c r="F487" i="46"/>
  <c r="D488" i="46"/>
  <c r="E488" i="46"/>
  <c r="F488" i="46"/>
  <c r="D489" i="46"/>
  <c r="E489" i="46"/>
  <c r="F489" i="46"/>
  <c r="D490" i="46"/>
  <c r="E490" i="46"/>
  <c r="F490" i="46"/>
  <c r="D491" i="46"/>
  <c r="E491" i="46"/>
  <c r="F491" i="46"/>
  <c r="D492" i="46"/>
  <c r="E492" i="46"/>
  <c r="F492" i="46"/>
  <c r="D493" i="46"/>
  <c r="E493" i="46"/>
  <c r="F493" i="46"/>
  <c r="D494" i="46"/>
  <c r="E494" i="46"/>
  <c r="F494" i="46"/>
  <c r="D495" i="46"/>
  <c r="E495" i="46"/>
  <c r="F495" i="46"/>
  <c r="D496" i="46"/>
  <c r="E496" i="46"/>
  <c r="F496" i="46"/>
  <c r="D497" i="46"/>
  <c r="E497" i="46"/>
  <c r="F497" i="46"/>
  <c r="D498" i="46"/>
  <c r="E498" i="46"/>
  <c r="F498" i="46"/>
  <c r="D499" i="46"/>
  <c r="E499" i="46"/>
  <c r="F499" i="46"/>
  <c r="D500" i="46"/>
  <c r="E500" i="46"/>
  <c r="F500" i="46"/>
  <c r="D501" i="46"/>
  <c r="E501" i="46"/>
  <c r="F501" i="46"/>
  <c r="D502" i="46"/>
  <c r="E502" i="46"/>
  <c r="F502" i="46"/>
  <c r="D503" i="46"/>
  <c r="E503" i="46"/>
  <c r="F503" i="46"/>
  <c r="D504" i="46"/>
  <c r="E504" i="46"/>
  <c r="F504" i="46"/>
  <c r="D505" i="46"/>
  <c r="E505" i="46"/>
  <c r="F505" i="46"/>
  <c r="D506" i="46"/>
  <c r="E506" i="46"/>
  <c r="F506" i="46"/>
  <c r="D507" i="46"/>
  <c r="E507" i="46"/>
  <c r="F507" i="46"/>
  <c r="D508" i="46"/>
  <c r="E508" i="46"/>
  <c r="F508" i="46"/>
  <c r="D509" i="46"/>
  <c r="E509" i="46"/>
  <c r="F509" i="46"/>
  <c r="D510" i="46"/>
  <c r="E510" i="46"/>
  <c r="F510" i="46"/>
  <c r="D511" i="46"/>
  <c r="E511" i="46"/>
  <c r="F511" i="46"/>
  <c r="D512" i="46"/>
  <c r="E512" i="46"/>
  <c r="F512" i="46"/>
  <c r="D513" i="46"/>
  <c r="E513" i="46"/>
  <c r="F513" i="46"/>
  <c r="D514" i="46"/>
  <c r="E514" i="46"/>
  <c r="F514" i="46"/>
  <c r="D515" i="46"/>
  <c r="E515" i="46"/>
  <c r="F515" i="46"/>
  <c r="D516" i="46"/>
  <c r="E516" i="46"/>
  <c r="F516" i="46"/>
  <c r="D517" i="46"/>
  <c r="E517" i="46"/>
  <c r="F517" i="46"/>
  <c r="D518" i="46"/>
  <c r="E518" i="46"/>
  <c r="F518" i="46"/>
  <c r="D519" i="46"/>
  <c r="E519" i="46"/>
  <c r="F519" i="46"/>
  <c r="D520" i="46"/>
  <c r="E520" i="46"/>
  <c r="F520" i="46"/>
  <c r="D521" i="46"/>
  <c r="E521" i="46"/>
  <c r="F521" i="46"/>
  <c r="D522" i="46"/>
  <c r="E522" i="46"/>
  <c r="F522" i="46"/>
  <c r="C487" i="46"/>
  <c r="C488" i="46"/>
  <c r="C489" i="46"/>
  <c r="C490" i="46"/>
  <c r="C491" i="46"/>
  <c r="C492" i="46"/>
  <c r="C493" i="46"/>
  <c r="C494" i="46"/>
  <c r="C495" i="46"/>
  <c r="C496" i="46"/>
  <c r="C497" i="46"/>
  <c r="C498" i="46"/>
  <c r="C499" i="46"/>
  <c r="C500" i="46"/>
  <c r="C501" i="46"/>
  <c r="C502" i="46"/>
  <c r="C503" i="46"/>
  <c r="C504" i="46"/>
  <c r="C505" i="46"/>
  <c r="C506" i="46"/>
  <c r="C507" i="46"/>
  <c r="C508" i="46"/>
  <c r="C509" i="46"/>
  <c r="C510" i="46"/>
  <c r="C511" i="46"/>
  <c r="C512" i="46"/>
  <c r="C513" i="46"/>
  <c r="C514" i="46"/>
  <c r="C515" i="46"/>
  <c r="C516" i="46"/>
  <c r="C517" i="46"/>
  <c r="C518" i="46"/>
  <c r="C519" i="46"/>
  <c r="C520" i="46"/>
  <c r="C521" i="46"/>
  <c r="C522" i="46"/>
  <c r="B487" i="46"/>
  <c r="B488" i="46"/>
  <c r="B489" i="46"/>
  <c r="B490" i="46"/>
  <c r="B491" i="46"/>
  <c r="B492" i="46"/>
  <c r="B493" i="46"/>
  <c r="B494" i="46"/>
  <c r="B495" i="46"/>
  <c r="B496" i="46"/>
  <c r="B497" i="46"/>
  <c r="B498" i="46"/>
  <c r="B499" i="46"/>
  <c r="B500" i="46"/>
  <c r="B501" i="46"/>
  <c r="B502" i="46"/>
  <c r="B503" i="46"/>
  <c r="B504" i="46"/>
  <c r="B505" i="46"/>
  <c r="B506" i="46"/>
  <c r="B507" i="46"/>
  <c r="B508" i="46"/>
  <c r="B509" i="46"/>
  <c r="B510" i="46"/>
  <c r="B511" i="46"/>
  <c r="B512" i="46"/>
  <c r="B513" i="46"/>
  <c r="B514" i="46"/>
  <c r="B515" i="46"/>
  <c r="B516" i="46"/>
  <c r="B517" i="46"/>
  <c r="B518" i="46"/>
  <c r="B519" i="46"/>
  <c r="B520" i="46"/>
  <c r="B521" i="46"/>
  <c r="B522" i="46"/>
  <c r="A522" i="46"/>
  <c r="A487" i="46"/>
  <c r="A488" i="46"/>
  <c r="A489" i="46"/>
  <c r="A490" i="46"/>
  <c r="A491" i="46"/>
  <c r="A492" i="46"/>
  <c r="A493" i="46"/>
  <c r="A494" i="46"/>
  <c r="A495" i="46"/>
  <c r="A496" i="46"/>
  <c r="A497" i="46"/>
  <c r="A498" i="46"/>
  <c r="A499" i="46"/>
  <c r="A500" i="46"/>
  <c r="A501" i="46"/>
  <c r="A502" i="46"/>
  <c r="A503" i="46"/>
  <c r="A504" i="46"/>
  <c r="A505" i="46"/>
  <c r="A506" i="46"/>
  <c r="A507" i="46"/>
  <c r="A508" i="46"/>
  <c r="A509" i="46"/>
  <c r="A510" i="46"/>
  <c r="A511" i="46"/>
  <c r="A512" i="46"/>
  <c r="A513" i="46"/>
  <c r="A514" i="46"/>
  <c r="A515" i="46"/>
  <c r="A516" i="46"/>
  <c r="A517" i="46"/>
  <c r="A518" i="46"/>
  <c r="A519" i="46"/>
  <c r="A520" i="46"/>
  <c r="A521" i="46"/>
  <c r="D478" i="46"/>
  <c r="E478" i="46"/>
  <c r="F478" i="46"/>
  <c r="D479" i="46"/>
  <c r="E479" i="46"/>
  <c r="F479" i="46"/>
  <c r="D480" i="46"/>
  <c r="E480" i="46"/>
  <c r="F480" i="46"/>
  <c r="D481" i="46"/>
  <c r="E481" i="46"/>
  <c r="F481" i="46"/>
  <c r="D482" i="46"/>
  <c r="E482" i="46"/>
  <c r="F482" i="46"/>
  <c r="D483" i="46"/>
  <c r="E483" i="46"/>
  <c r="F483" i="46"/>
  <c r="D484" i="46"/>
  <c r="E484" i="46"/>
  <c r="F484" i="46"/>
  <c r="D485" i="46"/>
  <c r="E485" i="46"/>
  <c r="F485" i="46"/>
  <c r="D486" i="46"/>
  <c r="E486" i="46"/>
  <c r="F486" i="46"/>
  <c r="C478" i="46"/>
  <c r="C479" i="46"/>
  <c r="C480" i="46"/>
  <c r="C481" i="46"/>
  <c r="C482" i="46"/>
  <c r="C483" i="46"/>
  <c r="C484" i="46"/>
  <c r="C485" i="46"/>
  <c r="B478" i="46"/>
  <c r="B479" i="46"/>
  <c r="B480" i="46"/>
  <c r="B481" i="46"/>
  <c r="B482" i="46"/>
  <c r="B483" i="46"/>
  <c r="B484" i="46"/>
  <c r="B485" i="46"/>
  <c r="A478" i="46"/>
  <c r="A479" i="46"/>
  <c r="A480" i="46"/>
  <c r="A481" i="46"/>
  <c r="A482" i="46"/>
  <c r="A483" i="46"/>
  <c r="A484" i="46"/>
  <c r="A485" i="46"/>
  <c r="D449" i="46"/>
  <c r="E449" i="46"/>
  <c r="F449" i="46"/>
  <c r="D450" i="46"/>
  <c r="E450" i="46"/>
  <c r="F450" i="46"/>
  <c r="D451" i="46"/>
  <c r="E451" i="46"/>
  <c r="F451" i="46"/>
  <c r="D452" i="46"/>
  <c r="E452" i="46"/>
  <c r="F452" i="46"/>
  <c r="D453" i="46"/>
  <c r="E453" i="46"/>
  <c r="F453" i="46"/>
  <c r="D454" i="46"/>
  <c r="E454" i="46"/>
  <c r="F454" i="46"/>
  <c r="D455" i="46"/>
  <c r="E455" i="46"/>
  <c r="F455" i="46"/>
  <c r="D456" i="46"/>
  <c r="E456" i="46"/>
  <c r="F456" i="46"/>
  <c r="D457" i="46"/>
  <c r="E457" i="46"/>
  <c r="F457" i="46"/>
  <c r="D458" i="46"/>
  <c r="E458" i="46"/>
  <c r="F458" i="46"/>
  <c r="D459" i="46"/>
  <c r="E459" i="46"/>
  <c r="F459" i="46"/>
  <c r="D460" i="46"/>
  <c r="E460" i="46"/>
  <c r="F460" i="46"/>
  <c r="D461" i="46"/>
  <c r="E461" i="46"/>
  <c r="F461" i="46"/>
  <c r="D462" i="46"/>
  <c r="E462" i="46"/>
  <c r="F462" i="46"/>
  <c r="D463" i="46"/>
  <c r="E463" i="46"/>
  <c r="F463" i="46"/>
  <c r="D464" i="46"/>
  <c r="E464" i="46"/>
  <c r="F464" i="46"/>
  <c r="D465" i="46"/>
  <c r="E465" i="46"/>
  <c r="F465" i="46"/>
  <c r="D466" i="46"/>
  <c r="E466" i="46"/>
  <c r="F466" i="46"/>
  <c r="D467" i="46"/>
  <c r="E467" i="46"/>
  <c r="F467" i="46"/>
  <c r="D468" i="46"/>
  <c r="E468" i="46"/>
  <c r="F468" i="46"/>
  <c r="D469" i="46"/>
  <c r="E469" i="46"/>
  <c r="F469" i="46"/>
  <c r="D470" i="46"/>
  <c r="E470" i="46"/>
  <c r="F470" i="46"/>
  <c r="D471" i="46"/>
  <c r="E471" i="46"/>
  <c r="F471" i="46"/>
  <c r="D472" i="46"/>
  <c r="E472" i="46"/>
  <c r="F472" i="46"/>
  <c r="D473" i="46"/>
  <c r="E473" i="46"/>
  <c r="F473" i="46"/>
  <c r="D474" i="46"/>
  <c r="E474" i="46"/>
  <c r="F474" i="46"/>
  <c r="D475" i="46"/>
  <c r="E475" i="46"/>
  <c r="F475" i="46"/>
  <c r="D476" i="46"/>
  <c r="E476" i="46"/>
  <c r="F476" i="46"/>
  <c r="C449" i="46"/>
  <c r="C450" i="46"/>
  <c r="C451" i="46"/>
  <c r="C452" i="46"/>
  <c r="C453" i="46"/>
  <c r="C454" i="46"/>
  <c r="C455" i="46"/>
  <c r="C456" i="46"/>
  <c r="C457" i="46"/>
  <c r="C458" i="46"/>
  <c r="C459" i="46"/>
  <c r="C460" i="46"/>
  <c r="C461" i="46"/>
  <c r="C462" i="46"/>
  <c r="C463" i="46"/>
  <c r="C464" i="46"/>
  <c r="C465" i="46"/>
  <c r="C466" i="46"/>
  <c r="C467" i="46"/>
  <c r="C468" i="46"/>
  <c r="C469" i="46"/>
  <c r="C470" i="46"/>
  <c r="C471" i="46"/>
  <c r="C472" i="46"/>
  <c r="C473" i="46"/>
  <c r="C474" i="46"/>
  <c r="C475" i="46"/>
  <c r="C476" i="46"/>
  <c r="B449" i="46"/>
  <c r="B450" i="46"/>
  <c r="B451" i="46"/>
  <c r="B452" i="46"/>
  <c r="B453" i="46"/>
  <c r="B454" i="46"/>
  <c r="B455" i="46"/>
  <c r="B456" i="46"/>
  <c r="B457" i="46"/>
  <c r="B458" i="46"/>
  <c r="B459" i="46"/>
  <c r="B460" i="46"/>
  <c r="B461" i="46"/>
  <c r="B462" i="46"/>
  <c r="B463" i="46"/>
  <c r="B464" i="46"/>
  <c r="B465" i="46"/>
  <c r="B466" i="46"/>
  <c r="B467" i="46"/>
  <c r="B468" i="46"/>
  <c r="B469" i="46"/>
  <c r="B470" i="46"/>
  <c r="B471" i="46"/>
  <c r="B472" i="46"/>
  <c r="B473" i="46"/>
  <c r="B474" i="46"/>
  <c r="B475" i="46"/>
  <c r="B476" i="46"/>
  <c r="A449" i="46"/>
  <c r="A450" i="46"/>
  <c r="A451" i="46"/>
  <c r="A452" i="46"/>
  <c r="A453" i="46"/>
  <c r="A454" i="46"/>
  <c r="A455" i="46"/>
  <c r="A456" i="46"/>
  <c r="A457" i="46"/>
  <c r="A458" i="46"/>
  <c r="A459" i="46"/>
  <c r="A460" i="46"/>
  <c r="A461" i="46"/>
  <c r="A462" i="46"/>
  <c r="A463" i="46"/>
  <c r="A464" i="46"/>
  <c r="A465" i="46"/>
  <c r="A466" i="46"/>
  <c r="A467" i="46"/>
  <c r="A468" i="46"/>
  <c r="A469" i="46"/>
  <c r="A470" i="46"/>
  <c r="A471" i="46"/>
  <c r="A472" i="46"/>
  <c r="A473" i="46"/>
  <c r="A474" i="46"/>
  <c r="A475" i="46"/>
  <c r="A476" i="46"/>
  <c r="D428" i="46"/>
  <c r="E428" i="46"/>
  <c r="F428" i="46"/>
  <c r="D429" i="46"/>
  <c r="E429" i="46"/>
  <c r="F429" i="46"/>
  <c r="D430" i="46"/>
  <c r="E430" i="46"/>
  <c r="F430" i="46"/>
  <c r="D431" i="46"/>
  <c r="E431" i="46"/>
  <c r="F431" i="46"/>
  <c r="D432" i="46"/>
  <c r="E432" i="46"/>
  <c r="F432" i="46"/>
  <c r="D433" i="46"/>
  <c r="E433" i="46"/>
  <c r="F433" i="46"/>
  <c r="D434" i="46"/>
  <c r="E434" i="46"/>
  <c r="F434" i="46"/>
  <c r="D435" i="46"/>
  <c r="E435" i="46"/>
  <c r="F435" i="46"/>
  <c r="D436" i="46"/>
  <c r="E436" i="46"/>
  <c r="F436" i="46"/>
  <c r="D437" i="46"/>
  <c r="E437" i="46"/>
  <c r="F437" i="46"/>
  <c r="D438" i="46"/>
  <c r="E438" i="46"/>
  <c r="F438" i="46"/>
  <c r="D439" i="46"/>
  <c r="E439" i="46"/>
  <c r="F439" i="46"/>
  <c r="D440" i="46"/>
  <c r="E440" i="46"/>
  <c r="F440" i="46"/>
  <c r="D441" i="46"/>
  <c r="E441" i="46"/>
  <c r="F441" i="46"/>
  <c r="D442" i="46"/>
  <c r="E442" i="46"/>
  <c r="F442" i="46"/>
  <c r="D443" i="46"/>
  <c r="E443" i="46"/>
  <c r="F443" i="46"/>
  <c r="D444" i="46"/>
  <c r="E444" i="46"/>
  <c r="F444" i="46"/>
  <c r="D445" i="46"/>
  <c r="E445" i="46"/>
  <c r="F445" i="46"/>
  <c r="D446" i="46"/>
  <c r="E446" i="46"/>
  <c r="F446" i="46"/>
  <c r="D447" i="46"/>
  <c r="E447" i="46"/>
  <c r="F447" i="46"/>
  <c r="C428" i="46"/>
  <c r="C429" i="46"/>
  <c r="C430" i="46"/>
  <c r="C431" i="46"/>
  <c r="C432" i="46"/>
  <c r="C433" i="46"/>
  <c r="C434" i="46"/>
  <c r="C435" i="46"/>
  <c r="C436" i="46"/>
  <c r="C437" i="46"/>
  <c r="C438" i="46"/>
  <c r="C439" i="46"/>
  <c r="C440" i="46"/>
  <c r="C441" i="46"/>
  <c r="C442" i="46"/>
  <c r="C443" i="46"/>
  <c r="C444" i="46"/>
  <c r="C445" i="46"/>
  <c r="C446" i="46"/>
  <c r="C447" i="46"/>
  <c r="B428" i="46"/>
  <c r="B429" i="46"/>
  <c r="B430" i="46"/>
  <c r="B431" i="46"/>
  <c r="B432" i="46"/>
  <c r="B433" i="46"/>
  <c r="B434" i="46"/>
  <c r="B435" i="46"/>
  <c r="B436" i="46"/>
  <c r="B437" i="46"/>
  <c r="B438" i="46"/>
  <c r="B439" i="46"/>
  <c r="B440" i="46"/>
  <c r="B441" i="46"/>
  <c r="B442" i="46"/>
  <c r="B443" i="46"/>
  <c r="B444" i="46"/>
  <c r="B445" i="46"/>
  <c r="B446" i="46"/>
  <c r="B447" i="46"/>
  <c r="A428" i="46"/>
  <c r="A429" i="46"/>
  <c r="A430" i="46"/>
  <c r="A431" i="46"/>
  <c r="A432" i="46"/>
  <c r="A433" i="46"/>
  <c r="A434" i="46"/>
  <c r="A435" i="46"/>
  <c r="A436" i="46"/>
  <c r="A437" i="46"/>
  <c r="A438" i="46"/>
  <c r="A439" i="46"/>
  <c r="A440" i="46"/>
  <c r="A441" i="46"/>
  <c r="A442" i="46"/>
  <c r="A443" i="46"/>
  <c r="A444" i="46"/>
  <c r="A445" i="46"/>
  <c r="A446" i="46"/>
  <c r="A447" i="46"/>
  <c r="D418" i="46"/>
  <c r="E418" i="46"/>
  <c r="F418" i="46"/>
  <c r="D419" i="46"/>
  <c r="E419" i="46"/>
  <c r="F419" i="46"/>
  <c r="D420" i="46"/>
  <c r="E420" i="46"/>
  <c r="F420" i="46"/>
  <c r="D421" i="46"/>
  <c r="E421" i="46"/>
  <c r="F421" i="46"/>
  <c r="D422" i="46"/>
  <c r="E422" i="46"/>
  <c r="F422" i="46"/>
  <c r="D423" i="46"/>
  <c r="E423" i="46"/>
  <c r="F423" i="46"/>
  <c r="D424" i="46"/>
  <c r="E424" i="46"/>
  <c r="F424" i="46"/>
  <c r="D425" i="46"/>
  <c r="E425" i="46"/>
  <c r="F425" i="46"/>
  <c r="D426" i="46"/>
  <c r="E426" i="46"/>
  <c r="F426" i="46"/>
  <c r="C418" i="46"/>
  <c r="C419" i="46"/>
  <c r="C420" i="46"/>
  <c r="C421" i="46"/>
  <c r="C422" i="46"/>
  <c r="C423" i="46"/>
  <c r="C424" i="46"/>
  <c r="C425" i="46"/>
  <c r="C426" i="46"/>
  <c r="B418" i="46"/>
  <c r="B419" i="46"/>
  <c r="B420" i="46"/>
  <c r="B421" i="46"/>
  <c r="B422" i="46"/>
  <c r="B423" i="46"/>
  <c r="B424" i="46"/>
  <c r="B425" i="46"/>
  <c r="B426" i="46"/>
  <c r="A418" i="46"/>
  <c r="A419" i="46"/>
  <c r="A420" i="46"/>
  <c r="A421" i="46"/>
  <c r="A422" i="46"/>
  <c r="A423" i="46"/>
  <c r="A424" i="46"/>
  <c r="A425" i="46"/>
  <c r="A426" i="46"/>
  <c r="D405" i="46"/>
  <c r="E405" i="46"/>
  <c r="F405" i="46"/>
  <c r="D406" i="46"/>
  <c r="E406" i="46"/>
  <c r="F406" i="46"/>
  <c r="D407" i="46"/>
  <c r="E407" i="46"/>
  <c r="F407" i="46"/>
  <c r="D408" i="46"/>
  <c r="E408" i="46"/>
  <c r="F408" i="46"/>
  <c r="D409" i="46"/>
  <c r="E409" i="46"/>
  <c r="F409" i="46"/>
  <c r="D410" i="46"/>
  <c r="E410" i="46"/>
  <c r="F410" i="46"/>
  <c r="D411" i="46"/>
  <c r="E411" i="46"/>
  <c r="F411" i="46"/>
  <c r="D412" i="46"/>
  <c r="E412" i="46"/>
  <c r="F412" i="46"/>
  <c r="D413" i="46"/>
  <c r="E413" i="46"/>
  <c r="F413" i="46"/>
  <c r="D414" i="46"/>
  <c r="E414" i="46"/>
  <c r="F414" i="46"/>
  <c r="D415" i="46"/>
  <c r="E415" i="46"/>
  <c r="F415" i="46"/>
  <c r="D416" i="46"/>
  <c r="E416" i="46"/>
  <c r="F416" i="46"/>
  <c r="C405" i="46"/>
  <c r="C406" i="46"/>
  <c r="C407" i="46"/>
  <c r="C408" i="46"/>
  <c r="C409" i="46"/>
  <c r="C410" i="46"/>
  <c r="C411" i="46"/>
  <c r="C412" i="46"/>
  <c r="C413" i="46"/>
  <c r="C414" i="46"/>
  <c r="C415" i="46"/>
  <c r="C416" i="46"/>
  <c r="B405" i="46"/>
  <c r="B406" i="46"/>
  <c r="B407" i="46"/>
  <c r="B408" i="46"/>
  <c r="B409" i="46"/>
  <c r="B410" i="46"/>
  <c r="B411" i="46"/>
  <c r="B412" i="46"/>
  <c r="B413" i="46"/>
  <c r="B414" i="46"/>
  <c r="B415" i="46"/>
  <c r="B416" i="46"/>
  <c r="A405" i="46"/>
  <c r="A406" i="46"/>
  <c r="A407" i="46"/>
  <c r="A408" i="46"/>
  <c r="A409" i="46"/>
  <c r="A410" i="46"/>
  <c r="A411" i="46"/>
  <c r="A412" i="46"/>
  <c r="A413" i="46"/>
  <c r="A414" i="46"/>
  <c r="A415" i="46"/>
  <c r="A416" i="46"/>
  <c r="B29" i="35"/>
  <c r="B30" i="35" s="1"/>
  <c r="B31" i="35" s="1"/>
  <c r="B32" i="35" s="1"/>
  <c r="B33" i="35" s="1"/>
  <c r="B34" i="35" s="1"/>
  <c r="B35" i="35" s="1"/>
  <c r="B36" i="35" s="1"/>
  <c r="B37" i="35" s="1"/>
  <c r="B38" i="35" s="1"/>
  <c r="B39" i="35" s="1"/>
  <c r="B40" i="35" s="1"/>
  <c r="B41" i="35" s="1"/>
  <c r="B42" i="35" s="1"/>
  <c r="B3" i="35"/>
  <c r="B21" i="8"/>
  <c r="B22" i="8" s="1"/>
  <c r="B23" i="8" s="1"/>
  <c r="B24" i="8" s="1"/>
  <c r="B25" i="8" s="1"/>
  <c r="B26" i="8" s="1"/>
  <c r="B27" i="8" s="1"/>
  <c r="B28" i="8" s="1"/>
  <c r="B29" i="8" s="1"/>
  <c r="B30" i="8" s="1"/>
  <c r="B31" i="8" s="1"/>
  <c r="B32" i="8" s="1"/>
  <c r="B33" i="8" s="1"/>
  <c r="B34" i="8" s="1"/>
  <c r="B35" i="8" s="1"/>
  <c r="B36" i="8" s="1"/>
  <c r="B37" i="8" s="1"/>
  <c r="B38" i="8" s="1"/>
  <c r="B4" i="8"/>
  <c r="B5" i="8" s="1"/>
  <c r="B6" i="8" s="1"/>
  <c r="B7" i="8" s="1"/>
  <c r="B8" i="8" s="1"/>
  <c r="B9" i="8" s="1"/>
  <c r="B10" i="8" s="1"/>
  <c r="B11" i="8" s="1"/>
  <c r="B12" i="8" s="1"/>
  <c r="B13" i="8" s="1"/>
  <c r="B14" i="8" s="1"/>
  <c r="B15" i="8" s="1"/>
  <c r="B16" i="8" s="1"/>
  <c r="B17" i="8" s="1"/>
  <c r="B18" i="8" s="1"/>
  <c r="B19" i="8" s="1"/>
  <c r="B20" i="8" s="1"/>
  <c r="B3" i="8"/>
  <c r="B4" i="27"/>
  <c r="B5" i="27"/>
  <c r="B3" i="27"/>
  <c r="B8" i="25"/>
  <c r="B9" i="25"/>
  <c r="B10" i="25" s="1"/>
  <c r="B7" i="25"/>
  <c r="D389" i="46"/>
  <c r="E389" i="46"/>
  <c r="F389" i="46"/>
  <c r="D390" i="46"/>
  <c r="E390" i="46"/>
  <c r="F390" i="46"/>
  <c r="D391" i="46"/>
  <c r="E391" i="46"/>
  <c r="F391" i="46"/>
  <c r="D392" i="46"/>
  <c r="E392" i="46"/>
  <c r="F392" i="46"/>
  <c r="D393" i="46"/>
  <c r="E393" i="46"/>
  <c r="F393" i="46"/>
  <c r="D394" i="46"/>
  <c r="E394" i="46"/>
  <c r="F394" i="46"/>
  <c r="D395" i="46"/>
  <c r="E395" i="46"/>
  <c r="F395" i="46"/>
  <c r="D396" i="46"/>
  <c r="E396" i="46"/>
  <c r="F396" i="46"/>
  <c r="D397" i="46"/>
  <c r="E397" i="46"/>
  <c r="F397" i="46"/>
  <c r="D398" i="46"/>
  <c r="E398" i="46"/>
  <c r="F398" i="46"/>
  <c r="D399" i="46"/>
  <c r="E399" i="46"/>
  <c r="F399" i="46"/>
  <c r="D400" i="46"/>
  <c r="E400" i="46"/>
  <c r="F400" i="46"/>
  <c r="D401" i="46"/>
  <c r="E401" i="46"/>
  <c r="F401" i="46"/>
  <c r="D402" i="46"/>
  <c r="E402" i="46"/>
  <c r="F402" i="46"/>
  <c r="D403" i="46"/>
  <c r="E403" i="46"/>
  <c r="F403" i="46"/>
  <c r="C389" i="46"/>
  <c r="C390" i="46"/>
  <c r="C391" i="46"/>
  <c r="C392" i="46"/>
  <c r="C393" i="46"/>
  <c r="C394" i="46"/>
  <c r="C395" i="46"/>
  <c r="C396" i="46"/>
  <c r="C397" i="46"/>
  <c r="C398" i="46"/>
  <c r="C399" i="46"/>
  <c r="C400" i="46"/>
  <c r="C401" i="46"/>
  <c r="C402" i="46"/>
  <c r="C403" i="46"/>
  <c r="B389" i="46"/>
  <c r="B390" i="46"/>
  <c r="B391" i="46"/>
  <c r="B392" i="46"/>
  <c r="B393" i="46"/>
  <c r="B394" i="46"/>
  <c r="B395" i="46"/>
  <c r="B396" i="46"/>
  <c r="B397" i="46"/>
  <c r="B398" i="46"/>
  <c r="B399" i="46"/>
  <c r="B400" i="46"/>
  <c r="B401" i="46"/>
  <c r="B402" i="46"/>
  <c r="B403" i="46"/>
  <c r="A389" i="46"/>
  <c r="A390" i="46"/>
  <c r="A391" i="46"/>
  <c r="A392" i="46"/>
  <c r="A393" i="46"/>
  <c r="A394" i="46"/>
  <c r="A395" i="46"/>
  <c r="A396" i="46"/>
  <c r="A397" i="46"/>
  <c r="A398" i="46"/>
  <c r="A399" i="46"/>
  <c r="A400" i="46"/>
  <c r="A401" i="46"/>
  <c r="A402" i="46"/>
  <c r="A403" i="46"/>
  <c r="D373" i="46"/>
  <c r="E373" i="46"/>
  <c r="F373" i="46"/>
  <c r="D374" i="46"/>
  <c r="E374" i="46"/>
  <c r="F374" i="46"/>
  <c r="D375" i="46"/>
  <c r="E375" i="46"/>
  <c r="F375" i="46"/>
  <c r="D376" i="46"/>
  <c r="E376" i="46"/>
  <c r="F376" i="46"/>
  <c r="D377" i="46"/>
  <c r="E377" i="46"/>
  <c r="F377" i="46"/>
  <c r="D378" i="46"/>
  <c r="E378" i="46"/>
  <c r="F378" i="46"/>
  <c r="D379" i="46"/>
  <c r="E379" i="46"/>
  <c r="F379" i="46"/>
  <c r="D380" i="46"/>
  <c r="E380" i="46"/>
  <c r="F380" i="46"/>
  <c r="D381" i="46"/>
  <c r="E381" i="46"/>
  <c r="F381" i="46"/>
  <c r="D382" i="46"/>
  <c r="E382" i="46"/>
  <c r="F382" i="46"/>
  <c r="D383" i="46"/>
  <c r="E383" i="46"/>
  <c r="F383" i="46"/>
  <c r="D384" i="46"/>
  <c r="E384" i="46"/>
  <c r="F384" i="46"/>
  <c r="D385" i="46"/>
  <c r="E385" i="46"/>
  <c r="F385" i="46"/>
  <c r="D386" i="46"/>
  <c r="E386" i="46"/>
  <c r="F386" i="46"/>
  <c r="D387" i="46"/>
  <c r="E387" i="46"/>
  <c r="F387" i="46"/>
  <c r="C373" i="46"/>
  <c r="C374" i="46"/>
  <c r="C375" i="46"/>
  <c r="C376" i="46"/>
  <c r="C377" i="46"/>
  <c r="C378" i="46"/>
  <c r="C379" i="46"/>
  <c r="C380" i="46"/>
  <c r="C381" i="46"/>
  <c r="C382" i="46"/>
  <c r="C383" i="46"/>
  <c r="C384" i="46"/>
  <c r="C385" i="46"/>
  <c r="C386" i="46"/>
  <c r="C387" i="46"/>
  <c r="B373" i="46"/>
  <c r="B374" i="46"/>
  <c r="B375" i="46"/>
  <c r="B376" i="46"/>
  <c r="B377" i="46"/>
  <c r="B378" i="46"/>
  <c r="B379" i="46"/>
  <c r="B380" i="46"/>
  <c r="B381" i="46"/>
  <c r="B382" i="46"/>
  <c r="B383" i="46"/>
  <c r="B384" i="46"/>
  <c r="B385" i="46"/>
  <c r="B386" i="46"/>
  <c r="B387" i="46"/>
  <c r="A373" i="46"/>
  <c r="A374" i="46"/>
  <c r="A375" i="46"/>
  <c r="A376" i="46"/>
  <c r="A377" i="46"/>
  <c r="A378" i="46"/>
  <c r="A379" i="46"/>
  <c r="A380" i="46"/>
  <c r="A381" i="46"/>
  <c r="A382" i="46"/>
  <c r="A383" i="46"/>
  <c r="A384" i="46"/>
  <c r="A385" i="46"/>
  <c r="A386" i="46"/>
  <c r="A387" i="46"/>
  <c r="D354" i="46"/>
  <c r="E354" i="46"/>
  <c r="F354" i="46"/>
  <c r="D355" i="46"/>
  <c r="E355" i="46"/>
  <c r="F355" i="46"/>
  <c r="D356" i="46"/>
  <c r="E356" i="46"/>
  <c r="F356" i="46"/>
  <c r="D357" i="46"/>
  <c r="E357" i="46"/>
  <c r="F357" i="46"/>
  <c r="D358" i="46"/>
  <c r="E358" i="46"/>
  <c r="F358" i="46"/>
  <c r="D359" i="46"/>
  <c r="E359" i="46"/>
  <c r="F359" i="46"/>
  <c r="D360" i="46"/>
  <c r="E360" i="46"/>
  <c r="F360" i="46"/>
  <c r="D361" i="46"/>
  <c r="E361" i="46"/>
  <c r="F361" i="46"/>
  <c r="D362" i="46"/>
  <c r="E362" i="46"/>
  <c r="F362" i="46"/>
  <c r="D363" i="46"/>
  <c r="E363" i="46"/>
  <c r="F363" i="46"/>
  <c r="D364" i="46"/>
  <c r="E364" i="46"/>
  <c r="F364" i="46"/>
  <c r="D365" i="46"/>
  <c r="E365" i="46"/>
  <c r="F365" i="46"/>
  <c r="D366" i="46"/>
  <c r="E366" i="46"/>
  <c r="F366" i="46"/>
  <c r="D367" i="46"/>
  <c r="E367" i="46"/>
  <c r="F367" i="46"/>
  <c r="D368" i="46"/>
  <c r="E368" i="46"/>
  <c r="F368" i="46"/>
  <c r="D369" i="46"/>
  <c r="E369" i="46"/>
  <c r="F369" i="46"/>
  <c r="D370" i="46"/>
  <c r="E370" i="46"/>
  <c r="F370" i="46"/>
  <c r="D371" i="46"/>
  <c r="E371" i="46"/>
  <c r="F371" i="46"/>
  <c r="C354" i="46"/>
  <c r="C355" i="46"/>
  <c r="C356" i="46"/>
  <c r="C357" i="46"/>
  <c r="C358" i="46"/>
  <c r="C359" i="46"/>
  <c r="C360" i="46"/>
  <c r="C361" i="46"/>
  <c r="C362" i="46"/>
  <c r="C363" i="46"/>
  <c r="C364" i="46"/>
  <c r="C365" i="46"/>
  <c r="C366" i="46"/>
  <c r="C367" i="46"/>
  <c r="C368" i="46"/>
  <c r="C369" i="46"/>
  <c r="C370" i="46"/>
  <c r="C371" i="46"/>
  <c r="B354" i="46"/>
  <c r="B355" i="46"/>
  <c r="B356" i="46"/>
  <c r="B357" i="46"/>
  <c r="B358" i="46"/>
  <c r="B359" i="46"/>
  <c r="B360" i="46"/>
  <c r="B361" i="46"/>
  <c r="B362" i="46"/>
  <c r="B363" i="46"/>
  <c r="B364" i="46"/>
  <c r="B365" i="46"/>
  <c r="B366" i="46"/>
  <c r="B367" i="46"/>
  <c r="B368" i="46"/>
  <c r="B369" i="46"/>
  <c r="B370" i="46"/>
  <c r="B371" i="46"/>
  <c r="A354" i="46"/>
  <c r="A355" i="46"/>
  <c r="A356" i="46"/>
  <c r="A357" i="46"/>
  <c r="A358" i="46"/>
  <c r="A359" i="46"/>
  <c r="A360" i="46"/>
  <c r="A361" i="46"/>
  <c r="A362" i="46"/>
  <c r="A363" i="46"/>
  <c r="A364" i="46"/>
  <c r="A365" i="46"/>
  <c r="A366" i="46"/>
  <c r="A367" i="46"/>
  <c r="A368" i="46"/>
  <c r="A369" i="46"/>
  <c r="A370" i="46"/>
  <c r="A371" i="46"/>
  <c r="D339" i="46"/>
  <c r="E339" i="46"/>
  <c r="F339" i="46"/>
  <c r="D340" i="46"/>
  <c r="E340" i="46"/>
  <c r="F340" i="46"/>
  <c r="D341" i="46"/>
  <c r="E341" i="46"/>
  <c r="F341" i="46"/>
  <c r="D342" i="46"/>
  <c r="E342" i="46"/>
  <c r="F342" i="46"/>
  <c r="D343" i="46"/>
  <c r="E343" i="46"/>
  <c r="F343" i="46"/>
  <c r="D344" i="46"/>
  <c r="E344" i="46"/>
  <c r="F344" i="46"/>
  <c r="D345" i="46"/>
  <c r="E345" i="46"/>
  <c r="F345" i="46"/>
  <c r="D346" i="46"/>
  <c r="E346" i="46"/>
  <c r="F346" i="46"/>
  <c r="D347" i="46"/>
  <c r="E347" i="46"/>
  <c r="F347" i="46"/>
  <c r="D348" i="46"/>
  <c r="E348" i="46"/>
  <c r="F348" i="46"/>
  <c r="D349" i="46"/>
  <c r="E349" i="46"/>
  <c r="F349" i="46"/>
  <c r="D350" i="46"/>
  <c r="E350" i="46"/>
  <c r="F350" i="46"/>
  <c r="D351" i="46"/>
  <c r="E351" i="46"/>
  <c r="F351" i="46"/>
  <c r="D352" i="46"/>
  <c r="E352" i="46"/>
  <c r="F352" i="46"/>
  <c r="C339" i="46"/>
  <c r="C340" i="46"/>
  <c r="C341" i="46"/>
  <c r="C342" i="46"/>
  <c r="C343" i="46"/>
  <c r="C344" i="46"/>
  <c r="C345" i="46"/>
  <c r="C346" i="46"/>
  <c r="C347" i="46"/>
  <c r="C348" i="46"/>
  <c r="C349" i="46"/>
  <c r="C350" i="46"/>
  <c r="C351" i="46"/>
  <c r="C352" i="46"/>
  <c r="B339" i="46"/>
  <c r="B340" i="46"/>
  <c r="B341" i="46"/>
  <c r="B342" i="46"/>
  <c r="B343" i="46"/>
  <c r="B344" i="46"/>
  <c r="B345" i="46"/>
  <c r="B346" i="46"/>
  <c r="B347" i="46"/>
  <c r="B348" i="46"/>
  <c r="B349" i="46"/>
  <c r="B350" i="46"/>
  <c r="B351" i="46"/>
  <c r="B352" i="46"/>
  <c r="A339" i="46"/>
  <c r="A340" i="46"/>
  <c r="A341" i="46"/>
  <c r="A342" i="46"/>
  <c r="A343" i="46"/>
  <c r="A344" i="46"/>
  <c r="A345" i="46"/>
  <c r="A346" i="46"/>
  <c r="A347" i="46"/>
  <c r="A348" i="46"/>
  <c r="A349" i="46"/>
  <c r="A350" i="46"/>
  <c r="A351" i="46"/>
  <c r="A352" i="46"/>
  <c r="D274" i="46"/>
  <c r="E274" i="46"/>
  <c r="F274" i="46"/>
  <c r="D275" i="46"/>
  <c r="E275" i="46"/>
  <c r="F275" i="46"/>
  <c r="D276" i="46"/>
  <c r="E276" i="46"/>
  <c r="F276" i="46"/>
  <c r="D277" i="46"/>
  <c r="E277" i="46"/>
  <c r="F277" i="46"/>
  <c r="D278" i="46"/>
  <c r="E278" i="46"/>
  <c r="F278" i="46"/>
  <c r="D279" i="46"/>
  <c r="E279" i="46"/>
  <c r="F279" i="46"/>
  <c r="D280" i="46"/>
  <c r="E280" i="46"/>
  <c r="F280" i="46"/>
  <c r="D281" i="46"/>
  <c r="E281" i="46"/>
  <c r="F281" i="46"/>
  <c r="D282" i="46"/>
  <c r="E282" i="46"/>
  <c r="F282" i="46"/>
  <c r="D283" i="46"/>
  <c r="E283" i="46"/>
  <c r="F283" i="46"/>
  <c r="D284" i="46"/>
  <c r="E284" i="46"/>
  <c r="F284" i="46"/>
  <c r="D285" i="46"/>
  <c r="E285" i="46"/>
  <c r="F285" i="46"/>
  <c r="D286" i="46"/>
  <c r="E286" i="46"/>
  <c r="F286" i="46"/>
  <c r="D287" i="46"/>
  <c r="E287" i="46"/>
  <c r="F287" i="46"/>
  <c r="D288" i="46"/>
  <c r="E288" i="46"/>
  <c r="F288" i="46"/>
  <c r="D289" i="46"/>
  <c r="E289" i="46"/>
  <c r="F289" i="46"/>
  <c r="D290" i="46"/>
  <c r="E290" i="46"/>
  <c r="F290" i="46"/>
  <c r="D291" i="46"/>
  <c r="E291" i="46"/>
  <c r="F291" i="46"/>
  <c r="D292" i="46"/>
  <c r="E292" i="46"/>
  <c r="F292" i="46"/>
  <c r="D293" i="46"/>
  <c r="E293" i="46"/>
  <c r="F293" i="46"/>
  <c r="D294" i="46"/>
  <c r="E294" i="46"/>
  <c r="F294" i="46"/>
  <c r="D295" i="46"/>
  <c r="E295" i="46"/>
  <c r="F295" i="46"/>
  <c r="D296" i="46"/>
  <c r="E296" i="46"/>
  <c r="F296" i="46"/>
  <c r="D297" i="46"/>
  <c r="E297" i="46"/>
  <c r="F297" i="46"/>
  <c r="D298" i="46"/>
  <c r="E298" i="46"/>
  <c r="F298" i="46"/>
  <c r="D299" i="46"/>
  <c r="E299" i="46"/>
  <c r="F299" i="46"/>
  <c r="D300" i="46"/>
  <c r="E300" i="46"/>
  <c r="F300" i="46"/>
  <c r="D301" i="46"/>
  <c r="E301" i="46"/>
  <c r="F301" i="46"/>
  <c r="D302" i="46"/>
  <c r="E302" i="46"/>
  <c r="F302" i="46"/>
  <c r="D303" i="46"/>
  <c r="E303" i="46"/>
  <c r="F303" i="46"/>
  <c r="D304" i="46"/>
  <c r="E304" i="46"/>
  <c r="F304" i="46"/>
  <c r="D305" i="46"/>
  <c r="E305" i="46"/>
  <c r="F305" i="46"/>
  <c r="D306" i="46"/>
  <c r="E306" i="46"/>
  <c r="F306" i="46"/>
  <c r="D307" i="46"/>
  <c r="E307" i="46"/>
  <c r="F307" i="46"/>
  <c r="D308" i="46"/>
  <c r="E308" i="46"/>
  <c r="F308" i="46"/>
  <c r="D309" i="46"/>
  <c r="E309" i="46"/>
  <c r="F309" i="46"/>
  <c r="D310" i="46"/>
  <c r="E310" i="46"/>
  <c r="F310" i="46"/>
  <c r="D311" i="46"/>
  <c r="E311" i="46"/>
  <c r="F311" i="46"/>
  <c r="D312" i="46"/>
  <c r="E312" i="46"/>
  <c r="F312" i="46"/>
  <c r="D313" i="46"/>
  <c r="E313" i="46"/>
  <c r="F313" i="46"/>
  <c r="D314" i="46"/>
  <c r="E314" i="46"/>
  <c r="F314" i="46"/>
  <c r="D315" i="46"/>
  <c r="E315" i="46"/>
  <c r="F315" i="46"/>
  <c r="D316" i="46"/>
  <c r="E316" i="46"/>
  <c r="F316" i="46"/>
  <c r="D317" i="46"/>
  <c r="E317" i="46"/>
  <c r="F317" i="46"/>
  <c r="D318" i="46"/>
  <c r="E318" i="46"/>
  <c r="F318" i="46"/>
  <c r="D319" i="46"/>
  <c r="E319" i="46"/>
  <c r="F319" i="46"/>
  <c r="D320" i="46"/>
  <c r="E320" i="46"/>
  <c r="F320" i="46"/>
  <c r="D321" i="46"/>
  <c r="E321" i="46"/>
  <c r="F321" i="46"/>
  <c r="D322" i="46"/>
  <c r="E322" i="46"/>
  <c r="F322" i="46"/>
  <c r="D323" i="46"/>
  <c r="E323" i="46"/>
  <c r="F323" i="46"/>
  <c r="D324" i="46"/>
  <c r="E324" i="46"/>
  <c r="F324" i="46"/>
  <c r="D325" i="46"/>
  <c r="E325" i="46"/>
  <c r="F325" i="46"/>
  <c r="D326" i="46"/>
  <c r="E326" i="46"/>
  <c r="F326" i="46"/>
  <c r="D327" i="46"/>
  <c r="E327" i="46"/>
  <c r="F327" i="46"/>
  <c r="D328" i="46"/>
  <c r="E328" i="46"/>
  <c r="F328" i="46"/>
  <c r="D329" i="46"/>
  <c r="E329" i="46"/>
  <c r="F329" i="46"/>
  <c r="D330" i="46"/>
  <c r="E330" i="46"/>
  <c r="F330" i="46"/>
  <c r="D331" i="46"/>
  <c r="E331" i="46"/>
  <c r="F331" i="46"/>
  <c r="D332" i="46"/>
  <c r="E332" i="46"/>
  <c r="F332" i="46"/>
  <c r="D333" i="46"/>
  <c r="E333" i="46"/>
  <c r="F333" i="46"/>
  <c r="D334" i="46"/>
  <c r="E334" i="46"/>
  <c r="F334" i="46"/>
  <c r="D335" i="46"/>
  <c r="E335" i="46"/>
  <c r="F335" i="46"/>
  <c r="D336" i="46"/>
  <c r="E336" i="46"/>
  <c r="F336" i="46"/>
  <c r="D337" i="46"/>
  <c r="E337" i="46"/>
  <c r="F337" i="46"/>
  <c r="C274" i="46"/>
  <c r="C275" i="46"/>
  <c r="C276" i="46"/>
  <c r="C277" i="46"/>
  <c r="C278" i="46"/>
  <c r="C279" i="46"/>
  <c r="C280" i="46"/>
  <c r="C281" i="46"/>
  <c r="C282" i="46"/>
  <c r="C283" i="46"/>
  <c r="C284" i="46"/>
  <c r="C285" i="46"/>
  <c r="C286" i="46"/>
  <c r="C287" i="46"/>
  <c r="C288" i="46"/>
  <c r="C289" i="46"/>
  <c r="C290" i="46"/>
  <c r="C291" i="46"/>
  <c r="C292" i="46"/>
  <c r="C293" i="46"/>
  <c r="C294" i="46"/>
  <c r="C295" i="46"/>
  <c r="C296" i="46"/>
  <c r="C297" i="46"/>
  <c r="C298" i="46"/>
  <c r="C299" i="46"/>
  <c r="C300" i="46"/>
  <c r="C301" i="46"/>
  <c r="C302" i="46"/>
  <c r="C303" i="46"/>
  <c r="C304" i="46"/>
  <c r="C305" i="46"/>
  <c r="C306" i="46"/>
  <c r="C307" i="46"/>
  <c r="C308" i="46"/>
  <c r="C309" i="46"/>
  <c r="C310" i="46"/>
  <c r="C311" i="46"/>
  <c r="C312" i="46"/>
  <c r="C313" i="46"/>
  <c r="C314" i="46"/>
  <c r="C315" i="46"/>
  <c r="C316" i="46"/>
  <c r="C317" i="46"/>
  <c r="C318" i="46"/>
  <c r="C319" i="46"/>
  <c r="C320" i="46"/>
  <c r="C321" i="46"/>
  <c r="C322" i="46"/>
  <c r="C323" i="46"/>
  <c r="C324" i="46"/>
  <c r="C325" i="46"/>
  <c r="C326" i="46"/>
  <c r="C327" i="46"/>
  <c r="C328" i="46"/>
  <c r="C329" i="46"/>
  <c r="C330" i="46"/>
  <c r="C331" i="46"/>
  <c r="C332" i="46"/>
  <c r="C333" i="46"/>
  <c r="C334" i="46"/>
  <c r="C335" i="46"/>
  <c r="C336" i="46"/>
  <c r="C337" i="46"/>
  <c r="B274" i="46"/>
  <c r="B275" i="46"/>
  <c r="B276" i="46"/>
  <c r="B277" i="46"/>
  <c r="B278" i="46"/>
  <c r="B279" i="46"/>
  <c r="B280" i="46"/>
  <c r="B281" i="46"/>
  <c r="B282" i="46"/>
  <c r="B283" i="46"/>
  <c r="B284" i="46"/>
  <c r="B285" i="46"/>
  <c r="B286" i="46"/>
  <c r="B287" i="46"/>
  <c r="B288" i="46"/>
  <c r="B289" i="46"/>
  <c r="B290" i="46"/>
  <c r="B291" i="46"/>
  <c r="B292" i="46"/>
  <c r="B293" i="46"/>
  <c r="B294" i="46"/>
  <c r="B295" i="46"/>
  <c r="B296" i="46"/>
  <c r="B297" i="46"/>
  <c r="B298" i="46"/>
  <c r="B299" i="46"/>
  <c r="B300" i="46"/>
  <c r="B301" i="46"/>
  <c r="B302" i="46"/>
  <c r="B303" i="46"/>
  <c r="B304" i="46"/>
  <c r="B305" i="46"/>
  <c r="B306" i="46"/>
  <c r="B307" i="46"/>
  <c r="B308" i="46"/>
  <c r="B309" i="46"/>
  <c r="B310" i="46"/>
  <c r="B311" i="46"/>
  <c r="B312" i="46"/>
  <c r="B313" i="46"/>
  <c r="B314" i="46"/>
  <c r="B315" i="46"/>
  <c r="B316" i="46"/>
  <c r="B317" i="46"/>
  <c r="B318" i="46"/>
  <c r="B319" i="46"/>
  <c r="B320" i="46"/>
  <c r="B321" i="46"/>
  <c r="B322" i="46"/>
  <c r="B323" i="46"/>
  <c r="B324" i="46"/>
  <c r="B325" i="46"/>
  <c r="B326" i="46"/>
  <c r="B327" i="46"/>
  <c r="B328" i="46"/>
  <c r="B329" i="46"/>
  <c r="B330" i="46"/>
  <c r="B331" i="46"/>
  <c r="B332" i="46"/>
  <c r="B333" i="46"/>
  <c r="B334" i="46"/>
  <c r="B335" i="46"/>
  <c r="B336" i="46"/>
  <c r="B337" i="46"/>
  <c r="A274" i="46"/>
  <c r="A275" i="46"/>
  <c r="A276" i="46"/>
  <c r="A277" i="46"/>
  <c r="A278" i="46"/>
  <c r="A279" i="46"/>
  <c r="A280" i="46"/>
  <c r="A281" i="46"/>
  <c r="A282" i="46"/>
  <c r="A283" i="46"/>
  <c r="A284" i="46"/>
  <c r="A285" i="46"/>
  <c r="A286" i="46"/>
  <c r="A287" i="46"/>
  <c r="A288" i="46"/>
  <c r="A289" i="46"/>
  <c r="A290" i="46"/>
  <c r="A291" i="46"/>
  <c r="A292" i="46"/>
  <c r="A293" i="46"/>
  <c r="A294" i="46"/>
  <c r="A295" i="46"/>
  <c r="A296" i="46"/>
  <c r="A297" i="46"/>
  <c r="A298" i="46"/>
  <c r="A299" i="46"/>
  <c r="A300" i="46"/>
  <c r="A301" i="46"/>
  <c r="A302" i="46"/>
  <c r="A303" i="46"/>
  <c r="A304" i="46"/>
  <c r="A305" i="46"/>
  <c r="A306" i="46"/>
  <c r="A307" i="46"/>
  <c r="A308" i="46"/>
  <c r="A309" i="46"/>
  <c r="A310" i="46"/>
  <c r="A311" i="46"/>
  <c r="A312" i="46"/>
  <c r="A313" i="46"/>
  <c r="A314" i="46"/>
  <c r="A315" i="46"/>
  <c r="A316" i="46"/>
  <c r="A317" i="46"/>
  <c r="A318" i="46"/>
  <c r="A319" i="46"/>
  <c r="A320" i="46"/>
  <c r="A321" i="46"/>
  <c r="A322" i="46"/>
  <c r="A323" i="46"/>
  <c r="A324" i="46"/>
  <c r="A325" i="46"/>
  <c r="A326" i="46"/>
  <c r="A327" i="46"/>
  <c r="A328" i="46"/>
  <c r="A329" i="46"/>
  <c r="A330" i="46"/>
  <c r="A331" i="46"/>
  <c r="A332" i="46"/>
  <c r="A333" i="46"/>
  <c r="A334" i="46"/>
  <c r="A335" i="46"/>
  <c r="A336" i="46"/>
  <c r="A337" i="46"/>
  <c r="D244" i="46"/>
  <c r="E244" i="46"/>
  <c r="F244" i="46"/>
  <c r="D245" i="46"/>
  <c r="E245" i="46"/>
  <c r="F245" i="46"/>
  <c r="D246" i="46"/>
  <c r="E246" i="46"/>
  <c r="F246" i="46"/>
  <c r="D247" i="46"/>
  <c r="E247" i="46"/>
  <c r="F247" i="46"/>
  <c r="D248" i="46"/>
  <c r="E248" i="46"/>
  <c r="F248" i="46"/>
  <c r="D249" i="46"/>
  <c r="E249" i="46"/>
  <c r="F249" i="46"/>
  <c r="D250" i="46"/>
  <c r="E250" i="46"/>
  <c r="F250" i="46"/>
  <c r="D251" i="46"/>
  <c r="E251" i="46"/>
  <c r="F251" i="46"/>
  <c r="D252" i="46"/>
  <c r="E252" i="46"/>
  <c r="F252" i="46"/>
  <c r="D253" i="46"/>
  <c r="E253" i="46"/>
  <c r="F253" i="46"/>
  <c r="D254" i="46"/>
  <c r="E254" i="46"/>
  <c r="F254" i="46"/>
  <c r="D255" i="46"/>
  <c r="E255" i="46"/>
  <c r="F255" i="46"/>
  <c r="D256" i="46"/>
  <c r="E256" i="46"/>
  <c r="F256" i="46"/>
  <c r="D257" i="46"/>
  <c r="E257" i="46"/>
  <c r="F257" i="46"/>
  <c r="D258" i="46"/>
  <c r="E258" i="46"/>
  <c r="F258" i="46"/>
  <c r="D259" i="46"/>
  <c r="E259" i="46"/>
  <c r="F259" i="46"/>
  <c r="D260" i="46"/>
  <c r="E260" i="46"/>
  <c r="F260" i="46"/>
  <c r="D261" i="46"/>
  <c r="E261" i="46"/>
  <c r="F261" i="46"/>
  <c r="D262" i="46"/>
  <c r="E262" i="46"/>
  <c r="F262" i="46"/>
  <c r="D263" i="46"/>
  <c r="E263" i="46"/>
  <c r="F263" i="46"/>
  <c r="D264" i="46"/>
  <c r="E264" i="46"/>
  <c r="F264" i="46"/>
  <c r="D265" i="46"/>
  <c r="E265" i="46"/>
  <c r="F265" i="46"/>
  <c r="D266" i="46"/>
  <c r="E266" i="46"/>
  <c r="F266" i="46"/>
  <c r="D267" i="46"/>
  <c r="E267" i="46"/>
  <c r="F267" i="46"/>
  <c r="D268" i="46"/>
  <c r="E268" i="46"/>
  <c r="F268" i="46"/>
  <c r="D269" i="46"/>
  <c r="E269" i="46"/>
  <c r="F269" i="46"/>
  <c r="D270" i="46"/>
  <c r="E270" i="46"/>
  <c r="F270" i="46"/>
  <c r="D271" i="46"/>
  <c r="E271" i="46"/>
  <c r="F271" i="46"/>
  <c r="D272" i="46"/>
  <c r="E272" i="46"/>
  <c r="F272" i="46"/>
  <c r="C244" i="46"/>
  <c r="C245" i="46"/>
  <c r="C246" i="46"/>
  <c r="C247" i="46"/>
  <c r="C248" i="46"/>
  <c r="C249" i="46"/>
  <c r="C250" i="46"/>
  <c r="C251" i="46"/>
  <c r="C252" i="46"/>
  <c r="C253" i="46"/>
  <c r="C254" i="46"/>
  <c r="C255" i="46"/>
  <c r="C256" i="46"/>
  <c r="C257" i="46"/>
  <c r="C258" i="46"/>
  <c r="C259" i="46"/>
  <c r="C260" i="46"/>
  <c r="C261" i="46"/>
  <c r="C262" i="46"/>
  <c r="C263" i="46"/>
  <c r="C264" i="46"/>
  <c r="C265" i="46"/>
  <c r="C266" i="46"/>
  <c r="C267" i="46"/>
  <c r="C268" i="46"/>
  <c r="C269" i="46"/>
  <c r="C270" i="46"/>
  <c r="C271" i="46"/>
  <c r="C272" i="46"/>
  <c r="B244" i="46"/>
  <c r="B245" i="46"/>
  <c r="B246" i="46"/>
  <c r="B247" i="46"/>
  <c r="B248" i="46"/>
  <c r="B249" i="46"/>
  <c r="B250" i="46"/>
  <c r="B251" i="46"/>
  <c r="B252" i="46"/>
  <c r="B253" i="46"/>
  <c r="B254" i="46"/>
  <c r="B255" i="46"/>
  <c r="B256" i="46"/>
  <c r="B257" i="46"/>
  <c r="B258" i="46"/>
  <c r="B259" i="46"/>
  <c r="B260" i="46"/>
  <c r="B261" i="46"/>
  <c r="B262" i="46"/>
  <c r="B263" i="46"/>
  <c r="B264" i="46"/>
  <c r="B265" i="46"/>
  <c r="B266" i="46"/>
  <c r="B267" i="46"/>
  <c r="B268" i="46"/>
  <c r="B269" i="46"/>
  <c r="B270" i="46"/>
  <c r="B271" i="46"/>
  <c r="B272" i="46"/>
  <c r="A244" i="46"/>
  <c r="A245" i="46"/>
  <c r="A246" i="46"/>
  <c r="A247" i="46"/>
  <c r="A248" i="46"/>
  <c r="A249" i="46"/>
  <c r="A250" i="46"/>
  <c r="A251" i="46"/>
  <c r="A252" i="46"/>
  <c r="A253" i="46"/>
  <c r="A254" i="46"/>
  <c r="A255" i="46"/>
  <c r="A256" i="46"/>
  <c r="A257" i="46"/>
  <c r="A258" i="46"/>
  <c r="A259" i="46"/>
  <c r="A260" i="46"/>
  <c r="A261" i="46"/>
  <c r="A262" i="46"/>
  <c r="A263" i="46"/>
  <c r="A264" i="46"/>
  <c r="A265" i="46"/>
  <c r="A266" i="46"/>
  <c r="A267" i="46"/>
  <c r="A268" i="46"/>
  <c r="A269" i="46"/>
  <c r="A270" i="46"/>
  <c r="A271" i="46"/>
  <c r="A272" i="46"/>
  <c r="B4" i="30"/>
  <c r="B5" i="30" s="1"/>
  <c r="B3" i="30"/>
  <c r="A228" i="46"/>
  <c r="B228" i="46"/>
  <c r="A229" i="46"/>
  <c r="B229" i="46"/>
  <c r="A230" i="46"/>
  <c r="B230" i="46"/>
  <c r="A231" i="46"/>
  <c r="B231" i="46"/>
  <c r="A232" i="46"/>
  <c r="B232" i="46"/>
  <c r="A233" i="46"/>
  <c r="B233" i="46"/>
  <c r="A234" i="46"/>
  <c r="B234" i="46"/>
  <c r="A235" i="46"/>
  <c r="B235" i="46"/>
  <c r="A236" i="46"/>
  <c r="B236" i="46"/>
  <c r="A237" i="46"/>
  <c r="B237" i="46"/>
  <c r="A238" i="46"/>
  <c r="B238" i="46"/>
  <c r="A239" i="46"/>
  <c r="B239" i="46"/>
  <c r="A240" i="46"/>
  <c r="B240" i="46"/>
  <c r="A241" i="46"/>
  <c r="B241" i="46"/>
  <c r="A242" i="46"/>
  <c r="B242" i="46"/>
  <c r="C235" i="46"/>
  <c r="D235" i="46"/>
  <c r="E235" i="46"/>
  <c r="F235" i="46"/>
  <c r="C236" i="46"/>
  <c r="D236" i="46"/>
  <c r="E236" i="46"/>
  <c r="F236" i="46"/>
  <c r="C237" i="46"/>
  <c r="D237" i="46"/>
  <c r="E237" i="46"/>
  <c r="F237" i="46"/>
  <c r="C238" i="46"/>
  <c r="D238" i="46"/>
  <c r="E238" i="46"/>
  <c r="F238" i="46"/>
  <c r="C239" i="46"/>
  <c r="D239" i="46"/>
  <c r="E239" i="46"/>
  <c r="F239" i="46"/>
  <c r="C240" i="46"/>
  <c r="D240" i="46"/>
  <c r="E240" i="46"/>
  <c r="F240" i="46"/>
  <c r="C241" i="46"/>
  <c r="D241" i="46"/>
  <c r="E241" i="46"/>
  <c r="F241" i="46"/>
  <c r="C242" i="46"/>
  <c r="D242" i="46"/>
  <c r="E242" i="46"/>
  <c r="F242" i="46"/>
  <c r="C234" i="46"/>
  <c r="D234" i="46"/>
  <c r="E234" i="46"/>
  <c r="F234" i="46"/>
  <c r="C228" i="46"/>
  <c r="D228" i="46"/>
  <c r="E228" i="46"/>
  <c r="F228" i="46"/>
  <c r="C229" i="46"/>
  <c r="D229" i="46"/>
  <c r="E229" i="46"/>
  <c r="F229" i="46"/>
  <c r="C230" i="46"/>
  <c r="D230" i="46"/>
  <c r="E230" i="46"/>
  <c r="F230" i="46"/>
  <c r="C231" i="46"/>
  <c r="D231" i="46"/>
  <c r="E231" i="46"/>
  <c r="F231" i="46"/>
  <c r="C232" i="46"/>
  <c r="D232" i="46"/>
  <c r="E232" i="46"/>
  <c r="F232" i="46"/>
  <c r="C233" i="46"/>
  <c r="D233" i="46"/>
  <c r="E233" i="46"/>
  <c r="F233" i="46"/>
  <c r="D227" i="46"/>
  <c r="E227" i="46"/>
  <c r="F227" i="46"/>
  <c r="B4" i="3"/>
  <c r="B5" i="3"/>
  <c r="B6" i="3"/>
  <c r="B7" i="3" s="1"/>
  <c r="B3" i="3"/>
  <c r="D220" i="46"/>
  <c r="E220" i="46"/>
  <c r="F220" i="46"/>
  <c r="D221" i="46"/>
  <c r="E221" i="46"/>
  <c r="F221" i="46"/>
  <c r="D222" i="46"/>
  <c r="E222" i="46"/>
  <c r="F222" i="46"/>
  <c r="D223" i="46"/>
  <c r="E223" i="46"/>
  <c r="F223" i="46"/>
  <c r="D224" i="46"/>
  <c r="E224" i="46"/>
  <c r="F224" i="46"/>
  <c r="D225" i="46"/>
  <c r="E225" i="46"/>
  <c r="F225" i="46"/>
  <c r="D226" i="46"/>
  <c r="E226" i="46"/>
  <c r="F226" i="46"/>
  <c r="C220" i="46"/>
  <c r="C221" i="46"/>
  <c r="C222" i="46"/>
  <c r="C223" i="46"/>
  <c r="C224" i="46"/>
  <c r="C225" i="46"/>
  <c r="C226" i="46"/>
  <c r="B220" i="46"/>
  <c r="B221" i="46"/>
  <c r="B222" i="46"/>
  <c r="B223" i="46"/>
  <c r="B224" i="46"/>
  <c r="B225" i="46"/>
  <c r="B226" i="46"/>
  <c r="A220" i="46"/>
  <c r="A221" i="46"/>
  <c r="A222" i="46"/>
  <c r="A223" i="46"/>
  <c r="A224" i="46"/>
  <c r="A225" i="46"/>
  <c r="A226" i="46"/>
  <c r="B4" i="39"/>
  <c r="B5" i="39"/>
  <c r="B6" i="39"/>
  <c r="B7" i="39" s="1"/>
  <c r="B8" i="39" s="1"/>
  <c r="B9" i="39" s="1"/>
  <c r="B3" i="39"/>
  <c r="F207" i="46"/>
  <c r="F208" i="46"/>
  <c r="F209" i="46"/>
  <c r="F210" i="46"/>
  <c r="F211" i="46"/>
  <c r="F212" i="46"/>
  <c r="F213" i="46"/>
  <c r="F214" i="46"/>
  <c r="F215" i="46"/>
  <c r="F216" i="46"/>
  <c r="F217" i="46"/>
  <c r="F218" i="46"/>
  <c r="E207" i="46"/>
  <c r="E208" i="46"/>
  <c r="E209" i="46"/>
  <c r="E210" i="46"/>
  <c r="E211" i="46"/>
  <c r="E212" i="46"/>
  <c r="E213" i="46"/>
  <c r="E214" i="46"/>
  <c r="E215" i="46"/>
  <c r="E216" i="46"/>
  <c r="E217" i="46"/>
  <c r="E218" i="46"/>
  <c r="D207" i="46"/>
  <c r="D208" i="46"/>
  <c r="D209" i="46"/>
  <c r="D210" i="46"/>
  <c r="D211" i="46"/>
  <c r="D212" i="46"/>
  <c r="D213" i="46"/>
  <c r="D214" i="46"/>
  <c r="D215" i="46"/>
  <c r="D216" i="46"/>
  <c r="D217" i="46"/>
  <c r="D218" i="46"/>
  <c r="C207" i="46"/>
  <c r="C208" i="46"/>
  <c r="C209" i="46"/>
  <c r="C210" i="46"/>
  <c r="C211" i="46"/>
  <c r="C212" i="46"/>
  <c r="C213" i="46"/>
  <c r="C214" i="46"/>
  <c r="C215" i="46"/>
  <c r="C216" i="46"/>
  <c r="C217" i="46"/>
  <c r="C218" i="46"/>
  <c r="B207" i="46"/>
  <c r="B208" i="46"/>
  <c r="B209" i="46"/>
  <c r="B210" i="46"/>
  <c r="B211" i="46"/>
  <c r="B212" i="46"/>
  <c r="B213" i="46"/>
  <c r="B214" i="46"/>
  <c r="B215" i="46"/>
  <c r="B216" i="46"/>
  <c r="B217" i="46"/>
  <c r="B218" i="46"/>
  <c r="A207" i="46"/>
  <c r="A208" i="46"/>
  <c r="A209" i="46"/>
  <c r="A210" i="46"/>
  <c r="A211" i="46"/>
  <c r="A212" i="46"/>
  <c r="A213" i="46"/>
  <c r="A214" i="46"/>
  <c r="A215" i="46"/>
  <c r="A216" i="46"/>
  <c r="A217" i="46"/>
  <c r="A218" i="46"/>
  <c r="B6" i="38"/>
  <c r="B7" i="38" s="1"/>
  <c r="B5" i="38"/>
  <c r="D185" i="46"/>
  <c r="E185" i="46"/>
  <c r="F185" i="46"/>
  <c r="D186" i="46"/>
  <c r="E186" i="46"/>
  <c r="F186" i="46"/>
  <c r="D187" i="46"/>
  <c r="E187" i="46"/>
  <c r="F187" i="46"/>
  <c r="D188" i="46"/>
  <c r="E188" i="46"/>
  <c r="F188" i="46"/>
  <c r="D189" i="46"/>
  <c r="E189" i="46"/>
  <c r="F189" i="46"/>
  <c r="D190" i="46"/>
  <c r="E190" i="46"/>
  <c r="F190" i="46"/>
  <c r="D191" i="46"/>
  <c r="E191" i="46"/>
  <c r="F191" i="46"/>
  <c r="D192" i="46"/>
  <c r="E192" i="46"/>
  <c r="F192" i="46"/>
  <c r="D193" i="46"/>
  <c r="E193" i="46"/>
  <c r="F193" i="46"/>
  <c r="D194" i="46"/>
  <c r="E194" i="46"/>
  <c r="F194" i="46"/>
  <c r="D195" i="46"/>
  <c r="E195" i="46"/>
  <c r="F195" i="46"/>
  <c r="D196" i="46"/>
  <c r="E196" i="46"/>
  <c r="F196" i="46"/>
  <c r="D197" i="46"/>
  <c r="E197" i="46"/>
  <c r="F197" i="46"/>
  <c r="D198" i="46"/>
  <c r="E198" i="46"/>
  <c r="F198" i="46"/>
  <c r="D199" i="46"/>
  <c r="E199" i="46"/>
  <c r="F199" i="46"/>
  <c r="D200" i="46"/>
  <c r="E200" i="46"/>
  <c r="F200" i="46"/>
  <c r="D201" i="46"/>
  <c r="E201" i="46"/>
  <c r="F201" i="46"/>
  <c r="D202" i="46"/>
  <c r="E202" i="46"/>
  <c r="F202" i="46"/>
  <c r="D203" i="46"/>
  <c r="E203" i="46"/>
  <c r="F203" i="46"/>
  <c r="D204" i="46"/>
  <c r="E204" i="46"/>
  <c r="F204" i="46"/>
  <c r="D205" i="46"/>
  <c r="E205" i="46"/>
  <c r="F205" i="46"/>
  <c r="C185" i="46"/>
  <c r="C186" i="46"/>
  <c r="C187" i="46"/>
  <c r="C188" i="46"/>
  <c r="C189" i="46"/>
  <c r="C190" i="46"/>
  <c r="C191" i="46"/>
  <c r="C192" i="46"/>
  <c r="C193" i="46"/>
  <c r="C194" i="46"/>
  <c r="C195" i="46"/>
  <c r="C196" i="46"/>
  <c r="C197" i="46"/>
  <c r="C198" i="46"/>
  <c r="C199" i="46"/>
  <c r="C200" i="46"/>
  <c r="C201" i="46"/>
  <c r="C202" i="46"/>
  <c r="C203" i="46"/>
  <c r="C204" i="46"/>
  <c r="C205" i="46"/>
  <c r="B185" i="46"/>
  <c r="B186" i="46"/>
  <c r="B187" i="46"/>
  <c r="B188" i="46"/>
  <c r="B189" i="46"/>
  <c r="B190" i="46"/>
  <c r="B191" i="46"/>
  <c r="B192" i="46"/>
  <c r="B193" i="46"/>
  <c r="B194" i="46"/>
  <c r="B195" i="46"/>
  <c r="B196" i="46"/>
  <c r="B197" i="46"/>
  <c r="B198" i="46"/>
  <c r="B199" i="46"/>
  <c r="B200" i="46"/>
  <c r="B201" i="46"/>
  <c r="B202" i="46"/>
  <c r="B203" i="46"/>
  <c r="B204" i="46"/>
  <c r="B205" i="46"/>
  <c r="A185" i="46"/>
  <c r="A186" i="46"/>
  <c r="A187" i="46"/>
  <c r="A188" i="46"/>
  <c r="A189" i="46"/>
  <c r="A190" i="46"/>
  <c r="A191" i="46"/>
  <c r="A192" i="46"/>
  <c r="A193" i="46"/>
  <c r="A194" i="46"/>
  <c r="A195" i="46"/>
  <c r="A196" i="46"/>
  <c r="A197" i="46"/>
  <c r="A198" i="46"/>
  <c r="A199" i="46"/>
  <c r="A200" i="46"/>
  <c r="A201" i="46"/>
  <c r="A202" i="46"/>
  <c r="A203" i="46"/>
  <c r="A204" i="46"/>
  <c r="A205" i="46"/>
  <c r="F169" i="46"/>
  <c r="F170" i="46"/>
  <c r="F171" i="46"/>
  <c r="F172" i="46"/>
  <c r="F173" i="46"/>
  <c r="F174" i="46"/>
  <c r="F175" i="46"/>
  <c r="F176" i="46"/>
  <c r="F177" i="46"/>
  <c r="F178" i="46"/>
  <c r="F179" i="46"/>
  <c r="F180" i="46"/>
  <c r="F181" i="46"/>
  <c r="F182" i="46"/>
  <c r="F183" i="46"/>
  <c r="E169" i="46"/>
  <c r="E170" i="46"/>
  <c r="E171" i="46"/>
  <c r="E172" i="46"/>
  <c r="E173" i="46"/>
  <c r="E174" i="46"/>
  <c r="E175" i="46"/>
  <c r="E176" i="46"/>
  <c r="E177" i="46"/>
  <c r="E178" i="46"/>
  <c r="E179" i="46"/>
  <c r="E180" i="46"/>
  <c r="E181" i="46"/>
  <c r="E182" i="46"/>
  <c r="E183" i="46"/>
  <c r="D169" i="46"/>
  <c r="D170" i="46"/>
  <c r="D171" i="46"/>
  <c r="D172" i="46"/>
  <c r="D173" i="46"/>
  <c r="D174" i="46"/>
  <c r="D175" i="46"/>
  <c r="D176" i="46"/>
  <c r="D177" i="46"/>
  <c r="D178" i="46"/>
  <c r="D179" i="46"/>
  <c r="D180" i="46"/>
  <c r="D181" i="46"/>
  <c r="D182" i="46"/>
  <c r="D183" i="46"/>
  <c r="C169" i="46"/>
  <c r="C170" i="46"/>
  <c r="C171" i="46"/>
  <c r="C172" i="46"/>
  <c r="C173" i="46"/>
  <c r="C174" i="46"/>
  <c r="C175" i="46"/>
  <c r="C176" i="46"/>
  <c r="C177" i="46"/>
  <c r="C178" i="46"/>
  <c r="C179" i="46"/>
  <c r="C180" i="46"/>
  <c r="C181" i="46"/>
  <c r="C182" i="46"/>
  <c r="C183" i="46"/>
  <c r="B169" i="46"/>
  <c r="B170" i="46"/>
  <c r="B171" i="46"/>
  <c r="B172" i="46"/>
  <c r="B173" i="46"/>
  <c r="B174" i="46"/>
  <c r="B175" i="46"/>
  <c r="B176" i="46"/>
  <c r="B177" i="46"/>
  <c r="B178" i="46"/>
  <c r="B179" i="46"/>
  <c r="B180" i="46"/>
  <c r="B181" i="46"/>
  <c r="B182" i="46"/>
  <c r="B183" i="46"/>
  <c r="A169" i="46"/>
  <c r="A170" i="46"/>
  <c r="A171" i="46"/>
  <c r="A172" i="46"/>
  <c r="A173" i="46"/>
  <c r="A174" i="46"/>
  <c r="A175" i="46"/>
  <c r="A176" i="46"/>
  <c r="A177" i="46"/>
  <c r="A178" i="46"/>
  <c r="A179" i="46"/>
  <c r="A180" i="46"/>
  <c r="A181" i="46"/>
  <c r="A182" i="46"/>
  <c r="A183" i="46"/>
  <c r="B19" i="24"/>
  <c r="B20" i="24"/>
  <c r="B21" i="24" s="1"/>
  <c r="B22" i="24" s="1"/>
  <c r="B23" i="24" s="1"/>
  <c r="B24" i="11"/>
  <c r="B25" i="11"/>
  <c r="B26" i="11" s="1"/>
  <c r="B27" i="11" s="1"/>
  <c r="B28" i="11" s="1"/>
  <c r="B29" i="11" s="1"/>
  <c r="B30" i="11" s="1"/>
  <c r="B31" i="11" s="1"/>
  <c r="B32" i="11" s="1"/>
  <c r="B14" i="36"/>
  <c r="E153" i="46"/>
  <c r="F153" i="46"/>
  <c r="E154" i="46"/>
  <c r="F154" i="46"/>
  <c r="E155" i="46"/>
  <c r="F155" i="46"/>
  <c r="E156" i="46"/>
  <c r="F156" i="46"/>
  <c r="E157" i="46"/>
  <c r="F157" i="46"/>
  <c r="E158" i="46"/>
  <c r="F158" i="46"/>
  <c r="E159" i="46"/>
  <c r="F159" i="46"/>
  <c r="E160" i="46"/>
  <c r="F160" i="46"/>
  <c r="E161" i="46"/>
  <c r="F161" i="46"/>
  <c r="E162" i="46"/>
  <c r="F162" i="46"/>
  <c r="E163" i="46"/>
  <c r="F163" i="46"/>
  <c r="E164" i="46"/>
  <c r="F164" i="46"/>
  <c r="E165" i="46"/>
  <c r="F165" i="46"/>
  <c r="E166" i="46"/>
  <c r="F166" i="46"/>
  <c r="E167" i="46"/>
  <c r="F167" i="46"/>
  <c r="F152" i="46"/>
  <c r="D153" i="46"/>
  <c r="D154" i="46"/>
  <c r="D155" i="46"/>
  <c r="D156" i="46"/>
  <c r="D157" i="46"/>
  <c r="D158" i="46"/>
  <c r="D159" i="46"/>
  <c r="D160" i="46"/>
  <c r="D161" i="46"/>
  <c r="D162" i="46"/>
  <c r="D163" i="46"/>
  <c r="D164" i="46"/>
  <c r="D165" i="46"/>
  <c r="D166" i="46"/>
  <c r="D167" i="46"/>
  <c r="C153" i="46"/>
  <c r="C154" i="46"/>
  <c r="C155" i="46"/>
  <c r="C156" i="46"/>
  <c r="C157" i="46"/>
  <c r="C158" i="46"/>
  <c r="C159" i="46"/>
  <c r="C160" i="46"/>
  <c r="C161" i="46"/>
  <c r="C162" i="46"/>
  <c r="C163" i="46"/>
  <c r="C164" i="46"/>
  <c r="C165" i="46"/>
  <c r="C166" i="46"/>
  <c r="C167" i="46"/>
  <c r="B153" i="46"/>
  <c r="B154" i="46"/>
  <c r="B155" i="46"/>
  <c r="B156" i="46"/>
  <c r="B157" i="46"/>
  <c r="B158" i="46"/>
  <c r="B159" i="46"/>
  <c r="B160" i="46"/>
  <c r="B161" i="46"/>
  <c r="B162" i="46"/>
  <c r="B163" i="46"/>
  <c r="B164" i="46"/>
  <c r="B165" i="46"/>
  <c r="B166" i="46"/>
  <c r="B167" i="46"/>
  <c r="A153" i="46"/>
  <c r="A154" i="46"/>
  <c r="A155" i="46"/>
  <c r="A156" i="46"/>
  <c r="A157" i="46"/>
  <c r="A158" i="46"/>
  <c r="A159" i="46"/>
  <c r="A160" i="46"/>
  <c r="A161" i="46"/>
  <c r="A162" i="46"/>
  <c r="A163" i="46"/>
  <c r="A164" i="46"/>
  <c r="A165" i="46"/>
  <c r="A166" i="46"/>
  <c r="A167" i="46"/>
  <c r="F135" i="46"/>
  <c r="F136" i="46"/>
  <c r="F137" i="46"/>
  <c r="F138" i="46"/>
  <c r="F139" i="46"/>
  <c r="F140" i="46"/>
  <c r="F141" i="46"/>
  <c r="F142" i="46"/>
  <c r="F143" i="46"/>
  <c r="F144" i="46"/>
  <c r="F145" i="46"/>
  <c r="F146" i="46"/>
  <c r="F147" i="46"/>
  <c r="F148" i="46"/>
  <c r="F149" i="46"/>
  <c r="F150" i="46"/>
  <c r="F151" i="46"/>
  <c r="E135" i="46"/>
  <c r="E136" i="46"/>
  <c r="E137" i="46"/>
  <c r="E138" i="46"/>
  <c r="E139" i="46"/>
  <c r="E140" i="46"/>
  <c r="E141" i="46"/>
  <c r="E142" i="46"/>
  <c r="E143" i="46"/>
  <c r="E144" i="46"/>
  <c r="E145" i="46"/>
  <c r="E146" i="46"/>
  <c r="E147" i="46"/>
  <c r="E148" i="46"/>
  <c r="E149" i="46"/>
  <c r="E150" i="46"/>
  <c r="E151" i="46"/>
  <c r="D135" i="46"/>
  <c r="D136" i="46"/>
  <c r="D137" i="46"/>
  <c r="D138" i="46"/>
  <c r="D139" i="46"/>
  <c r="D140" i="46"/>
  <c r="D141" i="46"/>
  <c r="D142" i="46"/>
  <c r="D143" i="46"/>
  <c r="D144" i="46"/>
  <c r="D145" i="46"/>
  <c r="D146" i="46"/>
  <c r="D147" i="46"/>
  <c r="D148" i="46"/>
  <c r="D149" i="46"/>
  <c r="D150" i="46"/>
  <c r="D151" i="46"/>
  <c r="C135" i="46"/>
  <c r="C136" i="46"/>
  <c r="C137" i="46"/>
  <c r="C138" i="46"/>
  <c r="C139" i="46"/>
  <c r="C140" i="46"/>
  <c r="C141" i="46"/>
  <c r="C142" i="46"/>
  <c r="C143" i="46"/>
  <c r="C144" i="46"/>
  <c r="C145" i="46"/>
  <c r="C146" i="46"/>
  <c r="C147" i="46"/>
  <c r="C148" i="46"/>
  <c r="C149" i="46"/>
  <c r="C150" i="46"/>
  <c r="C151" i="46"/>
  <c r="B135" i="46"/>
  <c r="B136" i="46"/>
  <c r="B137" i="46"/>
  <c r="B138" i="46"/>
  <c r="B139" i="46"/>
  <c r="B140" i="46"/>
  <c r="B141" i="46"/>
  <c r="B142" i="46"/>
  <c r="B143" i="46"/>
  <c r="B144" i="46"/>
  <c r="B145" i="46"/>
  <c r="B146" i="46"/>
  <c r="B147" i="46"/>
  <c r="B148" i="46"/>
  <c r="B149" i="46"/>
  <c r="B150" i="46"/>
  <c r="B151" i="46"/>
  <c r="A135" i="46"/>
  <c r="A136" i="46"/>
  <c r="A137" i="46"/>
  <c r="A138" i="46"/>
  <c r="A139" i="46"/>
  <c r="A140" i="46"/>
  <c r="A141" i="46"/>
  <c r="A142" i="46"/>
  <c r="A143" i="46"/>
  <c r="A144" i="46"/>
  <c r="A145" i="46"/>
  <c r="A146" i="46"/>
  <c r="A147" i="46"/>
  <c r="A148" i="46"/>
  <c r="A149" i="46"/>
  <c r="A150" i="46"/>
  <c r="A151" i="46"/>
  <c r="B19" i="29"/>
  <c r="B13" i="29"/>
  <c r="B14" i="29" s="1"/>
  <c r="B12" i="29"/>
  <c r="D120" i="46"/>
  <c r="E120" i="46"/>
  <c r="F120" i="46"/>
  <c r="D121" i="46"/>
  <c r="E121" i="46"/>
  <c r="F121" i="46"/>
  <c r="D122" i="46"/>
  <c r="E122" i="46"/>
  <c r="F122" i="46"/>
  <c r="D123" i="46"/>
  <c r="E123" i="46"/>
  <c r="F123" i="46"/>
  <c r="D124" i="46"/>
  <c r="E124" i="46"/>
  <c r="F124" i="46"/>
  <c r="D125" i="46"/>
  <c r="E125" i="46"/>
  <c r="F125" i="46"/>
  <c r="D126" i="46"/>
  <c r="E126" i="46"/>
  <c r="F126" i="46"/>
  <c r="D127" i="46"/>
  <c r="E127" i="46"/>
  <c r="F127" i="46"/>
  <c r="D128" i="46"/>
  <c r="E128" i="46"/>
  <c r="F128" i="46"/>
  <c r="D129" i="46"/>
  <c r="E129" i="46"/>
  <c r="F129" i="46"/>
  <c r="D130" i="46"/>
  <c r="E130" i="46"/>
  <c r="F130" i="46"/>
  <c r="D131" i="46"/>
  <c r="E131" i="46"/>
  <c r="F131" i="46"/>
  <c r="D132" i="46"/>
  <c r="E132" i="46"/>
  <c r="F132" i="46"/>
  <c r="D133" i="46"/>
  <c r="E133" i="46"/>
  <c r="F133" i="46"/>
  <c r="C120" i="46"/>
  <c r="C121" i="46"/>
  <c r="C122" i="46"/>
  <c r="C123" i="46"/>
  <c r="C124" i="46"/>
  <c r="C125" i="46"/>
  <c r="C126" i="46"/>
  <c r="C127" i="46"/>
  <c r="C128" i="46"/>
  <c r="C129" i="46"/>
  <c r="C130" i="46"/>
  <c r="C131" i="46"/>
  <c r="C132" i="46"/>
  <c r="C133" i="46"/>
  <c r="B120" i="46"/>
  <c r="B121" i="46"/>
  <c r="B122" i="46"/>
  <c r="B123" i="46"/>
  <c r="B124" i="46"/>
  <c r="B125" i="46"/>
  <c r="B126" i="46"/>
  <c r="B127" i="46"/>
  <c r="B128" i="46"/>
  <c r="B129" i="46"/>
  <c r="B130" i="46"/>
  <c r="B131" i="46"/>
  <c r="B132" i="46"/>
  <c r="B133" i="46"/>
  <c r="A120" i="46"/>
  <c r="A121" i="46"/>
  <c r="A122" i="46"/>
  <c r="A123" i="46"/>
  <c r="A124" i="46"/>
  <c r="A125" i="46"/>
  <c r="A126" i="46"/>
  <c r="A127" i="46"/>
  <c r="A128" i="46"/>
  <c r="A129" i="46"/>
  <c r="A130" i="46"/>
  <c r="A131" i="46"/>
  <c r="A132" i="46"/>
  <c r="A133" i="46"/>
  <c r="E108" i="46"/>
  <c r="F108" i="46"/>
  <c r="E109" i="46"/>
  <c r="F109" i="46"/>
  <c r="E110" i="46"/>
  <c r="F110" i="46"/>
  <c r="E111" i="46"/>
  <c r="F111" i="46"/>
  <c r="E112" i="46"/>
  <c r="F112" i="46"/>
  <c r="E113" i="46"/>
  <c r="F113" i="46"/>
  <c r="E114" i="46"/>
  <c r="F114" i="46"/>
  <c r="E115" i="46"/>
  <c r="F115" i="46"/>
  <c r="E116" i="46"/>
  <c r="F116" i="46"/>
  <c r="E117" i="46"/>
  <c r="F117" i="46"/>
  <c r="E118" i="46"/>
  <c r="F118" i="46"/>
  <c r="D108" i="46"/>
  <c r="D109" i="46"/>
  <c r="D110" i="46"/>
  <c r="D111" i="46"/>
  <c r="D112" i="46"/>
  <c r="D113" i="46"/>
  <c r="D114" i="46"/>
  <c r="D115" i="46"/>
  <c r="D116" i="46"/>
  <c r="D117" i="46"/>
  <c r="D118" i="46"/>
  <c r="C108" i="46"/>
  <c r="C109" i="46"/>
  <c r="C110" i="46"/>
  <c r="C111" i="46"/>
  <c r="C112" i="46"/>
  <c r="C113" i="46"/>
  <c r="C114" i="46"/>
  <c r="C115" i="46"/>
  <c r="C116" i="46"/>
  <c r="C117" i="46"/>
  <c r="C118" i="46"/>
  <c r="B108" i="46"/>
  <c r="B109" i="46"/>
  <c r="B110" i="46"/>
  <c r="B111" i="46"/>
  <c r="B112" i="46"/>
  <c r="B113" i="46"/>
  <c r="B114" i="46"/>
  <c r="B115" i="46"/>
  <c r="B116" i="46"/>
  <c r="B117" i="46"/>
  <c r="B118" i="46"/>
  <c r="A108" i="46"/>
  <c r="A109" i="46"/>
  <c r="A110" i="46"/>
  <c r="A111" i="46"/>
  <c r="A112" i="46"/>
  <c r="A113" i="46"/>
  <c r="A114" i="46"/>
  <c r="A115" i="46"/>
  <c r="A116" i="46"/>
  <c r="A117" i="46"/>
  <c r="A118" i="46"/>
  <c r="E87" i="46"/>
  <c r="F87" i="46"/>
  <c r="E88" i="46"/>
  <c r="F88" i="46"/>
  <c r="E89" i="46"/>
  <c r="F89" i="46"/>
  <c r="E90" i="46"/>
  <c r="F90" i="46"/>
  <c r="E91" i="46"/>
  <c r="F91" i="46"/>
  <c r="E92" i="46"/>
  <c r="F92" i="46"/>
  <c r="E93" i="46"/>
  <c r="F93" i="46"/>
  <c r="E94" i="46"/>
  <c r="F94" i="46"/>
  <c r="E95" i="46"/>
  <c r="F95" i="46"/>
  <c r="E96" i="46"/>
  <c r="F96" i="46"/>
  <c r="E97" i="46"/>
  <c r="F97" i="46"/>
  <c r="E98" i="46"/>
  <c r="F98" i="46"/>
  <c r="E99" i="46"/>
  <c r="F99" i="46"/>
  <c r="E100" i="46"/>
  <c r="F100" i="46"/>
  <c r="E101" i="46"/>
  <c r="F101" i="46"/>
  <c r="E102" i="46"/>
  <c r="F102" i="46"/>
  <c r="E103" i="46"/>
  <c r="F103" i="46"/>
  <c r="E104" i="46"/>
  <c r="F104" i="46"/>
  <c r="E105" i="46"/>
  <c r="F105" i="46"/>
  <c r="E106" i="46"/>
  <c r="F106" i="46"/>
  <c r="D88" i="46"/>
  <c r="D89" i="46"/>
  <c r="D90" i="46"/>
  <c r="D91" i="46"/>
  <c r="D92" i="46"/>
  <c r="D93" i="46"/>
  <c r="D94" i="46"/>
  <c r="D95" i="46"/>
  <c r="D96" i="46"/>
  <c r="D97" i="46"/>
  <c r="D98" i="46"/>
  <c r="D99" i="46"/>
  <c r="D100" i="46"/>
  <c r="D101" i="46"/>
  <c r="D102" i="46"/>
  <c r="D103" i="46"/>
  <c r="D104" i="46"/>
  <c r="D105" i="46"/>
  <c r="D106" i="46"/>
  <c r="D87" i="46"/>
  <c r="C88" i="46"/>
  <c r="C89" i="46"/>
  <c r="C90" i="46"/>
  <c r="C91" i="46"/>
  <c r="C92" i="46"/>
  <c r="C93" i="46"/>
  <c r="C94" i="46"/>
  <c r="C95" i="46"/>
  <c r="C96" i="46"/>
  <c r="C97" i="46"/>
  <c r="C98" i="46"/>
  <c r="C99" i="46"/>
  <c r="C100" i="46"/>
  <c r="C101" i="46"/>
  <c r="C102" i="46"/>
  <c r="C103" i="46"/>
  <c r="C104" i="46"/>
  <c r="C105" i="46"/>
  <c r="C106" i="46"/>
  <c r="B88" i="46"/>
  <c r="B89" i="46"/>
  <c r="B90" i="46"/>
  <c r="B91" i="46"/>
  <c r="B92" i="46"/>
  <c r="B93" i="46"/>
  <c r="B94" i="46"/>
  <c r="B95" i="46"/>
  <c r="B96" i="46"/>
  <c r="B97" i="46"/>
  <c r="B98" i="46"/>
  <c r="B99" i="46"/>
  <c r="B100" i="46"/>
  <c r="B101" i="46"/>
  <c r="B102" i="46"/>
  <c r="B103" i="46"/>
  <c r="B104" i="46"/>
  <c r="B105" i="46"/>
  <c r="B106" i="46"/>
  <c r="A88" i="46"/>
  <c r="A89" i="46"/>
  <c r="A90" i="46"/>
  <c r="A91" i="46"/>
  <c r="A92" i="46"/>
  <c r="A93" i="46"/>
  <c r="A94" i="46"/>
  <c r="A95" i="46"/>
  <c r="A96" i="46"/>
  <c r="A97" i="46"/>
  <c r="A98" i="46"/>
  <c r="A99" i="46"/>
  <c r="A100" i="46"/>
  <c r="A101" i="46"/>
  <c r="A102" i="46"/>
  <c r="A103" i="46"/>
  <c r="A104" i="46"/>
  <c r="A105" i="46"/>
  <c r="A106" i="46"/>
  <c r="A67" i="46"/>
  <c r="B67" i="46"/>
  <c r="A68" i="46"/>
  <c r="B68" i="46"/>
  <c r="A69" i="46"/>
  <c r="B69" i="46"/>
  <c r="A70" i="46"/>
  <c r="B70" i="46"/>
  <c r="A71" i="46"/>
  <c r="B71" i="46"/>
  <c r="A72" i="46"/>
  <c r="B72" i="46"/>
  <c r="A73" i="46"/>
  <c r="B73" i="46"/>
  <c r="A74" i="46"/>
  <c r="B74" i="46"/>
  <c r="A75" i="46"/>
  <c r="B75" i="46"/>
  <c r="A76" i="46"/>
  <c r="B76" i="46"/>
  <c r="A77" i="46"/>
  <c r="B77" i="46"/>
  <c r="A78" i="46"/>
  <c r="B78" i="46"/>
  <c r="A79" i="46"/>
  <c r="B79" i="46"/>
  <c r="A80" i="46"/>
  <c r="B80" i="46"/>
  <c r="A81" i="46"/>
  <c r="B81" i="46"/>
  <c r="C81" i="46"/>
  <c r="D81" i="46"/>
  <c r="E81" i="46"/>
  <c r="F81" i="46"/>
  <c r="C79" i="46"/>
  <c r="D79" i="46"/>
  <c r="E79" i="46"/>
  <c r="F79" i="46"/>
  <c r="C80" i="46"/>
  <c r="D80" i="46"/>
  <c r="E80" i="46"/>
  <c r="F80" i="46"/>
  <c r="C67" i="46"/>
  <c r="D67" i="46"/>
  <c r="E67" i="46"/>
  <c r="F67" i="46"/>
  <c r="C68" i="46"/>
  <c r="D68" i="46"/>
  <c r="E68" i="46"/>
  <c r="F68" i="46"/>
  <c r="C69" i="46"/>
  <c r="D69" i="46"/>
  <c r="E69" i="46"/>
  <c r="F69" i="46"/>
  <c r="C70" i="46"/>
  <c r="D70" i="46"/>
  <c r="E70" i="46"/>
  <c r="F70" i="46"/>
  <c r="C71" i="46"/>
  <c r="D71" i="46"/>
  <c r="E71" i="46"/>
  <c r="F71" i="46"/>
  <c r="C72" i="46"/>
  <c r="D72" i="46"/>
  <c r="E72" i="46"/>
  <c r="F72" i="46"/>
  <c r="C73" i="46"/>
  <c r="D73" i="46"/>
  <c r="E73" i="46"/>
  <c r="F73" i="46"/>
  <c r="C74" i="46"/>
  <c r="D74" i="46"/>
  <c r="E74" i="46"/>
  <c r="F74" i="46"/>
  <c r="C75" i="46"/>
  <c r="D75" i="46"/>
  <c r="E75" i="46"/>
  <c r="F75" i="46"/>
  <c r="C76" i="46"/>
  <c r="D76" i="46"/>
  <c r="E76" i="46"/>
  <c r="F76" i="46"/>
  <c r="C77" i="46"/>
  <c r="D77" i="46"/>
  <c r="E77" i="46"/>
  <c r="F77" i="46"/>
  <c r="C78" i="46"/>
  <c r="D78" i="46"/>
  <c r="E78" i="46"/>
  <c r="F78" i="46"/>
  <c r="E66" i="46"/>
  <c r="F66" i="46"/>
  <c r="D66" i="46"/>
  <c r="C66" i="46"/>
  <c r="B66" i="46"/>
  <c r="A66" i="46"/>
  <c r="B12" i="13"/>
  <c r="B13" i="13" s="1"/>
  <c r="B14" i="13" s="1"/>
  <c r="B15" i="13" s="1"/>
  <c r="B16" i="13" s="1"/>
  <c r="B17" i="13" s="1"/>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E10" i="46"/>
  <c r="E11" i="46"/>
  <c r="E12" i="46"/>
  <c r="E13" i="46"/>
  <c r="E14" i="46"/>
  <c r="E15" i="46"/>
  <c r="E16" i="46"/>
  <c r="E17" i="46"/>
  <c r="E18" i="46"/>
  <c r="E19" i="46"/>
  <c r="E20" i="46"/>
  <c r="E21" i="46"/>
  <c r="E22" i="46"/>
  <c r="E23" i="46"/>
  <c r="E24" i="46"/>
  <c r="E25" i="46"/>
  <c r="E26" i="46"/>
  <c r="E27" i="46"/>
  <c r="E28" i="46"/>
  <c r="E29" i="46"/>
  <c r="E30" i="46"/>
  <c r="E31" i="46"/>
  <c r="E32" i="46"/>
  <c r="E33" i="46"/>
  <c r="E34" i="46"/>
  <c r="E35" i="46"/>
  <c r="E36" i="46"/>
  <c r="E37" i="46"/>
  <c r="E38" i="46"/>
  <c r="E39" i="46"/>
  <c r="D10" i="46"/>
  <c r="D11" i="46"/>
  <c r="D12" i="46"/>
  <c r="D13" i="46"/>
  <c r="D14" i="46"/>
  <c r="D15" i="46"/>
  <c r="D16" i="46"/>
  <c r="D17" i="46"/>
  <c r="D18" i="46"/>
  <c r="D19" i="46"/>
  <c r="D20" i="46"/>
  <c r="D21" i="46"/>
  <c r="D22" i="46"/>
  <c r="D23" i="46"/>
  <c r="D24" i="46"/>
  <c r="D25" i="46"/>
  <c r="D26" i="46"/>
  <c r="D27" i="46"/>
  <c r="D28" i="46"/>
  <c r="D29" i="46"/>
  <c r="D30" i="46"/>
  <c r="D31" i="46"/>
  <c r="D32" i="46"/>
  <c r="D33" i="46"/>
  <c r="D34" i="46"/>
  <c r="D35" i="46"/>
  <c r="D36" i="46"/>
  <c r="D37" i="46"/>
  <c r="D38" i="46"/>
  <c r="D39" i="46"/>
  <c r="C10" i="46"/>
  <c r="C11" i="46"/>
  <c r="C12" i="46"/>
  <c r="C13" i="46"/>
  <c r="C14" i="46"/>
  <c r="C15" i="46"/>
  <c r="C16" i="46"/>
  <c r="C17" i="46"/>
  <c r="C18" i="46"/>
  <c r="C19" i="46"/>
  <c r="C20" i="46"/>
  <c r="C21" i="46"/>
  <c r="C22" i="46"/>
  <c r="C23" i="46"/>
  <c r="C24" i="46"/>
  <c r="C25" i="46"/>
  <c r="C26" i="46"/>
  <c r="C27" i="46"/>
  <c r="C28" i="46"/>
  <c r="C29" i="46"/>
  <c r="C30" i="46"/>
  <c r="C31" i="46"/>
  <c r="C32" i="46"/>
  <c r="C33" i="46"/>
  <c r="C34" i="46"/>
  <c r="C35" i="46"/>
  <c r="C36" i="46"/>
  <c r="C37" i="46"/>
  <c r="C38" i="46"/>
  <c r="C39" i="46"/>
  <c r="B10" i="46"/>
  <c r="B11" i="46"/>
  <c r="B12" i="46"/>
  <c r="B13" i="46"/>
  <c r="B14" i="46"/>
  <c r="B15" i="46"/>
  <c r="B16" i="46"/>
  <c r="B17" i="46"/>
  <c r="B18" i="46"/>
  <c r="B19" i="46"/>
  <c r="B20" i="46"/>
  <c r="B21" i="46"/>
  <c r="B22" i="46"/>
  <c r="B23" i="46"/>
  <c r="B24" i="46"/>
  <c r="B25" i="46"/>
  <c r="B26" i="46"/>
  <c r="B27" i="46"/>
  <c r="B28" i="46"/>
  <c r="B29" i="46"/>
  <c r="B30" i="46"/>
  <c r="B31" i="46"/>
  <c r="B32" i="46"/>
  <c r="B33" i="46"/>
  <c r="B34" i="46"/>
  <c r="B35" i="46"/>
  <c r="B36" i="46"/>
  <c r="B37" i="46"/>
  <c r="B38" i="46"/>
  <c r="B39" i="46"/>
  <c r="A10" i="46"/>
  <c r="A11" i="46"/>
  <c r="A12" i="46"/>
  <c r="A13" i="46"/>
  <c r="A14" i="46"/>
  <c r="A15" i="46"/>
  <c r="A16" i="46"/>
  <c r="A17" i="46"/>
  <c r="A18" i="46"/>
  <c r="A19" i="46"/>
  <c r="A20" i="46"/>
  <c r="A21" i="46"/>
  <c r="A22" i="46"/>
  <c r="A23" i="46"/>
  <c r="A24" i="46"/>
  <c r="A25" i="46"/>
  <c r="A26" i="46"/>
  <c r="A27" i="46"/>
  <c r="A28" i="46"/>
  <c r="A29" i="46"/>
  <c r="A30" i="46"/>
  <c r="A31" i="46"/>
  <c r="A32" i="46"/>
  <c r="A33" i="46"/>
  <c r="A34" i="46"/>
  <c r="A35" i="46"/>
  <c r="A36" i="46"/>
  <c r="A37" i="46"/>
  <c r="A38" i="46"/>
  <c r="A39" i="46"/>
  <c r="B10" i="43"/>
  <c r="B11" i="43" s="1"/>
  <c r="B12" i="43" s="1"/>
  <c r="B13" i="43" s="1"/>
  <c r="B14" i="43" s="1"/>
  <c r="B15" i="43" s="1"/>
  <c r="B16" i="43" s="1"/>
  <c r="B17" i="43" s="1"/>
  <c r="B18" i="43" s="1"/>
  <c r="B19" i="43" s="1"/>
  <c r="B20" i="43" s="1"/>
  <c r="B21" i="43" s="1"/>
  <c r="B22" i="43" s="1"/>
  <c r="B23" i="43" s="1"/>
  <c r="B24" i="43" s="1"/>
  <c r="B25" i="43" s="1"/>
  <c r="B26" i="43" s="1"/>
  <c r="B27" i="43" s="1"/>
  <c r="B28" i="43" s="1"/>
  <c r="B29" i="43" s="1"/>
  <c r="B30" i="43" s="1"/>
  <c r="B31" i="43" s="1"/>
  <c r="B32" i="43" s="1"/>
  <c r="B33" i="43" s="1"/>
  <c r="B34" i="43" s="1"/>
  <c r="B35" i="43" s="1"/>
  <c r="B36" i="43" s="1"/>
  <c r="B37" i="43" s="1"/>
  <c r="B38" i="43" s="1"/>
  <c r="B39" i="43" s="1"/>
  <c r="F58" i="46"/>
  <c r="F59" i="46"/>
  <c r="F60" i="46"/>
  <c r="F61" i="46"/>
  <c r="F62" i="46"/>
  <c r="F63" i="46"/>
  <c r="F64" i="46"/>
  <c r="F65" i="46"/>
  <c r="E58" i="46"/>
  <c r="E59" i="46"/>
  <c r="E60" i="46"/>
  <c r="E61" i="46"/>
  <c r="E62" i="46"/>
  <c r="E63" i="46"/>
  <c r="E64" i="46"/>
  <c r="E65" i="46"/>
  <c r="D58" i="46"/>
  <c r="D59" i="46"/>
  <c r="D60" i="46"/>
  <c r="D61" i="46"/>
  <c r="D62" i="46"/>
  <c r="D63" i="46"/>
  <c r="D64" i="46"/>
  <c r="D65" i="46"/>
  <c r="C58" i="46"/>
  <c r="C59" i="46"/>
  <c r="C60" i="46"/>
  <c r="C61" i="46"/>
  <c r="C62" i="46"/>
  <c r="C63" i="46"/>
  <c r="C64" i="46"/>
  <c r="C65" i="46"/>
  <c r="B58" i="46"/>
  <c r="B59" i="46"/>
  <c r="B60" i="46"/>
  <c r="B61" i="46"/>
  <c r="B62" i="46"/>
  <c r="B63" i="46"/>
  <c r="B64" i="46"/>
  <c r="B65" i="46"/>
  <c r="A58" i="46"/>
  <c r="A59" i="46"/>
  <c r="A60" i="46"/>
  <c r="A61" i="46"/>
  <c r="A62" i="46"/>
  <c r="A63" i="46"/>
  <c r="A64" i="46"/>
  <c r="A65" i="46"/>
  <c r="F47" i="46"/>
  <c r="F48" i="46"/>
  <c r="F49" i="46"/>
  <c r="F50" i="46"/>
  <c r="F51" i="46"/>
  <c r="F52" i="46"/>
  <c r="F53" i="46"/>
  <c r="F54" i="46"/>
  <c r="F55" i="46"/>
  <c r="F56" i="46"/>
  <c r="E47" i="46"/>
  <c r="E48" i="46"/>
  <c r="E49" i="46"/>
  <c r="E50" i="46"/>
  <c r="E51" i="46"/>
  <c r="E52" i="46"/>
  <c r="E53" i="46"/>
  <c r="E54" i="46"/>
  <c r="E55" i="46"/>
  <c r="E56" i="46"/>
  <c r="D47" i="46"/>
  <c r="D48" i="46"/>
  <c r="D49" i="46"/>
  <c r="D50" i="46"/>
  <c r="D51" i="46"/>
  <c r="D52" i="46"/>
  <c r="D53" i="46"/>
  <c r="D54" i="46"/>
  <c r="D55" i="46"/>
  <c r="D56" i="46"/>
  <c r="F46" i="46"/>
  <c r="E46" i="46"/>
  <c r="D46" i="46"/>
  <c r="C47" i="46"/>
  <c r="C48" i="46"/>
  <c r="C49" i="46"/>
  <c r="C50" i="46"/>
  <c r="C51" i="46"/>
  <c r="C52" i="46"/>
  <c r="C53" i="46"/>
  <c r="C54" i="46"/>
  <c r="C55" i="46"/>
  <c r="C56" i="46"/>
  <c r="B47" i="46"/>
  <c r="B48" i="46"/>
  <c r="B49" i="46"/>
  <c r="B50" i="46"/>
  <c r="B51" i="46"/>
  <c r="B52" i="46"/>
  <c r="B53" i="46"/>
  <c r="B54" i="46"/>
  <c r="B55" i="46"/>
  <c r="B56" i="46"/>
  <c r="A47" i="46"/>
  <c r="A48" i="46"/>
  <c r="A49" i="46"/>
  <c r="A50" i="46"/>
  <c r="A51" i="46"/>
  <c r="A52" i="46"/>
  <c r="A53" i="46"/>
  <c r="A54" i="46"/>
  <c r="A55" i="46"/>
  <c r="A56" i="46"/>
  <c r="D41" i="46"/>
  <c r="E41" i="46"/>
  <c r="F41" i="46"/>
  <c r="D42" i="46"/>
  <c r="E42" i="46"/>
  <c r="F42" i="46"/>
  <c r="D43" i="46"/>
  <c r="E43" i="46"/>
  <c r="F43" i="46"/>
  <c r="D44" i="46"/>
  <c r="E44" i="46"/>
  <c r="F44" i="46"/>
  <c r="D45" i="46"/>
  <c r="E45" i="46"/>
  <c r="F45" i="46"/>
  <c r="F40" i="46"/>
  <c r="E40" i="46"/>
  <c r="D40" i="46"/>
  <c r="C46" i="46"/>
  <c r="B46" i="46"/>
  <c r="A46" i="46"/>
  <c r="F3" i="46"/>
  <c r="F4" i="46"/>
  <c r="F5" i="46"/>
  <c r="F6" i="46"/>
  <c r="F7" i="46"/>
  <c r="F8" i="46"/>
  <c r="F9" i="46"/>
  <c r="E3" i="46"/>
  <c r="E4" i="46"/>
  <c r="E5" i="46"/>
  <c r="E6" i="46"/>
  <c r="E7" i="46"/>
  <c r="E8" i="46"/>
  <c r="E9" i="46"/>
  <c r="D3" i="46"/>
  <c r="D4" i="46"/>
  <c r="D5" i="46"/>
  <c r="D6" i="46"/>
  <c r="D7" i="46"/>
  <c r="D8" i="46"/>
  <c r="D9" i="46"/>
  <c r="C3" i="46"/>
  <c r="C4" i="46"/>
  <c r="C5" i="46"/>
  <c r="C6" i="46"/>
  <c r="C7" i="46"/>
  <c r="C8" i="46"/>
  <c r="C9" i="46"/>
  <c r="C41" i="46"/>
  <c r="C42" i="46"/>
  <c r="C43" i="46"/>
  <c r="C44" i="46"/>
  <c r="C45" i="46"/>
  <c r="C40" i="46"/>
  <c r="B41" i="46"/>
  <c r="B42" i="46"/>
  <c r="B43" i="46"/>
  <c r="B44" i="46"/>
  <c r="B45" i="46"/>
  <c r="B40" i="46"/>
  <c r="A41" i="46"/>
  <c r="A42" i="46"/>
  <c r="A43" i="46"/>
  <c r="A44" i="46"/>
  <c r="A45" i="46"/>
  <c r="A40" i="46"/>
  <c r="A3" i="46"/>
  <c r="A4" i="46"/>
  <c r="A5" i="46"/>
  <c r="A6" i="46"/>
  <c r="A7" i="46"/>
  <c r="A8" i="46"/>
  <c r="A9" i="46"/>
  <c r="B5" i="33"/>
  <c r="B6" i="33" s="1"/>
  <c r="B4" i="33"/>
  <c r="B3" i="43"/>
  <c r="B4" i="43" s="1"/>
  <c r="B4" i="46" s="1"/>
  <c r="C2" i="46"/>
  <c r="D2" i="46"/>
  <c r="C83" i="46"/>
  <c r="D353" i="46"/>
  <c r="E353" i="46"/>
  <c r="M67" i="54" l="1"/>
  <c r="M62" i="54"/>
  <c r="M63" i="54"/>
  <c r="M64" i="54"/>
  <c r="M65" i="54"/>
  <c r="M11" i="54"/>
  <c r="M37" i="54"/>
  <c r="M9" i="54"/>
  <c r="M13" i="54"/>
  <c r="M14" i="54"/>
  <c r="M16" i="54"/>
  <c r="M17" i="54"/>
  <c r="M4" i="54"/>
  <c r="M20" i="54"/>
  <c r="M5" i="54"/>
  <c r="M22" i="54"/>
  <c r="M7" i="54"/>
  <c r="M25" i="54"/>
  <c r="M8" i="54"/>
  <c r="M26" i="54"/>
  <c r="M32" i="54"/>
  <c r="M10" i="54"/>
  <c r="M34" i="54"/>
  <c r="M36" i="54"/>
  <c r="M12" i="54"/>
  <c r="M38" i="54"/>
  <c r="M50" i="54"/>
  <c r="M3" i="54"/>
  <c r="M15" i="54"/>
  <c r="M27" i="54"/>
  <c r="M39" i="54"/>
  <c r="M51" i="54"/>
  <c r="M28" i="54"/>
  <c r="M40" i="54"/>
  <c r="M29" i="54"/>
  <c r="M41" i="54"/>
  <c r="M6" i="54"/>
  <c r="M18" i="54"/>
  <c r="M30" i="54"/>
  <c r="M42" i="54"/>
  <c r="M54" i="54"/>
  <c r="M19" i="54"/>
  <c r="M31" i="54"/>
  <c r="M43" i="54"/>
  <c r="M55" i="54"/>
  <c r="M44" i="54"/>
  <c r="M56" i="54"/>
  <c r="M21" i="54"/>
  <c r="M33" i="54"/>
  <c r="M45" i="54"/>
  <c r="M57" i="54"/>
  <c r="M46" i="54"/>
  <c r="M58" i="54"/>
  <c r="M23" i="54"/>
  <c r="M35" i="54"/>
  <c r="M47" i="54"/>
  <c r="M60" i="54"/>
  <c r="M24" i="54"/>
  <c r="M48" i="54"/>
  <c r="M59" i="54"/>
  <c r="M49" i="54"/>
  <c r="I4" i="54"/>
  <c r="I5" i="54"/>
  <c r="I7" i="54"/>
  <c r="I6" i="54"/>
  <c r="I8" i="54"/>
  <c r="B4" i="35"/>
  <c r="B5" i="35" s="1"/>
  <c r="B6" i="27"/>
  <c r="B11" i="25"/>
  <c r="B12" i="25" s="1"/>
  <c r="B6" i="30"/>
  <c r="B8" i="3"/>
  <c r="B8" i="38"/>
  <c r="B15" i="29"/>
  <c r="B3" i="46"/>
  <c r="B7" i="33"/>
  <c r="B5" i="43"/>
  <c r="B5" i="46" s="1"/>
  <c r="B6" i="35" l="1"/>
  <c r="B7" i="35" s="1"/>
  <c r="B8" i="35" s="1"/>
  <c r="B9" i="35" s="1"/>
  <c r="B10" i="35" s="1"/>
  <c r="B11" i="35" s="1"/>
  <c r="B12" i="35" s="1"/>
  <c r="B13" i="35" s="1"/>
  <c r="B14" i="35" s="1"/>
  <c r="B7" i="27"/>
  <c r="B13" i="25"/>
  <c r="B7" i="30"/>
  <c r="B9" i="3"/>
  <c r="B9" i="38"/>
  <c r="B16" i="29"/>
  <c r="B17" i="29" s="1"/>
  <c r="B18" i="29" s="1"/>
  <c r="B8" i="33"/>
  <c r="B6" i="43"/>
  <c r="B637" i="46"/>
  <c r="C637" i="46"/>
  <c r="D637" i="46"/>
  <c r="E637" i="46"/>
  <c r="F637" i="46"/>
  <c r="A637" i="46"/>
  <c r="B606" i="46"/>
  <c r="C606" i="46"/>
  <c r="A606" i="46"/>
  <c r="B5" i="11"/>
  <c r="B6" i="11" s="1"/>
  <c r="B7" i="11" s="1"/>
  <c r="B8" i="11" s="1"/>
  <c r="B9" i="11" s="1"/>
  <c r="B10" i="11" s="1"/>
  <c r="B11" i="11" s="1"/>
  <c r="B12" i="11" s="1"/>
  <c r="B13" i="11" s="1"/>
  <c r="B14" i="11" s="1"/>
  <c r="B15" i="11" s="1"/>
  <c r="B16" i="11" s="1"/>
  <c r="B17" i="11" s="1"/>
  <c r="B18" i="11" s="1"/>
  <c r="B19" i="11" s="1"/>
  <c r="B20" i="11" s="1"/>
  <c r="B21" i="11" s="1"/>
  <c r="B22" i="11" s="1"/>
  <c r="B23" i="11" s="1"/>
  <c r="D600" i="46"/>
  <c r="E600" i="46"/>
  <c r="F600" i="46"/>
  <c r="B600" i="46"/>
  <c r="C600" i="46"/>
  <c r="A600" i="46"/>
  <c r="D569" i="46"/>
  <c r="E569" i="46"/>
  <c r="F569" i="46"/>
  <c r="A569" i="46"/>
  <c r="B3" i="4"/>
  <c r="B528" i="46"/>
  <c r="C528" i="46"/>
  <c r="D528" i="46"/>
  <c r="E528" i="46"/>
  <c r="F528" i="46"/>
  <c r="A528" i="46"/>
  <c r="E523" i="46"/>
  <c r="F523" i="46"/>
  <c r="B523" i="46"/>
  <c r="C523" i="46"/>
  <c r="D523" i="46"/>
  <c r="A523" i="46"/>
  <c r="B486" i="46"/>
  <c r="C486" i="46"/>
  <c r="A486" i="46"/>
  <c r="B477" i="46"/>
  <c r="C477" i="46"/>
  <c r="D477" i="46"/>
  <c r="E477" i="46"/>
  <c r="F477" i="46"/>
  <c r="A477" i="46"/>
  <c r="B448" i="46"/>
  <c r="C448" i="46"/>
  <c r="D448" i="46"/>
  <c r="E448" i="46"/>
  <c r="F448" i="46"/>
  <c r="A448" i="46"/>
  <c r="B427" i="46"/>
  <c r="C427" i="46"/>
  <c r="D427" i="46"/>
  <c r="E427" i="46"/>
  <c r="F427" i="46"/>
  <c r="A427" i="46"/>
  <c r="B417" i="46"/>
  <c r="C417" i="46"/>
  <c r="D417" i="46"/>
  <c r="E417" i="46"/>
  <c r="F417" i="46"/>
  <c r="A417" i="46"/>
  <c r="B404" i="46"/>
  <c r="C404" i="46"/>
  <c r="D404" i="46"/>
  <c r="E404" i="46"/>
  <c r="F404" i="46"/>
  <c r="A404" i="46"/>
  <c r="B388" i="46"/>
  <c r="C388" i="46"/>
  <c r="D388" i="46"/>
  <c r="E388" i="46"/>
  <c r="F388" i="46"/>
  <c r="A388" i="46"/>
  <c r="E372" i="46"/>
  <c r="F372" i="46"/>
  <c r="B372" i="46"/>
  <c r="C372" i="46"/>
  <c r="D372" i="46"/>
  <c r="A372" i="46"/>
  <c r="B353" i="46"/>
  <c r="C353" i="46"/>
  <c r="F353" i="46"/>
  <c r="A353" i="46"/>
  <c r="F338" i="46"/>
  <c r="B338" i="46"/>
  <c r="C338" i="46"/>
  <c r="D338" i="46"/>
  <c r="E338" i="46"/>
  <c r="A338" i="46"/>
  <c r="B273" i="46"/>
  <c r="C273" i="46"/>
  <c r="D273" i="46"/>
  <c r="E273" i="46"/>
  <c r="F273" i="46"/>
  <c r="A273" i="46"/>
  <c r="B243" i="46"/>
  <c r="C243" i="46"/>
  <c r="D243" i="46"/>
  <c r="E243" i="46"/>
  <c r="F243" i="46"/>
  <c r="A243" i="46"/>
  <c r="A227" i="46"/>
  <c r="B227" i="46"/>
  <c r="C227" i="46"/>
  <c r="B219" i="46"/>
  <c r="C219" i="46"/>
  <c r="D219" i="46"/>
  <c r="E219" i="46"/>
  <c r="F219" i="46"/>
  <c r="A219" i="46"/>
  <c r="B206" i="46"/>
  <c r="C206" i="46"/>
  <c r="D206" i="46"/>
  <c r="E206" i="46"/>
  <c r="F206" i="46"/>
  <c r="A206" i="46"/>
  <c r="B184" i="46"/>
  <c r="C184" i="46"/>
  <c r="D184" i="46"/>
  <c r="E184" i="46"/>
  <c r="F184" i="46"/>
  <c r="A184" i="46"/>
  <c r="B168" i="46"/>
  <c r="C168" i="46"/>
  <c r="D168" i="46"/>
  <c r="E168" i="46"/>
  <c r="F168" i="46"/>
  <c r="A168" i="46"/>
  <c r="B152" i="46"/>
  <c r="C152" i="46"/>
  <c r="D152" i="46"/>
  <c r="E152" i="46"/>
  <c r="A152" i="46"/>
  <c r="B134" i="46"/>
  <c r="C134" i="46"/>
  <c r="D134" i="46"/>
  <c r="E134" i="46"/>
  <c r="F134" i="46"/>
  <c r="A134" i="46"/>
  <c r="B119" i="46"/>
  <c r="C119" i="46"/>
  <c r="D119" i="46"/>
  <c r="E119" i="46"/>
  <c r="F119" i="46"/>
  <c r="A119" i="46"/>
  <c r="F107" i="46"/>
  <c r="B107" i="46"/>
  <c r="C107" i="46"/>
  <c r="D107" i="46"/>
  <c r="E107" i="46"/>
  <c r="A107" i="46"/>
  <c r="B11" i="34"/>
  <c r="B87" i="46"/>
  <c r="C87" i="46"/>
  <c r="A87" i="46"/>
  <c r="B7" i="6"/>
  <c r="B8" i="6" s="1"/>
  <c r="B9" i="6" s="1"/>
  <c r="B10" i="6" s="1"/>
  <c r="B11" i="6" s="1"/>
  <c r="B12" i="6" s="1"/>
  <c r="B13" i="6" s="1"/>
  <c r="B14" i="6" s="1"/>
  <c r="B15" i="6" s="1"/>
  <c r="B16" i="6" s="1"/>
  <c r="B17" i="6" s="1"/>
  <c r="B18" i="6" s="1"/>
  <c r="B19" i="6" s="1"/>
  <c r="B20" i="6" s="1"/>
  <c r="B21" i="6" s="1"/>
  <c r="B6" i="6"/>
  <c r="A83" i="46"/>
  <c r="B83" i="46"/>
  <c r="D83" i="46"/>
  <c r="E83" i="46"/>
  <c r="F83" i="46"/>
  <c r="A84" i="46"/>
  <c r="B84" i="46"/>
  <c r="C84" i="46"/>
  <c r="D84" i="46"/>
  <c r="E84" i="46"/>
  <c r="F84" i="46"/>
  <c r="A85" i="46"/>
  <c r="B85" i="46"/>
  <c r="C85" i="46"/>
  <c r="D85" i="46"/>
  <c r="E85" i="46"/>
  <c r="F85" i="46"/>
  <c r="A86" i="46"/>
  <c r="B86" i="46"/>
  <c r="C86" i="46"/>
  <c r="D86" i="46"/>
  <c r="E86" i="46"/>
  <c r="F86" i="46"/>
  <c r="B82" i="46"/>
  <c r="C82" i="46"/>
  <c r="D82" i="46"/>
  <c r="E82" i="46"/>
  <c r="F82" i="46"/>
  <c r="A82" i="46"/>
  <c r="B3" i="13"/>
  <c r="B57" i="46"/>
  <c r="C57" i="46"/>
  <c r="D57" i="46"/>
  <c r="E57" i="46"/>
  <c r="F57" i="46"/>
  <c r="A57" i="46"/>
  <c r="F2" i="46"/>
  <c r="E2" i="46"/>
  <c r="B2" i="46"/>
  <c r="A2" i="46"/>
  <c r="B16" i="45"/>
  <c r="B17" i="44"/>
  <c r="B15" i="35" l="1"/>
  <c r="B8" i="27"/>
  <c r="B14" i="25"/>
  <c r="B8" i="30"/>
  <c r="B17" i="45"/>
  <c r="B10" i="3"/>
  <c r="B10" i="38"/>
  <c r="B4" i="4"/>
  <c r="B12" i="34"/>
  <c r="B4" i="13"/>
  <c r="B7" i="43"/>
  <c r="B7" i="46" s="1"/>
  <c r="B6" i="46"/>
  <c r="B9" i="33"/>
  <c r="B8" i="43"/>
  <c r="B8" i="46" s="1"/>
  <c r="B17" i="37"/>
  <c r="B17" i="28"/>
  <c r="B17" i="24"/>
  <c r="B17" i="23"/>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B16" i="35" l="1"/>
  <c r="B9" i="27"/>
  <c r="B18" i="28"/>
  <c r="B9" i="30"/>
  <c r="B18" i="37"/>
  <c r="B18" i="23"/>
  <c r="B11" i="3"/>
  <c r="B11" i="38"/>
  <c r="B18" i="24"/>
  <c r="B5" i="4"/>
  <c r="B13" i="34"/>
  <c r="B5" i="13"/>
  <c r="B10" i="33"/>
  <c r="B9" i="43"/>
  <c r="B9" i="46" s="1"/>
  <c r="B17" i="35" l="1"/>
  <c r="B10" i="27"/>
  <c r="B19" i="28"/>
  <c r="B10" i="30"/>
  <c r="B19" i="37"/>
  <c r="B19" i="23"/>
  <c r="B12" i="3"/>
  <c r="B12" i="38"/>
  <c r="B6" i="4"/>
  <c r="B6" i="13"/>
  <c r="B11" i="33"/>
  <c r="B18" i="35" l="1"/>
  <c r="B19" i="35" s="1"/>
  <c r="B20" i="35" s="1"/>
  <c r="B21" i="35" s="1"/>
  <c r="B22" i="35" s="1"/>
  <c r="B11" i="27"/>
  <c r="B20" i="28"/>
  <c r="B11" i="30"/>
  <c r="B20" i="37"/>
  <c r="B20" i="23"/>
  <c r="B13" i="3"/>
  <c r="B13" i="38"/>
  <c r="B7" i="4"/>
  <c r="B7" i="13"/>
  <c r="B12" i="33"/>
  <c r="B23" i="35" l="1"/>
  <c r="B12" i="27"/>
  <c r="B21" i="28"/>
  <c r="B12" i="30"/>
  <c r="B21" i="23"/>
  <c r="B14" i="3"/>
  <c r="B14" i="38"/>
  <c r="B8" i="4"/>
  <c r="B8" i="13"/>
  <c r="B24" i="35" l="1"/>
  <c r="B13" i="27"/>
  <c r="B22" i="28"/>
  <c r="B13" i="30"/>
  <c r="B22" i="23"/>
  <c r="B15" i="3"/>
  <c r="B9" i="4"/>
  <c r="B9" i="13"/>
  <c r="B25" i="35" l="1"/>
  <c r="B14" i="27"/>
  <c r="B14" i="30"/>
  <c r="B23" i="23"/>
  <c r="B16" i="3"/>
  <c r="B10" i="4"/>
  <c r="B10" i="13"/>
  <c r="B26" i="35" l="1"/>
  <c r="B15" i="27"/>
  <c r="B15" i="30"/>
  <c r="B24" i="23"/>
  <c r="B17" i="3"/>
  <c r="B11" i="4"/>
  <c r="B11" i="13"/>
  <c r="B27" i="35" l="1"/>
  <c r="B16" i="27"/>
  <c r="B16" i="30"/>
  <c r="B25" i="23"/>
  <c r="B12" i="4"/>
  <c r="B28" i="35" l="1"/>
  <c r="B17" i="27"/>
  <c r="B17" i="30"/>
  <c r="B26" i="23"/>
  <c r="B13" i="4"/>
  <c r="B18" i="27" l="1"/>
  <c r="B18" i="30"/>
  <c r="B27" i="23"/>
  <c r="B14" i="4"/>
  <c r="B19" i="27" l="1"/>
  <c r="B19" i="30"/>
  <c r="B28" i="23"/>
  <c r="B15" i="4"/>
  <c r="B20" i="27" l="1"/>
  <c r="B20" i="30"/>
  <c r="B29" i="23"/>
  <c r="B16" i="4"/>
  <c r="B17" i="4" l="1"/>
  <c r="B21" i="27"/>
  <c r="B21" i="30"/>
  <c r="B30" i="23"/>
  <c r="B18" i="4" l="1"/>
  <c r="B22" i="27"/>
  <c r="B22" i="30"/>
  <c r="B31" i="23"/>
  <c r="B19" i="4" l="1"/>
  <c r="B23" i="27"/>
  <c r="B24" i="27" s="1"/>
  <c r="B23" i="30"/>
  <c r="B20" i="4" l="1"/>
  <c r="B25" i="27"/>
  <c r="B24" i="30"/>
  <c r="B25" i="30" s="1"/>
  <c r="B21" i="4" l="1"/>
  <c r="B26" i="27"/>
  <c r="B26" i="30"/>
  <c r="B22" i="4" l="1"/>
  <c r="B27" i="27"/>
  <c r="B27" i="30"/>
  <c r="B23" i="4" l="1"/>
  <c r="B24" i="4" s="1"/>
  <c r="B25" i="4" s="1"/>
  <c r="B26" i="4" s="1"/>
  <c r="B27" i="4" s="1"/>
  <c r="B28" i="4" s="1"/>
  <c r="B29" i="4" s="1"/>
  <c r="B30" i="4" s="1"/>
  <c r="B31" i="4" s="1"/>
  <c r="B32" i="4" s="1"/>
  <c r="B28" i="27"/>
  <c r="B28" i="30"/>
  <c r="B29" i="27" l="1"/>
  <c r="B29" i="30"/>
  <c r="B30" i="27" l="1"/>
  <c r="B30" i="30"/>
  <c r="B31" i="30" l="1"/>
  <c r="B32" i="30" l="1"/>
  <c r="B33" i="30" l="1"/>
  <c r="B34" i="30" l="1"/>
  <c r="B35" i="30" l="1"/>
  <c r="B36" i="30" l="1"/>
  <c r="B37" i="30" l="1"/>
  <c r="B38" i="30" l="1"/>
  <c r="B39" i="30" l="1"/>
  <c r="B40" i="30" l="1"/>
  <c r="B41" i="30" l="1"/>
  <c r="B42" i="30" l="1"/>
  <c r="B43" i="30" l="1"/>
  <c r="B44" i="30" l="1"/>
  <c r="B45" i="30" l="1"/>
  <c r="B46" i="30" l="1"/>
  <c r="B47" i="30" l="1"/>
  <c r="B48" i="30" l="1"/>
  <c r="B49" i="30" l="1"/>
  <c r="B50" i="30" l="1"/>
  <c r="B51" i="30" l="1"/>
  <c r="B52" i="30" l="1"/>
  <c r="B53" i="30" l="1"/>
  <c r="B54" i="30" l="1"/>
  <c r="B55" i="30" l="1"/>
  <c r="B56" i="30" l="1"/>
  <c r="B57" i="30" l="1"/>
  <c r="B58" i="30" l="1"/>
  <c r="B59" i="30" l="1"/>
  <c r="B60" i="30" l="1"/>
  <c r="B61" i="30" l="1"/>
  <c r="B62" i="30" l="1"/>
  <c r="B63" i="30" l="1"/>
  <c r="B64" i="30" l="1"/>
  <c r="B65" i="30" l="1"/>
  <c r="B66" i="30" l="1"/>
</calcChain>
</file>

<file path=xl/sharedStrings.xml><?xml version="1.0" encoding="utf-8"?>
<sst xmlns="http://schemas.openxmlformats.org/spreadsheetml/2006/main" count="2533" uniqueCount="1436">
  <si>
    <t xml:space="preserve">ID </t>
  </si>
  <si>
    <t>A review of economic approaches modeling the complex interactions between forest management and watershed services</t>
  </si>
  <si>
    <t>A synthesis and future research directions for tropical mountain ecosystem restoration</t>
  </si>
  <si>
    <t>Barriers and Solutions to Green Facade Implementation—A Review of Literature and a Case Study of Leipzig,  Germany</t>
  </si>
  <si>
    <t>Evaluation of stormwater management approaches and challenges in urban flood control</t>
  </si>
  <si>
    <t>Green infrastructure for sustainable urban water management: Practices of five forerunner cities</t>
  </si>
  <si>
    <t xml:space="preserve">Code </t>
  </si>
  <si>
    <t>Text fragment</t>
  </si>
  <si>
    <t>at smaller scale a forest may use more water than other vegetations (Filoso et al., 2017). Hence, the scale of the analysis seems to matter, as large-scale deforestation may decrease total downstream water supply (</t>
  </si>
  <si>
    <t>Often these water-re- lated payment schemes lack appropriate monitoring of quantitative objectives and outcomes supporting their environmental performance (Brouwer et al., 2011; Naeem et al., 2015). This gap in knowledge and information reflects, in part, the fragmented understanding of the complexity underlying ecohydrological processes in forest ecosystems due to the relatively large number of driving factors at multiple scales (Song et al., 2015; Sun et al., 2015). These</t>
  </si>
  <si>
    <t>few of these models would qualify as integrated hydro-economic modeling approaches, i.e. decision-support tools aimed at informing efficient and sustainable water resources management in a way that balances economic and environmental water demands</t>
  </si>
  <si>
    <t>Compared to agricultural water use, forest investments (e.g., afforestation) usually have a different time horizon (medium to long-term) involving different levels of uncertainty. As a result, assessing the impact of forestry on water resources requires hydro-economic models that are able to ac- count for specific forest sector characteristics, in particular longer-term time scales and time dependent benefits and costs associated with forest interventions.</t>
  </si>
  <si>
    <t>The integration of ecohydrological and economic models and methods for assessing the environmental and economic performance of forest resources management and the provision of watershed services requires scientific knowledge and expertise from different research fields. Those</t>
  </si>
  <si>
    <t>Most prevalent forest models are empirical growth and yield models, describing growth in terms of diameter increment, and typically portraying mono-specific and even-aged stands as those found in plantations (Twery, 2004), and to a lesser extent mixed uneven-aged forest stands (Porté and Bartelink, 2002). Empirical growth and yield models struggle to capture tree growth responses to disturbances, as those are often beyond the capa- city of field observations (He, 2008).</t>
  </si>
  <si>
    <t>Integrating complex forest and water interactions challenges the estimation of the economy-wide impacts of water and forest policies. Likely changes in climatic conditions, and their impacts on water availability and quality, along with potential changes in the demand for forest goods and services and watershed services, call for the develop- ment of more comprehensive and integrated models and methods to guide policy and decision-making.</t>
  </si>
  <si>
    <t>The economic valuation and evaluation approaches are furthermore strongly focused on land use and management decisions at the plot or local level. The efficiency of forest management interventions is rarely evaluated with enough rigor and breadth to allow them to be used for a full economic welfare analysis, as the effects of those interventions on the provision of watershed services are often addressed independently of water demand and supply sectors at the local, regional or even national leve</t>
  </si>
  <si>
    <t>Studies that impute values for ecosystem services based on existing information about related values, also referred to as value transfer in the literature (Brouwer, 2000), are surrounded by many uncertainties and potential errors to allow for their reliable use in price setting. Thus, a second research challenge is building an integrated hydro-economic framework to guide optimal forest (and other land uses) and water resources allocation, with a detailed representation of both demand for and supply of forest and watershed services in time and space.</t>
  </si>
  <si>
    <t>Forest interventions at the small level, such as a plot or a farm, arenot expected to affect in a significant way the supply of forest and water-related services. Thus, considering complex multi-sectoral eco- nomic interactions at small spatial scales seems unnecessary, contrary to situations where forest interventions take place at a scale at which the provision of water services and their uses are substantially altered over a longer period of time, and accounting for multi-sectoral inter- actions becomes more critical (e.g., Nordblom et al., 2012). The in- tegration of more detailed eco-hydrological models to simulate forest and water interactions into existing multi-sectoral hydro-economic models will become increasingly important to inform decision-making, especially at larger spatial and temporal scales. This requires that these multi-sectoral economic models are delineated according to the hy- drological boundaries of watersheds. Moreover,</t>
  </si>
  <si>
    <t>Many non-market forest and water-based regulating ser- vices are currently underexposed in existing coupled models. Hence, a third challenge is the integration of both priced and unpriced ecosystem values into these hydro-economic modeling attempts (Momblanch et al., 2016), paying special attention to the effects of forest-based ac- tions on the larger set of ecosystem services including regulating and cultural services, which have been systematically ignored in the lit- erature on forest based water services (Ojea et al., 2012)</t>
  </si>
  <si>
    <t>The identification and quantification of the sources of uncertainty underlying complex environmental-economic interactions, such as the ones addressed in the studies reviewed in this paper, are often fraught with difficulties, where these uncertainties not only seem to accumulate across the disciplinary domains but also at spatial and temporal scales (e.g. from local to watershed or national scale where interventions upstream may take a while to manifest themselves downstream, and depend on a host of possible influencing factors). A major challenge in this regard is how to account for and quantify the accumulation of different sources of un- certainties in the integrated decision-support tools. This should go be- yond the conventional sensitivity and scenario analysis, accounting for input data and structural model uncertainties and making where pos- sible use of ensemble methods and models</t>
  </si>
  <si>
    <t>Reference</t>
  </si>
  <si>
    <t>A review of green roof incentives as motivators for the expansion of green infrastructure in European cities</t>
  </si>
  <si>
    <t>(Burszta-adamiak &amp; Fialkiewicz, 2019)</t>
  </si>
  <si>
    <t>City development for residential, commercial and transportation purposes contributes to the disappearance of green areas.</t>
  </si>
  <si>
    <t>In many Euro- pean cities, urban areas do not provide adequate space for green infrastructure</t>
  </si>
  <si>
    <t>The current state of knowledge confirms that measurable effects of the green roofs application in urban areas may be achieved fi rst of all when large green areas located near one another are con- structed. Due to that, the construction of green roofs in cities should not be limited to single investments scattered all over the town.</t>
  </si>
  <si>
    <t>Other uses of space prevail over use as green areas</t>
  </si>
  <si>
    <t>Space available is inadequate to accomodate for green infratructure</t>
  </si>
  <si>
    <t xml:space="preserve"> </t>
  </si>
  <si>
    <t>Considering the measurable benefits from their implementation that translated into a growing number of investments with green roofs, an increasing number of countries have become interested in green policies for sustainable urban development.</t>
  </si>
  <si>
    <t>Most of the society has a positive attitude towards investments that comply with green policy and receive various awards and green certifi cates for sustainable devel- opment. As a result, residents will be more willing to purchase such residen- tial premises.</t>
  </si>
  <si>
    <t>Such planning tools have different names throughout Europe, such as green space factor, green points system, the maximum density of built- up area or green-area-per-capita factor (Kruuse, 2011).</t>
  </si>
  <si>
    <t>secondary motiva- tional tools - consist in providing expert designer support as well as marketing and legal assistance at the stage of planning, designing and realisation of the investment. Such form of support not only allows the investor to save time, but, fi rst of all, to minimise the risk of an erroneous project and to expedite formal procedures.</t>
  </si>
  <si>
    <t>most com- monly used forms of incentives are direct subsidies for the construction of green roofs and legal regulations (Table 3). Practice shows that these are the solu- tions that achieve the best results</t>
  </si>
  <si>
    <t>insuffi cient infor- mation about the required administra- tive actions which are often excessively complex and prolong the procedure of obtaining a building permit</t>
  </si>
  <si>
    <t>setting the incentives at a low return on investment level might be another factor that leads to poor inter- est in the proposed solutions. Such situ- ation may be encountered when reduced stormwater or snowmelt fees are offered, or during the settlement of real property tax. If savings on fees are in the amount of several or over 10 PLN annually, the investment costs may be returned after 20–30 years, which is not an attractive offer for investors.</t>
  </si>
  <si>
    <t>a lack of strategy and vision by leaders, executives and administrators. This also translates into insuffi cient in- terest in the construction of green roofs.</t>
  </si>
  <si>
    <t>Incentives based on excessively strict requirements for the structure of the constructed green roof (e.g. minimum surface area or substrate thickness) to be eligible for co-fi nancing or tax allowance may also make the offer less attractive for investors.</t>
  </si>
  <si>
    <t>Some cities complained about the public procurement procedures (the administratively easiest approach, selecting the cheapest offer, creates a lot of undesirable side effects and in the lack of integration each managing organiza- tion behaves differently). The</t>
  </si>
  <si>
    <t>The monitor- ing systems to measure success are also usually weak.</t>
  </si>
  <si>
    <t>develop motivational instruments for the construction of green roofs. Such tools should include mainly fi nancial incentives and obligatory legal provisions. Addition- ally, promotion, social dialogue, good tactics (policies, strategies), and studies are required. Further challenges for to- day’s cities include providing technical and administrative support in designing, constructing and maintaining green roofs Only such multi-faceted approach will lead to the increase in the number of cities with well-developed green infrastructure on the map of our continent.</t>
  </si>
  <si>
    <r>
      <t xml:space="preserve">Insufficient number of incentives for investors which might reduce the relatively </t>
    </r>
    <r>
      <rPr>
        <b/>
        <sz val="11"/>
        <color theme="1"/>
        <rFont val="Calibri"/>
        <family val="2"/>
        <scheme val="minor"/>
      </rPr>
      <t>high initial construction costs</t>
    </r>
    <r>
      <rPr>
        <sz val="11"/>
        <color theme="1"/>
        <rFont val="Calibri"/>
        <family val="2"/>
        <scheme val="minor"/>
      </rPr>
      <t xml:space="preserve"> of such solutions and contribute to raising social awareness of the possibility to construct such roofs and the need to maintain them in good condition throughout their op- eration period</t>
    </r>
  </si>
  <si>
    <t>Unattractive risk-return profile due to relatively high initial construction costs, the need to maintain them, and dependency on sufficient social awareness</t>
  </si>
  <si>
    <t>Measurable benefits important to trigger interests</t>
  </si>
  <si>
    <t>Societal positive attitude leads to willingness to pay for 'green certificates'</t>
  </si>
  <si>
    <t xml:space="preserve">"background" tools needed to improve risk-return profile </t>
  </si>
  <si>
    <t xml:space="preserve">Research into the effectiveness of policy/financial instruments as input for governance design </t>
  </si>
  <si>
    <t>many factors exist that influence both the adoption of green innovations and the development of poli- cies to promote that adoption, includ- ing other socio-economic factors. One of these factors is the attitude towards green solutions, which results from the social awareness of the benefi ts of con- structing green roofs and the advisability of their use. This makes it extremely im- portant to implement the aforementioned “background” incentives alongside other fi nancial and non-fi nancial incentives.</t>
  </si>
  <si>
    <t xml:space="preserve"> sceptical attitude of investors to constructing green roofs resulting from lack of technical (construction) knowledge and lack of understansing of multiple benefits </t>
  </si>
  <si>
    <t xml:space="preserve">negative experiences - news about poorly constructed green roofs - enhances scpeticism </t>
  </si>
  <si>
    <t xml:space="preserve">Un- fortunately, in many European cities, green roofs are still treated as a relatively unimportant element of the urban envi- ronment (Brudermann &amp; Sangkakool, 2017). This sceptical attitude of inves- tors to constructing green roofs is usu- ally linked to the lack of knowledge of the technology of their construction and of the environmental, social and eco- nomic benefi ts from their realisation. </t>
  </si>
  <si>
    <t>This phenomenon is enhanced by the oc- casional news about poorly constructed green roof (leaks, dampness, problems with maintaining the roof vegetation in good condition, etc.). Another</t>
  </si>
  <si>
    <t>complex procedures for obtaining building permits</t>
  </si>
  <si>
    <t xml:space="preserve"> low return on investment through fees or tax cuts, after 20–30 years, not an attractive offer for investors</t>
  </si>
  <si>
    <t>lack of strategy and vision by leaders, executives and administrators</t>
  </si>
  <si>
    <t>public procurement procedures not accomodating for green infrastructure</t>
  </si>
  <si>
    <t xml:space="preserve"> monitoring systems to measure success are also usually weak</t>
  </si>
  <si>
    <t>maintaining green space is seen as another financial barrier. Many public and private clients see maintenance as an obstacle, ignoring the potential it holds. Hence, many cit- ies called the attention to the difference between the creation vs maintenance of green spaces.Complaints ussually concentrated on the lack of funding for regular maintenanc</t>
  </si>
  <si>
    <t>Lack of funding for regular maintenance of green spaces</t>
  </si>
  <si>
    <t xml:space="preserve">Multi-faceted approach needed - combinations of (non)financial incentives - for designing constructing and maintaining green roofs. </t>
  </si>
  <si>
    <t>(Christmann &amp; Menor, 2021)</t>
  </si>
  <si>
    <t>socio-economic drivers have led to migrations of people from tropical mountains to urban areas, abandoning many previously cultivated and inhabited areas24–26 and creating a large opportunity for eco- system recovery and restoration across many TME</t>
  </si>
  <si>
    <t>Motivations to restore damaged ecosystems include conserving biodiversity (specific habitats or species), enhancing ecosystem processes (such as nutrient cycling), combatting climate change (through carbon storage or adaptation), and providing ecosystem services (such as water regulation or food provision) for cultural and spiritual reasons</t>
  </si>
  <si>
    <t>Migrations of people to urban areas leads to abandoned, previously cultivated and inhabited lands, is opportunity for  restoration</t>
  </si>
  <si>
    <t>Tropical mountain restoration research reveals strong geographical and research nodes.</t>
  </si>
  <si>
    <t>Strong focus on montane and cloud forests.</t>
  </si>
  <si>
    <t>Bias towards short temporal and small spatial study scales.</t>
  </si>
  <si>
    <t>Dominance of ecological goals and metrics.</t>
  </si>
  <si>
    <t>Initial degradation due to agriculture and pasture use. Initial degradation is however site-specific and result in intricate ecological effects posing barriers to restoration, ranging from faunal and vegetation changes, to modified soil and hydrology</t>
  </si>
  <si>
    <t>Despite the apparent difficulty to restore mountain grasslands, the knowledge of tropical mountain grassland restoration seems to be at an early stage compared to tropical mountain forest restoration. Further research will be needed to overcome the barriers in mountain grassland restoration, find cost-effective restoration techniques, and create grassland restoration protocols and knowledge databases</t>
  </si>
  <si>
    <t>The top promoting factors for restoration success were facilitation and vegetation composition and structure that promotes plant establishment and growth, for instance structural complexity of vegetation, remnant vegetation and proximity to natural habitat.</t>
  </si>
  <si>
    <t>Climate-related limitations such as habitat and recruitment constraints are already a prevalent limiting factor across many of the reviewed restoration studies and may be exacerbated with progressing climate change and its interaction with land use changes</t>
  </si>
  <si>
    <t>research on large-scale restoration186 will be needed to scale up mountain restoration to a landscape level. Geo-spatial</t>
  </si>
  <si>
    <t>Studies on the social dimensions of restoration in tropical mountains are still scarce. Making restoration a socio-ecological endeavour is especially critical in dynamic social contexts187, such as tropical mountain ecosystem which currently undergoing rapid land use changes and often shared between human use and restoration (e.g. mountain plantations, pastures, and fallow cultivation). Hence, solving questions on land tenure, land abandonment, local preferences, and valued ecosystem services through local participation and partnerships will be key to restoring tropical mountain biodiversity in the long term.</t>
  </si>
  <si>
    <t>Monitoring efforts are a key aspect of the UN decade on restoration . With most reviewed studies conducted in the short-term, long- term restoration trajectories in almost all ecosystems are uncertain. D</t>
  </si>
  <si>
    <t>explicitly consider the changing climate in mountains, and tailor restoration interventions to a dynamic future reference state are still scarce. The choice of climate resilient species with the right functional traits will be essential for mountain restoration to thrive under a changing climate. For instance creating ‘functional trait libraries’ of reference ecosystems and understanding traits that underpin resilience in a specific ecosystem context will be useful to guide the selection of species and restoration approaches</t>
  </si>
  <si>
    <t>The paucity of restoration studies assessing mountain grassland restoration calls for a better inclusion of these underrepresented systems in future research. Despite the critical importance of alpine grassland systems for water regulation, soil maintenance and biodiversity18 and their large extent and degradation status there are very few successful restoration studies in alpine grasslands. The creation of alpine grassland restoration networks and restoration protocols could be a solid next step.</t>
  </si>
  <si>
    <t>(Knifka et al., 2023)</t>
  </si>
  <si>
    <t>The process requires transdisciplinary and cross-actor collaboration between citizens, building owners and managers, professional and scientific experts (e.g., from the fields of landscape architecture and planning, engineering, construction, and horticulture) as well as politicians and public administrators</t>
  </si>
  <si>
    <t>lack of acceptance and motivation for GF implementation</t>
  </si>
  <si>
    <t>insufficient political and financial support for GF.</t>
  </si>
  <si>
    <t>that (I-i) - lack of acceptance and motivation -  is primarily influenced by the (I-ii) lack of (objective) information and consequently (I-iii) awareness or knowl- edge about the existence, cost and benefit, and practical-technical execution of GF [1]</t>
  </si>
  <si>
    <t>many improperly implemented GF, which negatively influences the perception of the involved actor</t>
  </si>
  <si>
    <t xml:space="preserve">practical-technical complexity as well as the cost and maintenance effort are perceived as a hurdle for GF implementation </t>
  </si>
  <si>
    <t>involved actors have very different occupational environments, knowledge, and goals, the (I-v) communication, coordination, and teamwork between them are often insufficient</t>
  </si>
  <si>
    <t>subjective perception of aesthetics can also act as a barrier because some actors see the greening as abnormal or messy</t>
  </si>
  <si>
    <t>lack of ambition in politics and administration, which is strongly influenced by the lack of information as well as social acceptance and motivation itself (cf.</t>
  </si>
  <si>
    <t>this refers to (II-ii) insufficient strategies and regulations—there is a lack of distinct guiding principles specified within policy strategies and put into practice through binding regulations [8].</t>
  </si>
  <si>
    <t>(Pawley et al., 2023)</t>
  </si>
  <si>
    <t>NbS projects generally require the most land area to implement, they are frequently the most challenging in urban areas.</t>
  </si>
  <si>
    <t>it is the collective combination of these structural and non-structural approaches combined into a comprehensive strategy, that will ultimately prepare for and protect the area from flooding, while enhancing resiliency.</t>
  </si>
  <si>
    <t>aspired to go beyond the federal goal of 100-year flood protection, to achieve a 200-year level ofprotection standard for any urban area defined as a developed area with a population of 10,000 or more. The Act also provided the foundation for local programs to adopt new regulatory strategies to ameliorate flood risk. For example, in 2008, SAFCA implemented a Development Impact Fee (DIF) to ensure that new structures placed in the 200-year floodplain do not increase Sacramento’s exposure to flood damages and the governmental costs associated with said flooding (SAFCA, 2023b).</t>
  </si>
  <si>
    <t>Public may lose interest in flood risk management, so it is important to utilize the large flood events as opportunities for education to convey risk and methods for flood preparedness, and maintain these messages over time</t>
  </si>
  <si>
    <t>Nearly all the improvements have been accomplished through partnerships. Common “Flood Partners” in the Sacramento Region include the USACE, the State ofCalifornia including DWR, and either the SAFCA or West Sacramento Flood Control Agency (WSAFCA). Their</t>
  </si>
  <si>
    <t>Historically, much ofthe funding for levee improvement came sporadically and was limited in focus; however, with the adoption of the 2008 Central Valley Flood Protection Act and completion of the 2012 CVFPP there was increased recognition that the State needed to enhance its financial contribution if the SRFCP historical structures were to be maintained and meet updated regulatory requirements. The</t>
  </si>
  <si>
    <t xml:space="preserve">Real estate is perhaps one of the more challenging obstacles, especially given the levee’s proximity to development and associated utilities. </t>
  </si>
  <si>
    <t>To accomplish these improvements additional land is needed, and all existing easements, including utilities, roadways, or other impediments, need to be relocated or negotiated to not impact the ability of the levee maintainer to operate and maintain the levee</t>
  </si>
  <si>
    <t>Agencies that fund flood risk reduction projects will each have their own method for evaluating the costs and benefits of a project. These methods are influenced by the source of funding, agency priorities and policies, and regulatory considerations, among other factors. In addition, funding can also be limited to specific actions, such as a feasibility study, design development, construction, or maintenance. The</t>
  </si>
  <si>
    <t xml:space="preserve">The conventional viewpoint has been to consider floods as a
risk to communities; without accounting for the beneficial aspects offloods to provide benefits to ecology and water supply (Galloway, 2005). In fact, over time in the United States, the term floodplain became synonymous with a more regulatory definition, which referred to the extent of the area inundated during a specific flood frequency (such as the 100-year floodplain) (Serra-Llobet et al., 2022a). However, in addition to providing space for rivers to flow and alleviating flood risk, intact floodplains can also support thriving ecosystems, riparian forests, and seasonal marshes, that in turn support a wide range of native species </t>
  </si>
  <si>
    <t xml:space="preserve">Yolo Basin Foundation initiated the Yolo Bypass Working Group in 1998 under a CALFED Ecosystem Restoration Grant (Yolo Basin Foundation, 2023). This ad hoc stakeholder group became a successful forum to discuss issues and potential solutions and continues to meet as needed. Over 40 people representing a wide range of stakeholders with an interest in the Yolo Bypass regularly attend these meetings. </t>
  </si>
  <si>
    <t xml:space="preserve">Placing rocks to protect the levee sides wasn’t deemed an effective strategy because new invasive vegetation would cause environmental and operational problems. A concrete-block mat product was chosen to protect the levees and provide a better surface for planting low maintenance perennial native grasses. Test plots were planted to ensure that this method would be effective. Due to the project’s scale and schedule, the ability to acquire large quantities ofnative seed and supplies in a timely manner was also a particularly challenging aspect of the project. </t>
  </si>
  <si>
    <t xml:space="preserve">Funding a project of this magnitude
is a challenge; however, the flood and restoration benefits allowed the Project to secure funds from multiple sources. </t>
  </si>
  <si>
    <t xml:space="preserve">innovative public-private partnership (in this case DWR/Ecosystem Investment Partners [EIP]) can accelerate project delivery (DWR, 2022d). As a private company, EIP can purchase private properties more quickly than State agencies, including three properties comprised of 3,400 acres of mixed land uses including irrigated pasture and a private duck club. The Project demonstrated the value of working closely with the existing agricultural lessee who would be displaced by the Project’s footprint. EIP improved a neighboring parcel that was leased to the previous tenant farmer and funded improvements to allow the lessee to maintain the same level of agricultural productivity (Lookout Slough DEIR 2022). In addition, EIP recorded conservation easements over ∼1,000 acres of irrigated pasture in the vicinity of the Project, permanently protecting agricultural values while also providing protection to Swainson’s hawk foraging habitat value that such land offers, a win-win solution. </t>
  </si>
  <si>
    <t>Utilities, gas lines, and other infrastructure can be significant
obstacles for creating tidal and floodplain habitat that is periodically or permanently inundated. The Lookout Slough Project required significant planning and negotiations with utility companies as various PG&amp;E infrastructure was removed, relocated, or preserved, depending on their function.</t>
  </si>
  <si>
    <t xml:space="preserve">Though the EIR was certified in 2010, the planning, modeling, and permitting timeframe has been protracted due to changing funding priorities, regulatory issues, the sites’ location, and ongoing flood risk. </t>
  </si>
  <si>
    <t>importance of taking a
systemwide perspective when planning projects and the importance of hydrologic research/modeling to support planning. The area is on the edge of the tidal zone and far from downstream pumps that are part of the State Water Project and Central Valley Project that carry freshwater to Southern California. However, the site’s location adjacent to the Delta Cross Channel, a conduit for bringing freshwater into the interior Delta, led to questions about whether the project could influence salinity intrusion from the San Francisco Bay. This possibility was not appreciated during early planning efforts and so it became necessary to provide updated hydraulic models and that and other changes caused the project team to recirculate the CEQA document to support the project.</t>
  </si>
  <si>
    <t>regulatory setting is complex and challenging
to navigate. Projects that are changing a reclaimed agricultural landscape to tidal marsh, result in a heavy mitigation load because of the possible effect these projects have on the native species (e.g., Swainson’s hawk) that have become adapted to agricultural environments. EvenEven though “restoration and enhancement of native habitats” is a primary goal, the project does not receive any “lenience” in terms of environmental permitting.</t>
  </si>
  <si>
    <t>After each flood event, the project sponsors have needed to determine whether to repair the breaches, drain the island, and perform fish rescue operations for the project to proceed. These activities have added to project costs and CEQA and permitting issues that further complicated project delivery</t>
  </si>
  <si>
    <t>In developing countries, the lack of topographical and hydrological data makes the designing and implementation process of
reliable measures for flood-risk mitigation time-consuming. Insufficient hydrological data prevents a consistent estimation of expected flood events, whereas the absence of suitable topographical data results in defective hydraulic analysis. AHP and spatial analysis can be employed to improve flood risk management by using indicators like land use, soil texture, distance to rivers, population density, rainfall patterns etc. This may come in handy in places that lack data to run hydraulic models, thus accelerating the simulation process of flood risk assessment maps (Danumah et al., 2016; Ghosh and Kar, 2018; Luu et al., 2020). Although AHP can assist in mapping flood risk quite accurately, it is heavily dependent on expert knowledge (Lin et al., 2020). To encounter this, many improved AHP methods, like the one in combination with trapezoidal fuzzy numbers, can be applied (Zou et al., 2013). Another problem faced is fuzziness and the complex relation of risk indicators with risk levels. A solution to this is the method of fuzzy synthetic evaluation (FSE) which is being extensively used in multiple areas and can prove to be promising in assessing flood risk as well (Wang</t>
  </si>
  <si>
    <t>GI has been in the picture for a considerable time, but due to a lack of political and administrative will, there are no stringent laws
and regulations for their application, supervision and maintenance (Li et al., 2019a). The modelling tools concerning stormwater management are quite promising, but they demand more exposure in terms of stakeholders’ participation. Participation by non- government agencies and private sectors is also limited. The absence of cooperation between the different departments, coupled with unclear responsibilities, creates confusion, and the tasks keep shifting between departments, thus hampering the process of execution, maintenance and supervision. This, in turn, discourages the governing bodies as well as the common people from aiding in the effective handling of stormwater runoff.</t>
  </si>
  <si>
    <t>(Arya &amp; Kumar, 2023)</t>
  </si>
  <si>
    <t>The relationship between forests and water resources, in particular, can be characterized as complex, involving synergies and trade-offs between watershed and other ecosystem services that are magnified in rapidly changing environments (Sun</t>
  </si>
  <si>
    <t xml:space="preserve">complex interactions (synergies and trade-offs) between the watershed and ESS </t>
  </si>
  <si>
    <t>Effects of vegetation types are different depending on the scale analysed</t>
  </si>
  <si>
    <t xml:space="preserve"> water-related payment schemes lack appropriate monitoring of  environmental performance</t>
  </si>
  <si>
    <t>Complexity of ecohydrological processes in forest ecosystems due to large number of driving factors at multiple scales</t>
  </si>
  <si>
    <t>scientific findings related to ecohydrological processes have not always reached the policy domain (Calder, 2007).</t>
  </si>
  <si>
    <t xml:space="preserve"> scientific findings related to ecohydrological processes have not always reached the policy domain</t>
  </si>
  <si>
    <t xml:space="preserve"> few decision support models qualify as integrated hydro-economic modeling approaches, balancing economic and environmental water demands</t>
  </si>
  <si>
    <t xml:space="preserve">Impact of intervention complex and specific to assess, with longer time horizons and uncertainties. </t>
  </si>
  <si>
    <t xml:space="preserve">(hollistic) impact/performance assessment requires scientific knowledge and expertise from different research fields. </t>
  </si>
  <si>
    <t xml:space="preserve"> Most prevalent forest models are empirical growth and yield models which struggle to capture tree growth responses to disturbances (beyond the capacity of field observations)</t>
  </si>
  <si>
    <t>economic (e)valuation approaches strongly focused the plot/local level - independently of water demand and supply sectors at the local, regional or even national level - no full economic welfare analysis</t>
  </si>
  <si>
    <t>impacts of climatic conditions on water availability/quality and potential changes in the demand for ecosystem goods and services  requires comprehensive integrated models and methods to guide policy and decision-making (not always existant).</t>
  </si>
  <si>
    <t>Integreted ecohydrological and economic modelling challenged by limited availability of geo-referenced data and information, including confidentialcost and price data</t>
  </si>
  <si>
    <t xml:space="preserve"> Integreted ecohydrological and economic modelling challenged by limited availability of geo-referenced data and information, including confidentialcost and price data</t>
  </si>
  <si>
    <t xml:space="preserve">uncertainties and potential errors  arise when using  value transfer method  for price setting. </t>
  </si>
  <si>
    <t xml:space="preserve"> integration of more detailed eco-hydrological models to simulate forest and water interactions into existing multi-sectoral hydro-economic models will become increasingly important to inform decision-making, especially at larger spatial and temporal scales. </t>
  </si>
  <si>
    <t xml:space="preserve"> Many non-market  and  regulating services currently underexposed in existing coupled models. </t>
  </si>
  <si>
    <t xml:space="preserve">complex environmental-economic interactions deal with uncertainties accumulating across disciplinary domains but also at spatial and temporal scales - how to account for and quantify the accumulation of different sources of un- certainties in the integrated decision-support tools. </t>
  </si>
  <si>
    <t xml:space="preserve">Article Title </t>
  </si>
  <si>
    <t>Towards a research agenda for woodland expansion in Scotland</t>
  </si>
  <si>
    <t>(Thomas et al., 2015)</t>
  </si>
  <si>
    <t>The cost and feasibility of marine coastal restoration</t>
  </si>
  <si>
    <t>(Bayraktarov et al., 2016)</t>
  </si>
  <si>
    <t>Mobilizing private finance for coastal adaptation: A literature review</t>
  </si>
  <si>
    <t>(Bisaro &amp; Hinkel, 2018)</t>
  </si>
  <si>
    <t>Exploring eco aesthetics for urban green infrastructure development and building resilient cities A theoretical overview</t>
  </si>
  <si>
    <t>(Haruna et al., 2018)</t>
  </si>
  <si>
    <t>(Liu &amp; Jensen, 2018)</t>
  </si>
  <si>
    <t>Advances and challenges in sustainable tourism toward a green economy</t>
  </si>
  <si>
    <t>(Pan et al., 2018)</t>
  </si>
  <si>
    <t>Nature-based solutions for hydro-meteorological hazards: Revised concepts, classification schemes and databases</t>
  </si>
  <si>
    <t>(Debele et al., 2019)</t>
  </si>
  <si>
    <t>Making ‘ green ’ fit in a ‘ grey ’ accounting system : The institutional knowledge system challenges of valuing urban nature as infrastructural assets</t>
  </si>
  <si>
    <t>(Matsler, 2019)</t>
  </si>
  <si>
    <t>Implementation of a specific urban water management - Sponge City</t>
  </si>
  <si>
    <t>(Nguyen et al., 2019)</t>
  </si>
  <si>
    <t>(Ovando &amp; Brouwer, 2019)</t>
  </si>
  <si>
    <t>Towards an operationalisation of nature-based solutions for natural hazards</t>
  </si>
  <si>
    <t>(Kumar et al., 2020)</t>
  </si>
  <si>
    <t>Barriers to the uptake and implementation of natural flood management: A social-ecological analysis</t>
  </si>
  <si>
    <t>(Wells et al., 2020)</t>
  </si>
  <si>
    <t>Restoring Degraded Lands</t>
  </si>
  <si>
    <t>(Arneth et al., 2021)</t>
  </si>
  <si>
    <t>Rooting Forest Landscape Restoration in Consumer Markets — A Review of Existing Marketing-Based Funding Initiatives</t>
  </si>
  <si>
    <t>(Bosshard et al., 2021)</t>
  </si>
  <si>
    <t>Barriers to ecological restoration in Europe: expert perspectives</t>
  </si>
  <si>
    <t>(Cortina-Segarra et al., 2021)</t>
  </si>
  <si>
    <t>Innovating with Nature: Factors Influencing the Success of  Nature-Based Enterprises</t>
  </si>
  <si>
    <t>(Mcquaid et al., 2021)</t>
  </si>
  <si>
    <t>A Framework for Operationalizing  Climate-Just Ocean Commitments  Under the Paris Agreement</t>
  </si>
  <si>
    <t>(Reiter et al., 2021)</t>
  </si>
  <si>
    <t>Reviewing financing barriers and strategies for urban nature-based solutions</t>
  </si>
  <si>
    <t>(Toxopeus &amp; Polzin, 2021)</t>
  </si>
  <si>
    <t>What’s behind the barriers? Uncovering structural conditions working   against urban nature-based solutions</t>
  </si>
  <si>
    <t>(Dorst et al., 2022)</t>
  </si>
  <si>
    <t>Barriers and Levers for the Implantation of Sustainable Nature-Based Solutions in Cities: Insights from France</t>
  </si>
  <si>
    <t>(Duffaut et al., 2022)</t>
  </si>
  <si>
    <t>Coral restoration and adaptation in Australia: The first five years</t>
  </si>
  <si>
    <t>(McLeod et al., 2022)</t>
  </si>
  <si>
    <t>The Role of Runoff Attenuation Features (RAFs) in Natural Flood Management</t>
  </si>
  <si>
    <t>(Quinn et al., 2022)</t>
  </si>
  <si>
    <t>Identifying barriers for nature-based solutions in flood risk management : An interdisciplinary overview using expert community approach</t>
  </si>
  <si>
    <t>(Raska et al., 2022)</t>
  </si>
  <si>
    <t>Green Fences for Buenos Aires: Implementing Green  Infrastructure for (More than) Air Quality</t>
  </si>
  <si>
    <t>(Redondo et al., 2022)</t>
  </si>
  <si>
    <t>Barriers and enablers for upscaling coastal restoration</t>
  </si>
  <si>
    <t>(Sanchez-Arcilla et al., 2022)</t>
  </si>
  <si>
    <t>An integrated process for planning, delivery, and stewardship of urban nature-based solutions: The Connecting Nature Framework</t>
  </si>
  <si>
    <t>(Collier et al., 2023)</t>
  </si>
  <si>
    <t xml:space="preserve">Paying for green: A scoping review of alternative financing models for   nature-based solutions </t>
  </si>
  <si>
    <t>(Heijer &amp; Coppens, 2023)</t>
  </si>
  <si>
    <t>Mapping the information landscape of the United  Nations Decade on Ecosystem Restoration Strategy</t>
  </si>
  <si>
    <t>(Meli et al., 2023)</t>
  </si>
  <si>
    <t>Reducing flood risk and improving system resiliency in Sacramento, California: overcoming obstacles and emerging solutions</t>
  </si>
  <si>
    <t>Paying for nature-based solutions: A review of funding  and financing mechanisms for ecosystem services and their  impacts on social equity</t>
  </si>
  <si>
    <t>(Thompson et al., 2023)</t>
  </si>
  <si>
    <t>allign with local (ecological) knowledge and cultural values</t>
  </si>
  <si>
    <t xml:space="preserve">Include local scientists,  traditional ecological  knowledge, and  cultural value
</t>
  </si>
  <si>
    <t>C</t>
  </si>
  <si>
    <t>C.2</t>
  </si>
  <si>
    <t>C.2.2</t>
  </si>
  <si>
    <t>integrating blue carbon into nationally determined contributions (NDC) requires mapping and quantifying location and abundance of BC habitats and amounts</t>
  </si>
  <si>
    <t xml:space="preserve">Mapping and quantifying the location and abundance of blue  carbon habitats and the carbon sequestered by these ecosystems  in both biomass and soils is an important initial step to  incorporate blue carbon into NDCs.
</t>
  </si>
  <si>
    <t>allignment of blue carbon ecosystem management with local knowledge and values</t>
  </si>
  <si>
    <t xml:space="preserve"> resilience building should put people  at the center: “ocean-related scientific knowledge, including  traditional knowledge, provides the foundation for decisionmaking.” Any blue carbon ecosystem management on or near  indigenous land therefore has the opportunity and responsibility  to engage, respect, and elevate local and indigenous knowledge  and values (Vierros, 2017).
</t>
  </si>
  <si>
    <t xml:space="preserve">lack of understanding by policymakers of how socio-ecological  resilience can be integrated into current environmental  governance frameworks leads to underutilization of existing environmental laws </t>
  </si>
  <si>
    <t xml:space="preserve">The under-utilization of  existing environmental laws is implied to be the result of a  lack of understanding by policymakers of how socio-ecological  resilience can be integrated into current environmental  governance frameworks (MacLean, 2020). Environmental  regulations, laws, and policies are beginning to include coastal  habitat protection for carbon sequestration as a mitigation  strategy (Howard et al., 2017), with the co-benefit of adaptation  (Duarte et al., 2013).
</t>
  </si>
  <si>
    <t>C.3</t>
  </si>
  <si>
    <t>mobilize finance(private &amp; public) in allignment with preserving national sovereignity/social and cultural values in market valuations, and not increasing debt burdens</t>
  </si>
  <si>
    <t xml:space="preserve">Mobilize private and  public finance that  preserves national  sovereignty,  incorporates social and  cultural values into  market valuations, and  has a positive or neutral  impact on developing  country debt burdens
</t>
  </si>
  <si>
    <t>E</t>
  </si>
  <si>
    <t>public finance form developed to developing countries has fallen short of what is needed/promissed</t>
  </si>
  <si>
    <t xml:space="preserve">Developing countries’ NDC mitigation and adaptation targets  are often conditioned on obtaining financing: of the 168 NDCs  submitted as of September 2018, 136 were conditioned on  receiving support in the form of capacity building, mitigation  finance, technology transfer, and adaptation finance (Pauw et al.,  2020). While the Paris Agreement requires developed countries  to provide financial resources to developing countries for  mitigation and adaptation, it does not specify the type or source  of financing that must be provided (United Nations, 2015). To  date, public financing has fallen well short of the amount needed  to meet the goals of the Paris Agreement (IPCC, 2018; Choi  and Seiger, 2020).
</t>
  </si>
  <si>
    <t>type or souce of financing not specified in paris agreement</t>
  </si>
  <si>
    <t>no agreed methodology for tracking climate finance - makes it difficult to hold developed countries accountable to meet their obligations</t>
  </si>
  <si>
    <t xml:space="preserve">In addition to mobilizing climate-just private financing,  developed countries must be held accountable for meeting  their obligation to scale up public financing for developing  countries’ mitigation and adaptation efforts under the Paris  Agreement. Unfortunately, accountability and transparency in  meeting climate finance pledges have been difficult to manage  and enforce, especially since no agreed methodology or tracking  mechanism for climate financing is provided under the UNFCCC  (Haites, 2013).
</t>
  </si>
  <si>
    <t>allignement of specific strategies (eg. Blue carbon) with laws, policies, community needs and co-governance structures</t>
  </si>
  <si>
    <t xml:space="preserve">Identify or draft laws  and policies ripe for the  uptake of blue carbon  strategies centred on  community needs and  designed with  co-governance  structures in mind.
</t>
  </si>
  <si>
    <t>Existing law and policy boundaries can be  synthesized toward identifying areas that provide flexibility for  the inclusion of blue carbon science into policy</t>
  </si>
  <si>
    <t xml:space="preserve">xisting law and policy boundaries can be  synthesized toward identifying areas that provide flexibility for  the inclusion of blue carbon science into policy. For example,  California has existing mechanisms for the uptake of blue  carbon sequestration in its environmentally sensitive habitat  and marine protected area structures, the incorporation of  ecosystem services into local coastal planning decisions, and  is considering a “Teal Deal” (i.e., state blue and green carbon  strategy designed to use sequestered carbon in California  climate plans and coastal conservation policy) (Dundas et al.,  2020).
</t>
  </si>
  <si>
    <t xml:space="preserve"> laws and policies could center further on the  rights of the communities disproportionately more vulnerable to  major disturbances</t>
  </si>
  <si>
    <t xml:space="preserve">However, laws and policies could center further on the  rights of the communities disproportionately more vulnerable to  major disturbances (United Nations Department of Economic  and Social Affairs, 2016) and less resilient to climate change  impacts. Climate change mitigation measures can forcibly  displace local communities, cut off or divert essential resources,  and diminish developmental progress (Caetano et al., 2020).
Moreover, policies supporting blue carbon implementation  can further green gentrification, the pathway by which green  amenities lead to displacement (Anguelovski et al., 2018; Arnold,  2021).
</t>
  </si>
  <si>
    <t xml:space="preserve">laws and policies for the uptake of blue carbon require further allignment with community-defined needs. </t>
  </si>
  <si>
    <t xml:space="preserve">New and existing laws and policies poised for the uptake  of blue carbon strategies require further examination to ensure  they center on marginalized communities and embody a design  which builds social capital, empowers residents, and addresses  community-defined needs. For example, these needs are being  identified through coastal adaptation policies in California,  where legislation requires that a quarter of funding derived from  the cap-and-trade program and deposited in the Greenhouse Gas  Reduction Fund goes to projects in disadvantaged communities
</t>
  </si>
  <si>
    <t>public  and private sector climate-just financing should acknowledge  the legacy of colonialism</t>
  </si>
  <si>
    <t xml:space="preserve">public  and private sector climate-just financing should acknowledge  the legacy of colonialism—characterized by resource extraction,  exploitation of local labor, and devaluation of local cultures and  indigenous knowledge, followed by high levels of debt owed to  former colonizers (Chase, 2019; Dix, 2021)—and responsibility  for historic GHG emissions.
</t>
  </si>
  <si>
    <t>price of carbon too low (climate finance context) leaving funding gap for ecosystgem conservation</t>
  </si>
  <si>
    <t xml:space="preserve">The current  price of carbon is far below the amount needed to fairly  compensate developing countries for relinquishing profitable  development opportunities in order to conserve ecosystems that  sequester carbon.
</t>
  </si>
  <si>
    <t xml:space="preserve">resistance to commodification and sale of ESS </t>
  </si>
  <si>
    <t xml:space="preserve">Also,  while some indigenous communities participate in carbon  markets, including those in northern Australia that use funding  from the Australian government’s Emissions Reduction Fund  to support savannah burning projects (Sangha et al., 2018),  many indigenous cultures—particularly those that view the sea  as “mother”—are opposed to the commodification and sale  of coastal ecosystem services (Kenner, 2014; Damanik, 2015).
</t>
  </si>
  <si>
    <t>Code</t>
  </si>
  <si>
    <t xml:space="preserve">Theme </t>
  </si>
  <si>
    <t xml:space="preserve">Sub-Theme </t>
  </si>
  <si>
    <t>Topic</t>
  </si>
  <si>
    <t xml:space="preserve">Large energy use and greenhouse gas emissions 
(irt sustainable tourism) </t>
  </si>
  <si>
    <t xml:space="preserve">Downside of tourism - (water consumption) </t>
  </si>
  <si>
    <t xml:space="preserve">Extensive water consumption
(irt sustainable tourism) </t>
  </si>
  <si>
    <t xml:space="preserve">Downside of tourism - (pollution) </t>
  </si>
  <si>
    <t xml:space="preserve">Inappropriate waste management and treatment
(irt sustainable tourism) </t>
  </si>
  <si>
    <t xml:space="preserve">Loss of biodiversity and habitat destruction
(irt sustainable tourism) </t>
  </si>
  <si>
    <t xml:space="preserve">Downside of tourism - over exploitation </t>
  </si>
  <si>
    <t>Threats to heritage management and cultural integrity
(irt sustainable tourism) Heritage, including natural, built and cultural heritage, is affiliated  with a region or a society based on its history. In fact, the natural and  cultural heritage of a specific area is usually the main motivation for a  tourism activity, especially for cultural tourism or congress tourism. Cultural vulnerability is a critical issue for indigenous cultures and cohesive  communities around the world. Rural or remote communities often  possess unique heritage (e.g., cultural attributes) that may be interesting to tourists but which are at a high risk of disappearing. Also, the development and construction of infrastructure for tourism may threaten  the integrity of heritage (ETE, 2009).</t>
  </si>
  <si>
    <t>lack of standardised evidence gathering approach to the performance of a wide range   of nature-based solutions</t>
  </si>
  <si>
    <t xml:space="preserve">A lack of standardised evidence gathering approach to the performance of a wide range   of nature-based solutions remains a barrier to mainstreaming [60]. 
Without such knowledge, confidence of return on investment and the   inclusion of nature-based solutions into broader policy and planning   agendas cannot be achieved [13,21,24]. 
</t>
  </si>
  <si>
    <t>C.1</t>
  </si>
  <si>
    <t>C.1.2</t>
  </si>
  <si>
    <t>complexity of dealing with trade-offs between ecosystem   service outcomes that can be achieved with different planning approaches and designs of nature-based solutions</t>
  </si>
  <si>
    <t xml:space="preserve">A key challenge for successful nature-based solution implementation   relates to the complexity of dealing with trade-offs between ecosystem   service outcomes that can be achieved with different planning approaches and designs of nature-based solutions [20,45]. With multiple   potential benefits for both social, economic, cultural as well as ecological subsystems in cities, there will inevitably need to be scoping decisions when planning and delivering nature-based solutions [43].
</t>
  </si>
  <si>
    <t>C.2.4</t>
  </si>
  <si>
    <t xml:space="preserve">co-creation is not a   ‘ready-made’ and ‘easy-to-implement’ approach and past experiences   show that, if not properly designed and implemented, it can reinforce   disinterest and participation fatigue, mutual frustration, limited representation, and power imbalances </t>
  </si>
  <si>
    <t xml:space="preserve">co-creation is not a   ‘ready-made’ and ‘easy-to-implement’ approach and past experiences   show that, if not properly designed and implemented, it can reinforce   disinterest and participation fatigue, mutual frustration, limited representation, and power imbalances [61,65,66].
</t>
  </si>
  <si>
    <t xml:space="preserve"> Facilitating governance for cross-sectoral, multi-scale and inclusive nature-based solutions can be a significant challenge to the ‘business as usual’ way of working within city governments   and other organisations, that are used to working in (e.g. departmental)   silos and not involving the broader public, resulting in dispersed   knowledge, resources and priorities </t>
  </si>
  <si>
    <t xml:space="preserve">In addition, cities need to tackle many governance challenges when   implementing and mainstreaming nature-based solutions [61] in a fair   and just manner [62]. Facilitating governance for cross-sectoral, multi-scale and inclusive nature-based solutions can be a significant challenge to the ‘business as usual’ way of working within city governments   and other organisations, that are used to working in (e.g. departmental)   silos and not involving the broader public, resulting in dispersed   knowledge, resources and priorities [57,63].
</t>
  </si>
  <si>
    <t>complexity of   nature-based solutions further challenges the tendency of urban planning professionals and decision-makers to predefine problems and solutions, requiring more reflexive and adaptive approaches that allow an   open-ended and iterative process of learning-by-doing and   doing-by-learning --&gt; deemed necessary to create and trial a novel process</t>
  </si>
  <si>
    <t xml:space="preserve">The complexity of   nature-based solutions further challenges the tendency of urban planning professionals and decision-makers to predefine problems and solutions, requiring more reflexive and adaptive approaches that allow an   open-ended and iterative process of learning-by-doing and   doing-by-learning [56]. Therefore, to address these challenges with   respect to implementing nature-based solutions – ecosystem service   provision, governance and equity, tacit and experiential knowledge   production, and cross-sector collaboration, to name a few – it was   deemed necessary to create and trial a novel process.
</t>
  </si>
  <si>
    <t>Benefits of restoration are more uncertain than grey solutions</t>
  </si>
  <si>
    <t>Furthermore, the benefits of restoration activities often have a higher variability and are more uncertain as compared to grey solutions [98]. For these reasons, revenues from restoration are often perceived to be risky and “light” by investors [99]</t>
  </si>
  <si>
    <t>C.1.1</t>
  </si>
  <si>
    <t xml:space="preserve">public funding is limited </t>
  </si>
  <si>
    <t xml:space="preserve">public funding for restoration is generally limited, and any restoration activity needs to compete with other demands for public money (education, health care, security, etc.). In recent years, additional pressures were put on public budgets due to economic/financial crises and austerity policy [96]. </t>
  </si>
  <si>
    <t xml:space="preserve">private funding budgets also limited (non-commercial) </t>
  </si>
  <si>
    <t>Private funding can to some extent supple- ment public funding, in particular through environmental NGOs, nature foundations and philanthropists, but again, budgets are limited.</t>
  </si>
  <si>
    <t xml:space="preserve">high benefits cannot always be converted into cashflows (revenues)  due to public good character, dispersed distribution across multiple beneficiaries, stochastic nature. </t>
  </si>
  <si>
    <t xml:space="preserve">since even when restoration projects deliver high benefits, this does not necessarily mean that they can attract (private) finance. A prerequisite for finance is that the values generated by restoration activities can be converted into revenues (i.e. cash flows), because only then can these revenues be used to repay the (private) investor. For restoration projects, however, benefits are difficult to convert into revenue streams, because benefits have public good characteristics, are dispersed across diverse beneficiaries, and some occur stochastically (e.g., the full benefits of flood protection only occur during extreme high-water level events). </t>
  </si>
  <si>
    <t xml:space="preserve">competing demands for public money </t>
  </si>
  <si>
    <t>F</t>
  </si>
  <si>
    <t>F.1</t>
  </si>
  <si>
    <t>F.1.1</t>
  </si>
  <si>
    <t>Initiators of restoration projects often lack the expertise to put together business plans that are attractive to investors</t>
  </si>
  <si>
    <t>because even when the con- ditions for funding and financing are favourable, initiators of restoration projects often lack the expertise to put together busi- ness plans that are attractive to investors [99]. Specifically, initi- ators of restoration projects are usually not familiar with the finance terminology, and have often limited experience with in- vestment planning</t>
  </si>
  <si>
    <t xml:space="preserve">project appraisal methodology doesnt facilitate inclusion of NBS cobenefits, leading to favouring of grey infra projects </t>
  </si>
  <si>
    <t xml:space="preserve">which is one of the reasons why restoration projects may fail to compete with other public projects (e.g., grey infrastructure projects). This is because restoration activities provide a wide range of ESS and biodiversity gains which are seldom considered in project ap- praisals due to the difficulty in monetizing them [97]. </t>
  </si>
  <si>
    <t xml:space="preserve">project appraisals use discounting of future benefits, favouring projects with benefits occuring sooner, whilst NBS delivery of (all) benefits occurs over long time. </t>
  </si>
  <si>
    <t xml:space="preserve">Further- more, restoration projects often have a large time-lag between implementation and delivery of full benefits (e.g., plants need to grow), and therefore have limited influence on economic decisions due to discounting [98]. </t>
  </si>
  <si>
    <t xml:space="preserve"> high option value of restoration seldom included in project appraisals favoring grey infrastructure solutions</t>
  </si>
  <si>
    <t>Finally, the high option value of restoration, which refers to the value of restoration to self-adjust or be adjusted under changing conditions, is seldom included in project appraisals, leading to a bias for grey infrastructure solutions as these generally have low option values [43]</t>
  </si>
  <si>
    <t>people  prioritize other issues such as terrorism, health or the economy over biodiversity</t>
  </si>
  <si>
    <t>biodiversity and its erosion are not in the foreground of our societies. For
example, in the United States, most people prioritize other issues such as terrorism, health or the economy [29]</t>
  </si>
  <si>
    <t>A</t>
  </si>
  <si>
    <t>A.1</t>
  </si>
  <si>
    <t>A.1.3</t>
  </si>
  <si>
    <t>B</t>
  </si>
  <si>
    <t>It is difficult to evaluate the gains resulting from NBS, especially when taking into account all the costs and benefits, and not just the targeted problem</t>
  </si>
  <si>
    <t xml:space="preserve">lack ofindicators that reveal the efficiency ofNBS. [ . . . ] It is difficult to evaluate the gains resulting from NBS, especially when taking into account all the costs and benefits, and not just the targeted problem. </t>
  </si>
  <si>
    <t>lack of political will</t>
  </si>
  <si>
    <t xml:space="preserve">This lack of political will as a major constraint to the implementation of NBS in cities was also identified by Sarabi et al. [22]. </t>
  </si>
  <si>
    <t>D</t>
  </si>
  <si>
    <t xml:space="preserve">changing administration - officials in favor or against can quickly change. </t>
  </si>
  <si>
    <t>problem of changing administration -Moreover, the representative of the Biodiversity Agency (B) told that even if the political will was to be there, municipalities and elected officials can change quickly and be replaced by some people less concerned by NBS.</t>
  </si>
  <si>
    <t xml:space="preserve"> the lack of dedicated funding for NBS implementation in cities</t>
  </si>
  <si>
    <t>According to the European Commission’s 2015 report [35], the cities’ budgets for green spaces are very small. Specifically, the lack of dedicated funding for NBS implementation in cities has already been highlighted [36], and financial incentives to use NBS are also missing [37]. According</t>
  </si>
  <si>
    <t>hard to obtain a quick return on investment</t>
  </si>
  <si>
    <t>She also says it is hard to obtain a quick return on investment. According</t>
  </si>
  <si>
    <t xml:space="preserve">uncertainty about the cost of NBS and dont want long term responsibility </t>
  </si>
  <si>
    <t>uncertainty about the cost of NBS. For example, one hydrologist (C) said that NBSs are perceived as more costly than con- ventional solutions. Such observations are also found in the literature on green infrastruc- tures [32]. “We are afraid ofhaving to manage ecosystems for too long. Whereas with good grey infrastructure, we know the cost, at least for the short term.”</t>
  </si>
  <si>
    <t xml:space="preserve">within 'nature' agencies biodiversity is not prioritized over climate adaptation and renewebal energy </t>
  </si>
  <si>
    <t>Even within environmental issues, the project manager of the Regional Biodiversity Agency told the authors that protecting biodiversity is not a priority as follows: “[the Ministry is really focused] on adapting to climate change, climate change in general and renewable energies.” (B). Biodiversity often takes a back seat behind aesthetics (or agronomy), as</t>
  </si>
  <si>
    <t xml:space="preserve">scarcity and high prices of land - competition </t>
  </si>
  <si>
    <t>lack of space and the price of land which can be very costly in some cities such as Paris (This problem does not concern green roofs as they are not in direct competition with other infrastructures because they can be inserted on the top of buildings.</t>
  </si>
  <si>
    <t xml:space="preserve">NBS requires continuous maintenance and monitoring required - who will do this and  who will fund this? </t>
  </si>
  <si>
    <t>NBSs are partly made up of living beings and therefore are in constant evolution, thus requiring continuous maintenance. However, this maintenance is not always taken into consideration in NBS projects [18]. The problem of lack of monitoring and/or maintenance may be related to the fact that administrations have a short-term view when a long-term one should be favored for NBS [21,22]. The problem of maintenance raises the following number of questions: “Who will do the maintenance? How do we make sure we have sustainable funding for this maintenance?” (E).</t>
  </si>
  <si>
    <t>F.3</t>
  </si>
  <si>
    <t xml:space="preserve">Regulations / planning processes do not provide space for alternative nbs solutions </t>
  </si>
  <si>
    <t>Regulations can be a constraint for the development of NBS in the city because, as one interviewee points out, “planning documents today do not have a space for these NBS.” An NBS officer (B) gave an example that an NBS was to be implemented in a zone labeled as “to be urbanized” in the PLU, and that the project in which she was involved could fund NBS only in zones classified in the document as natural.</t>
  </si>
  <si>
    <t>lack of concrete proof on returns ( specifically also on long-term impacts of nbs) makes it difficult to mobilize stakeholders</t>
  </si>
  <si>
    <t xml:space="preserve">It is accordingly hard to mobilize stakeholders, due to the lack of concrete proof on returns.” People who implement NBS need to be reassured that these solutions will deliver the expected benefits; otherwise, investing in them might be useless. It is also important to mention that long-term studies (i.e., over large time spans) on NBS in cities are still too few, especially those dealing with the longevity of the advantages brought by these solutions 
“There is usually a lack of monitoring over time, that is to say a before/after assessment. Also, there is a lack ofunderstanding on whether a gain for biodiversity has been attain and whether certain ecological functions were affected, [ . . . ] to make an annual follow-up for instance is difficult </t>
  </si>
  <si>
    <t>ecological aspect of certain projects can be oversold and overused by the NBS concept term</t>
  </si>
  <si>
    <t>ecological aspect of certain projects can be oversold and overused by the NBS concept term [27]. The project leader at the regional biodiversity agency thus refers to “NBS can be used indiscriminately, for example referring to false ecological engineering” (B). One researcher explains it the following way: “The risk with green roofs is that they oversell ecological interests [ . . . ] services and benefits that might never be provided at the end.” (G).</t>
  </si>
  <si>
    <t xml:space="preserve"> fear ofusing nature versus grey infrastructure - we don't find them reliale</t>
  </si>
  <si>
    <t>constraint to implementing NBS is cultural. It’s the fear ofusing nature versus grey infrastructure. [ . . . ] We’re afraid ofthese solutions because we don’t find them reliable. documented in literature such as the fear of lower performance of green infrastructure versus grey infrastructure [32]. This cultural barrier seems to be present at all levels, whether from the general public, communities, urban planners, etc.</t>
  </si>
  <si>
    <t xml:space="preserve">Lack of evaluation, monitoring, and documentation
</t>
  </si>
  <si>
    <t xml:space="preserve">Lack of relevant ecological knowledge and experience
</t>
  </si>
  <si>
    <t>C.2.1</t>
  </si>
  <si>
    <t xml:space="preserve">Lack of knowledge about soils
</t>
  </si>
  <si>
    <t>Lack of effective knowledge exchange</t>
  </si>
  <si>
    <t xml:space="preserve">Lack of effective knowledge exchange
</t>
  </si>
  <si>
    <t>C.3.1</t>
  </si>
  <si>
    <t xml:space="preserve">Lack of skilled professionals to perform restoration
</t>
  </si>
  <si>
    <t>Low political priority for restoration</t>
  </si>
  <si>
    <t xml:space="preserve">Low political priority for restoration
</t>
  </si>
  <si>
    <t>Lack of motivation in decision-makers to incorporate innovation</t>
  </si>
  <si>
    <t xml:space="preserve">Lack of motivation in decision-makers to incorporate innovation
</t>
  </si>
  <si>
    <t>Insufficient funding</t>
  </si>
  <si>
    <t xml:space="preserve">Insufficient funding
</t>
  </si>
  <si>
    <t xml:space="preserve">Lack of involvement of the private sector
</t>
  </si>
  <si>
    <t>Lack of appropriate compensation and financial returns on restoration</t>
  </si>
  <si>
    <t xml:space="preserve">Lack of appropriate compensation and financial returns on restoration
</t>
  </si>
  <si>
    <t>Harmful subsidies favoring degradation</t>
  </si>
  <si>
    <t xml:space="preserve">Harmful subsidies favoring degradation
</t>
  </si>
  <si>
    <t>F.1.2</t>
  </si>
  <si>
    <t>Conflicting interests of different stakeholders</t>
  </si>
  <si>
    <t xml:space="preserve">Conflicting interests of different stakeholders
</t>
  </si>
  <si>
    <t>F.2</t>
  </si>
  <si>
    <t>F.2.3</t>
  </si>
  <si>
    <t xml:space="preserve">Conflicts between restoration goals, e.g. biodiversity, climate change  mitigation, nutrient retention
</t>
  </si>
  <si>
    <t xml:space="preserve">Lack of collaboration between different stakeholders
</t>
  </si>
  <si>
    <t>Lack of understanding and collaboration across different aspects of  restoration, e.g., ecology, engineering, social sciences, etc.</t>
  </si>
  <si>
    <t xml:space="preserve">Lack of understanding and collaboration across different aspects of  restoration, e.g., ecology, engineering, social sciences, etc.
</t>
  </si>
  <si>
    <t>Difficulty in obtaining legal or property rights over the area to implement  restoration</t>
  </si>
  <si>
    <t xml:space="preserve">Difficulty in obtaining legal or property rights over the area to implement  restoration
</t>
  </si>
  <si>
    <t xml:space="preserve">Lack of quality plant material (including lack of suitable species and genotypes)
</t>
  </si>
  <si>
    <t>Lack of integrated land use planning</t>
  </si>
  <si>
    <t xml:space="preserve">Lack of integrated land use planning
</t>
  </si>
  <si>
    <t>Lack of coordination between decision-makers in different domains and  administrative departments</t>
  </si>
  <si>
    <t xml:space="preserve">Lack of coordination between decision-makers in different domains and  administrative departments
</t>
  </si>
  <si>
    <t>Inadequate implementation of current policies</t>
  </si>
  <si>
    <t xml:space="preserve">Inadequate implementation of current policies
</t>
  </si>
  <si>
    <t xml:space="preserve">Unrealistic or unclear project goals
</t>
  </si>
  <si>
    <t>Lack of standards against which progress can be measured</t>
  </si>
  <si>
    <t xml:space="preserve">Lack of standards against which progress can be measured
</t>
  </si>
  <si>
    <t xml:space="preserve">Complexity of the legal framework
</t>
  </si>
  <si>
    <t xml:space="preserve">Unsuitable policies and lack of enabling policy instruments
</t>
  </si>
  <si>
    <t>Constraints due to biotic challenges, e.g. concerning species dispersal rates, interspecific interactions, etc.</t>
  </si>
  <si>
    <t xml:space="preserve">Constraints due to biotic challenges, e.g. concerning species dispersal rates, interspecific interactions, etc.
</t>
  </si>
  <si>
    <t xml:space="preserve">Lack of societal awareness and engagement
</t>
  </si>
  <si>
    <t xml:space="preserve">Perceived complexity of implementing restoration
</t>
  </si>
  <si>
    <t xml:space="preserve">Constraints due to abiotic characteristics of the area, e.g. climate,  topography, water availability
</t>
  </si>
  <si>
    <t xml:space="preserve">Lack of sense of identity, attachment to the landscape
</t>
  </si>
  <si>
    <t xml:space="preserve">Lack of suitable technology
</t>
  </si>
  <si>
    <t>lack of knowledge/awareness  at local the local level</t>
  </si>
  <si>
    <t xml:space="preserve">Lack of knowledge of NFM. land managers interviewed had not previously heard of the term natural flood management and failed to understand the stated aims of such interventions. Holstead, Kenyon, Rouillard, and Galan-Diaz (2014) found that 59% of farmers within their study knew nothing of NFM, which demonstrates the urgent need for dis- semination of knowledge to the local level. </t>
  </si>
  <si>
    <t>A.2</t>
  </si>
  <si>
    <t>A.2.1</t>
  </si>
  <si>
    <t>Knowledge gaps vary between actors/stakeholders</t>
  </si>
  <si>
    <t>Knowledge gaps vary between actors, such as the public or land managers not knowing what NFM is or how it aims to affect the hydro- logical regime of a watercourse (Holstead et al., 2014; SNIFFER, 2011).</t>
  </si>
  <si>
    <t xml:space="preserve">resistance to change as a result of ancestral influence </t>
  </si>
  <si>
    <t>Cultural challenges, such as a resistance to change as a result of ancestral influence on land managers, were cited as a barrier. The “drainage culture” created as a result of his- toric incentives to maximise agricultural outputs through land drainage was also found to reinforce this. land managers expressed a similar reluc- tance to rewet land and were keen to keep drainage free flowing. Practitioners generally did not cite this barrier, highlighting instead the need for greater stakeholder engage- ment between land managers and practitioners</t>
  </si>
  <si>
    <t>A.2.3</t>
  </si>
  <si>
    <t>spatial disconnect between upstream measure and downstream effect</t>
  </si>
  <si>
    <t>intangible benefits of NFM were also suggested as a
possible barrier to uptake, because the flood risk benefits of NFM schemes are not immediately seen within downstream settlements. This causes a spatial disconnect between upper catchment management and the downstream community.</t>
  </si>
  <si>
    <t xml:space="preserve"> land loss and a loss of income as a result of NFM implementation and lack of compensation afor this loss</t>
  </si>
  <si>
    <t>Financial constraints for land managers were cited as a barrier by both groups of respondents. It was suggested that there is a lack of compensation available to land managers for installing NFM on their land. Related to this, land loss and a loss of income as a result of NFM implementation were also cited by land managers and practitioners as bar- riers to uptake</t>
  </si>
  <si>
    <t>implementation should occur where measures have the greatest potential</t>
  </si>
  <si>
    <t>practitioners stated that LLFAs should be implementing NFM, as they have local governance and responsibil- ity over ordinary water courses, which are often located in the upper catchment where NFM opportunities may have the greatest potential. One</t>
  </si>
  <si>
    <t>public per-ception of NFM may be too positive and create reliance upon it as a FRM measure</t>
  </si>
  <si>
    <t>Perceptions of NFM by various actors can also be a barrier to its uptake. Practitioners generally believed that the public perception of NFM was positive. However, nine of the practitioners interviewed highlighted that the public per- ception of NFM may be too positive and creates reliance upon it as a FRM measure . If expectations are not managed, communities may feel that NFM will protect them from flooding, which will lower overall resilience</t>
  </si>
  <si>
    <t>previous floods reduces trust in effectiveness of measures</t>
  </si>
  <si>
    <t>impact of previous floods was mentioned as
a barrier to land manager uptake. A specific barrier identi- fied by one land manager was a lack of perceived control as a result of a previous flood event. Perceived control is defined as the belief that individuals can influence the envi- ronment and achieve desired outcomes (Wallston, Wallston, Smith, &amp; Dobbins, 1987)  Due to that extreme event, the land manager felt that NFM would be ineffective in reducing flood risk down- stream. As a result NFM measures were not being consid- ered as a viable FRM option.</t>
  </si>
  <si>
    <t>C.1.3</t>
  </si>
  <si>
    <t>lack of knowledge of farming practices</t>
  </si>
  <si>
    <t>lack of knowledge of farming practices by FRM practi- tioners was mentioned by interviewees within the NGO sec- tor. This creates challenges during stakeholder engagement activities, which can hinder NFM projects at an early stage (RPA, 2015). Therefore,</t>
  </si>
  <si>
    <t>dominant engineering background - reluctance to change to other approaches</t>
  </si>
  <si>
    <t>FRM institutions in the United Kingdom contain a large pro- portion of employees from engineering backgrounds (Waylen et al., 2017). Therefore, due to unfamiliarity with new approaches, there was a reluctance to change towards softer engineered approaches, especially for employees who have a lack of experience of NFM methods. This demon- strates that a cultural shift is required by practitioners, to include NFM within FRM</t>
  </si>
  <si>
    <t>lack of funding for maintenance -  present NFM measures are not within the EA asset register, meaning that the structures cannot be included within maintenance plans</t>
  </si>
  <si>
    <t>lack of funding for maintenance was cited by land managers as an issue. This was also noted as a barrier by several practitioners, with acknowledgement that present NFM measures are not within the EA asset register, meaning that the structures cannot be included within maintenance plans</t>
  </si>
  <si>
    <t xml:space="preserve">projects require local ownership over longer periods of time - not always best carried out by responsible organistion. </t>
  </si>
  <si>
    <t>Challenges over the responsibility for NFM implementation were mentioned by practitioners as a further barrier to uptake. One practitioner from the statutory sector suggested that the EA is not the correct organisation to implement NFM, as projects require local ownership over longer periods of time. The interviewee mentioned that, as the EA is also a regulatory body, negative interactions with land managers may have occurred previously. This can create tension during the negotiation process and therefore links to barriers discussed within the interactions category</t>
  </si>
  <si>
    <t>NGOs should be more involved as they have more flexibility with their objectives and can bring in external financial support.</t>
  </si>
  <si>
    <t>One practitioner suggested that NGOs should be more involved during NFM implementation, as they have more flexibility with their objectives and can bring in external financial support.</t>
  </si>
  <si>
    <t>Transboundary catchment challenges, between national or administrative boundaries</t>
  </si>
  <si>
    <t xml:space="preserve">Transboundary catchment challenges, between national or administrative boundaries. Challenges cited included data sharing across national boundaries, but also a lack ofcommuni- cation across administrative boundaries. As hydrological catch- ments do not adhere to national or administrative boundaries, communication needs to occur between stakeholders involved within the catchment rather than the political boundary. </t>
  </si>
  <si>
    <t>if NFM was to be used, better planning should take place within the downstream settlement to prevent development in at-risk areas</t>
  </si>
  <si>
    <t>Catchment planning concerns, such as increased development on floodplains or covering gardens with imperme- able surfaces, were identified as an actor-based barrier. This was cited by five of the land managers, but not by practi- tioners. It was felt that, if NFM was to be used, better plan- ning should take place within the downstream settlement to prevent development in at-risk areas.</t>
  </si>
  <si>
    <t>policy requires a cost–benefit ratio  as well as the number of properties that will have a lower flood risk as a result of FRM. Can not be doen without evidence.</t>
  </si>
  <si>
    <t>within the practitioner remit, the current lack of evidence has wide implications - Current UK FRM policy requires a cost–benefit ratio to be calculated, as well as the number of properties that will have a lower flood risk as a result of FRM. Without evidence that NFM has a beneficial impact, schemes are not currently being implemented due to the inability to calculate the cost–benefit ratio. Thus, opportuni- ties to produce evidence are missed;</t>
  </si>
  <si>
    <t>Practitioners stated that NFM benefits such as flood risk reduction and eco- system services are complex to calculate and are often not tan- gible, therefore NFM is less likely to receive funding when compared to structural measures which allow for flood risk reduction to be calculated through standard hydrological and hydraulic modelling approaches (DEFRA, 2013).</t>
  </si>
  <si>
    <t>greater scientific evidence needed for uptake</t>
  </si>
  <si>
    <t>one land manager stated that they would require greater scientific evidence to uptake NFM measures suggesting that social-economic factors are more significant to them</t>
  </si>
  <si>
    <t>lack of funding for capital works &amp; lack of funding for monitoring and maintenance of current projects</t>
  </si>
  <si>
    <t>Practitioners highlighted that the limited evidence for effec-
tiveness of NFM has resulted in a lack of funding for capital works but, just as pressing, is the lack of funding for monitor- ing and maintenance of current projects.</t>
  </si>
  <si>
    <t xml:space="preserve">topography / infratsructure limiting the spatial opportunity for intervention </t>
  </si>
  <si>
    <t xml:space="preserve">catchment biophysical factors such as topography or the location of footpaths could create barriers to uptake, as they limit the spatial opportunities for interventions. such barriers were only cited by land man- agers, not by practitioners, which may be due to the more specific knowledge that land managers have of their land and catchment. </t>
  </si>
  <si>
    <t>challenging to assessing how proposed interventions (or non-intervention) are likely to affect the diverse social and cultural values, uses and  benefits for those groups that associate with the Reef</t>
  </si>
  <si>
    <t xml:space="preserve">The second challenge is assessing how proposed interventions (or non-intervention) are likely to affect the diverse social and cultural values, uses and  benefits for those groups that associate with the Reef.
</t>
  </si>
  <si>
    <t>demonstrating that active restoration can play a  meaningful role in improving reef condition through supporting resilience and increasing  adaptation when other, less interventionist, management strategies have not worked</t>
  </si>
  <si>
    <t xml:space="preserve">The challenge for the future include: (1) demonstrating that active restoration can play a  meaningful role in improving reef condition through supporting resilience and increasing  adaptation when other, less interventionist, management strategies have not worked, (2)  implementing these interventions at larger scales, and (3) understanding and mitigating any  potential risks from active restoration. At any scale, coral restoration and adaptation interventions do not take away the need for urgent reductions in greenhouse gas emissions.
</t>
  </si>
  <si>
    <t xml:space="preserve"> insights point to some of the negative social implications of damaged ecosystems and also encourage the consideration of social benefits (i.e. psychological, collective and cultural) that are possible through restoring coral reef ecosystems -  calls in the restoration ecology literature for a better understanding of (and capacity to  measure) the social benefits of restoration projects</t>
  </si>
  <si>
    <t xml:space="preserve">Recent studies clearly describe how the impacts of climate change, such as major bleaching  events, are keenly felt by reef users and visitors. They report diminished experience quality,  less confidence that their own actions will matter, and emotional responses consistent with  ‘ecological grief’ [112]. These insights point to some of the negative social implications of damaged ecosystems and also encourage the consideration of social benefits (i.e. psychological, collective and cultural) that are possible through restoring coral reef ecosystems. There have been  recent calls in the restoration ecology literature for a better understanding of (and capacity to  measure) the social benefits of restoration projects [113–115].
</t>
  </si>
  <si>
    <t>It has  been reported, that translating local activity and outcomes into broader strategic  management impacts for marine ecosystems can be problematic.</t>
  </si>
  <si>
    <t>understanding social acceptance, assessing likely impacts on diverse values, and designing  appropriate engagement processes are important. They are normatively important because  there are democratic, moral and ethical obligations to involve people in decisions and actions  that may affect their livelihoods or future well-being. They are also instrumentally important  in that good participation or co-design can lead to enhanced performance of the planned  environmental intervention through better tailoring to local conditions, the use of local and  traditional knowledge and reduced stakeholder conflict</t>
  </si>
  <si>
    <t xml:space="preserve">There are normative reasons (i.e. societal expectations about what “should happen” or is  believed “right”) and instrumental reasons (i.e. what is needed to achieve a particular goal)  why understanding social acceptance, assessing likely impacts on diverse values, and designing  appropriate engagement processes are important. They are normatively important because  there are democratic, moral and ethical obligations to involve people in decisions and actions  that may affect their livelihoods or future well-being. They are also instrumentally important  in that good participation or co-design can lead to enhanced performance of the planned  environmental intervention through better tailoring to local conditions, the use of local and  traditional knowledge and reduced stakeholder conflict. Critically, however, these place  or interest-based engagement activities need to connect with, and influence, the broader public  debate and governance systems (including regulatory) intended to steer large-scale restoration  efforts [122, 123].
</t>
  </si>
  <si>
    <t>C.2.3</t>
  </si>
  <si>
    <t>coral restoration and adaptation interventions do not take away the need for urgent reductions in greenhouse gas emissions.</t>
  </si>
  <si>
    <t xml:space="preserve"> citizen-science practice can provide community voice and influence in  decisions about managing long-term ‘landscape-level’ environmental changes  and may  contribute to a social licence for marine conservation research and intervention. </t>
  </si>
  <si>
    <t xml:space="preserve">Furthermore, it  has been argued that citizen-science practice can provide community voice and influence in  decisions about managing long-term ‘landscape-level’ environmental changes [117] and may  contribute to a social licence for marine conservation research and intervention [118]. It has  been reported, however, that translating local activity and outcomes into broader strategic  management impacts for marine ecosystems can be problematic [119]
</t>
  </si>
  <si>
    <t>need to develop appropriate and meaningful ways to engage different groups and interests in the design, deployment  and evaluation of proposed interventions or technologies over time</t>
  </si>
  <si>
    <t xml:space="preserve">Third, there is a need to develop appropriate and meaningful ways to engage different groups and interests in the design, deployment  and evaluation of proposed interventions or technologies over time. A recent review identified  several distinct types of challenges researchers face when working on assisted regional ecosystem adaption including scientific conflicts and debates over the “facts”; social and governance  challenges; epistemic challenges, and ontological conflicts [120]. Addressing these challenges  requires appropriate engagement strategies.
</t>
  </si>
  <si>
    <t>required shift from research and development to implementation - requires research partnerships that span beyond the coral research space to include Traditional  Owners, engineers, social scientists, modellers, economists, infrastructure development  experts, and project managers.</t>
  </si>
  <si>
    <t xml:space="preserve">There  has also been a shift from research and development to implementation. This approach  requires research partnerships that span beyond the coral research space to include Traditional  Owners, engineers, social scientists, modellers, economists, infrastructure development  experts, and project managers.
</t>
  </si>
  <si>
    <t xml:space="preserve">Reef Restoration and Adaptation Program (RRAP) - feasibility study - funded by government </t>
  </si>
  <si>
    <t xml:space="preserve">The Reef Restoration and Adaptation Program (RRAP), was initially funded by the Australian  Government to scope existing and novel technologies that could help support the resilience of  the GBR, and to deliver an investment case for further research and development of reef interventions [23, 67]. This feasibility study involved social scientists, coral reef ecologists, geneticists and biologists, economists, modellers, engineers, mathematicians and governance and  program delivery experts. Importantly, the program was co-designed with the relevant regulator, the GBRMPA.
</t>
  </si>
  <si>
    <t>shift in the use of coral restoration --&gt; away from assessing the feasibility and efficacy of individual  techniques, towards developing a holistic approach that includes coordinated and practical  solutions with specific objectives linked to long-term outcomes in a changing climate. In Australia, this shift is greatly facilitated by large investments through the RRAP Program</t>
  </si>
  <si>
    <t xml:space="preserve">The novelty of the many intervention strategies presented here represent an important shift  in the use of coral restoration—away from assessing the feasibility and efficacy of individual  techniques, towards developing a holistic approach that includes coordinated and practical  solutions with specific objectives linked to long-term outcomes in a changing climate. In Australia, this shift is greatly facilitated by large investments through the RRAP Program.
</t>
  </si>
  <si>
    <t xml:space="preserve">politically and socially contested proposals such as large-scale restoration and adaptation of the GBR, lead to a number of complex social and institutional considerations - understanding the social acceptability </t>
  </si>
  <si>
    <t xml:space="preserve">When approaching politically and socially contested proposals such as large-scale restoration and adaptation of the GBR, there are a number of complex social and institutional considerations. The first of these is understanding the social acceptability (or otherwise) of proposed  restoration interventions amongst the broader community, key rights-holders such as Indigenous Traditional Owners, stakeholders such as reef-using or reef-dependent economic sectors,  and other engaged interest group
</t>
  </si>
  <si>
    <t>lack of public's awareness of benefits of eco-aesthetics</t>
  </si>
  <si>
    <t xml:space="preserve">the apparent lack of  public’s awareness of eco-aesthetics and its potential benefits to cities. This lack of awareness of  the essential contributions of eco-aesthetics to green infrastructure is a key indicator as to why the  concept appears missing in Ghanaian academic discourses as well as urban planning policies at  the local and regional levels in Ghana.
</t>
  </si>
  <si>
    <t>Aesthetic preferences not uniform (over cultures)</t>
  </si>
  <si>
    <t xml:space="preserve">How a particular group of people perceive their landscape to be  attractive or not is always influenced by their acquired social and cultural experiences both  individually and as a group (Potthoff, 2005). This explains why people from particular cultures  such as in Europe or the Americas have specific aesthetic preferences and values that vary  significantly from people in other cultures such as in Asia and Africa. 
</t>
  </si>
  <si>
    <t>Aesthetic value of landscape not alligned with ecological values</t>
  </si>
  <si>
    <t xml:space="preserve">additional' implementation and maintenance costs (no strong business case) </t>
  </si>
  <si>
    <t xml:space="preserve">funding gap as an opportunity to push collaboration </t>
  </si>
  <si>
    <t xml:space="preserve">Urban planning authorities therefore should not  view financial limitations as absolute barriers to implementing eco-aesthetics, but rather they must  view them as opportunities to invest in building socio-ecological resilient cities.
</t>
  </si>
  <si>
    <t xml:space="preserve">Land acquisition is a difficult, time consuming, expensive process </t>
  </si>
  <si>
    <t xml:space="preserve">The third possible barrier to implementing eco-aesthetics especially at the large-scale level would  be land acquisition problems associated with the existing land tenure system in Ghana. The existing  system involves customary, statutory (constitutional provisions and judicial decisions), and sometimes religious processes. About 80% of land ownership remains largely in the hands of customary  authorities and private individuals in Ghana, with a limited state ownership (public land) of about  20% (Narh, Lambini, Sabbi, Pham, &amp; Nguyen, 2016). Land acquisition process is usually characterised  by lengthy, cumbersome and expensive procedures (Asumadu, 2003) that may create difficulties for  potential investors to acquire large parcels of land for large scale projects such as ecological parks. Potential investors may also encounter problems of land litigation over the legal right of acquired  lands due to the prevalence of some customary owners reselling land to multiple buyers. Despite  numerous attempts by successive governments to reform Ghana’s land tenure system (an example:  the Lands Commission Act 767 in 2008), land ownership and acquisition still remains a highly  contested resource (Narh et al., 2016).
</t>
  </si>
  <si>
    <t xml:space="preserve">Risk of litigations related to land ownership </t>
  </si>
  <si>
    <t xml:space="preserve">Uniform aesthetic preferences </t>
  </si>
  <si>
    <t xml:space="preserve">there are specific aesthetic preferences of landscapes  generally desired by all people and across all cultural dynamics. These aesthetic preferences such  as “presence of order”, “balance” and “elementary qualities” are referred to as “evolutionary  aesthetics”, and are believed to be embedded in our human instincts developed during human  evolution (Marjo &amp; Jeroen, 2010).
</t>
  </si>
  <si>
    <t xml:space="preserve">High opportunity costs of public resources </t>
  </si>
  <si>
    <t xml:space="preserve">The first barrier, perhaps the most obvious in a  developing economy, is the inadequate or limited financial resources to support an eco-aesthetic  urban planning strategy. Promoting an eco-aesthetic urban planning strategy would require the  planting of more diverse plant species (trees, shrubs, flowers, grass, etc.), enhancing the ecosystem of urban waterways (rivers, lagoons, coastal areas, etc.), and the creation of eco-aesthetic  public parks and green open spaces. These initiatives come at some costs of implementation, as  well as, the additional costs of maintenance of these green infrastructure systems. To a developing  country, this is a major challenge since scarce financial resources are overwhelmed by basic needs  of a growing population that cover agricultural and economic needs
</t>
  </si>
  <si>
    <t>Air quality does not constitute a major policy  challenge for the city</t>
  </si>
  <si>
    <t xml:space="preserve">three  case-specific factors contribute to perceptions that AQ does not constitute a major policy  challenge for the city. Firstly, the governmental reporting (AprA) that the city (partially)  complies with local and international regulations on ‘environmental quality’ does not  consider pollution hotspots, which the public monitoring system is also unable to identify  and document. Secondly, civil society campaigns and awareness-raising actions are few  and far between. An interviewee reported major governmental pushback to their ‘alarmism’  and ‘scaremongering regarding what is really a non-issue’. Thirdly, unlike other Latin  American large cities such as Santiago de Chile, Mexico City, and Bogotá, air pollution  is not sensorially evident citywide for extended periods of time, with numerous cases  of poor health symptoms (headaches, eye irritation, coughs) reported [79,80]. Without  educational and awareness campaigns, long-term effects and chronic health implications  are less evident.
</t>
  </si>
  <si>
    <t>civil society campaigns and awareness-raising actions are few  and far between</t>
  </si>
  <si>
    <t>A.2.2</t>
  </si>
  <si>
    <t>scepticism regarding the efficacy</t>
  </si>
  <si>
    <t xml:space="preserve">scepticism regarding the efficacy of GI schemes among policymakers and stakeholders in Buenos Aires. This is consistent with findings from elsewhere  reported in the extant literature and is compounded by the lack of awareness and data  on air pollution. Even supportive policymakers requested primary evidence that green  fences would work as intended once the pilot green fence was installed.
</t>
  </si>
  <si>
    <t>Transitioning from grey to green practices is related to political will / government support</t>
  </si>
  <si>
    <t xml:space="preserve">Transitioning from grey to green practices is related to political will. Lack of government support translates into lack of policy, legislation, and regulatory pathways to GI  mainstreaming or to poor enforcement of laws and regulations relating to green practices.
Lack of political will manifests as prioritising other pressing issues such as poverty or  unemployment, aversion towards change, or simply not giving importance to GI as a multifunctional solution. For instance, Johns [48] identified that the persistent prioritising of  grey infrastructure over the use of GI in storm water management in Toronto is a significant  hurdle perceived as attributable to poor political will.
</t>
  </si>
  <si>
    <t>Lack of clear financial incentives and dedicated resources</t>
  </si>
  <si>
    <t xml:space="preserve">ack of clear financial incentives and dedicated resources is a frequent challenge to  GI development, which we also identified in Buenos Aires. Whilst the city has a budget  for planting in public spaces, this is not explicitly linked to potential socio-environmental  benefits through landscape-level planning.
</t>
  </si>
  <si>
    <t>lack of dedicated resources for the potentially high  up-front costs of GI investments as well as long-term maintenance costs</t>
  </si>
  <si>
    <t xml:space="preserve">Financial barriers are related to the lack of dedicated resources for the potentially high  up-front costs of GI investments as well as long-term maintenance costs. Moreover, a lack  of financial incentives is a significant inhibitor to mainstreaming in some countries.
</t>
  </si>
  <si>
    <t>evidencing air pollution beyond  what the city reports required costly imported equipment, which constituted an emergent  financial barrie</t>
  </si>
  <si>
    <t xml:space="preserve">evidencing air pollution beyond  what the city reports required costly imported equipment, which constituted an emergent  financial barrier not discussed in previous studies.
</t>
  </si>
  <si>
    <t>Lack of political will manifests as prioritising other pressing issues such as poverty or  unemployment, aversion towards change, or simply not giving importance to GI as a multifunctional solution.</t>
  </si>
  <si>
    <t xml:space="preserve">prioritising immediate actions to solve the economic  recession </t>
  </si>
  <si>
    <t xml:space="preserve">prioritising immediate actions to solve the economic  recession that the country has experienced in the past three years. It might also be related  to real estate interests bypassing urban planning by the government, causing the loss of  green space to housing.
</t>
  </si>
  <si>
    <t>multidisciplinary - entail challenges of  leadership and collaboration within and among the institutions involved. Each institution,  department, or stakeholder operates on its own terms (e.g., agenda, timeframe, and values). = sectroal silos</t>
  </si>
  <si>
    <t xml:space="preserve">Green infrastructure projects are multidisciplinary and, as such, entail challenges of  leadership and collaboration within and among the institutions involved. Each institution,  department, or stakeholder operates on its own terms (e.g., agenda, timeframe, and values).
</t>
  </si>
  <si>
    <t xml:space="preserve">Long-term engagement of all parties involved - Outcomes and impacts are usually measurable after a sustained period, </t>
  </si>
  <si>
    <t xml:space="preserve">Long-term engagement of all parties involved is a major barrier to GI projects. Outcomes and impacts are usually measurable after a sustained period, in which the role that  each actor plays in the long term should be clear. Poor communication among actors causes  misunderstanding of project ownership or lack of engagement, which is crucial for the  monitoring and maintenance of GI. For instance, when local communities in South Africa  claimed a natural park and wetland as part of job loss compensation, uncertainty regarding  actual ownership of the area led to neglecting maintenance activities, creating a fire hazard  to their farms [50]. Without stakeholder engagement over time, the multiple benefits of GI  are potentially undermined.
</t>
  </si>
  <si>
    <t>engagement of social stakeholders in the GI planning process is often suboptimal due to funding and time limitations</t>
  </si>
  <si>
    <t xml:space="preserve">engagement of social stakeholders in the GI planning process is often suboptimal due to funding and time limitations, for the GF-BA project, multiple factors  compounded the gatekeeper-related barriers mentioned above. We faced pressure to install  the fence first and demonstrate its benefits later, skirting around a participatory discussion  on air pollution that might have led to community buy-in to site-specific remediation  action for the schoolyard.
</t>
  </si>
  <si>
    <t>Poor communication among actors causes  misunderstanding of project ownership or lack of engagement, which is crucial for the  monitoring and maintenance of GI</t>
  </si>
  <si>
    <t>institutions may not have the capacity or expertise required - in  some geographical contexts, GI innovation has primarily remained in academia or at pilot  project level</t>
  </si>
  <si>
    <t>availability of suitable plants -Plant selection  relies upon scientific literature primarily generated in Europe, the US, Australia, Japan,  and China. - different species to the ones  commercially available in Buenos Aires, or they are considered a specialty in the local  market, which increases costs. - resistance to the use of species that are  not local and native to the region</t>
  </si>
  <si>
    <t xml:space="preserve">availability of suitable plants for GI4AQ+ was identified as a barrier in Buenos  Aires, which is not discussed in previous studies conducted elsewhere. Plant selection  relies upon scientific literature primarily generated in Europe, the US, Australia, Japan,  and China. Most of the species investigated in these countries are different to the ones  commercially available in Buenos Aires, or they are considered a specialty in the local  market, which increases costs. Additionally, there is resistance to the use of species that are  not local and native to the region, as an interest in preserving native species has emerged  and gained momentum across Argentina
</t>
  </si>
  <si>
    <t xml:space="preserve">When the different actors in a GI project work according to their own terms, or have  goals incompatible with other actors, this is generally referred to as ‘sectoral silos’ in the  literature [40]. Sectoral silos cause institutional fragmentation, which complicates and  challenges the progress and success of GI interventions, the common goal. Additionally,  leadership and monitoring of GI projects may be hindered by an institution’s internal  governance issues or staff turnover.
</t>
  </si>
  <si>
    <t>no clear knowledge of the pathways or means for civil society to engage directly with  the government and propose GI projects expediently</t>
  </si>
  <si>
    <t xml:space="preserve">two context-specific barriers. Firstly, there was  no clear knowledge of the pathways or means for civil society to engage directly with  the government and propose GI projects expediently. This applied to both the executive  and legislative branches of government. Some interviewees mentioned that they had to  engage with the legislature and multiple ministries through informal mechanisms, relying  on pre-existing connections. 
</t>
  </si>
  <si>
    <t>little guidance on the development, monitoring, and maintenance of GI - challenging to provide standards because the system is alive</t>
  </si>
  <si>
    <t xml:space="preserve">There is little guidance on the development, monitoring, and maintenance of GI, and it  is challenging to provide standards because the system is alive (comprising, e.g., vegetation,  soil, water) and context-dependent. Therefore, the lack of knowledge of GI practicalities and  uncertainty as to its impacts remain as significant hurdles to implementation. Additionally,  institutions may not have the capacity or expertise required to develop GI projects as, in  some geographical contexts, GI innovation has primarily remained in academia or at pilot  project level.
</t>
  </si>
  <si>
    <t>‘cultural heritage’ status of  certain school buildings with colonial features prohibits interventions that may change their  appearance - Planning and building  code constraints are a common barrier</t>
  </si>
  <si>
    <t xml:space="preserve">design limitations. Some interviewees highlighted that the ‘cultural heritage’ status of  certain school buildings with colonial features prohibits interventions that may change their  appearance. This was the reason for the refusal of permission to install an irrigation system  for the GF-BA. Other schools do not have suitable planting space. Planning and building  code constraints are a common barrier in the literature, highlighting the importance of  adapting the design to the specific contexts and proposing alternative GI typologies.
</t>
  </si>
  <si>
    <t>Past positive and negative experiences  with GI at different levels (government, private practice, residents) may create bias towards  their uptake or rejection, which is referred to as ‘path dependency’</t>
  </si>
  <si>
    <t xml:space="preserve">The values of local cultures and gatekeeper institutions where GI interventions take  place are important and may pose some socio-cultural barriers. Some of these barriers  come from the lack of awareness of the environmental, social, and economic benefits of GI  or from a lack of knowledge of successful projects. Past positive and negative experiences  with GI at different levels (government, private practice, residents) may create bias towards  their uptake or rejection, which is referred to as ‘path dependency’ in the literature [47].
</t>
  </si>
  <si>
    <t xml:space="preserve">The physical characteristics of the place where GI is to be implemented constrain the  design and may even impede its development. Firstly, land ownership determines the  activities that are possible in a place as well as the gatekeepers to liaise with. Secondly,  the landscape morphology, available space, and built-up infrastructure pose technical  difficulties in developing GI and dictate its design. Equally important, the availability and  structure of adequate vegetation for GI pose technical barriers and constrain the design.
For example, Li et al. [51] argue that the current use of a single ‘sponge city model’ for  solving flooding through GI in China may not be successful due to the diverse geographical  conditions of the pilot cities
</t>
  </si>
  <si>
    <t>lack  of financial incentives</t>
  </si>
  <si>
    <t>development of  trust between ‘city and citizens’ and collaborative governance among local government  and other actors are important enablers</t>
  </si>
  <si>
    <t xml:space="preserve">These barriers have by no means deterred cities from undertaking numerous GI and  NbS projects. In fact, there is increasing literature documenting lessons learned from  successfully implemented schemes. For example, in the European context, where NbS are  often initiated by local governments, Frantzeskaki [26] points out that the development of  trust between ‘city and citizens’ and collaborative governance among local government  and other actors are important enablers.
</t>
  </si>
  <si>
    <t>lack of green policies</t>
  </si>
  <si>
    <t xml:space="preserve">a lack of green policies, perceiving government as unsupportive of measures to address the city’s environmental challenges. In fact, the mismatch
Sustainability 2022, 14, 4129 14 of 23  between the city government’s green plans and its actual commitment to concrete actions  was remarkable.
</t>
  </si>
  <si>
    <t xml:space="preserve"> lack  of pre-existing NbS interventions to shape the agenda</t>
  </si>
  <si>
    <t xml:space="preserve">The lack  of pre-existing NbS interventions to shape the agenda constitutes a contributing factor  already identified in the international literature.
</t>
  </si>
  <si>
    <t>complies with local and international regulations on ‘environmental quality’ does not  consider pollution hotspots, which the public monitoring system is also unable to identify  and document</t>
  </si>
  <si>
    <t xml:space="preserve"> air pollution  is not sensorially evident citywide for extended periods of time, with numerous cases  of poor health symptoms</t>
  </si>
  <si>
    <t>process of monitoring and data collection encountered difficulties related to the lack of familiarity interventions among specialists and the need for them to adapt their techniques and research design to test the green fence’s efficacy</t>
  </si>
  <si>
    <t xml:space="preserve">The process of AQ monitoring and data collection encountered difficulties  related to the lack of familiarity with GI4AQ interventions among specialists and the need
for them to adapt their techniques and research design to test the green fence’s efficacy.
</t>
  </si>
  <si>
    <t xml:space="preserve">Effect can be limited in one place and very positive in another  </t>
  </si>
  <si>
    <t>examples - limited effect of afforestation on water retention and flood risk. while afforesta- tion is recommended for supporting water retention and decreasing surface runoff in some regions, in other cases (e.g. Dan´aˇcov´a et al., 2020) such effects are limited</t>
  </si>
  <si>
    <t>difficulties to calculate the value for compensation  for upstream-downstream effects of measures</t>
  </si>
  <si>
    <t>difficulties to calculate the value of land for compensation (barrier O) for upstream-downstream effects of the implemented measures must be considered</t>
  </si>
  <si>
    <t xml:space="preserve"> variability of the effects of NBS across spatial and temporal scales</t>
  </si>
  <si>
    <t>These barriers mainly result from the expected variability of the effects of NBS across spatial and temporal scales. Czechia and Slovenia show that small retention pools and ponds may locally support water retention and biodiversity, but even if employing a large number of small retention ponds in the catchment, their upscaling potential is limited even in countries where these measures are among the preferred NBS (Nester et al., 2017; Wilkinson, 2019). On the other hand, based on modelling approaches, Ferreira et al. (2020) reported that a network of small water retention areas implemented at the catchment scale is more effective for flood mitigation than larger iso- lated areas. The role of water retention areas in significantly reducing surface runoff and alleviating flood peaks downstream, however, has not been clearly evinced.</t>
  </si>
  <si>
    <t xml:space="preserve">lack of a common understanding basic on - objective - what are good soil properties </t>
  </si>
  <si>
    <t>NBS aiming to improve soil conditions, where basic considerations on what are good soil properties don’t have a common understanding.</t>
  </si>
  <si>
    <t xml:space="preserve">epistemic lock-ins resulting from maintaining historical practices may undermine trust in new approaches (even if positive effect can be proven) </t>
  </si>
  <si>
    <t>epistemic lock-ins resulting from maintaining historical practices may undermine trust in new FRM approaches as shown by Solín (2020) for Slovakia. This may occur despite existing studies documenting positive effects of these measures (Keestra</t>
  </si>
  <si>
    <t>generally low willingness to implement nbs due to their costs, strengthened by financial flood recovery schemes that do not support adaptive measures</t>
  </si>
  <si>
    <t>lack of trust can also represent a mimicry to a generally low willingness to implement these efforts, e.g. due to their costs. This negative effect can be increased by financial flood recovery schemes that do not support adaptive measures</t>
  </si>
  <si>
    <t>NBS may necessitate certain management practices</t>
  </si>
  <si>
    <t>Such NBS may necessitate certain management practices, and</t>
  </si>
  <si>
    <t>coordination is most challenging   where many public and private ownershipmodels, administrative bodies,  and initiatives interact a</t>
  </si>
  <si>
    <t>existing co-creation efforts are rather targeted at large-scale restoration efforts, where municipalities already owned part of necessary lands. Contrarily, the experts indicated that stakeholders’ coordination is most challenging in urban projects, where many public and private land- and homeowners and initiatives interact, and also in river restoration effortsThe latter is often based on specific ownership models, where rivers and small water streams are legally designated as a property and subject to management of other bodies than those which own the surrounding land.  Conflicts then emerge both at the intersection of private land- owners and public institutions (Hartmann et al., 2018), as well as on different administrative bodies (e.g.</t>
  </si>
  <si>
    <t xml:space="preserve">level of trust/confidence can vary among stakeholders making coordination difficult. </t>
  </si>
  <si>
    <t>trust can also be differentially distributed among stakeholders which impede their coor- dination towards implementation of NBS (Barrier J</t>
  </si>
  <si>
    <t xml:space="preserve"> limited availability of private-owned land leads to fragmented individual interventions</t>
  </si>
  <si>
    <t>upscaling potential of river restoration efforts are limited because individual in- terventions which are often fragmented due to the limited availability of private-owned land (barrier N).</t>
  </si>
  <si>
    <t>difficulty in acquiring the land</t>
  </si>
  <si>
    <t>Even with empirical evidence for the positive effects of NBS on flood risk reduction, and after gaining trust among the landowners, difficulty in acquiring the land (barrier N) remains a key barrier as reported by experts. especially for large scale measures aiming at flood- plain, wetland and river restoration, and for changes in land-use man- agement practices.</t>
  </si>
  <si>
    <t>availability of land to implement measures is limited leading to exploring hybrid solutions</t>
  </si>
  <si>
    <t xml:space="preserve">urban setting, the availability of land for spatial water retention measures is limited, so the current research and field experi- ments focus on hybrid measures </t>
  </si>
  <si>
    <t>lack of distribution of responsibilities to design, incentivize, and implement NBS</t>
  </si>
  <si>
    <t>the lack of distribution of responsibilities to design, incentivize, and implement NBS</t>
  </si>
  <si>
    <t>ability to prove the positive effects of NBS is a legal requirement</t>
  </si>
  <si>
    <t>The ability to prove the positive effects of NBS is a legal requirement
for enforcing its implementation on private land</t>
  </si>
  <si>
    <t xml:space="preserve"> legislation requires  all new individual housing developments to implement rainfall infiltration measures ( homeowners are motivated by cost savings) </t>
  </si>
  <si>
    <t>Czech legislation requires all new individual housing developments to implement rainfall infiltration measures, yet recent research shows that the motivation of home-owners is often to save the money for water use rather than to be based on the real trust in the effects of such measures (Slavíkov´a and Mach´aˇc, 2017). Similar effects have been observed in Germany (Hart- mann and Scheibel, 2016), the Netherlands (Snel et al., 2020), Austria and Belgium (Attems et al., 2020). In</t>
  </si>
  <si>
    <t xml:space="preserve"> lack of information on appropriate design and technical guidelines leads to lack of institutional and financial mechanisms</t>
  </si>
  <si>
    <t>lack of institutional and financial mechanisms is rooted in a lack of information on appropriate design and technical guidelines to implement these measures (barrier Q) (e.g. Typically, nature-based river dams require different materials, design and consideration on the degree f stabilization in mountainous and lowland water streams</t>
  </si>
  <si>
    <t xml:space="preserve">NBS measures have rather uncertain effects at various scales and across environments - efficiency depends on many variables.. </t>
  </si>
  <si>
    <t>some NBS measures have rather uncertain effects at various scales and across environments, as their efficiency depends on topography, vegetation type, soils and spatial configuration and extent. uncertainties result from temporal instabilities of nature-based river dams, such as log dams, which may release a sub- stantial volume of woody debris during peak discharges and affect flow direction and velocities</t>
  </si>
  <si>
    <t>unknown extent of land that is necessary for the effective implementation of the individual NBS</t>
  </si>
  <si>
    <t xml:space="preserve">Many of the uncertainties reported in Section 3.2.1 manifest them selves in locational decisions (barrier E) and the unknown extent of land (barrier F) that is necessary for the effective implementation of the in- dividual NBS. </t>
  </si>
  <si>
    <t xml:space="preserve">effects are unknown or vague, limiting land-use adjusments and limiting stakeholder trust </t>
  </si>
  <si>
    <t>Restrictions and land-use adjustments cannot be realized if the effects are unknown or vague. This means that cooperation of stakeholders becomes more imperative</t>
  </si>
  <si>
    <t xml:space="preserve">lack of financial  and institutional  supporting mechanisms </t>
  </si>
  <si>
    <t xml:space="preserve">higher-level institutional settings and a lack of financial (barrier K) and institutional (bar- rier L) supporting mechanisms are reported as the most frequent barriers hindering the implementation of NBS. </t>
  </si>
  <si>
    <t xml:space="preserve">guidelines are yet missing in most countries, resulting from technical complexity and necessary considerations on costs and benefits in urban settings with high land prices </t>
  </si>
  <si>
    <t xml:space="preserve">guidelines to design these measures are yet missing in most countries, resulting from both their technical complexity and necessary considerations on costs and benefits in urban settings with high land prices </t>
  </si>
  <si>
    <t>Perceived benefits have to  consider social and ecological amenities including biodiversity, recreation spaces, urban heat reduction, and healthier ecosystems, but these  are difficult to quantify.</t>
  </si>
  <si>
    <t xml:space="preserve">Perceived benefits have to  consider social and ecological amenities including biodiversity, recreation spaces, urban heat reduction, and healthier ecosystems, but these  are difficult to quantify.
</t>
  </si>
  <si>
    <t>Research  on cost-benefit analysis of such projects is still limited, so the cost and  benefit of Sponge City projects is difficult to compare.</t>
  </si>
  <si>
    <t xml:space="preserve">Research  on cost-benefit analysis of such projects is still limited, so the cost and  benefit of Sponge City projects is difficult to compare.
</t>
  </si>
  <si>
    <t xml:space="preserve">Consequently, more research is required on the fi-  nancial viability of Sponge City projects, in which life cycle benefits  should be clearly articulated in terms of social wellbeing, return on investment, the value of private-public partnerships (PPP) and the role  of local or regional organizations.
</t>
  </si>
  <si>
    <t xml:space="preserve"> availability of information on public perceptions and willingness to pay for  this is still limited.</t>
  </si>
  <si>
    <t xml:space="preserve">mproving public attitudes and perceptions of the Sponge City meet obstacles because the concept is still a very new one in China and the availability of information on public perceptions and willingness to pay for  this ambitious project is still limited.
</t>
  </si>
  <si>
    <t xml:space="preserve"> technological discrepancies between developed and developing countries</t>
  </si>
  <si>
    <t xml:space="preserve">There are large technological discrepancies between developed and developing countries, where the latter  have limited expertise or skills regarding green materials for green  roofs or bio-detention, lack of technical guidance and training, outdated  supportive simulation models, and insufficient performance data for  planning and design matters.
</t>
  </si>
  <si>
    <t>C.3.2</t>
  </si>
  <si>
    <t xml:space="preserve"> subsidies are  inadequate due to the high and long-term funding requirement for construction - policy-makers have to recognize that in the long-term, the  public-private partnership (PPP) strategy is the best way to make the  Sponge City viable</t>
  </si>
  <si>
    <t>private sector  would not invest in a Sponge City project due to higher costs not  being matched by higher revenues</t>
  </si>
  <si>
    <t xml:space="preserve">it determined that the private sector  would not invest in a Sponge City project due to higher costs not  being matched by higher revenues (Liang, 2018). As a result, the objective appears to be somewhat challenging in terms of the Chinese government attracting the investment of public-private partnerships, as  this would require approximately 50% of total costs and may not be feasible
</t>
  </si>
  <si>
    <t xml:space="preserve"> implementation at catchment scale requires substantial investment.</t>
  </si>
  <si>
    <t xml:space="preserve">While Sponge City can be applied a simple low cost materials from  LID and SUDS systems in small-scale, a completed Sponge City implementation at catchment scale requires substantial investment.
</t>
  </si>
  <si>
    <t xml:space="preserve"> Implementation require a systematic process of monitoring,  evaluation and management</t>
  </si>
  <si>
    <t xml:space="preserve">Sponge City projects require a systematic process of monitoring,  evaluation and management (Hakimdavar et al., 2016).
</t>
  </si>
  <si>
    <t xml:space="preserve">management hierarchy of  the Sponge City is classified as a shared responsibility between central  government and local government </t>
  </si>
  <si>
    <t xml:space="preserve">The management hierarchy of  the Sponge City is classified as a shared responsibility between central  government and local government (see Fig. 10).
The Chinese government is coordinating the work of other official  bodies. The National Development and Reform Commission (NDRC)  has been responsible for strengthening special financial support for  Sponge City construction. The Ministry of Finance has allocated and  generally managed funds for each area.
</t>
  </si>
  <si>
    <t>All cities in China are expected to take part in  the Sponge City program</t>
  </si>
  <si>
    <t xml:space="preserve">All cities in China are expected to take part in  the Sponge City program because the attraction of initial investment  from their central government to assist Sponge City construction. Actually, the Chinese central government invested initially approximately  US$50–100 million for SCP each pilot city (Association, 2017). Yet this  level of funding may still be insufficient for the overall project. In the  near future, China's government does expect private funds and publicprivate sector partnerships to drive the investment in building Sponge  City infrastructure.
</t>
  </si>
  <si>
    <t>published technical guideline for Sponge City implementation</t>
  </si>
  <si>
    <t xml:space="preserve">In 2014, China's Ministry of Housing and Urban-Rural Development  published the technical guideline for Sponge City implementation (Li  et al., 2016).
</t>
  </si>
  <si>
    <t>F.3.1</t>
  </si>
  <si>
    <t xml:space="preserve">China's government administration system lacks cooperation between related functions or agencies (Jiang et al., 2017b; Li et al.,  2017). As inter-connectedness is required to promote the Sponge City's  aims for positive societal outcomes with urban planning, water management, land use and supporting eco-systems, so the value of community cooperation and the support from all levels of administration and  agencies are essential for Sponge City construction. The complex nature  of Sponge City implementation requires not only appropriate acceptance of technologies but also strong management systems and governance capabilities.
</t>
  </si>
  <si>
    <t>appropriate legal framework or agency body  that can ensure sharing of benefits between sectors will help cooperation and involvement of inter-agencies</t>
  </si>
  <si>
    <t xml:space="preserve">the objectives of Sponge City may prove  too difficult to achieve without a sense of collaboration and strong coordination between multiple stakeholders in sharing data, financial resources, etc. Having an appropriate legal framework or agency body  that can ensure sharing of benefits between sectors will help cooperation and involvement of inter-agencies.
</t>
  </si>
  <si>
    <t>Achieving public participation,  people's willingness to invest, and having the education, training and  information dissemination methods to support regions should be  discussed with a broad array of public groups ranging from political  leaders to everyday citizens</t>
  </si>
  <si>
    <t xml:space="preserve">Achieving public participation,  people's willingness to invest, and having the education, training and  information dissemination methods to support regions should be  discussed with a broad array of public groups ranging from political  leaders to everyday citizens
</t>
  </si>
  <si>
    <t>Environmental awareness results in higher willingness to pay  and changing demand</t>
  </si>
  <si>
    <t xml:space="preserve">When considering social factors, an increase in environmental awareness in  general, as well as by consumers, results in higher willingness to pay and changing consumption norms towards ‘green’ products and services [26–28,32].
</t>
  </si>
  <si>
    <t>A.1.1</t>
  </si>
  <si>
    <t>drivers of demand for NBS are the climate and biodiversity crises</t>
  </si>
  <si>
    <t xml:space="preserve">The overarching drivers of demand for NBS are the climate and biodiversity crises. The benefits of NBS for climate change mitigation and adaptation; water  management; coastal resilience; green space management; air quality are endorsed by  multiple institutions [9]. However, as noted above, the lack of evidence of the effectiveness  of NBS in combating climate change and biodiversity loss and their own resilience to  climate change is a barrier [8,13,15,51].
</t>
  </si>
  <si>
    <t>Uncertainty as regards the technical performance and cost-effectiveness  of NBS as well as their resilience to climate change</t>
  </si>
  <si>
    <t xml:space="preserve">Uncertainty as regards the technical performance and cost-effectiveness  of NBS as well as their resilience to climate change is perhaps the most important barrier  to uptake of NBS [8,51,52]. These barriers are exacerbated by inconsistent approaches  to measurement of NBS benefits and costs [1,8,13,37,53].
</t>
  </si>
  <si>
    <t>NBS resilience to  climate change is uncertain</t>
  </si>
  <si>
    <t>Capacity gaps relating to measuring NBS impact (enabler and barrier)</t>
  </si>
  <si>
    <t xml:space="preserve">Capacity gaps relating to measuring NBS impact could also be perceived as a technical  factor. Survey respondents appeared divided on the question of NBS effectiveness—52%  of survey respondents identified the lack of evidence of effectiveness of NBS as a barrier  while 51% also perceived clear evidence of the effectiveness of NBS as an enabler.
</t>
  </si>
  <si>
    <t>lack of evidence of the effectiveness  of NBS in combating climate change and biodiversity loss</t>
  </si>
  <si>
    <t xml:space="preserve">technical trainings meeting practical needs. </t>
  </si>
  <si>
    <t xml:space="preserve">education on sustainability in business schools - </t>
  </si>
  <si>
    <t xml:space="preserve">success factor is access to high-quality and  relevant education—for example business schools that consider social and environmental
Sustainability/ missions of business are more relevant to sustainability-oriented enterprises than traditional  business school curricula focusing predominantly on conventional indicators of economic  success [26]. Access to technical training that meets the practical needs of sustainabilityoriented firms presents specific challenges, particularly in emerging fields [31].
</t>
  </si>
  <si>
    <t>lack of awareness and understanding of  the cost structure of NBS, the multi-functional benefits of NBS and the difficulties measuring effectiveness</t>
  </si>
  <si>
    <t>corporations lacked the knowledge to compare the impacts  from tree planting with more complex but potentially more impactful solutions such as  rewilding</t>
  </si>
  <si>
    <t xml:space="preserve">Despite a growing interest in instruments such as carbon credit  schemes, NBEs perceived that corporations lacked the knowledge to compare the impacts  from tree planting with more complex but potentially more impactful solutions such as  rewilding.
</t>
  </si>
  <si>
    <t xml:space="preserve">long-term nature of nbs not alligned with short ter, electoral cycles and gment planning cycles </t>
  </si>
  <si>
    <t xml:space="preserve">The long-term nature of benefits from NBS is another barrier, rendering NBS less attractive to elected officials constrained by short-term electoral cycles and local government  planning cycles [1,12,13,37].
</t>
  </si>
  <si>
    <t>sources of private funding  for start-up capital, certification and capacity building are limited</t>
  </si>
  <si>
    <t>availability of funding instruments such as grants and subsidies  was recognised as an enabler</t>
  </si>
  <si>
    <t>longer timeframe required for return  on investment in NBS does not correspond well with short-term political cycles</t>
  </si>
  <si>
    <t>Lack of funding/support in the public and private sector for novel NBS approaches</t>
  </si>
  <si>
    <t xml:space="preserve">Lack of funding/support in the public and private sector for novel NBS approaches  was identified as a significant barrier by 73% of NBE respondents. Further insights from  interviews revealed that this was often related to a lack of awareness and understanding of  the cost structure of NBS, the multi-functional benefits of NBS and the difficulties measuring effectiveness as addressed previously leading to difficulties constructing compelling  business cases.
</t>
  </si>
  <si>
    <t>uncertainty in business ecosystem service related revenue resulting from climate change and declining natural resources</t>
  </si>
  <si>
    <t xml:space="preserve">Factors related to the environment mentioned include climate change  and dependence on ecosystem services. Nature-based tourism companies with outdoor activities experienced climate change to have a potential negative effect on their business [29].
Access to and availability of natural resources is also mentioned as a factor for forest-based  companies [31]. A decline in the quality and/or quantity of biodiversity and ecosystem  services can negatively impact investments in this field
</t>
  </si>
  <si>
    <t>Reputational value</t>
  </si>
  <si>
    <t xml:space="preserve">there is value in being perceived as a responsible company by consumers [33]. However, in the case of pro-diversity businesses, the ability to  demonstrate their credentials as a responsible business is integral to their competitive positioning. Societal support—including support from local communities—for new businesses  and entrepreneurship and a long cultural tradition of utilizing resources were seen as  enablers for forestry enterprises
</t>
  </si>
  <si>
    <t>public funding as a source of revenu for eneterprises - enabler and risky</t>
  </si>
  <si>
    <t xml:space="preserve">Public funding through subsidies and tax incentives was found to be an  enabler for sustainability-oriented enterprises [29,32]. Even though relying on government  sources alone was perceived as risky for such enterprises [26], sources of private funding  for start-up capital, certification and capacity building are limited [33]. Generally, it is  challenging to find investors with similar objectives, i.e., that are not driven by short-term  return on investment criteria [26,27,33]. Moreover, the time needed to reach a commercially  viability product can be longer than the 2–3 years that investors typically require. From the  investor side, completing due diligence presented difficulties related to challenges measuring impact, thus potentially resulting in high transaction costs [27,33]. Moreover, in some  cases there are limited markets for new products and services, and high levels of competition from larger, more established companies offering substitute products [27,32]. Finally,  a lack of successful case studies prevents large investors from considering biodiversity  business as an opportunity [33].
</t>
  </si>
  <si>
    <t>Industry networks for market development (enabler)</t>
  </si>
  <si>
    <t xml:space="preserve">Industry networks and formal and informal cooperation with partners, as well as  with other actors in the sector, are mentioned as enablers of market development [29–33].
For example, the exchange of information and knowledge on impact and dependency on  biodiversity and ecosystem services between the business sector and conservationists was  found to be good practice [33].
</t>
  </si>
  <si>
    <t>Social enterprise networks identified as  helpful</t>
  </si>
  <si>
    <t xml:space="preserve">Social enterprise networks were identified as  helpful for some businesses providing reassurances of mission focus and helping to identify  potential scaling models. Most nature-based enterprises interviewed had some experience  of ‘soft’ supports such as mentoring or business accelerator programmes.
</t>
  </si>
  <si>
    <t>lack of private  sector investment due to  lack of credible performance data in comparison with ‘grey alternatives leading to high risk profiles</t>
  </si>
  <si>
    <t xml:space="preserve">private sector investment in NBS is low  making up only 14% of total NBS investment [36]. Commonly cited barriers to private  sector investment include a lack of credible performance data in comparison with ‘grey
Sustainability 2021, 13, 12488 5 of 25  infrastructure’ alternatives which makes return on investment prospects unclear which in  turn increases the risk profile of investments.
</t>
  </si>
  <si>
    <t xml:space="preserve">Inadequate financing of NBS implementation is one of the most commonly  cited barriers to large-scale uptake [8,12,13,38,40–45]. Financing barriers identified include  an over reliance on public sector funding [36,45,46] and competing priorities for land use,  e.g., land needed for housing [12,38].
</t>
  </si>
  <si>
    <t xml:space="preserve"> lack of financing of NBS rather than a lack of financing for nature-based enterprises</t>
  </si>
  <si>
    <t xml:space="preserve">in interviews with nature-based enterprises there was more of an emphasis on lack of financing of NBS rather than a lack of financing for nature-based enterprises  themselves.
</t>
  </si>
  <si>
    <t>NBEs reported difficulties in financing but primarily due to their small size or a lack of  market awareness</t>
  </si>
  <si>
    <t xml:space="preserve">Some  NBEs reported difficulties in financing but primarily due to their small size or a lack of  market awareness.
</t>
  </si>
  <si>
    <t>NBE wariness of financial institutions - banks simply would not understand their business / getting into debt given the project-by-project nature of their sector</t>
  </si>
  <si>
    <t xml:space="preserve">Many interviewees expressed a wariness of financial institutions—some were concerned that banks simply would not understand their business while others were concerned  about getting into debt given the project-by-project nature of their sector. Interestingly  those who did approach banks seemed to be generally successful in securing loans or lines  of credit. Usually, they tried not to use them, preferring to rely on other ‘cheaper’ sources  of financing—such as impact investors or concessional financing.
</t>
  </si>
  <si>
    <t>NBE preferring to rely on other ‘cheaper’ sources  of financing—such as impact investors or concessional financing</t>
  </si>
  <si>
    <t xml:space="preserve">Due dilligence process - measuring impact is difficult / higher transaction costs </t>
  </si>
  <si>
    <t xml:space="preserve"> cover the long-term costs of maintaining NBS</t>
  </si>
  <si>
    <t xml:space="preserve">Financing to cover the long-term costs of maintaining NBS is also identified as a significant challenge [37,43].
</t>
  </si>
  <si>
    <t>lack  of understanding of the cost structure of an NBS and the need to plan for long-term  maintenance costs</t>
  </si>
  <si>
    <t xml:space="preserve">nature-based enterprises attribute this to a lack  of understanding of the cost structure of an NBS and the need to plan for long-term  maintenance costs. The availability of funding instruments such as grants and subsidies  was recognised as an enabler by 50% of survey respondents. Interviews confirmed the  important role of such interventions in market development.
</t>
  </si>
  <si>
    <t>Lack of incentives  or conflicting incentives can hamper uptake</t>
  </si>
  <si>
    <t xml:space="preserve">From a broader market  perspective, many policy instruments can increase demand for, and investment in NBS [15].
Three major types of economic instruments can be identified—price instruments, e.g.,  incentives or fees; quantity instruments, e.g., land use zoning to protect or restore natural  resources; fiscal instruments, e.g., ring fencing tax income for NBS [38]. Lack of incentives  or conflicting incentives can hamper uptake. Finally, looking at the supply side of the NBS  market, a lack of skilled suppliers of NBS in the private sector has been identified as a  barrier to implementation [39].
</t>
  </si>
  <si>
    <t xml:space="preserve">high levels of bureaucracy in public  procurement - difficult for SME's </t>
  </si>
  <si>
    <t xml:space="preserve">some barriers such as high levels of bureaucracy in public  procurement are well-known and common complaints of many SMEs from all sectors,  other challenges are more specific to nature-based solutions
</t>
  </si>
  <si>
    <t>F.3.3</t>
  </si>
  <si>
    <t>Public procurement policy decisions clearly affect market potential</t>
  </si>
  <si>
    <t xml:space="preserve"> reluctance to bid for public  contracts expressing a preference for private sector contracts due to faster decision making  timeframes and less bureaucracy</t>
  </si>
  <si>
    <t xml:space="preserve">Combining these challenges several interviewees expressed a reluctance to bid for public  contracts expressing a preference for private sector contracts due to faster decision making  timeframes and less bureaucracy. Other interviewees remarked on the lack of competition  for public tenders.
</t>
  </si>
  <si>
    <t>lack of competition  for public tenders</t>
  </si>
  <si>
    <t>complexity of governance - requires consensusbuilding among multiple stakeholders</t>
  </si>
  <si>
    <t xml:space="preserve">complexity of governance which requires consensusbuilding among multiple stakeholders [1,8,37]. Co-production of NBS with the local  community and entrepreneurs is seen as critical in NBS planning, delivery and maintenance [15,41,48]. A key enabling factor for NBS is partnerships among stakeholders which  in turn contributes to a more equitable distribution of the benefits of NBS and minimises  negative trade-offs [8,42,45]. Collaborative governance of NBS is identified as a key success  factor but presents challenges for more traditional forms of public administration [48–50].
Knowledge brokers, or intermediaries, brokeraging multi-stakeholder discussions between  government and other actors have emerged as an enabler in this regard [37,50].
</t>
  </si>
  <si>
    <t>Co-production of NBS with the local  community and entrepreneurs is seen as critical to achieve equitable distribution</t>
  </si>
  <si>
    <t>lack of skilled suppliers can hamper uptake</t>
  </si>
  <si>
    <t>public procurement procedures are not designed  for nature-based solutions which require considerable pre-delivery services related to  stakeholder engagement and post-delivery services such as monitoring and stewardship</t>
  </si>
  <si>
    <t xml:space="preserve">NBEs report that public procurement procedures are not designed  for nature-based solutions which require considerable pre-delivery services related to  stakeholder engagement and post-delivery services such as monitoring and stewardship
</t>
  </si>
  <si>
    <t xml:space="preserve">collaborative governance not alligned with traditional forms of administration </t>
  </si>
  <si>
    <t>NBS planning (financing, business models,  governance) is often considered as an integral part of urban planning taking into account  local needs, optimal locations and scale to ensure optimal and equitable distribution of  benefits</t>
  </si>
  <si>
    <t xml:space="preserve">Planning policy has a major impact on NBS. NBS planning (financing, business models,  governance) is often considered as an integral part of urban planning taking into account  local needs, optimal locations and scale to ensure optimal and equitable distribution of  benefits [37,52,59,60].
</t>
  </si>
  <si>
    <t>knowledge brokers/intermediaries have emerged as enabler</t>
  </si>
  <si>
    <t xml:space="preserve"> Public policy and regulations—on both EU and national  levels—could be an important driver for business by setting the goals and frameworks for  sustainability criteria (e.g. biodiversitydamage compensation ) </t>
  </si>
  <si>
    <t xml:space="preserve">Support from local authorities or local governments are seen as an enabling  factor, and measures identified include government interventions such as regulation and  legislation; for example, like-for-like mechanisms requiring business to compensate for  biodiversity damage [26,28,32,33]. Public policy and regulations—on both EU and national  levels—could be an important driver for business by setting the goals and frameworks for  sustainability criteria [31]. In addition, other factors enabling the growth of nature and  forestry enterprises are clear industry standards and certification processes [32].
</t>
  </si>
  <si>
    <t>lack of private sector regulation and inconsistent policies on NBS</t>
  </si>
  <si>
    <t xml:space="preserve">finding was supported by interview data where NBEs  related a lack of private sector regulation to inconsistent policies on NBS as discussed  previously. There was general agreement that more regulation of the private sector
</t>
  </si>
  <si>
    <t>need for  industry standards to be developed as NBS market grows</t>
  </si>
  <si>
    <t xml:space="preserve">industry regulation and the need for  industry standards to be developed for practitioners as the market for nature-based solutions grows and becomes more attractive to new entrants.
</t>
  </si>
  <si>
    <t xml:space="preserve">Complex to develop industry standards for NBS </t>
  </si>
  <si>
    <t xml:space="preserve">The complexity of developing industry standards for nature-based solutions was  recognised by practitioners. Raising awareness of industry standards among buyers of  nature-based solutions was identified as an important first step. Increased awareness and  adoption of the principles for implementing nature-based solutions set out in the IUCN  Global Standard (2020) may help to address some of these challenges
</t>
  </si>
  <si>
    <t xml:space="preserve">Need for awareness of industry standards and nbs principles among buyers of NBS </t>
  </si>
  <si>
    <t>public procurement criteria tend to be too narrowly focused on financial criteria and  do not adequately take into account the multiple benefits</t>
  </si>
  <si>
    <t xml:space="preserve">public procurement criteria tend to be too narrowly focused on financial criteria and  do not adequately take into account the multiple co-benefits of nature-based solutions.
Public procurement policy decisions clearly affect market potential.
</t>
  </si>
  <si>
    <t xml:space="preserve"> lack of focus on environmental criteria in  public/private procurement policies</t>
  </si>
  <si>
    <t xml:space="preserve">there was a lack of focus on environmental criteria in  public/private procurement policies. Interview data provided further insights, suggesting  firstly, that public rather than private procurement policies and practices present the most  significant challenges.
</t>
  </si>
  <si>
    <t>conventional indicators of economic success</t>
  </si>
  <si>
    <t>risk aversion  to innovative solutions - reluctance of the public sector to commit to large-scale, longer-term investments</t>
  </si>
  <si>
    <t xml:space="preserve">perceived reluctance of the public sector to commit to large-scale, longer-term investments. Interviewees pointed out that this risk aversion  to innovative solutions means that it sometimes takes years before an new approach is  adopted at scale. The public sector tends to roll out smaller pilots and gradually scale up  innovative solutions whereas with nature-based solutions, NBEs point out that scale is  often needed from the outset to achieve impact. The longer timeframe required for return  on investment in NBS does not correspond well with short-term political cycles.
</t>
  </si>
  <si>
    <t>scale is  often needed from the outset to achieve impact but public sector tends to roll out smaller pilots and gradually scale up</t>
  </si>
  <si>
    <t xml:space="preserve"> lack of alignment on success criteria with business  support structures prioritising economic performance indicators such as revenue or job  creation over environmental or social impact</t>
  </si>
  <si>
    <t xml:space="preserve">a lack of alignment on success criteria with business  support structures prioritising economic performance indicators such as revenue or job  creation over environmental or social impact.
</t>
  </si>
  <si>
    <t>challenging markets for new products and services</t>
  </si>
  <si>
    <t xml:space="preserve">Investor confidence - lack off evidence base / no track record </t>
  </si>
  <si>
    <t xml:space="preserve">support from society/local communities = essential for new enetrepreneurs </t>
  </si>
  <si>
    <t xml:space="preserve">Presence of infrastructure (Enabling condition for business/enterprises) </t>
  </si>
  <si>
    <t xml:space="preserve">knowledge and tools for measuring impact and valuation  of outcomes can help businesses succeed and attract investors and customers. This could  include the ability to define a biodiversity product or ecosystem services in monetary  terms or to internalise the cost of public goods and service usage in business operations,  such that investors can include this in risk assessments [33]. Furthermore, the presence of  infrastructure, e.g., roads [29], and geographic location are important factors
</t>
  </si>
  <si>
    <t xml:space="preserve">measuring impact and valuation  of outcomes for business/enterprise </t>
  </si>
  <si>
    <t>policy commitments not always resulting into action and investment due to lack of urgency, competition, silos</t>
  </si>
  <si>
    <t xml:space="preserve">Endorsement of NBS at the international policy level has increased awareness at all levels of government of the multiple benefits of NBS in addressing societal  challenges [8,34–36]. However, these policy commitments are not always translated into  action with other literature identifying a perceived lack of urgency as regards investment in  NBS [13,37]. The lack of political will to invest in NBS has been attributed to numerous factors including competing public sector priorities which are compounded by significant ‘silo’  barriers leading to a lack of NBS buy-in from other public sector depts/agencies [37,38].
</t>
  </si>
  <si>
    <t>difficult to use public procurement to implement nbs projects</t>
  </si>
  <si>
    <t xml:space="preserve">final challenge in the public sector environment is related to  difficulties in using public procurement to implement NBS projects [39].
</t>
  </si>
  <si>
    <t xml:space="preserve">lack of specific regulation for a particular sector or fragmented/inconsistent regulation for  NBS </t>
  </si>
  <si>
    <t xml:space="preserve">lack of specific regulation for a particular sector or fragmented/inconsistent regulation for  NBS has been identified as a barrier [52].
</t>
  </si>
  <si>
    <t>NBE's report increase in enquiries  from corporates in nbs but level  of awareness seems quite superficial and low conversion rate from enquiries  to sales.</t>
  </si>
  <si>
    <t xml:space="preserve">Other nature-based enterprises reported a substantial increase in enquiries  from corporates and developers in relation to solutions such as green facades. The level  of awareness seems quite superficial, however, with a low conversion rate from enquiries  to sales.
</t>
  </si>
  <si>
    <t xml:space="preserve"> Levels of environmental awareness among the general public were more often identified as an enabler than a barrier by NBEs</t>
  </si>
  <si>
    <t xml:space="preserve">General Awareness of NBS  Levels of environmental awareness among the general public were more often identified as an enabler than a barrier by NBEs. The COVID 19 pandemic and subsequent  lockdowns increased awareness of the importance of access to nature for health and wellbeing. Many nature-based enterprises reported a high level of media and public interest in  their nature-based activities.
</t>
  </si>
  <si>
    <t>a lack of formal scientific research measuring the impacts of NBS and therefore a lack  of knowledge about effectiveness of NBS</t>
  </si>
  <si>
    <t xml:space="preserve">a lack of formal scientific research measuring the impacts of NBS and therefore a lack  of knowledge about effectiveness of NBS.
</t>
  </si>
  <si>
    <t>challenging to build a business case for NBS  relying on  anecdotal, informal evidence rather than scientific data</t>
  </si>
  <si>
    <t xml:space="preserve">without credible and generally accepted evidence of effectiveness, NBEs identified  that it was more challenging to build a business case for NBS as they were relying on  anecdotal, informal evidence rather than scientific data.
</t>
  </si>
  <si>
    <t xml:space="preserve">Different valuation methods (replacement value vs service value) </t>
  </si>
  <si>
    <t xml:space="preserve">In particular, different  valuation methods (i.e. the use of replacement value vs service value) are at the heart of the conflict between  accounting and ecological knowledge systems.
</t>
  </si>
  <si>
    <t xml:space="preserve">Natural components (trees) not considered assets (US) financial accounting rules and standards </t>
  </si>
  <si>
    <t xml:space="preserve">established financial accounting  KSes that dictate asset classes are well-calibrated to human-built technologies, leading GI facilities that include more human-built components (i.e. green roofs, bioswales) to more comfortably fit in existing  AM procedures than those consisting of only natural components (i.e.
forest patches, riparian areas). This means that there is a focus on facilities on the ‘techno’ end of the eco-techno spectrum and facilities on  the ‘eco’ end are left out (see Fig. 1 for example facility types)
</t>
  </si>
  <si>
    <t xml:space="preserve">selling multiple ESS at the cost of the ecological value </t>
  </si>
  <si>
    <t xml:space="preserve">Robertson et al. (2014) find that the practice  of “stacking” ecosystem services – meaning multiple different service  credits can be sold from a single site – has the unintended consequence  of net loss in ecosystem services from an ecological KS view, even  though the economic KS is satisfied. Stacking highlights the challenge  of translating ecological knowledge claims regarding ecosystem structure and function into financial knowledge claims about benefits and  services.
</t>
  </si>
  <si>
    <t xml:space="preserve">Unauthorized expenditures - public silo's - mandate for department specific services. </t>
  </si>
  <si>
    <t xml:space="preserve">in GI management, the protocols and practices (i.e.
KSes) involved in inventory and condition assessment of nature as an  asset differs substantially between departments and institutions. For  example, a parks and recreation department and a sewer utility have  different mission statements and public mandates meaning that legally  they must focus on department-specific services and cannot spend funds  on services outside their mandate (as highlighted by the Portland  lawsuit described above).
</t>
  </si>
  <si>
    <t>F.2.2</t>
  </si>
  <si>
    <t xml:space="preserve">increase transparency on justifying expenses beyond primary objective/mission </t>
  </si>
  <si>
    <t xml:space="preserve">Because of the legal  challenge BES faced in 2014, which asserted that GI was outside of the  mission of the sewer utility, they know they must be more transparent  about spending stormwater funds.
</t>
  </si>
  <si>
    <t xml:space="preserve">challenging to integrate knowledge systems (procedures) within different institutions </t>
  </si>
  <si>
    <t xml:space="preserve">institutional challenges of knowledge system integration also create road-blocks to GI management.
</t>
  </si>
  <si>
    <t xml:space="preserve">Financial asset management standards  prohibit mainstreaming of GI </t>
  </si>
  <si>
    <t xml:space="preserve">Financial asset management (AM) standards are an important, but obscured, institutional barrier to the mainstreaming of GI in the US.
</t>
  </si>
  <si>
    <t xml:space="preserve">tensions  stem from the inability to “book” natural components of GI (such as trees, soils, vegetation) as assets as they are  not recognized by US financial accounting rules and standards; this has encouraged a proliferation of highly  engineered GI that contain human-made components at the expense of more ecological GI that do not contain  human-made components.
</t>
  </si>
  <si>
    <t xml:space="preserve">conceptually difficult to include the value of nature on accounting ledgers (as an asset) </t>
  </si>
  <si>
    <t xml:space="preserve">One way to do this is to  recognize the value of nature by officially putting it on the accounting  ledger as an asset (NRPA, 2010). However, this immediately encounters  conceptual difficulties.
</t>
  </si>
  <si>
    <t xml:space="preserve">urban nature must be  understood as a service provider with functions and benefits valued at  the same level as other urban infrastructural systems (e.g. the electric  power grid). Traditionally, this understanding has not been embraced.
</t>
  </si>
  <si>
    <t>Epistemological mismatch between ecological and accounting systems - financial system does not (fully) accomodate for ecological values</t>
  </si>
  <si>
    <t xml:space="preserve">its advocates attempt to widen the financial KS to accept ecological knowledge claims more directly. The Sustainable Accounting  Standards Board (SASB) began in 2011 to create a sustainability  reporting framework for corporations (Lydenberg et al., 2010). SASB  creates the missing standards for private companies to book their sustainability practices so that they can be more competitive to investors  who increasingly care about ‘being green’ (Cowan, 2017). SASB represents the faction of the financial sector, then, that is actively  working to adjust its KS to incorporate ecological knowledge claims.
This movement to integrate KSes also faces challenges. SASB remains marginal in the financial world and faces competition from other  reporting methods (Leinaweaver, 2015; D’Aquila, 2018). Regardless of  push-back, the sustainability movement has permeated private development activities in many ways. This has necessitated the integration of  ecological and financial KSes to translate and legitimate knowledge  claims for use in decision-making. Both ecosystem services and SASB  remain on the fringes of the existing, powerful KSes of mainstream  institutions; but, both create spaces for discussion and potential KS  innovation at the local municipal level. A primary challenge to this shift is the epistemological mismatch between ecological and accounting KSes as I have outlined  above.
</t>
  </si>
  <si>
    <t xml:space="preserve">Uncertainty in performance of measures </t>
  </si>
  <si>
    <t xml:space="preserve">technical performance uncertainty
</t>
  </si>
  <si>
    <t xml:space="preserve">Unauthorized expenditures - Greening seen as 'luxury' not neccessity </t>
  </si>
  <si>
    <t xml:space="preserve">The lawsuit called bioswales – of which more than 2000 had  been built throughout the city – an “unauthorized expenditure” for the  sewer utility (Law, 2014). instead of infrastructural facilities,  ratepayers saw general greening and greenspaces, something that was a  luxury or economic development tactic at best
</t>
  </si>
  <si>
    <t>F.2.1</t>
  </si>
  <si>
    <t>Valueing nature is difficult</t>
  </si>
  <si>
    <t xml:space="preserve">what is the value of urban nature?”
</t>
  </si>
  <si>
    <t>Actual valuation of nature is difficult</t>
  </si>
  <si>
    <t xml:space="preserve">actual onthe-ground valuation has proved difficult (Norgaard, 2010; Chan et al.,  2012) and fraught with ethical conundrums (Vucetich et al., 2015; Luck  et al., 2012).
</t>
  </si>
  <si>
    <t>pervasive lack of public awareness of the threats that ecosystem degradation and climate change pose  to our planet, and of the social, economic, and ecological benefits of restoring degraded ecosystems</t>
  </si>
  <si>
    <t xml:space="preserve">Public awareness relates to the pervasive lack of public awareness of the threats that ecosystem degradation and climate change pose  to our planet, and of the social, economic, and ecological benefits of restoring degraded ecosystems.
</t>
  </si>
  <si>
    <t>A.1.2</t>
  </si>
  <si>
    <t>need for long-term scientific research devoted to understanding the restoration process,  from its social and biophysical dimensions to improving and innovating methods and strategies</t>
  </si>
  <si>
    <t xml:space="preserve">Scientific research Relates to the need for long-term scientific research devoted to understanding the restoration process,  from its social and biophysical dimensions to improving and innovating methods and strategies.
</t>
  </si>
  <si>
    <t xml:space="preserve"> relatively small portion contribution of the national budget that governments currently assign  to ecosystem restoration compared to the investments made in other areas, like energy and defense</t>
  </si>
  <si>
    <t xml:space="preserve">Political will Highlights the relatively small portion contribution of the national budget that governments currently assign  to ecosystem restoration compared to the investments made in other areas, like energy and defense.
</t>
  </si>
  <si>
    <t xml:space="preserve"> prevalence of incentive mechanisms that promote degradation and, related to this, the lack or  poor enforcement of enabling legislative environments and policies that incentivize the restoration of  ecosystem</t>
  </si>
  <si>
    <t xml:space="preserve">Legislative and policy  environments  Relates to the prevalence of incentive mechanisms that promote degradation and, related to this, the lack or  poor enforcement of enabling legislative environments and policies that incentivize the restoration of  ecosystem
</t>
  </si>
  <si>
    <t xml:space="preserve"> limited capacities among organizations, governments, private companies, and  communities in restoration initiatives.</t>
  </si>
  <si>
    <t xml:space="preserve">Technical capacity Relates to the prevalence of limited capacities among organizations, governments, private companies, and  communities in restoration initiatives.
</t>
  </si>
  <si>
    <t>reduced amount of private investments in restoration, given the perceived risk of the activities  involved</t>
  </si>
  <si>
    <t xml:space="preserve">Financial streams Highlights the reduced amount of private investments in restoration, given the perceived risk of the activities  involved
</t>
  </si>
  <si>
    <t xml:space="preserve"> public perception of risk is low - coastal protection investments influence popularity</t>
  </si>
  <si>
    <t>coastal flooding events are relatively infrequent, and thus public perception of risk is low. Rewards to public actors for making coastal protection investments, for example, in terms of increased popularity with voters, are scarce.</t>
  </si>
  <si>
    <t xml:space="preserve"> reduction national public budgets for coastal adaptation investments resulting from “hollowing-out” </t>
  </si>
  <si>
    <t>from national governments, toward transnational actors and local actors; a “hollowing-out” of the state (Penning-Rowsell &amp; Johnson, 2015) reflected in Europe in the subsidiary principle embodied in, for example, the EU Water Framework and Floods Directives (Thaler &amp; Priest, 2014). One effect of this shift has been the reduction national public budgets for coastal adaptation investments.  to push financing responsibility onto local authorities (Thaler &amp; Priest, 2014). While
at subnational scales, distributional conflicts between jurisdictions are reduced, other barriers emerge. Coastal protection taxes or levies raised from adaptation beneficiaries, for example, exposed households or property owners, are likely to encounter opposition due to free-riding dynamics, and, in electoral democracies, politicians who undertake such initiatives risk being voted out of office (Olson, 1968). For</t>
  </si>
  <si>
    <t xml:space="preserve"> opportunity costs - in developing countries even more prominent barrier due to very attractive benefit–cost ratios of the health or education sectors</t>
  </si>
  <si>
    <t>opportunity costs present a significant barrier to coastal adaptation investments for central governments. In developing countries, opportunity costs are an even more prominent barrier due to very attractive benefit–cost ratios of the health or education sectors investments (World Bank, 2014)</t>
  </si>
  <si>
    <t xml:space="preserve">conflicting interest among different government levels </t>
  </si>
  <si>
    <t>localized nature of coastal adaptation public goods gives rise to conflicts of interests between public actors in federal systems</t>
  </si>
  <si>
    <t>the localized nature of coastal adaptation public goods gives rise to conflicts of interests between public actors in federal systems</t>
  </si>
  <si>
    <t>Public good characteristics  - not efficiently supplied by private actors</t>
  </si>
  <si>
    <t>public good characteristics, providing benefits that are nonrival and nonexcludable, and therefore is not efficiently provided by private actors (Olson, 1968).</t>
  </si>
  <si>
    <t>When such coastal investment decisions are taken by public actors, incentives arise for private actors to engage in rent-seeking behavior to influence these decisions</t>
  </si>
  <si>
    <t>Coastal areas often involve high-value real estate and infrastructure, and adaptation measures can affect these values. For example, sea walls may reduce flood risk, but may also reduce amenities, such as unobstructed waterfront views or beach access. When such coastal investment decisions are taken by public actors, incentives arise for private actors to engage in rent-seeking behavior to influence these decisions (Storbjörk &amp; Hedrén, 2011)</t>
  </si>
  <si>
    <t>F.3.2</t>
  </si>
  <si>
    <t>constitutional responsibilities - public actor is responsible</t>
  </si>
  <si>
    <t>coastal adaptation involves flood protection and land-use planning, often both explicit constitutional responsibilities of the government (Schneider, 2014). The public actor is thus responsible for coastal adaptation as they may be legally mandated to provide coastal flood protection (Sterr, 2008) or otherwise responsible for land- use planning, for example, setting zoning laws, building codes, and developing master plans (Harman, Taylor, &amp; Lane, 2015).</t>
  </si>
  <si>
    <t>awareness of risks posed by sea-level rise is low, flood risk reduc- tion benefits may not be reflected in land or real estate markets, making direct revenue generation difficult</t>
  </si>
  <si>
    <t>Moreover, when awareness of risks posed by sea-level rise is low, flood risk reduc- tion benefits may not be reflected in land or real estate markets, making direct revenue generation difficult (Druce, Moslener, Gruening, Pauw, &amp; Connell, 2016). We</t>
  </si>
  <si>
    <t xml:space="preserve"> limited research is available on the economic costs and benefits evaluation of NBS against hard engineering structure when implemented  for building resilience to HMHs</t>
  </si>
  <si>
    <t xml:space="preserve">our review highlighted several research gaps. For example,  limited research is available on the economic costs and benefits evaluation of NBS against hard engineering structure when implemented  for building resilience to HMHs. Likewise, assessment of the uncertainty  of future preservation and costs and benefits of NBS require further  research. Therefore, good practice and cost-efficiency related research  may give a fundamental and explicit knowledge in uptaking NBS for  HMRs. Furthermore, a set of principles are adopted to assess comprehensive co-benefits of NBS. Any NBS related strategies and execution  procedures not only relies on how to observe and assess the efficiency of  interferences but also takes into account the linkages among such assessments in a comprehensive procedure of alternatives assortment,  NBS plan execution, monitoring, evaluation, and replication. Other  research needs include the development of NBS catalogue that contains  harmonised and comprehensive database and metadata models for  NBS. A significant gap exists among the science, policy and practice of  NBS needs, warranting future investigations to explore and build a  bridge that can enhance the market opportunities of NBS over purely  grey approaches.
</t>
  </si>
  <si>
    <t>effectiveness of NBS are dependent on the location, architecture, typology, green  species and environmental conditions, as well as interrelated non-linear systems</t>
  </si>
  <si>
    <t xml:space="preserve">classification and effectiveness of each NBS are dependent on the location, architecture, typology, green  species and environmental conditions, as well as interrelated non-linear systems.
</t>
  </si>
  <si>
    <t xml:space="preserve"> many databases and platforms but these ave gaps:  (1) availability of high spatial and temporal resolution datasets; (2) lack of homogeneity in datasets; and (3) unavailability of data  in easy-to-use digital format; and (4) limited accessibility of datasets  owing to factors such as data policy and service responsiveness to make  all these sources interoperable (5)  a number of others have systematically collected  data focusing on specific hazards but failing to deal with all natural  hazards</t>
  </si>
  <si>
    <t xml:space="preserve">Nowadays, there are many databases and platforms of natural hazards and NBS, which allow the user to easily share knowledge, use and  combine at national, regional and global level. Although numerous gaps  could hinder their application for research. Some of these major gaps  relates to (1) availability of high spatial and temporal resolution datasets; (2) lack of homogeneity in datasets; and (3) unavailability of data  in easy-to-use digital format; and (4) limited accessibility of datasets  owing to factors such as data policy and service responsiveness to make  all these sources interoperable. In addition to the above-named databases and platforms, a number of others have systematically collected  data focusing on specific hazards but failing to deal with all natural  hazards
</t>
  </si>
  <si>
    <t>esearch needs include the development of NBS catalogue that contains  harmonised and comprehensive database and metadata models for  NBS</t>
  </si>
  <si>
    <t>types of NBS adopted  to tackle each HMHs needs a logical approach to distinguish the appropriate solutions while avoiding undesirable and economically damaging aspects of the selected approach</t>
  </si>
  <si>
    <t xml:space="preserve">As different HMHs need  different adaptation measures (Section 4.2.1), the types of NBS adopted  to tackle each HMHs needs a logical approach to distinguish the appropriate solutions while avoiding undesirable and economically damaging aspects of the selected approach
</t>
  </si>
  <si>
    <t>central challenge in the  concept and characterization of NBS, what is standard and what is  considered as NBS. For instance, are artificially modified biota or  bioengineering categorised as NBS</t>
  </si>
  <si>
    <t xml:space="preserve">In this  line, Nesshöver et al. (2017) noted that a central challenge in the  concept and characterization of NBS, what is standard and what is  considered as NBS. For instance, are artificially modified biota or  bioengineering categorised as NBS?
</t>
  </si>
  <si>
    <t>five types of information  are crucial; namely, hydro-meteorological inventory data, geo information, triggering factors (Section 3), vulnerable objects to HMRs  and NBS inventory data</t>
  </si>
  <si>
    <t xml:space="preserve">For any hazard assessment and reduction, five types of information  are crucial; namely, hydro-meteorological inventory data, geo information, triggering factors (Section 3), vulnerable objects to HMRs  and NBS inventory data.
</t>
  </si>
  <si>
    <t>Gaps in current knowledge and potential barriers such as lack of onsite monitoring, social and political barriers  hamper the wider uptake of NBS</t>
  </si>
  <si>
    <t xml:space="preserve">Gaps in current knowledge and potential barriers such as lack of onsite monitoring, social and political barriers (Kabisch et al., 2016)  hamper the wider uptake of NBS. In order to overcome these gaps  and foster the uptake of NBS in responses to HMHs, a greater interdisciplinary and collaborative research amongst different policy  areas, stakeholders and many other sectors is required. This will  particularly increase the demand and may promote the uptake of  NBS implementation in practical situations. Simultaneously, few  studies (e.g., Depietri and McPhearson. 2017) pointed out the limitation and drawbacks of using a grey approach or merely green  infrastructure for HMHs reduction, suggesting a hybrid approach  that combines blue, green and grey approach as the most effective  way of tackling HMHs.
</t>
  </si>
  <si>
    <t xml:space="preserve"> social and political barriers  hamper the wider uptake of NBS</t>
  </si>
  <si>
    <t xml:space="preserve">difficult to observe and assess the efficiency of  interferences </t>
  </si>
  <si>
    <t>(monetary) valuation techniques being ill equipped to account for the value of NBS</t>
  </si>
  <si>
    <t xml:space="preserve">potentially fruitful for enhancing private capital flows to NBS,   such models are unlikely to be simple “plug-and-play” solutions. Toxopeus and Polzin (2021) identify the barrier effect of (monetary) valuation techniques being ill equipped to account for the value of NBS, as   well as the challenges of managing cooperative action between public   actors and potential private financiers.
</t>
  </si>
  <si>
    <t>dearth of   (accessible) techniques to monetize and forecast the value of NBS. private actors expect a strong evidence   base for payments, such as utility fees and developer obligations</t>
  </si>
  <si>
    <t xml:space="preserve">n terms of revenues and benefits, authors note the dearth of   (accessible) techniques to monetize and forecast the value of NBS. This   applies firstly to models where private actors expect a strong evidence   base for payments, such as utility fees and developer obligations
</t>
  </si>
  <si>
    <t>models are often informed by average cost calculations rather than   actual costs incurred, rendering cost–benefit forecasts inaccurate</t>
  </si>
  <si>
    <t xml:space="preserve">Concerning cost calculations, AF   models are often informed by average cost calculations rather than   actual costs incurred, rendering cost–benefit forecasts inaccurate (Merk   et al., 2012; Sinha et al., 2014; Zhao et al., 2019). This issue was   particularly evident in the case of DC Water’s 2016 Environmental   Impact Bond. Here, the cost of green infrastructure implementation was   underestimated, which jeopardized the underlying financial arrangement and ultimately necessitated a shift in project strategy from solely   green infrastructure to gray–green, or “hybrid,” interventions (Christophers, 2018; World Bank Group, 2020). Furthermore, additional cost   considerations, such as transaction costs, life-cycle costs, and   pre-financing needs are presumably disregarded in practice, although   their impact on risk–return balances can be significant
</t>
  </si>
  <si>
    <t xml:space="preserve"> risk-averse political attitudes and   dominant socio-economically oriented agendas, preference remains for   existing financial instruments and proven technologies</t>
  </si>
  <si>
    <t xml:space="preserve"> NBS   plans often fail to materialize due to public budget shortfalls</t>
  </si>
  <si>
    <t xml:space="preserve">governments restrict their budget  allocation to investments related to legal obligations and political priorities, neither of which traditionally account for NBS </t>
  </si>
  <si>
    <t xml:space="preserve"> NBS projects generate widespread public benefits but do not produce immediate revenue streams to   support the high sunk costs they often entail</t>
  </si>
  <si>
    <t xml:space="preserve"> demand for NBS-specific finance is quite low relative to the   overall demand for sustainable investment </t>
  </si>
  <si>
    <t xml:space="preserve">Economic: market demand vs. market failures   AF models provide new platforms that materialize the growing demand for “green finance.” However, in view of general economic conditions, the demand for NBS-specific finance is quite low relative to the   overall demand for sustainable investment (Marchal et al., 2019). In   addition, AF models are not necessarily apt to overcome the market   failures classically associated with NBS, such as freeriding
</t>
  </si>
  <si>
    <t xml:space="preserve">difficulties of maintaining sufficiently stable policies in political praxis hindering uptake of financial (debt) instruments </t>
  </si>
  <si>
    <t xml:space="preserve">In addition, stable policy environments are paramount. In particular,   debt instruments require “project pipelines” anchored in cross-sectoral,   long-term policies for capital to be mobilized effectively. Given the dynamics of electoral cycles and the differing political views that emerge, authors denote the   difficulties of maintaining sufficiently stable policies in political praxis
</t>
  </si>
  <si>
    <t>additional cost   considerations, such as transaction costs, life-cycle costs, and   pre-financing needs are presumably disregarded in practice, although   their impact on risk–return balances can be significant</t>
  </si>
  <si>
    <t xml:space="preserve"> for models relying on conditional payments,   cost-effective monitoring methods are essential to verify cash flows and   limit transaction costs</t>
  </si>
  <si>
    <t xml:space="preserve"> land-use conditions affect the exploitation potential of land   and thus highly influence the potential opportunity costs with which AF   models must compete</t>
  </si>
  <si>
    <t xml:space="preserve">elatedly, from an economic   perspective, land-use conditions affect the exploitation potential of land   and thus highly influence the potential opportunity costs with which AF   models must compete
</t>
  </si>
  <si>
    <t>lack of design standards</t>
  </si>
  <si>
    <t xml:space="preserve"> public divestment derives from   the inability of public accountancy praxis to account for the economic   value of natural assets</t>
  </si>
  <si>
    <t xml:space="preserve"> Sectoral approaches to   NBS</t>
  </si>
  <si>
    <t>path dependencies</t>
  </si>
  <si>
    <t>no “one-size-fits-all” AF solutions - subject to three  main concerns: place-based societal configurations, the types of NBS   under scrutiny, and their specific financial profiles</t>
  </si>
  <si>
    <t xml:space="preserve">Despite the great number of AF models under scrutiny, the analysis of   their financial technicity and PESTLE elements indicates that arguably   none can be considered “one-size-fits-all” solutions. AF models are   conceptualized and applied in different parts of the world and in highly   localized contexts, making their barriers and drivers subject to three   main concerns: place-based societal configurations, the types of NBS   under scrutiny, and their specific financial profiles. 
</t>
  </si>
  <si>
    <t xml:space="preserve"> part and parcel of financial uncertainty is the way AF models   are designed and how costs and benefits are computed and forecast.</t>
  </si>
  <si>
    <t xml:space="preserve">Also, part and parcel of financial uncertainty is the way AF models   are designed and how costs and benefits are computed and forecast. 
Simulations of individual AF models indicate the varying financial effects they produce when using different AF model designs and baseline   criteria
</t>
  </si>
  <si>
    <t>AF models require significant policy changes and political guidance vis-a-vis ` a willingness to reorient municipal policies</t>
  </si>
  <si>
    <t xml:space="preserve">AF models nevertheless require significant policy changes and political guidance vis-a-vis ` a willingness to reorient municipal policies
</t>
  </si>
  <si>
    <t>AF models are   acceptable when the local ideology is accommodating to privately   financed NBS with a public goods character  H</t>
  </si>
  <si>
    <t xml:space="preserve">Various studies indicate that AF models are   acceptable when the local ideology is accommodating to privately   financed NBS with a public goods character  However, due to risk-averse political attitudes and   dominant socio-economically oriented agendas, preference remains for   existing financial instruments and proven technologies
</t>
  </si>
  <si>
    <t xml:space="preserve">various models rely   on economic cycles in their revenue capacities (e.g. real estate markets) </t>
  </si>
  <si>
    <t xml:space="preserve">Finally, various models rely   on economic cycles in their revenue capacities.
The range of land value capture instruments, for example, ties in directly   to the real estate market, rendering revenues dependent on the conditions of local development markets 
</t>
  </si>
  <si>
    <t>market opacity concerning demand and supply conditions</t>
  </si>
  <si>
    <t xml:space="preserve"> who ultimately bears the   costs and risks when using AF models for NBS and are these burdens are justified</t>
  </si>
  <si>
    <t xml:space="preserve">Authors also raise critical questions about who ultimately bears the   costs and risks when using AF models for NBS and whether these burdens are justified. Washington DC’s impact bond is illustrative, with   Christophers (2018) arguing that its structure has failed to redistribute   risks to private investors, as it alleged to achieve. Instead, he argues, it   constituted coalescing financial and environmental risks ultimately   borne by local communities.
</t>
  </si>
  <si>
    <t>by engaging the (marginalized) public co-benefits can be daylighted</t>
  </si>
  <si>
    <t xml:space="preserve">By  engaging the public, particularly those communities that have been marginalized, the co-benefits can be daylighted . In  contrast, Young (2011) noted that urban trees have the opposite problem: they are viewed positively by stakeholders, but are not considered  infrastructure. Thus tree-planting initiatives are subject to politicking  and fluctuations in funding that traditional infrastructure is not.
</t>
  </si>
  <si>
    <t>unclear whether ecosystem services  frameworks can reduce funding-related barriers to NbS implementation  and management</t>
  </si>
  <si>
    <t xml:space="preserve">It remains unclear whether ecosystem services  frameworks can reduce funding-related barriers to NbS implementation  and management, engage diverse stakeholders in NbS decision-making,  or address existing place-based inequities in access to NbS.
</t>
  </si>
  <si>
    <t>benefits provided by NbS varied by race, ethnicity, or income</t>
  </si>
  <si>
    <t xml:space="preserve">to the benefits provided by NbS varied by race, ethnicity, or income. For example, a few of these inquiries explored associations between environmental injustices and “redlining,” a racist  New Deal program from the 1930s designed to provide mortgage  support for homeowners. To do this, the HOLC “graded” neighborhoods from A to D based on investment risk, using racial  makeup as a determining factor. 
</t>
  </si>
  <si>
    <t>funding landscape is highly uneven, with most state and  nonprofit support accruing to middle-income areas. shrinking public budgets and philanthropic partners for  parks pose challenges for social justice, specifically if the public is not  involved in decision-making</t>
  </si>
  <si>
    <t xml:space="preserve">investigated local, state,  and nonprofit funding support for parks in the Los Angeles area, finding that the funding landscape is highly uneven, with most state and  nonprofit support accruing to middle-income areas. Nisbet and Schaller (2020) evaluated the connection between just outcomes and philanthropic partnerships for public goods, like parks. The authors  conclude that shrinking public budgets and philanthropic partners for  parks pose challenges for social justice, specifically if the public is not  involved in decision-making.
</t>
  </si>
  <si>
    <t xml:space="preserve"> connect urban green space distribution in Baltimore to historical redlining. Their results illustrate  that historical legacies influence future outcomes, and thus environmental justice research must consider long-term interactions between  distributive and procedural justice in cities</t>
  </si>
  <si>
    <t xml:space="preserve">Ecosystem services provision is also influenced by  the characteristics of the area or place in question. The importance of  the local context for ecosystem services provision was evident in several articles (e.g., Finewood et al., 2019; Grove et al., 2018; Pienaar  et al., 2019; Yi et al., 2018), highlighting the influence of historical legacies and the built and natural environment on ecosystem services  and funding, financing, and partnerships. For example, Grove et al.
(2018) used an environmental justice approach, exploring distributive  justice, or the “…patterns of amenities and disamenities…” (p. 526),  and procedural justice, or the “…de jure and de facto allocation of amenities and disamenities…” (p. 527), to connect urban green space distribution in Baltimore to historical redlining. Their results illustrate  that historical legacies influence future outcomes, and thus environmental justice research must consider long-term interactions between  distributive and procedural justice in cities
</t>
  </si>
  <si>
    <t xml:space="preserve"> cities with less financial capacity allocate less money to NbS operations  and maintenance</t>
  </si>
  <si>
    <t xml:space="preserve">Specifically, associations were made between the  financial capacity of a city or community and NbS spending, where cities with less financial capacity allocate less money to NbS operations  and maintenance (Leon-Moreta et al., 2020; O'Herrin &amp; Shields, 2016;  Rigolon et al., 2018). Similar associations were found between capital  fund availability and local capacity , race , and income, both within and between cities. For example, Rigolon et al. (2018) evaluated per capita park spending  in the US, revealing that predominantly white and affluent municipalities had higher quality parks than lower-income and minority municipalities.
</t>
  </si>
  <si>
    <t>urban trees considered  infrastructure and are subject to politicking  and fluctuations in funding that traditional infrastructure is not.</t>
  </si>
  <si>
    <t xml:space="preserve">Areas that relied on donations and external support  cited challenges with reliable, long-term funding. While public-private partnership models are  popular tools, relying on nonprofits and volunteers may introduce too  much uncertainty to fully replace the public sector commitment to NbS. </t>
  </si>
  <si>
    <t xml:space="preserve">investigated tree-planting initiatives across the  US, looking closely at the funding mechanisms, governance, and success  of the initiatives. Areas that relied on donations and external support  cited challenges with reliable, long-term funding (Young, 2011). Indeed,  the results suggest that while public-private partnership models are  popular tools, relying on nonprofits and volunteers may introduce too  much uncertainty to fully replace the public sector commitment to NbS
</t>
  </si>
  <si>
    <t xml:space="preserve">capital expenditures and operating expenditures are typically separated into distinct budgets. </t>
  </si>
  <si>
    <t xml:space="preserve">types of NbS funding, financing, and partnership mechanisms  described in the literature can be separated into mechanisms for capital expenditures and operating expenditures. These  expenditures were separated because capital expenditures and operating expenditures are typically separated into distinct budgets  (i.e., the capital budget and the operating budget. Additionally, capital projects tend to have a larger  number of payment mechanisms available as compared to operating  expenditures, meaning that these costs must be considered independently. 
</t>
  </si>
  <si>
    <t>ecosystem services framework may help break down funding silos  across local government departments by funding GI according to its  broad public outcomes, instead of through a single department budget</t>
  </si>
  <si>
    <t xml:space="preserve">BenDor et al. (2018) called for US cities to embrace ecosystem services-based GI planning approaches, suggesting that the  ecosystem services framework may help break down funding silos  across local government departments by funding GI according to its  broad public outcomes, instead of through a single department budget.
Similarly, Finewood et al. (2019) suggested that the social and cultural  co-benefits of GI require freeing it from its gray, engineering-focused  roots and engaging local stakeholders in the planning process.
</t>
  </si>
  <si>
    <t>Capital projects tend to have a larger  number of payment mechanisms available as compared to operating  expenditures</t>
  </si>
  <si>
    <t>per capita park spending  in the US, revealing that predominantly white and affluent municipalities had higher quality parks than lower-income and minority municipalities</t>
  </si>
  <si>
    <t xml:space="preserve"> Understanding the ecological, social, and cultural context of a place is critical  to understanding outcomes.</t>
  </si>
  <si>
    <t xml:space="preserve">Ecologically, historical legacies are also influential. Johnson et al. (2018) found that legacies of  land use matter for modern biodiversity, whereby the type of past  industrial land use influences the species found on brownfields.
Indeed, in most studies the authors acknowledged that results are  context-specific and not necessarily generalizable. Understanding the ecological, social, and cultural context of a place is critical  to understanding outcomes.
</t>
  </si>
  <si>
    <t xml:space="preserve">Actual vs perceived effects on  performance of restoration/sustainable land  management practices - need communication and education  and rural advisory services. 
</t>
  </si>
  <si>
    <t xml:space="preserve">Actual or perceived effects on  performance of  restoration/sustainable land  management practices
</t>
  </si>
  <si>
    <t xml:space="preserve">Traditions, practices -  need for communication and engagement with stakeholders
</t>
  </si>
  <si>
    <t xml:space="preserve">Traditions, practices
</t>
  </si>
  <si>
    <t>Perverse subsidies</t>
  </si>
  <si>
    <t xml:space="preserve">Perverse subsidies
</t>
  </si>
  <si>
    <t xml:space="preserve">Diverse lobby groups
</t>
  </si>
  <si>
    <t xml:space="preserve">Lack of adequate spatial planning
</t>
  </si>
  <si>
    <t xml:space="preserve">Uncertain land tenure - need for appropriate regulations and engagement with stakeholders
</t>
  </si>
  <si>
    <t xml:space="preserve">Uncertain land tenure
</t>
  </si>
  <si>
    <t xml:space="preserve">Lack of political incentives
</t>
  </si>
  <si>
    <t xml:space="preserve">Actual or perceived lack of  financial benefit
</t>
  </si>
  <si>
    <t xml:space="preserve">Lack of access to input and  output markets - need for transportation infrastructure, labeling, and financial incentives </t>
  </si>
  <si>
    <t xml:space="preserve">Lack of access to input and  output markets
</t>
  </si>
  <si>
    <t>NBS often represent local public goods - benefiting some citizen groups more than others - impacting election success of public actors</t>
  </si>
  <si>
    <t>Even if public funding is potentially available, NBS often represent local public goods, benefiting some citizen groups more than others, which can lower citizen will- ingness to pay through taxation (Besley and Coate 2003; Mullin et al., 2018). Public actors need political support for their actions (to win the next election), which hampers their risk appetite, whereas</t>
  </si>
  <si>
    <t>limited municipal spending autonomy and lack of fiscal transfers to a local level, leading to municipal budget constraints and low NBS public investment level</t>
  </si>
  <si>
    <t>lack of public financing for urban NBS has also been attributed to limited municipal spending autonomy and lack of fiscal transfers to a local level, leading to municipal budget constraints and low NBS public investment levels (Droste</t>
  </si>
  <si>
    <t xml:space="preserve"> Lack of entry of large, traditional players may slow the scaling up</t>
  </si>
  <si>
    <t xml:space="preserve"> multiple benefits that are generated by NBS make it difficult to finance, as all need to be considered to show the ‘superiority’ of the NBS as an intervention as opposed to other (grey) infrastructure investments</t>
  </si>
  <si>
    <t>The multiple benefits that are generated by NBS make it difficult to finance, as all need to be considered to show the ‘superiority’ of the NBS as an intervention as opposed to other (grey) infrastructure investments (Droste et al., 2017).</t>
  </si>
  <si>
    <t>urban regeneration projects are often perceived by private investors as high risk due to a lack of information about the underlying value of assets</t>
  </si>
  <si>
    <t xml:space="preserve">profit making acticvities prioritized (by government and private porject developers) favouring real estate devlopment over infrastructure </t>
  </si>
  <si>
    <t xml:space="preserve"> the prioritization of local governments and private project developers for profit-making activities, favouring investments into real estate development above public infrastructure. </t>
  </si>
  <si>
    <t xml:space="preserve"> departments within a local governments often have a singular societal objective, which by itself ren- ders NBS an unattractive investment option</t>
  </si>
  <si>
    <t>each department within a local government often has a singular societal objective, which by itself ren- ders NBS an unattractive investment option</t>
  </si>
  <si>
    <t>private bodies have a higher incentive to provide standard solutions at reliable profits than to present innovative solutions.</t>
  </si>
  <si>
    <t xml:space="preserve">private bodies have a higher incentive to provide standard solutions at reliable profits than to present innovative solutions. </t>
  </si>
  <si>
    <t>private actor involvement tends to be motivated by effeciency - faster and better delivery of such public services</t>
  </si>
  <si>
    <t>inclusion of private investors for infrastructure investment is often motivated by efficiency reasoning—they arguably embody improved incentive systems for faster and better delivery of such public services (Warner and Hefetz 2008; Helm 2010)—and levying user charges would create better incentives between providers and consumers (Helm 2010). Furthermore, private actor involvement allows for better risk sharing of long-term, illiquid infrastructure investments (Adair et al., 2000).</t>
  </si>
  <si>
    <t>private actor involvement can allow for different mechanisms - levying user charges would create better incentives between providers and consumers</t>
  </si>
  <si>
    <t>private actor involvement allows for better risk sharing of long-term, illiquid infrastructure investments</t>
  </si>
  <si>
    <t>privatization of public infrastructure could lead to higher costs for citizens</t>
  </si>
  <si>
    <t>privatisation of public infrastructure can lead to higher than envisioned costs for citi- zens, as evidenced in the case study on the privatisation of London’s desalination plant (Loftus &amp; March 2016).</t>
  </si>
  <si>
    <t xml:space="preserve"> dominant valuation and accounting methodologies inable to value and account for benefits created by NBS interventions</t>
  </si>
  <si>
    <t>inability of dominant valuation and accounting methodologies to value and account for benefits created by NBS interventions (Bockarjova et al., 2020).</t>
  </si>
  <si>
    <t xml:space="preserve"> discounting of future values implies that the long-term benefit is often not weighted strongly in current financing decisions, which leads to economic, sus- tainability and ethical considerations</t>
  </si>
  <si>
    <t>how to weigh long term public value against (lack of) private short-term cash flows. A long timeframe and large scale are often needed to capture benefits from infrastructural NBS investments, such as investments in sustainable urban drainage systems and urban parks. However, discounting of future values implies that the long-term benefit is often not weighted strongly in current financing decisions, which leads to economic, sus- tainability and ethical considerations (Guerry et al., 2015).</t>
  </si>
  <si>
    <t xml:space="preserve"> ‘new public management’, where the government takes a step back to outsource to, or partner with, private entities - expectation of more efficient and innovative delivery modes of public services</t>
  </si>
  <si>
    <t xml:space="preserve">Although urban infrastructure is traditionally seen as the domain of (local) government, public investment into sustainable urban infra- structure often lacks behind in the context of rapid urbanization - ‘new public management’, where the government takes a step back to outsource to, or partner with, private entities in the expectation of more efficient and innovative delivery modes of public services (Helm). </t>
  </si>
  <si>
    <t>volatile rental markets in regenation areas create insecurity regarding ex- pected profits.</t>
  </si>
  <si>
    <t>difficulty of translating NBS benefits into monetary units leading to underinvestment in and overexploitation of natural resources</t>
  </si>
  <si>
    <t>Also,some scholars criticize the common aim of creating better reporting and accounting frameworks, arguing that such reporting creates a disconnect to the real challenge of taking care of our natural capital and may instead reinforce business as usua</t>
  </si>
  <si>
    <t xml:space="preserve">creating better reporting and accounting frameworks may lead to reinforces business as usual </t>
  </si>
  <si>
    <t xml:space="preserve"> creating better reporting and accounting frameworks, arguing that such reporting creates a disconnect to the real challenge of taking care of our natural capital and may instead reinforce business as usua</t>
  </si>
  <si>
    <t xml:space="preserve">Resistance to alternative investment strategies of traditional financial players (such as pension funds) </t>
  </si>
  <si>
    <t>Although adjustment of accounting frameworks is seen as a promising route for upscaling NBS (and will be discussed in the next section), actual decision models for investment may change slower than expected due to persisting conventions and resistance to alternative investment strategies by traditional financial players such as pension funds (Clark 1998).</t>
  </si>
  <si>
    <t xml:space="preserve"> Lack of entry of large, traditional players such as these may slow the scaling up of sustainable housing and urban infrastructure invest- ment (Clark 1998). This raises the issue of which actors will be adopting these adjusted accounting—and ultimately, decision—frameworks</t>
  </si>
  <si>
    <t>urban regeneration projects are often perceived by private investors as high risk due to a lack of information about the underlying value of assets (McGreal et al., 2000). Furthermore, volatile rental markets create insecurity regarding ex- pected profits. In reaction to these challenges, researchers found evi- dence of risk-reducing measures, such as public loan guarantee schemes (Schilling and Logan 2008).</t>
  </si>
  <si>
    <t xml:space="preserve">ecomarketing might offset part of environmental benefits due to increased consumption </t>
  </si>
  <si>
    <t xml:space="preserve">eco-marketing initiatives for FLR funding might be  dangerous if it promotes increased consumption that offsets  part of the environmental benefits created through the tree  planting activities. Eco-marketing may leads to the belief  by consumers that the products and services marketed have  low environmental impacts, but simply planting trees for  every commodity sold does not imply that the wider supply  chain is sustainable. To safeguard against such “greenwashing,”  certification of products or corporations which facilitate FLR  could be used, such as the B-corporation certification presented  in our review.
</t>
  </si>
  <si>
    <t>Awareness of diversity of intervention types can leverage more funding</t>
  </si>
  <si>
    <t xml:space="preserve">it is also important to increase  consumer awareness around the merits of natural regeneration  and different types of FLR interventions. With increased  awareness, other types of FLR interventions will be easier to  communicate, which can leverage more funding from ecomarketing initiatives.
</t>
  </si>
  <si>
    <t xml:space="preserve">the role of maintenance in succes of intervention… </t>
  </si>
  <si>
    <t>Coral reefs and seagrass were among the most   expensive ecosystems to restore.</t>
  </si>
  <si>
    <t xml:space="preserve">Coral reefs and seagrass were among the most   expensive ecosystems to restore.
</t>
  </si>
  <si>
    <t>restoration costs were significantly (up to 30   times) cheaper in countries with developing economies. Community- or volunteer-based   marine restoration projects usually have lower costs.</t>
  </si>
  <si>
    <t xml:space="preserve">Most marine coastal restoration projects were conducted   in Australia, Europe, and USA, while total restoration costs were significantly (up to 30   times) cheaper in countries with developing economies. Community- or volunteer-based   marine restoration projects usually have lower costs.
</t>
  </si>
  <si>
    <t xml:space="preserve">Total restoration cost (including capital and operating cost) per unit area remained constant for coral reefs   and seagrass as the size of the project increased, indicating that economies of scale did not occur (Fig 5). 
However, project size tended to be small (&lt;1 ha for   coral reefs and &lt;10 ha for seagrass; Fig 3), and it is   possible that this relationship would change if larger   project areas were examined. F
</t>
  </si>
  <si>
    <t xml:space="preserve">Restoration success depended primarily on   the ecosystem, site selection, and techniques applied rather than on money spent. We need   enhanced investment in both improving restoration practices and large-scale restoration.
</t>
  </si>
  <si>
    <t xml:space="preserve">However, restoration success is typically reported in   terms of item-based success, e.g., survival of planted   transplants, seedlings, recruits, propagules, or spat. Item-based success is not adequate to represent the overall project feasibility where success criteria are linked to   the recovery of ecosystem function and services (RuizJaen and Aide 2005). Many projects assessed in the   present study did not aim at ecological restoration as   defined by the Society for Ecological Restoration (SER   2004), but rather had other objectives.
</t>
  </si>
  <si>
    <t>uncertainty and  complexity of proving NFM effectiveness</t>
  </si>
  <si>
    <t xml:space="preserve">The role of antecedent conditions,  groundwater and the change in residence time of processes is highlighted. The uncertainty and  complexity of proving NFM effectiveness underpin a view that new thinking in catchment flood  management is needed.
</t>
  </si>
  <si>
    <t>structures often need to be significantly larger than many think initially,  and dense networks of RAFs are needed for any impact to be apparent at the scale of even  a small catchment</t>
  </si>
  <si>
    <t xml:space="preserve">Therefore, structures often need to be significantly larger than many think initially,  and dense networks of RAFs are needed for any impact to be apparent at the scale of even  a small catchment.
</t>
  </si>
  <si>
    <t>critical mass of features is needed to address flood risk</t>
  </si>
  <si>
    <t xml:space="preserve">Figure 1 shows, a critical mass of features is needed to address flood risk. Currently, several elements of RAF design, which   are required to guarantee that features run at the optimum performance, are not yet   known. Equally, the issue of scaling up RAFs (and NFM generally) to the larger catchment   scale needs more research. Better models and empirical evidence are needed. Model outputs need to be based on better robust empirical evidence of flow and a better understanding of RAF functioning, groundwater dynamics and pond status during large events.
</t>
  </si>
  <si>
    <t>There are few studies, other than at the local scale, where confidence is gained that a  network of RAFs can reduce flood risk.</t>
  </si>
  <si>
    <t xml:space="preserve">There are few studies, other than at the local scale, where confidence is gained that a  network of RAFs can reduce flood risk.
</t>
  </si>
  <si>
    <t>better understanding of both the hydraulic functioning  (especially leakiness dynamics) of RAFs and the nature of groundwater interactions -  can only be done, for example, by using a combination of controlled experiments at the  laboratory scale and detailed forensic analysis of flow and water levels for a range of in  situ RAFs</t>
  </si>
  <si>
    <t xml:space="preserve">There is still a need to gain a better understanding of both the hydraulic functioning  (especially leakiness dynamics) of RAFs and the nature of groundwater interactions. This  can only be done, for example, by using a combination of controlled experiments at the  laboratory scale and detailed forensic analysis of flow and water levels for a range of in  situ RAFs.
</t>
  </si>
  <si>
    <t>whilst we have modelling capability, the uncertainty is still too great</t>
  </si>
  <si>
    <t xml:space="preserve">Beven [34] warns that whilst we have modelling capability, the uncertainty is still too great.
However, we argue that we must design and implement NFM schemes, even though we  cannot fully determine the downstream impact. The outstanding question is:  • How do we design NFM schemes that address both local scale and larger spatial scale  flood events?
</t>
  </si>
  <si>
    <t>intervention should fit into both natural and farmed landscapes  without causing great loss of land or food production and RAFs should not inundate land  for long durations</t>
  </si>
  <si>
    <t xml:space="preserve">RAFs should fit into both natural and farmed landscapes  without causing great loss of land or food production and RAFs should not inundate land  for long durations. In fact, carefully designed RAFs in the right location can encourage new  drainage to remove flood flow that can also improve the quality of the farmed land.
</t>
  </si>
  <si>
    <t>Uptake of RAFs will depend on imaginative payments, which will require extensive  consultation, demonstration activities and policy-making, all of which can act as a barrier  to uptake</t>
  </si>
  <si>
    <t xml:space="preserve">Uptake of RAFs will depend on imaginative payments, which will require extensive  consultation, demonstration activities and policy-making, all of which can act as a barrier  to uptake. Co-designed visualisation and communication tools such as those generated by  the Decision Support Matrix (DSM) approach [54] can play a significant role in promoting  stakeholder engagement and uptake. RAFs, NFM and nature-based solutions must become  a normal part of farming, forestry and land management in general if it is to succeed. The  role of socio-economic drivers is not covered in detail here, but progress must be made on  all fronts [20,21,24].
</t>
  </si>
  <si>
    <t xml:space="preserve"> communication tools  can play a significant role in promoting  stakeholder engagement and uptake</t>
  </si>
  <si>
    <t>scaling up RAFs (and NFM generally) to the larger catchment   scale needs more research. Better models and empirical evidence are needed</t>
  </si>
  <si>
    <t xml:space="preserve">data on social benefits can be  resource-intensive to collect and difficult to quantify in a manner  that is both meaningful and large-scale </t>
  </si>
  <si>
    <t xml:space="preserve">54 indicators relating to climate change, timber,  business and community development, access, health, environmental quality, and biodiversity (FCS, 2011). However, these do  not distinguish between new and existing woodlands, are limited  by data availability, and may cloud trends through aggregation  (Jackson et al., 2004). Moreover, data on social benefits can be  resource-intensive to collect and difficult to quantify in a manner  that is both meaningful and large-scale (Slee, 2007). As such, there  is currently very little information on whether grant schemes have  produced social benefits
</t>
  </si>
  <si>
    <t>many restoration projects have no system of long-term monitoring, quality outcome data are limited,  posing a significant barrier to evaluation</t>
  </si>
  <si>
    <t xml:space="preserve">Finally, since many restoration projects have no system of long-term monitoring, quality outcome data are limited,  posing a significant barrier to evaluation
</t>
  </si>
  <si>
    <t xml:space="preserve">rationale behind woodland restoration projects  is rarely clearly articulated. Objectives are therefore  difficult to measure, and can vary significantly between and within  woodlands. Moreover, since high-level policy objectives such as ‘conserving  biodiversity’ are relatively abstract, identifying suitable outcome  measures is challenging and often relies on proxies such as population trends of indicator species </t>
  </si>
  <si>
    <t xml:space="preserve">rationale behind woodland restoration projects  is rarely clearly articulated (Hobbs, 2009). Objectives are therefore  difficult to measure, and can vary significantly between and within  woodlands (Macmillan et al., 1998; Clewell and Aronson, 2006).
Moreover, since high-level policy objectives such as ‘conserving  biodiversity’ are relatively abstract, identifying suitable outcome  measures is challenging and often relies on proxies such as population trends of indicator species (Gimona and van der Horst,  2007; Ruiz-Jaen and Aide, 2005).
</t>
  </si>
  <si>
    <t xml:space="preserve"> difficulty of  mapping non-market benefits in a policy relevant way</t>
  </si>
  <si>
    <t>Evaluation challenges are also evident for a  range of forest-related initiatives, including timber certification, payment for ecosystem services  and REDD+ . Evaluation is often  seen as low priority and can face resource limitations, particularly  on smaller projects.</t>
  </si>
  <si>
    <t>market fluctuations may influence the decision to plant woodland if the value  of grants or timber products is uncompetitive with alternative  land-uses</t>
  </si>
  <si>
    <t>ecosystem services are not necessarily congruent in  space and time: maximisation of one service may result in the  reduction of others</t>
  </si>
  <si>
    <t xml:space="preserve">Moreover, ecosystem services are not necessarily congruent in  space and time: maximisation of one service may result in the  reduction of others (Rodríguez et al., 2006; van der Horst, 2006a;  Bastian et al., 2012).
</t>
  </si>
  <si>
    <t xml:space="preserve">Complexity can distort outcomes, since decisions  regarding woodland type may be made based on ease of application rather than ecological suitability or landowner objectives  (WEAG, 2012; Lawrence and Edwards, 2013). Such complexities  also carry significant transaction costs, both at the outset and for  the duration of the payment period. This is exacerbated by the  transience of woodland grant schemes which has led to confusion  and instability (Stubbs, 2011).
</t>
  </si>
  <si>
    <t>type of support and advice available to landowners can  greatly influence behaviour. This is tempered by perceived relevance, reliability and reputation of the source. Sound advice may be rejected if it contradicts value systems, while the advice and perception of peer groups is highly  influential</t>
  </si>
  <si>
    <t xml:space="preserve">The type of support and advice available to landowners can  greatly influence behaviour. This is tempered by perceived relevance, reliability and reputation of the source (Blackstock et al.,  2007). Sound advice may be rejected if it contradicts value systems, while the advice and perception of peer groups is highly  influential (Molteno et al., 2012). Specialist forest management  companies are also critical since divisions between farming and  forestry have produced little forestry expertise within the agricultural sector (Watkins et al., 1996). Significantly, the advisory role of  Forestry Commission Scotland, which was highly valued by  landowners and stakeholders, has been removed under the SRDP  (Lawrence and Edwards, 2013).
</t>
  </si>
  <si>
    <t xml:space="preserve">However, a deep cultural divide exists  between forestry and other land uses such as shooting and farming  (Fischer and Marshall, 2010; WEAG, 2012). Despite attempts to  foster a more ‘conservationist’ component to farming (Burton  and Wilson, 2006), it would appear that ‘the fence between the  two is as rigid as ever’ (Lawrence and Edwards, 2013: 11). Many  farmers are strongly influenced by tradition and preserve a  strongly productivist self-image (Burton and Wilson, 2006). As  such, many simply have no interest in trees (Mindspace, 2010).
This is not to say that farmers are against woodland per se, but that  they do not want it on their land. This may be based on moral  objections, particularly if multiple generations have worked on  the same farm (Watkins et al., 1996; Crabtree et al., 2001). As such,  land is commonly viewed by farmers as unsuitable for trees, seen  as either ‘too bad’ or ‘too good’ (
</t>
  </si>
  <si>
    <t>farmers  may not depart from activities that define their identity even if  offered financial incentives</t>
  </si>
  <si>
    <t xml:space="preserve">The success of forestry policy is highly dependent upon aligning  policy objectives with the motivations, attitudes and values of private landowners (Dhubháin et al., 2007; Urquhart et al., 2010). The  question of whether targets for woodland expansion can be met  therefore necessarily moves beyond discussions of what is technically feasible and must account for decision-making processes  (Stubbs, 2011).
</t>
  </si>
  <si>
    <t>divisions between farming and  forestry have produced little forestry expertise within the agricultural sector</t>
  </si>
  <si>
    <t>Government has clearly stated its intention to increase woodland cover from 18% towards  25% of land area by 2050</t>
  </si>
  <si>
    <t xml:space="preserve">The Scottish Government has clearly stated its intention to increase woodland cover from 18% towards  25% of land area by 2050. This will rely heavily on publicly funded grant schemes to encourage woodland  creation on private land.
</t>
  </si>
  <si>
    <t>Traditional models of rural decision-making predicate strongly  on economic benefit maximisation by rational actors</t>
  </si>
  <si>
    <t xml:space="preserve">Traditional models of rural decision-making predicate strongly  on economic benefit maximisation by rational actors (EdwardsJones, 2006). However, such approaches have been criticised for  understating social or intrinsic goals (Simon, 1957). This is  reflected in the limited success of 1990s agri-environment  schemes, despite expectations that low farm incomes would drive  uptake (Burton, 2004).
</t>
  </si>
  <si>
    <t>benefits of new woodland are not guaranteed and depend on woodland type, spatial characteristics and cultural context</t>
  </si>
  <si>
    <t xml:space="preserve">the benefits of new woodland are not guaranteed and depend on woodland type, spatial characteristics and cultural context.
</t>
  </si>
  <si>
    <t xml:space="preserve">Woodland expansion schemes are contingent upon the implicit  assumption that new woodlands are beneficial (Usher et al., 1992).
However, benefits are neither guaranteed nor uniform, while  woodland expansion occurs at the expense of other, potentially  more valuable, land uses (Gimona and van der Horst, 2007).
</t>
  </si>
  <si>
    <t xml:space="preserve">Furthermore, woodland benefit generation may entail significant  time lags (Bailey et al., 2006; Bastian et al., 2012), while benefits  vary by stand age (Brunet, 2007; Edwards et al., 2012) and landscape history (Hanley et al., 2009).
</t>
  </si>
  <si>
    <t xml:space="preserve"> The forestry sector sustains approximately 13,200 full-time  equivalent jobs (FTEs) in Scotland, contributing £460m yr​1 gross  value added (GVA) (Edwards et al., 2008). Much of this activity  takes place in rural areas (FCS, 2009). While often argued that  woodland expansion offers increased opportunities for rural  employment (Price, 1997; FCS, 2009), productive woodland comprises just 16% of woodland expansion, with grant payments and  public opinion favouring non-productive native species  (Lawrence and Edwards, 2013). However, native woodland still  provides employment opportunities through planting, maintenance, or alternative markets such as wood-fuel (Eiser and  Roberts, 2002; Mason, 2007).
</t>
  </si>
  <si>
    <t xml:space="preserve">Despite an emphasis on financial incentives, a number of  authors find that economic returns are rarely stated as an objective  of small-scale woodland creation (Crabtree et al., 1994, 1998,  2001; Watkins et al., 1996; Bell, 1999; Cunningham, 2009).
Rather, biodiversity conservation, landscape improvement, shelter,  and sport are primary motivations for planting. Social or environmental outcomes are also the primary motivations of many other  ownership groups, including communities, NGOs or hobby owners
</t>
  </si>
  <si>
    <t>An absence of evaluation studies is symptomatic of ecological  restoration research, which tends to overlook links between ecological restoration, society and policy</t>
  </si>
  <si>
    <t xml:space="preserve">An absence of evaluation studies is symptomatic of ecological  restoration research, which tends to overlook links between ecological restoration, society and policy (Aronson et al., 2010;  Bullock et al., 2011). Evaluation challenges are also evident for a  range of forest-related initiatives, including timber certification  (Durst et al., 2006), payment for ecosystem services (Daily et al.,  2009) and REDD+ (Herold and Skutsch, 2011). Evaluation is often  seen as low priority and can face resource limitations, particularly  on smaller projects (Gaston et al., 2006; Eastaugh, 2011).
</t>
  </si>
  <si>
    <t>lack of robust and  science-based evidence of the effectiveness of NBS for HMHs in current  and future climate scenarios</t>
  </si>
  <si>
    <t xml:space="preserve">Several factors contribute to  hamper the operationalisation of NBS, including the lack of robust and  science-based evidence of the effectiveness of NBS for HMHs in current  and future climate scenarios, along with ad-hoc tools of communication,  as well as know-how transfer mechanisms which can bridge science,  community and policy knowledge together.
</t>
  </si>
  <si>
    <t>more tangible evidence on the  economic benefits, monitoring by field measurement and key performance indicators (KPI) are needed to demonstrate the multiple benefits  NBS can provide in both short- and long-term</t>
  </si>
  <si>
    <t xml:space="preserve">to convince and foster the uptake of  NBS, in spite of the time requirements, more tangible evidence on the  economic benefits, monitoring by field measurement and key performance indicators (KPI) are needed to demonstrate the multiple benefits  NBS can provide in both short- and long-term
</t>
  </si>
  <si>
    <t>application of NBS into practice requires a strong integration  of stakeholders from different sectors (science, policy and practice) to  set a solid evidence base</t>
  </si>
  <si>
    <t>Different types of knowledge that  are brought together are scientific, local and traditional knowledge to  create understanding regarding the current social-ecological system,  scenarios of the future including the knowledge and perceptions of  the risks</t>
  </si>
  <si>
    <t xml:space="preserve">Planning of NBS  may require a long-term (even some years) commitment in the process  which may be restricted due to resources (time and funds) and social  capabilities of the stakeholders </t>
  </si>
  <si>
    <t xml:space="preserve">Planning of NBS  may require a long-term (even some years) commitment in the process  which may be restricted due to resources (time and funds) and social  capabilities of the stakeholders (Scholte et al., 2016). In some cases,  the participation can be restricted due to complexity (technological aspects requiring special expertise and understanding of the terms) or  
the physical environment of the planned NBS (difficult to reach or dangerous work). 
Despite these challenges, it is important to engage different stakeholders as it is generally assumed that diversity of knowledge in the design and implementation of NBS, similar to any other environmental  management or planning situation, would lead to more sustainable  and legitimate solutions (Durham et al., 2014). Moreover, the exchange  of knowledge between the experts and practitioners may lead to learning and long-term capacity building. Different types of knowledge that  are brought together are scientific, local and traditional knowledge to  create understanding regarding the current social-ecological system,  scenarios of the future including the knowledge and perceptions of  the risks. Therefore, integration and governance of knowledge (Tengö  et al., 2017; van Kerkhoff and Pilbean, 2017; Cohen-Shacham et al.,  2019) during the co-creation process need special care as these involve  several issues from different types of expert knowledge (technological  and social). In these situations, issues of power and questions like  what knowledge is valid and whose knowledge is accounted for are 
</t>
  </si>
  <si>
    <t>Conflicting interests are mentioned as an issue. For example, in the case of agriculture  and forestry, where the short-term economic gains may have a conflict with the environmental goals.</t>
  </si>
  <si>
    <t xml:space="preserve">Conflicting interests (e.g. economic vs. environmental  interests) are mentioned as an issue similar to other environmental  management and nature conservation projects (Waylen et al.,  2014; Kabisch et al., 2016). For example, in the case of agriculture  and forestry, where the short-term economic gains may have a con-  flict with the environmental goals.
</t>
  </si>
  <si>
    <t xml:space="preserve"> implementation of NBS at any spatial scale of interest requires strong integration of numerous local, national and international policy/decision-making processes,  which is challenging to achieve within a short timescale</t>
  </si>
  <si>
    <t xml:space="preserve">Building strong evidence and considering NBS as the main adaptation measure among science, policy and practice can thus address the  root cause of risks and promote sustainable growth (Ojea, 2015;  Wamsler et al., 2017). The successful implementation of NBS at any spatial scale of interest requires strong integration of numerous local, national and international policy/decision-making processes (Section 6),  which is challenging to achieve within a short timescale
</t>
  </si>
  <si>
    <t>participation can be restricted due to complexity (technological aspects requiring special expertise and understanding of the terms) or  the physical environment of the planned NBS (difficult to reach or dangerous work)</t>
  </si>
  <si>
    <t>fundamental tool to improve the consideration of NBS in policy-making process and practice is the engagement of citizens and organizations throughout the life cycle of NBS  projects which creates trust, ownership and stewardship among them</t>
  </si>
  <si>
    <t xml:space="preserve">The other fundamental tool to improve the consideration of NBS in policy-making process and practice is the engagement of citizens and organizations throughout the life cycle of NBS  projects (before and beyond the project such as planning, designing, execution, monitoring and evaluation phases) which creates trust, ownership and stewardship among them
</t>
  </si>
  <si>
    <t>lack of acceptance of NBS can hinder the wider uptake  of NBS in practice. As an example, gaps exist between modellers and  the public at large as models are often built with assumptions without  the direct involvement of stakeholders</t>
  </si>
  <si>
    <t xml:space="preserve">In order to improve the confidence and competence associated with  the practicality of NBS, more interdisciplinary research and targeted implementation enterprise are critical. In this regard, some studies  recognised that lack of acceptance of NBS can hinder the wider uptake  of NBS in practice. As an example, gaps exist between modellers and  the public at large as models are often built with assumptions without  the direct involvement of stakeholders (Olsson and Andersson, 2006).
Therefore, application of NBS into practice requires a strong integration  of stakeholders from different sectors (science, policy and practice) to  set a solid evidence base, such as the multiple benefits NBS provide  and their cost-benefits. This will bring broader support for NBS over  the traditional approach and enhance their wider uptake by the endusers
</t>
  </si>
  <si>
    <t xml:space="preserve">Trust may enable or disable a successful design and implementation of NBS. Trust acts both as a condition for and a result of cocreation. There might be trust or mistrust, due to previous projects  and collaboration or science in general </t>
  </si>
  <si>
    <t xml:space="preserve">Trust is also an important element that may enable or disable a successful design and implementation of NBS (Hair et al., 2014; Ashley  et al., 2015). Trust acts both as a condition for and a result of cocreation. There might be trust or mistrust, due to previous projects  and collaboration or science in general 
</t>
  </si>
  <si>
    <t xml:space="preserve">European policies have played a leading role in funding and advocating the implementation of NBS </t>
  </si>
  <si>
    <t xml:space="preserve">European policies have played a leading role in funding and advocating the implementation of NBS as the first line of defence against HMRs  in different climatic conditions and regions. However, the practical opportunities in the policy-making process need to evolve for enhancing  coherence between the above-discussed HMRs and NBS. He
</t>
  </si>
  <si>
    <t>preference for “fast solutions” hinders  the competitiveness of NBS against grey approaches</t>
  </si>
  <si>
    <t xml:space="preserve">The preference for “fast solutions” hinders  the competitiveness of NBS against grey approaches, which generally  are considered more achievable within a shorter time frame. As a consequence, government officials and/or decision-makers tend to support  the application of the grey approach for CCA, in lieu of financing in  NBS (Rizvi et al., 2015).
</t>
  </si>
  <si>
    <t>ad-hoc tools of communication,  as well as know-how transfer mechanisms which can bridge science,  community and policy knowledge together.</t>
  </si>
  <si>
    <t>availability and adequacy of data, therefore, represent one of the  “hidden” challenges in the process of NBS acceptance and assessment as long as common, well-established and documented practices and  metrics of NBS evaluation and monitoring are missing</t>
  </si>
  <si>
    <t xml:space="preserve">The availability and adequacy of data, therefore, represent one of the  “hidden” challenges in the process of NBS acceptance and assessment  and may impede its successful operationalisation (and widest uptake)  as long as common, well-established and documented practices and  metrics of NBS evaluation and monitoring are missing.
</t>
  </si>
  <si>
    <t>To assess the efficiency and effectiveness of the  NBS, their performance in terms of socio-ecological benefits should be  monitored for compliance with the design brief.</t>
  </si>
  <si>
    <t xml:space="preserve">To assess the efficiency and effectiveness of the  NBS, their performance in terms of socio-ecological benefits should be  monitored for compliance with the design brief.
In the absence of specific NBS design standards, the existing  European engineering standards (e.g. Eurocodes for civil engineering)  can be used for design and specification of the ‘hard’ or structural  parts of the NBS structures. These can be enhanced with the addition  of specifications and protocols relating to the ‘green’ or environmental  parts of the N
</t>
  </si>
  <si>
    <t>limited awareness of the relevance of urban NBS for several policy goals</t>
  </si>
  <si>
    <t>There is limited awareness of the relevance of urban NBS for several policy goals as well as a lack of knowledge and knowledge exchange on urban NBS performance.</t>
  </si>
  <si>
    <t xml:space="preserve"> lack of knowledge and   knowledge exchange on urban NBS   performance</t>
  </si>
  <si>
    <t xml:space="preserve"> lack of public funding and municipal capacity.</t>
  </si>
  <si>
    <t>NBS implementation, maintenance, and mainstreaming often suffer from a lack of public funding and municipal capacity.</t>
  </si>
  <si>
    <t>funding   and access to resources is often identified as an important enabler of   sustainability transitions</t>
  </si>
  <si>
    <t xml:space="preserve">With regard to the finance domain, we note here that while funding   and access to resources is often identified as an important enabler of   sustainability transitions (e.g. Rode et al., 2019), several scholars have   already recently started to identify and conceptualize the financial system as a separate functional domain with its own selection environment,   actors, practices, rules and routines (Geddes &amp; Schmidt, 2020). Mainstream selection processes in the financial sector, such as risk assessment   methodologies, can prevent the break-through of innovations (Smith &amp;   Raven, 2012) like NBS. C
</t>
  </si>
  <si>
    <t xml:space="preserve"> NBS implementation, maintenance, and   mainstreaming often suffer from a lack of   public funding and municipal capacity.</t>
  </si>
  <si>
    <t xml:space="preserve">Insufficient public resources (incl. 
maintenance challenges)   NBS implementation, maintenance, and   mainstreaming often suffer from a lack of   public funding and municipal capacity.
</t>
  </si>
  <si>
    <t>sceptical about costs, performance, and profitable business models of NBS and are therefore less willing to engage or invest.</t>
  </si>
  <si>
    <t>Actors in the urban development sector are sceptical about costs, performance, and profitable business models of NBS and are therefore less willing to engage or invest.</t>
  </si>
  <si>
    <t xml:space="preserve">financial system as a separate functional domain with its own selection environment,   actors, practices, rules and routines . Mainstream selection processes in the financial sector, such as risk assessment   methodologies, can prevent the break-through of innovations </t>
  </si>
  <si>
    <t xml:space="preserve">competition  over land use in dense urban environment with other functions innovations  </t>
  </si>
  <si>
    <t>NBS may compete with other urban functions and sustainability innovations over land use in dense urban environments.</t>
  </si>
  <si>
    <t>Competition over urban space NBS may compete with other urban   functions and sustainability innovations   over land use in dense urban   environments.</t>
  </si>
  <si>
    <t xml:space="preserve">Competition over urban space NBS may compete with other urban   functions and sustainability innovations   over land use in dense urban   environments.
</t>
  </si>
  <si>
    <t>joint action needed to invest in and develop NBS as the deliver multiple benefits simultaneously and tend to cross organisational and jurisdictional boundaries</t>
  </si>
  <si>
    <t>NBS deliver multiple benefits simultaneously and tend to cross organisational and jurisdictional boundaries. The joint action needed to invest in and develop NBS is considered challenging and/or lacking.</t>
  </si>
  <si>
    <t xml:space="preserve">necessary citizen engagement to align NBS to environmental, physical and social context is insufficient </t>
  </si>
  <si>
    <t>The necessary citizen engagement to align NBS to environmental, physical and social context is insufficient and/or challenging.</t>
  </si>
  <si>
    <t>NBS deliver multiple benefits   simultaneously and tend to cross   organisational and jurisdictional   boundaries. The joint action needed to   invest in and develop NBS is considered   challenging and/or lacking.</t>
  </si>
  <si>
    <t xml:space="preserve">NBS deliver multiple benefits   simultaneously and tend to cross   organisational and jurisdictional   boundaries. The joint action needed to   invest in and develop NBS is considered   challenging and/or lacking.
</t>
  </si>
  <si>
    <t xml:space="preserve"> trust in ‘engineering’ practices -  exacerbated stakeholder silos, it   promoted the development of codes, standards, and knowledge paradigms eschewing ‘soft’ NBS benefits and performance, and it incentivised innovation in engineering-heavy technologies</t>
  </si>
  <si>
    <t xml:space="preserve">Our findings show that some   structural conditions appear more fundamental to regime functioning   than others, influencing multiple barriers as well as other conditions. For   example, in several cases we found that trust in ‘engineering’ practices   provided an important regime rationality. This affected the functionality   of the entire system in multiple ways: it exacerbated stakeholder silos, it   promoted the development of codes, standards, and knowledge paradigms eschewing ‘soft’ NBS benefits and performance, and it incentivised innovation in engineering-heavy technologies
</t>
  </si>
  <si>
    <t xml:space="preserve"> There is limited awareness of the   relevance of urban NBS for several policy   goals</t>
  </si>
  <si>
    <t xml:space="preserve">Knowledge, data and awareness   challenges   There is limited awareness of the   relevance of urban NBS for several policy   goals as well as a lack of knowledge and   knowledge exchange on urban NBS   performance.
</t>
  </si>
  <si>
    <t>Actors in the urban development sector   are sceptical about costs, performance,   and profitable business models of NBS   and are therefore less willing to engage or   invest</t>
  </si>
  <si>
    <t xml:space="preserve">Low private sector engagement Actors in the urban development sector   are sceptical about costs, performance,   and profitable business models of NBS   and are therefore less willing to engage or   invest.
</t>
  </si>
  <si>
    <t>Insufficient policy development,   implementation and enforcement   oriented at NBS   NBS policy development, enforcement,   and monitoring are sometimes   insufficient and/or challenging.</t>
  </si>
  <si>
    <t xml:space="preserve">Insufficient policy development,   implementation and enforcement   oriented at NBS   NBS policy development, enforcement,   and monitoring are sometimes   insufficient and/or challenging.
</t>
  </si>
  <si>
    <t>Institutional: Slow speed in development of design guidelines and innovations for site-specific conditions. T</t>
  </si>
  <si>
    <t>Technical/spatial: Lack of space within the city for further implementation of GI; high installation and maintenance costs and the uncertaint of GI-based SWM system</t>
  </si>
  <si>
    <t>Technical/spatial: Difficult to account non-monetary benefit of green solutions.</t>
  </si>
  <si>
    <t>Institutional: Difficult to establish multi- disciplinary partnerships; negative opinion on non-conventional water.</t>
  </si>
  <si>
    <t xml:space="preserve"> Technical/spatial: Implementation of GI conflicts with existing infrastructure with space constraint; maintenance challenge.</t>
  </si>
  <si>
    <t xml:space="preserve">Institutional: Challenges of the logistics for implementation of the city-wide GI plan for SWM, e.g. land ownership, partner coordination and needs, scheduling alignment, community perceptions, etc.; lack of capacity for outreaching to home-owners. </t>
  </si>
  <si>
    <t>Technical/spatial: High cost for GI in small properties</t>
  </si>
  <si>
    <t xml:space="preserve">Institutional: Lack of construction and maintenance experiences and incentives for GI practice. </t>
  </si>
  <si>
    <t>Technical/spatial: Difficult to implement low-lying areas for SWM due to high level and saline groundwater; high cost and low feasibility of GI-based SWM elements due to the short rain season and lack of supporting products.</t>
  </si>
  <si>
    <t xml:space="preserve">Employment opportunities of native woodlands less familiar/valued than productive woodlands. </t>
  </si>
  <si>
    <t xml:space="preserve">Social and Environmental returns are sought more than economic returns in small scale projects. </t>
  </si>
  <si>
    <t xml:space="preserve">success depsends on  the ecosystem, site selection, and techniques applied rather than on money spent. </t>
  </si>
  <si>
    <t>Difficult and lack of human resources to coordinate and convince stakeholders</t>
  </si>
  <si>
    <t>Difficult to establish multi- disciplinary partnerships</t>
  </si>
  <si>
    <t>Implementation of GI conflicts with existing infrastructure with space constraint</t>
  </si>
  <si>
    <t>High cost for GI in small properties</t>
  </si>
  <si>
    <t>Difficult to implement low-lying areas for SWM due to high level and saline groundwater</t>
  </si>
  <si>
    <t>high installation and maintenance costs</t>
  </si>
  <si>
    <t>Lack of space within the city for further implementation of GI</t>
  </si>
  <si>
    <t>Uncertainty of Gi in water management capacity</t>
  </si>
  <si>
    <t xml:space="preserve">difficult to apply new solutions from research and pilot project due to limitation of the existing legislations. </t>
  </si>
  <si>
    <t>Difficult to account non-monetary benefit of green solutions</t>
  </si>
  <si>
    <t>negative opinion on non-conventional water.</t>
  </si>
  <si>
    <t>Challenges of the logistics for implementation of the city-wide GI plan for SWM</t>
  </si>
  <si>
    <t>lack of capacity for outreaching to home-owners.</t>
  </si>
  <si>
    <t>High cost and low feasibility of GI-based SWM elements due to the short rain season and lack of supporting products.</t>
  </si>
  <si>
    <t xml:space="preserve">Lack of construction and maintenance experiences and incentives for GI practice. </t>
  </si>
  <si>
    <t xml:space="preserve">Downside of unsustainable tourism - (Emissions and energy use) </t>
  </si>
  <si>
    <t>Larger green areas located near one another are more effective than single investments scattered</t>
  </si>
  <si>
    <t>Planning tools (such as green point system) required for feasibility of regulatory schemes and supporting decisionmaking</t>
  </si>
  <si>
    <t>attitude towards green solutions driven by social awarness of benefits is key influencer of adoption rate</t>
  </si>
  <si>
    <t xml:space="preserve"> excessively strict requirements for recieving co-financing or tax allowance makes it less attractive</t>
  </si>
  <si>
    <t>interdisciplinary and collaborative research amongst different policy  areas, stakeholders and many other sectors is required</t>
  </si>
  <si>
    <t xml:space="preserve"> hybrid approach  that combines blue, green and grey approach as the most effective  way of tackling HMHs</t>
  </si>
  <si>
    <t xml:space="preserve">Actual and perceived financial benefits differ and requires need ofr communication </t>
  </si>
  <si>
    <t xml:space="preserve"> Motivations to restore damaged ecosystem are multiple</t>
  </si>
  <si>
    <t xml:space="preserve"> Initial degradation is however site-specific and result in intricate ecological effects </t>
  </si>
  <si>
    <t xml:space="preserve"> knowledge of tropical mountain grassland restoration seems to be at an early stage compared to tropical mountain forest restoration</t>
  </si>
  <si>
    <t xml:space="preserve">  top promoting factors for restoration success were facilitation and vegetation composition and structure that promotes plant establishment and growth</t>
  </si>
  <si>
    <t>variables related to removing disturbance, such as eradication of invasive  promote success</t>
  </si>
  <si>
    <t xml:space="preserve"> Climate-related limitations such as habitat and recruitment constraints are already a prevalent limiting factor</t>
  </si>
  <si>
    <t xml:space="preserve"> Studies on the social dimensions of restoration in tropical mountains are still scarce</t>
  </si>
  <si>
    <t xml:space="preserve">  tailor restoration interventions to a dynamic future</t>
  </si>
  <si>
    <t xml:space="preserve"> Monitoring efforts are a key</t>
  </si>
  <si>
    <t xml:space="preserve">  calls for a better inclusion of these underrepresented systems in future research</t>
  </si>
  <si>
    <t xml:space="preserve"> Higher construction and maintenance costs than conventional pavements</t>
  </si>
  <si>
    <t>Require a considerable amount of space, making it unsuitable for densely populated areas</t>
  </si>
  <si>
    <t xml:space="preserve">safety and health concerns - May fail in case of higher pollutant loads 
</t>
  </si>
  <si>
    <t xml:space="preserve">Maintenance costs vary from moderate to high, Installation is expensive because of the high investment cost of labour </t>
  </si>
  <si>
    <t xml:space="preserve">limited research at a local level to find suitable native plants for the optimum performance of green roofs </t>
  </si>
  <si>
    <t>Initial high construction cost and require consistent maintenance</t>
  </si>
  <si>
    <t>Improper installation increases the probability of leakage and can even lead to structural failure of building</t>
  </si>
  <si>
    <t xml:space="preserve">Insufficient technical support ( skilled labour, knowledge on design standards, guidelines and performance) is one of the prime reasons for delayed GI implementation. </t>
  </si>
  <si>
    <t>available land space is scarce in densely populated areas.</t>
  </si>
  <si>
    <t xml:space="preserve">single GI solution cannot turn out to be effective in all places influenced by  factors such as land usage type, slope, size of the watershed, soil permeability, rainfall patterns, depth of water table and other natural characteristics </t>
  </si>
  <si>
    <t>In developing countries, the lack of topographical and hydrological data makes the designing and implementation process of reliable measures for flood-risk mitigation time-consuming.</t>
  </si>
  <si>
    <t xml:space="preserve">Insufficient hydrological data prevents a consistent estimation of expected flood events, whereas the absence of suitable topographical data results in defective hydraulic analysis. </t>
  </si>
  <si>
    <t xml:space="preserve">AHP and spatial analysis can be employed to improve flood risk management by using indicators like land use, soil texture, distance to rivers, population density, rainfall patterns etc. -this may come in handy in places that lack data to run hydraulic models, thus accelerating the simulation process of flood risk assessment maps </t>
  </si>
  <si>
    <t xml:space="preserve">modelling tools demand more exposure in terms of stakeholders’ participation. </t>
  </si>
  <si>
    <t xml:space="preserve"> absence of cooperation between the different departments, coupled with unclear responsibilities, hampering the process of execution, maintenance and supervision. </t>
  </si>
  <si>
    <t>Evaluation of water-linked ecosystem services could be done using hydro-dynamic modelling and multi-objective optimisation both at regional levels as well as for a watershed for the purpose of municipal planning</t>
  </si>
  <si>
    <t xml:space="preserve">Funding is also an obstacle in modelling the drainage systems -  Many open source and commercial software packages are presently but cost-effective open-source models offer weak technical support and commercial ones too expensive for extensive use  </t>
  </si>
  <si>
    <t>many of the currently available modelling tools do not consider overall benefits of GI</t>
  </si>
  <si>
    <t xml:space="preserve">life-cycle management is repeatedly neglected but is imperative in developing adaptability to the uncertainties associated with flood risk </t>
  </si>
  <si>
    <t>The process is crippled by the lack of data that either does not exist or is sensitive to be shared.</t>
  </si>
  <si>
    <t>The awareness of the benefits of GI is snowballing, but there is often a reluctance to pay, especially in places with low economic  status due to variances in household income, educational background and environmental awareness.</t>
  </si>
  <si>
    <t xml:space="preserve"> Lower levels of education can result in a limited understanding of the long-term benefits and cost savings associated with GI. Devoid of relevant knowledge and understanding, residents may not fully appreciate the worth of investing in such infrastructure.</t>
  </si>
  <si>
    <t xml:space="preserve"> In contrast, the same practices tend to thrive in more affluent communities, as they pay more attention to recreational activities and ensure a high quality of life (White</t>
  </si>
  <si>
    <t>The quality of water stored gets deteriorated after a prolonged period of time,</t>
  </si>
  <si>
    <t xml:space="preserve"> limited experimental and field data available related to performance</t>
  </si>
  <si>
    <t xml:space="preserve">due to lack of political and administrative will, there are no stringent laws and regulations for their application, supervision and maintenance </t>
  </si>
  <si>
    <t xml:space="preserve">construction costs, </t>
  </si>
  <si>
    <t xml:space="preserve">ecological and socio-economic attributes are often ignored aspects of flood management studies. </t>
  </si>
  <si>
    <t xml:space="preserve">The process requires transdisciplinary and cross-actor collaboration </t>
  </si>
  <si>
    <t>insufficient political support for GF.</t>
  </si>
  <si>
    <t>insufficient financial support for GF.</t>
  </si>
  <si>
    <t xml:space="preserve"> lack of (objective) information </t>
  </si>
  <si>
    <t>lack of awareness or knowledge about the existence, cost and benefit</t>
  </si>
  <si>
    <t xml:space="preserve"> lack of knowledge about practical-technical execution of GF </t>
  </si>
  <si>
    <t xml:space="preserve">practical-technical complexity </t>
  </si>
  <si>
    <t xml:space="preserve">maintenance effort are perceived as a hurdle for GF implementation </t>
  </si>
  <si>
    <t xml:space="preserve">cost perceived as a hurdle for GF implementation </t>
  </si>
  <si>
    <t>teamwork between multiple actors often insufficient</t>
  </si>
  <si>
    <t xml:space="preserve">subjective perception of aesthetics </t>
  </si>
  <si>
    <t>lack of ambition in politics and administration</t>
  </si>
  <si>
    <t>lack of distinct guiding principles specified within policy strategies and put into practice through binding regulations.</t>
  </si>
  <si>
    <t xml:space="preserve">establishment of incentives may be accompanied by implementation difficulties regarding the effort, the legal framework, and the availability of funds.
</t>
  </si>
  <si>
    <t>difficulties in the monitoring implementation of, and compliance with, regulations occur</t>
  </si>
  <si>
    <t xml:space="preserve"> incentives insufficiently advertised</t>
  </si>
  <si>
    <t xml:space="preserve"> complex requirements and extensive procedures in politics and administration</t>
  </si>
  <si>
    <t xml:space="preserve">  procedures can require a great deal of bureaucratic, temporal, personnel, and financial effort, also affecting barriers on the economic and practical-technical level </t>
  </si>
  <si>
    <t xml:space="preserve"> lack of uniform constructional, technical, and design standards </t>
  </si>
  <si>
    <t xml:space="preserve"> lack of incentives financial support through funding programs and tax relief    from the government </t>
  </si>
  <si>
    <t xml:space="preserve">actors lack the  means or willingness to pay </t>
  </si>
  <si>
    <t xml:space="preserve"> expectation that others will bear the costs (especially persists between landlords and tenants)</t>
  </si>
  <si>
    <t>costs are often overestimated while the potential benefits of GFs are underestimated</t>
  </si>
  <si>
    <t xml:space="preserve"> additional  costs are linked to GF- acquisition costs and operating costs</t>
  </si>
  <si>
    <t xml:space="preserve">require the land area </t>
  </si>
  <si>
    <t xml:space="preserve">desired outcome requires package of structural and nonstructural interventions </t>
  </si>
  <si>
    <t>other types of strategies (education, regulations) are essential contributors to desired outcome</t>
  </si>
  <si>
    <t xml:space="preserve">non-structural measures often less costly than structural measures </t>
  </si>
  <si>
    <t>To prevent building in areas prone to high flood risk, it is important to have strong local zoning and building code regulations. However, despite Sacramento’s flood history and known flood risk, the decision over whether an area should be developed, is not always clear-cut. The</t>
  </si>
  <si>
    <t>prevent building in areas prone to high flood risk</t>
  </si>
  <si>
    <t xml:space="preserve"> important to have strong local zoning and building code regulations</t>
  </si>
  <si>
    <t>The Act also provided the foundation for local programs to adopt new regulatory strategies to ameliorate flood risk</t>
  </si>
  <si>
    <r>
      <t>Collection of the DIF is administered by the City and County of Sacramento’s respective Community Development Departments. Funds from the DIF Program are utilized to fund flood risk reduction projects</t>
    </r>
    <r>
      <rPr>
        <b/>
        <sz val="11"/>
        <color theme="1"/>
        <rFont val="Calibri"/>
        <family val="2"/>
        <scheme val="minor"/>
      </rPr>
      <t xml:space="preserve"> to mitigate the additional property damage exposure</t>
    </r>
  </si>
  <si>
    <t xml:space="preserve"> fund flood risk reduction projects to mitigate the additional property damage exposure</t>
  </si>
  <si>
    <r>
      <t xml:space="preserve">after the levees in the Natomas Basin were decertified, new development was largely curtailed, however, as the levees are brought up to a 200-year protection level, new developments are being proposed. Improvements which bring levees to a </t>
    </r>
    <r>
      <rPr>
        <b/>
        <sz val="11"/>
        <color theme="1"/>
        <rFont val="Calibri"/>
        <family val="2"/>
        <scheme val="minor"/>
      </rPr>
      <t>lower flood risk rating frequently result in lower insurance premiums and more complacency, which tends to spur additional development—the “levee paradox”</t>
    </r>
    <r>
      <rPr>
        <sz val="11"/>
        <color theme="1"/>
        <rFont val="Calibri"/>
        <family val="2"/>
        <scheme val="minor"/>
      </rPr>
      <t xml:space="preserve"> (Smith,</t>
    </r>
  </si>
  <si>
    <t xml:space="preserve">  lower flood risk rating frequently result in lower insurance premiums and more complacency, which tends to spur additional development—the “levee paradox” </t>
  </si>
  <si>
    <t xml:space="preserve"> Public may lose interest in flood risk management</t>
  </si>
  <si>
    <t>Funding for levee improvement came sporadically and was limited in focus</t>
  </si>
  <si>
    <t xml:space="preserve"> untill Central Valley Flood Protection Act , leading to increased recognition that the State needed to enhance its financial contribution </t>
  </si>
  <si>
    <t>if structures were to be maintained and meet updated regulatory requirements</t>
  </si>
  <si>
    <t xml:space="preserve"> accomplished through partnerships</t>
  </si>
  <si>
    <t xml:space="preserve">  levee’s proximity to development and associated utilities. </t>
  </si>
  <si>
    <t xml:space="preserve"> additional land is needed, and all existing easements, including utilities, roadways, or other impediments, need to be relocated or negotiated </t>
  </si>
  <si>
    <t xml:space="preserve"> each have their own method for evaluating the costs and benefits of a project</t>
  </si>
  <si>
    <t>methods are influenced by the source of funding, agency priorities and policies, and regulatory considerations, among other factors</t>
  </si>
  <si>
    <t>funding can also be limited to specific actions, such as a feasibility study, design development, construction, or maintenanc</t>
  </si>
  <si>
    <t xml:space="preserve"> risk to communities; without accounting for the beneficial aspects offloods to provide benefits to ecology and water supply </t>
  </si>
  <si>
    <t xml:space="preserve"> term floodplain became synonymous with a more regulatory definition,  intact floodplains can also support thriving ecosystems, riparian forests, and seasonal marshes, that in turn support a wide range of native species</t>
  </si>
  <si>
    <t xml:space="preserve"> ad hoc stakeholder group became a successful forum to discuss issues and potential solutions and continues to meet as needed</t>
  </si>
  <si>
    <t xml:space="preserve"> Placing rocks to protect the levee sides wasn’t deemed an effective strategy because new invasive vegetation would cause environmental and operational problems.</t>
  </si>
  <si>
    <t xml:space="preserve">  flood and restoration benefits allowed the Project to secure funds from multiple sources.</t>
  </si>
  <si>
    <t xml:space="preserve"> innovative public-private partnership  can accelerate project delivery</t>
  </si>
  <si>
    <t>private company, EIP can purchase private properties more quickly than State agencies</t>
  </si>
  <si>
    <t xml:space="preserve"> Utilities, gas lines, and other infrastructure can be significant
obstacles for creating tidal and floodplain habitat that is periodically or permanently inundated</t>
  </si>
  <si>
    <t xml:space="preserve"> changing funding priorities, regulatory issues, the sites’ location, and ongoing flood risk. </t>
  </si>
  <si>
    <t xml:space="preserve"> importance of taking a
systemwide perspective when planning projects and the importance of hydrologic research/modeling to support planning</t>
  </si>
  <si>
    <t xml:space="preserve"> regulatory setting is complex and challenging to navigate </t>
  </si>
  <si>
    <t xml:space="preserve">maintenance activities part of the solution/design </t>
  </si>
  <si>
    <t xml:space="preserve">Count </t>
  </si>
  <si>
    <t>Count</t>
  </si>
  <si>
    <t>F.4</t>
  </si>
  <si>
    <t>F.2.4</t>
  </si>
  <si>
    <t>F.2.5</t>
  </si>
  <si>
    <t>F.4.1</t>
  </si>
  <si>
    <t>F.4.2</t>
  </si>
  <si>
    <t>F.4.3</t>
  </si>
  <si>
    <t>F.5</t>
  </si>
  <si>
    <t>F.5.1</t>
  </si>
  <si>
    <t>F.5.2</t>
  </si>
  <si>
    <t>F.5.3</t>
  </si>
  <si>
    <t>A.3</t>
  </si>
  <si>
    <t xml:space="preserve">woodlands take many decades to become established 
</t>
  </si>
  <si>
    <t>woodlands take many decades to become established</t>
  </si>
  <si>
    <t>This fear of nature may relate to the fear of the unknown discussed by Kabisch et al. [18] in the face of uncertainties and risks of implementing NBS in cities, as well as the changes these may induce in urban planning. This fear of nature can also relate to real problems called ecosystem disservices, such as the mosquito bites mentioned hereabove. Indeed, ecosystem disservices are inconveniences caused by nature and they can be diverse in cities [34]. We can also have complaints because ofpollen and its associated allergies</t>
  </si>
  <si>
    <t xml:space="preserve">fear of nature related to uncertainty/unknown </t>
  </si>
  <si>
    <t xml:space="preserve"> fear of nature related to ecosystem disservices</t>
  </si>
  <si>
    <t xml:space="preserve">Particularly for models relying on conditional payments,   cost-effective monitoring methods are essential to verify cash flows and   limit transaction costs. Examples include impact investments (Herrera   et al., 2019; Pascal et al., 2021), PES (Chaplin-Kramer et al., 2019; dos   Santos et al., 2020; Ternell et al., 2020; Vanderklift et al., 2019; World   Bank Group, 2020), blended finance (Tirumala and Tiwari, 2020), credit   
</t>
  </si>
  <si>
    <t>Article ID</t>
  </si>
  <si>
    <t xml:space="preserve">DOI </t>
  </si>
  <si>
    <t>https://doi.org/10.1016/j.landurbplan.2021.104335</t>
  </si>
  <si>
    <t>https://doi.org/10.1016/j.foreco.2015.04.003</t>
  </si>
  <si>
    <t xml:space="preserve">https://doi.org/10.1002/wcc.514 </t>
  </si>
  <si>
    <t xml:space="preserve">https://doi.org/10.1080/23311886.2018.1478492 </t>
  </si>
  <si>
    <t>https://doi.org/10.1890/15-1077</t>
  </si>
  <si>
    <t xml:space="preserve">https://doi.org/10.1016/j.cities.2017.11.013 </t>
  </si>
  <si>
    <t>https://doi.org/10.1016/j.scitotenv.2018.04.134</t>
  </si>
  <si>
    <t>https://doi.org/10.22630/PNIKS.2019.28.4.58</t>
  </si>
  <si>
    <t>https://doi.org/10.1016/j.envres.2019.108799</t>
  </si>
  <si>
    <t>https://doi.org/10.1016/j.envsci.2019.05.023</t>
  </si>
  <si>
    <t xml:space="preserve">https://doi.org/10.1016/j.scitotenv.2018.10.168 </t>
  </si>
  <si>
    <t>https://doi.org/10.1016/j.forpol.2018.12.007</t>
  </si>
  <si>
    <t>https://doi.org/10.1016/j.scitotenv.2020.138855</t>
  </si>
  <si>
    <t>https://doi.org/10.1111/jfr3.12561</t>
  </si>
  <si>
    <t>https://doi.org/10.1146/annurev-environ-012320-054809</t>
  </si>
  <si>
    <t xml:space="preserve">https://doi.org/10.3389/ffgc.2020.589982 </t>
  </si>
  <si>
    <t>https://doi.org/10.1038/s41598-021-03205-y</t>
  </si>
  <si>
    <t>https://doi.org/10.1111/rec.13346</t>
  </si>
  <si>
    <t>https://doi.org/10.3390/su132212488</t>
  </si>
  <si>
    <t>https://doi.org/10.3389/fclim.2021.724065</t>
  </si>
  <si>
    <t xml:space="preserve">https://doi.org/10.1016/j.jenvman.2021.112371 </t>
  </si>
  <si>
    <t>https://doi.org/10.3390/su14169975</t>
  </si>
  <si>
    <t xml:space="preserve">https://doi.org/10.1371/journal.pone.0273325 </t>
  </si>
  <si>
    <t xml:space="preserve">https://doi.org/10.3390/w14233807 </t>
  </si>
  <si>
    <t xml:space="preserve">https://doi.org/10.1016/j.jenvman.2022.114725 </t>
  </si>
  <si>
    <t xml:space="preserve">https://doi.org/10.3390/su14074129 </t>
  </si>
  <si>
    <t xml:space="preserve">https://doi.org/10.1016/j.nbsj.2022.100032 </t>
  </si>
  <si>
    <t xml:space="preserve">https://doi.org/10.1016/j.uclim.2023.101643 </t>
  </si>
  <si>
    <t>https://doi.org/10.1016/j.nbsj.2023.100060</t>
  </si>
  <si>
    <t xml:space="preserve">https://doi.org/10.1016/j.jenvman.2023.117754 </t>
  </si>
  <si>
    <t xml:space="preserve">https://doi.org/10.3390/buildings13071621 </t>
  </si>
  <si>
    <t xml:space="preserve">https://doi.org/10.1111/rec.13810 </t>
  </si>
  <si>
    <t xml:space="preserve">https://doi.org/10.3389/frwa.2023.1188321 </t>
  </si>
  <si>
    <t xml:space="preserve">https://doi.org/10.1002/sd.2510 </t>
  </si>
  <si>
    <t>Publication Year</t>
  </si>
  <si>
    <t>benefits at scales beyond the target site</t>
  </si>
  <si>
    <t>effectiveness of grant schemes difficult to assess due to lack of information on (social) impacts</t>
  </si>
  <si>
    <t xml:space="preserve"> benefits can  occur at scales beyond the target site</t>
  </si>
  <si>
    <t>A.1.8</t>
  </si>
  <si>
    <t xml:space="preserve">different stakeholder  groups prioritise different woodland benefits. Explicit recognition of what, how, and to whom woodland  benefits occur is therefore fundamental to woodland expansion  research .
</t>
  </si>
  <si>
    <t>Research needed about different stakeholder groups who prioritise different woodland benefits</t>
  </si>
  <si>
    <t>B.0.1</t>
  </si>
  <si>
    <t xml:space="preserve"> indicators relating to climate change, timber,  business and community development, access, health, environmental quality, and biodiversity (FCS, 2011). However, these do  not distinguish between new and existing woodlands, are limited  by data availability, and may cloud trends through aggregation  (Jackson et al., 2004). Moreover, data on social benefits can be  resource-intensive to collect and difficult to quantify in a manner  that is both meaningful and large-scale (Slee, 2007). As such, there  is currently very little information on whether grant schemes have  produced social benefits
</t>
  </si>
  <si>
    <t>A.3.2</t>
  </si>
  <si>
    <t>Evaluation is often seen as low priority and can face resource limitations, particularly  on smaller projects.</t>
  </si>
  <si>
    <t>farmers and private  investors depend on profitability - grant payments instrumental to change behaviour/practices</t>
  </si>
  <si>
    <t>Poor economic returns - - most important barrier to woodland creation</t>
  </si>
  <si>
    <t xml:space="preserve">Incentive instruments implicitly assume that financial compensation will influence behaviour, since farmers and private  investors depend on profitability (Brotherton, 1991; Campbell,  2006). This assumption is broadly valid: grant payments have been  instrumental in encouraging woodland expansion to date (Crabtree  et al., 2001; CJC Consulting, 2002). Poor economic returns are also  often cited as the most important barrier to woodland creation  (Lloyd et al., 1995; Osmond and Upton, 2012). </t>
  </si>
  <si>
    <t xml:space="preserve"> Woodlands are further free from income, capital gains and inheritance tax; while not  as attractive as past tax incentives, this can provide a significant  motive for expansion</t>
  </si>
  <si>
    <t>tax incentives as a significant  motivator to change business practices</t>
  </si>
  <si>
    <t xml:space="preserve">Finally, market fluctuations may influence the decision to plant woodland if the value  of grants or timber products is uncompetitive with alternative  land-uses (Lahmar, 2010; Dandy, 2012). 
</t>
  </si>
  <si>
    <t>As such, while institutional investors remain attracted to the tax benefits and long-term  income associated with timber, farmers are often drawn to the  shorter-term benefits of grant payments, or may avoid planting  altogether (Lawrence and Edwards, 2013).</t>
  </si>
  <si>
    <t xml:space="preserve">institutional investors remain attracted to the tax benefits and long-term  income </t>
  </si>
  <si>
    <t>farmers are often drawn to the shorter-term benefits of grant payments, or may avoid planting altogether</t>
  </si>
  <si>
    <t xml:space="preserve">Bureaucracy associated with grant schemes, often requires legal assistance </t>
  </si>
  <si>
    <t xml:space="preserve">Bureaucracy associated with grant schemes is commonly cited  as a major barrier to expansion. The application process is seen as  highly complex, often requiring external assistance. Processing of applications can be slow, with  no clear timescales and inconsistent outcomes
</t>
  </si>
  <si>
    <t>establishment and opportunity costs vary by woodland</t>
  </si>
  <si>
    <t>Prioritising new woodlands on a  ‘least-cost’ or ‘most-benefit’ basis alone will be inefficient since it  does not recognise differential variability in costs and benefits over  space</t>
  </si>
  <si>
    <t>Cost-benefit analysis is also a valuable evaluation tool, since  establishment and opportunity costs vary by woodland. Prioritising new woodlands on a  ‘least-cost’ or ‘most-benefit’ basis alone will be inefficient since it  does not recognise differential variability in costs and benefits over  space (Babcock et al., 1997). Based on cost-benefit analysis for over  200 woodlands,</t>
  </si>
  <si>
    <t>need for  updated cost-benefit analysis that takes into account a wider range  of woodland benefits</t>
  </si>
  <si>
    <t xml:space="preserve"> Since grant payments are largely  based on establishment cost, expenditure is therefore weighted  towards lower benefit woodlands</t>
  </si>
  <si>
    <t xml:space="preserve"> found that outcomes negatively correlate with expenditure due to the high cost of establishment on poorer quality land. Since grant payments are largely  based on establishment cost, expenditure is therefore weighted  towards lower benefit woodlands.</t>
  </si>
  <si>
    <t xml:space="preserve"> However, there is need for  updated cost-benefit analysis that takes into account a wider range  of woodland benefits </t>
  </si>
  <si>
    <t>Complexity can distort outcomes: decisions may be made based on ease of application rather than ecological suitability or landowner objectives</t>
  </si>
  <si>
    <t>Such complexities  also carry significant transaction costs, both at the outset and for  the duration of the payment period</t>
  </si>
  <si>
    <t>complexities carry significant transaction costs, both at the outset and for  the duration of the payment period</t>
  </si>
  <si>
    <t xml:space="preserve"> a deep cultural divide exists  between forestry and other land uses such as shooting and farming. Many  farmers are strongly influenced by tradition and preserve a  strongly productivist self-image</t>
  </si>
  <si>
    <t xml:space="preserve">Social  norms have been shown to be central to farmer decision making,  demonstrated through practices such as ‘roadside farming’,  whereby the best livestock are made more visible to portray a positive image. As such, farmers  may not depart from activities that define their identity even if  offered financial incentives; in Scotland this has contributed to  low uptake of woodland grant schemes.
</t>
  </si>
  <si>
    <t xml:space="preserve">success  is highly dependent upon aligning  policy objectives with the motivations, attitudes and values of private landowners </t>
  </si>
  <si>
    <t xml:space="preserve">F </t>
  </si>
  <si>
    <t xml:space="preserve"> benefits are neither guaranteed nor uniform</t>
  </si>
  <si>
    <t xml:space="preserve"> woodland expansion occurs at the expense of other, potentially  more valuable, land uses</t>
  </si>
  <si>
    <t xml:space="preserve">woodland benefit generation may entail significant  time lags </t>
  </si>
  <si>
    <t>woodland benefit  vary by stand age and landscape history.</t>
  </si>
  <si>
    <t xml:space="preserve">B </t>
  </si>
  <si>
    <t xml:space="preserve"> the success of ecological restoration should   be measured as how much of the previous ecosystem   function and its resilience against stresses and environmental changes could be achieved after restoration   efforts (Kaly and Jones 1998, Ruiz-Jaen and Aide 2005)
</t>
  </si>
  <si>
    <t>success of ecological restoration: how much of the previous ecosystem function and its resilience against stresses and environmental changes could be achieved ?</t>
  </si>
  <si>
    <t xml:space="preserve"> economies of scale did not occur </t>
  </si>
  <si>
    <t xml:space="preserve">restoration successtypically reported in  terms of item-based success, (e.g., survival of planted transplants) which is not adequate to represent overall project feasibility where success criteria are linked to  the recovery of ecosystem function and services </t>
  </si>
  <si>
    <t>the cost of project preparation in the relatively large-scale projects required of coastal adaptation. Project preparation costs can range up to tens of millions of dollars, even before soliciting external investment. For public actors, it is difficult to make such project preparation investments, as they are likely to be subjected to public criticism if large sums of public money are spent for a project that is not eventually implemented (Penning-Rowsell &amp; Johnson, 2015)</t>
  </si>
  <si>
    <t xml:space="preserve">cost of project preparation are high (in large scale adaptation projects) - </t>
  </si>
  <si>
    <t>public criticism if large sums of public money are spent for a project that is not eventually implemented</t>
  </si>
  <si>
    <t>Sub-theme</t>
  </si>
  <si>
    <t xml:space="preserve">According Jankevica (2013), people generally perceive well-manicured and trimmed  landscapes as attractive, whereas they perceive natural looking or bio-diverse landscapes as  messy and unattractive.
</t>
  </si>
  <si>
    <t xml:space="preserve">Aesthetic values of landscapes, however, are not always aligned with ecological values in some  green spaces. A
</t>
  </si>
  <si>
    <t>Slow speed in development of design guidelines</t>
  </si>
  <si>
    <t>Institutional: Difficult and lack of human resources to coordinate and convince stakeholders;</t>
  </si>
  <si>
    <t xml:space="preserve"> difficult to apply new solutions from research and pilot project due to limitation of the existing legislations. </t>
  </si>
  <si>
    <t xml:space="preserve"> nature as a service provider similar to grey infra not yet embraced</t>
  </si>
  <si>
    <t>more research is required on the financial viability of Sponge City projects</t>
  </si>
  <si>
    <t>assessment of costeffectiveness of urban sponge projects encounters many obstacles due  to the unknown maintenance and monitoring costs, and in calculating,  the life cycle benefits related to social and ecological amenities</t>
  </si>
  <si>
    <t xml:space="preserve">improving public attitudes and perceptions of the Sponge City meet obstacles because the concept is still a very new one in China and the availability of information on public perceptions and willingness to pay for  this ambitious project is still limited.
</t>
  </si>
  <si>
    <t>improving public attitudes and perceptions of the Sponge City meet obstacles because the concept is still a very new one</t>
  </si>
  <si>
    <t>Central government subsidies are  inadequate due to the high and long-term funding requirement for construction</t>
  </si>
  <si>
    <t xml:space="preserve"> the mobilization of non-government sources of fi-  nance is very important for Sponge City planning and building,  especially when insufficient financial resources from the government  make these sorts of projects difficult to achieve. China's central government and policy-makers have to recognize that in the long-term, the  public-private partnership (PPP) strategy is the best way to make the  Sponge City viable
</t>
  </si>
  <si>
    <t>implementation requires not only appropriate acceptance of technologies but also strong management systems and governance capabilities</t>
  </si>
  <si>
    <t>d</t>
  </si>
  <si>
    <t>not properly properly implemented GF negatively influences the perception of the involved actor</t>
  </si>
  <si>
    <t>his involves both self-imposed obligations (e.g., greening of municipal buildings) as well as external obligations (e.g., stipulations in urban land use planning).</t>
  </si>
  <si>
    <t xml:space="preserve">Leipzig stakeholders and experts added that difficulties in the monitoring implementation of, and compliance with, regulations occur. </t>
  </si>
  <si>
    <t xml:space="preserve">There is also a lack of adequate incentives and support for GF implementation from the government. Both regulatory incentives, e.g., the achievement of certain targets in building projects through GF implementation, and financial support through funding programs and tax relief are missing. </t>
  </si>
  <si>
    <t xml:space="preserve">  lack of incentives and support   from the government by regulatory incentives </t>
  </si>
  <si>
    <t>Even if such offers exist, they are often insufficiently advertised, as stated by a Leipzig expert.</t>
  </si>
  <si>
    <t xml:space="preserve"> A barrier whose particular relevance only became apparent in the case study was the (II-iv) complex requirements and extensive procedures in politics and administration. Local stakehold- ers and experts emphasize that, during GF implementation, a multitude of public and civil law requirements must be taken into account [42]. </t>
  </si>
  <si>
    <t>The accompanying procedures can require a great deal of bureaucratic, temporal, personnel, and financial effort, also affecting barriers on the economic and practical-technical level (see III, IV). This occurs, for example, when a GF installation is planned for landmark buildings or when it is required to repeatedly obtain permission from authorities for maintenance work. Hence, (II-iv), particularly fire protection regulations, are a major barrier in Leipzig.</t>
  </si>
  <si>
    <t xml:space="preserve"> A further barrier mentioned in the literature, e.g., in certain case studies from Singapore, Australia, and Great Britain, is the (II-v) lack of uniform constructional, technical, and design standards since these are important for proper GF implementation (see IV) and warranty claims. </t>
  </si>
  <si>
    <t xml:space="preserve">According to the literature and the case study, actors mainly lack the (III-i) means or willingness to pay for GFs [10,20,39]. (III-i) may be a universal barrier but is strongly dependent on social and political-administrative framework conditions (cf. I-I, II-iii). </t>
  </si>
  <si>
    <t>Leipzig stakeholders and experts add that, apart from financial resources, actors’ expectation that others will bear the costs incurred limits implementation. This conception especially persists between landlords and tenants.</t>
  </si>
  <si>
    <t xml:space="preserve"> Altogether, costs are often overestimated while the potential benefits of GFs are underestimated (cf. I-ii to I-iv). However, the literature and case study confirm that additional, non-essential costs are linked to GF implementation [12,40,43]. This concerns, on the one hand, the (III-ii) acquisition costs, i.e., the costs for planning and installation (e.g., system, plants and labor), and, on the other hand, the (III- iii) operating costs, i.e., the costs for plant care and system maintenance (e.g., water, electricity and possibly time-consuming maintenance work), both addressed in over ten publications and by various local stakeholders and experts [1,9,18,31,41,44]. </t>
  </si>
  <si>
    <t>political-administrative framework conditions, e.g., monument conservation requirements and approval procedures during planning can add to costs</t>
  </si>
  <si>
    <t xml:space="preserve">The costs can be increased by political-administrative framework conditions, e.g., monument conservation requirements and approval procedures during planning (cf. II-iv), but are dependent on the context, especially market conditions, as well as on the system and on proper execution (see IV; [8,18,22]). </t>
  </si>
  <si>
    <t xml:space="preserve">Irrespective of financial expenses, the (III-iv) insufficient return on investment (ROI) of GFs can act as a barrier [9,18]. </t>
  </si>
  <si>
    <t>GFs have a lower ROIs than other measures and a relatively long payback period, which is why, e.g., yield-oriented companies are not willing to pay for them [9,18]. Hence, depending on their priorities, not all actors can be convinced by the non-monetary benefits of GFs (cf. Section 3; [10]). This barrier could also be confirmed in the Leipzig case</t>
  </si>
  <si>
    <t>lower ROIs than other measures and a relatively long payback period,</t>
  </si>
  <si>
    <t>NFM benefits such as flood risk reduction and eco- system services are complex to calculate and are often not tan- gible,</t>
  </si>
  <si>
    <t xml:space="preserve"> structural measures allow for flood risk reduction to be calculated through standard hydrological and hydraulic modelling approaches and therefor more likely to receive funding when compared to NbS</t>
  </si>
  <si>
    <t>However, it was argued by other practitioners that pol- icies such as the WFD (European Union, 2000), the Flood and Water Management Act (2010), and the Flood Risk Manage- ment Act (2009) in Scotland do already support NFM imple- mentation and a wider catchment based approach</t>
  </si>
  <si>
    <t>existing policies supporting nbs</t>
  </si>
  <si>
    <t>lack of access  to credit</t>
  </si>
  <si>
    <t>need for investment support</t>
  </si>
  <si>
    <t>Costs of adoption</t>
  </si>
  <si>
    <t>Lack of access  to credit</t>
  </si>
  <si>
    <t xml:space="preserve">Transaction costs
</t>
  </si>
  <si>
    <t xml:space="preserve">Transaction costs - need for simplifying regulations
</t>
  </si>
  <si>
    <t>Lack of adequate spatial planning</t>
  </si>
  <si>
    <t>To safeguard against such “greenwashing,”  certification of products or corporations which facilitate FLR  could be used, such as the B-corporation certification presented  in our review.</t>
  </si>
  <si>
    <t xml:space="preserve">awareness around the merits of natural regeneration  </t>
  </si>
  <si>
    <t>The funding mechanism behind a restoration project is  likely to influence the type of intervention that is promoted.</t>
  </si>
  <si>
    <t>make sure on-the-ground context is understood before a  restoration project is executed</t>
  </si>
  <si>
    <t xml:space="preserve">funders favor interventions that  do not align with what is ecologically, environmentally, and  socially optimal </t>
  </si>
  <si>
    <t xml:space="preserve">for successful restoration, it is essential that not only the  tree planting itself, but also follow-up maintenance (e.g., tending  and irrigation) is facilitated to prevent high mortality rates in the  first years after planting .
</t>
  </si>
  <si>
    <t>The funding mechanism behind a restoration project is  likely to influence the type of intervention that is promoted.
This can be problematic if funders favor interventions that  do not align with what is ecologically, environmentally, and  socially optimal.
but it is important to emphasize the potential risks  that come with large financial flows being channeled to tree  planting specifically. For this reason it is necessary that strong  safeguards are in place to promote tree planting in places where  it is socially, environmentally, and ecologically beneficial, and  to make sure on-the-ground context is understood before a  restoration project is executed.</t>
  </si>
  <si>
    <t xml:space="preserve"> research on large-scale restoration will be needed to scale up mountain restoration to a landscape level</t>
  </si>
  <si>
    <t>Moreover, site management variables related to removing disturbance, such as eradication of invasive species and protec- tion of restoration sites were mentioned as promoting success. Furthermore, planting variables associated with the right choice of local planting methods, ranging from appropriate seed bank transfers, shade tree and multi-species planting, and direct seeding helped improve restoration outcomes.</t>
  </si>
  <si>
    <t>Inadequate financing resulting from over reliance on public sector funding</t>
  </si>
  <si>
    <t>Inadequate financing resulting from  competing priorities for land use</t>
  </si>
  <si>
    <t xml:space="preserve"> scientific conflicts and debates over the “facts”; social and governance  challenges; epistemic challenges, and ontological conflicts</t>
  </si>
  <si>
    <t xml:space="preserve"> land ownership determines the  activities that are possible in a place</t>
  </si>
  <si>
    <t>landscape morphology, available space, and built-up infrastructure pose technical  difficulties</t>
  </si>
  <si>
    <t xml:space="preserve"> Sectoral silos:  leadership and monitoring of GI projects may be hindered by an institution’s internal  governance issues or staff turnover</t>
  </si>
  <si>
    <t xml:space="preserve">demand constant inspection and removal of collected debris along with other remains from its inlet and outlet structures
</t>
  </si>
  <si>
    <t xml:space="preserve">Insufficient technical support is one of the prime reasons for delayed GI implementation. It encompasses a lack of skilled labour as
well as a dearth of expert knowledge on design standards, guidelines and performance related to GI (Li et al., 2019a). GI is frequently applied at various locations for stormwater management, but its maintenance is largely neglected. </t>
  </si>
  <si>
    <t>Also, available land space is scarce in densely populated areas. The array of space requirements for GI ranges from those that do not hold up runoff (e.g., filter strips) to ones that do store water (e.g., detention tanks) but occupy considerable space.</t>
  </si>
  <si>
    <t xml:space="preserve"> Besides space availability, a single GI solution cannot turn out to be effective in all places. The governing factors such as land usage type, slope, size of the watershed, soil permeability, rainfall patterns, depth of water table and other natural characteristics all play a significant role in the determination of the aptness of GI. Studies related to the performance of each of these solutions can lead the way because there is limited experimental and field data available for the same.</t>
  </si>
  <si>
    <t xml:space="preserve">Higher construction and maintenance costs than conventional pavements </t>
  </si>
  <si>
    <t>The quality of water stored gets deteriorated after a prolonged period of time</t>
  </si>
  <si>
    <t>Demand constant inspection and removal of collected debris along with other remains from its inlet and outlet structures</t>
  </si>
  <si>
    <t>Maintenance costs vary from moderate to high</t>
  </si>
  <si>
    <t>Installation is expensive because of the high investment cost of labour Sediment clogging may occur</t>
  </si>
  <si>
    <t>Limited research at a local level to find suitable native plants for the optimum performance of green roofs Initial high construction cost and require consistent maintenance Improper installation increases the probability of leakage and can even lead to structural failure of building</t>
  </si>
  <si>
    <t xml:space="preserve"> lack a framework for an effective flood risk assessment at local scales</t>
  </si>
  <si>
    <t>Many countries continue to lack a framework for an effective flood risk assessment at local scales. A detailed assessment involving
the components of hazard, exposure and vulnerability could generate flood risk maps which can go a long way in strengthening adaptation and mitigation measures.</t>
  </si>
  <si>
    <t xml:space="preserve"> An improved understanding of the perception of flood risk, safety and risk communication methods could be immensely valuable for the present as well as future stakeholders (Shah et al., 2018). Flood risk reduction and management policies might be talked over so that urban planners and professionals can join in their efforts for improved and viable results.</t>
  </si>
  <si>
    <t xml:space="preserve"> improved understanding of the perception of flood risk, safety and risk communication methods could be immensely valuable for the present as well as future stakeholders</t>
  </si>
  <si>
    <t>urban planners and professionals can join in their efforts for improved and viable results</t>
  </si>
  <si>
    <t xml:space="preserve"> Formulating policies and technical standards concerning floodwater management pays off in bringing about urban stormwater harvesting (Zhang et al., 2018; Pour et al., 2020). Evaluation of water-linked ecosystem services could be done using hydro-dynamic modelling and multi-objective optimisation both at regional levels as well as for a watershed for the purpose of municipal planning</t>
  </si>
  <si>
    <t xml:space="preserve"> Formulating policies and technical standards concerning floodwater management pays off</t>
  </si>
  <si>
    <t>inadequate incentives</t>
  </si>
  <si>
    <t>limited investments</t>
  </si>
  <si>
    <t>Financial challenges The reluctance to implementation of GI can be considerably attributed to funding complications. Financial barriers like construction costs, inadequate incentives and limited investments continue to exist.</t>
  </si>
  <si>
    <t>nitial price of introducing it in the landscape and maintenance costs post-construction</t>
  </si>
  <si>
    <t xml:space="preserve"> Although the cost-effectiveness of GI, when compared with conventional approaches, has been proven in various instances, it comes with an initial price of introducing it in the landscape and maintenance costs post-construction (Li et al., 2019a). </t>
  </si>
  <si>
    <t>The funding issue is also an obstacle in modelling the drainage systems. Many open-source and commercial software packages are presently available for simulation functions related to urban flooding, but the cost-effective open-source models offer weak technical support to the users due to limited accessibility options. On the other hand, commercial ones with robust technical aid and a plethora of functionalities are too expensive for extensive use (</t>
  </si>
  <si>
    <t xml:space="preserve">Urban flood studies concentrate mainly on technical and hydraulic aspects of flood management, whereas ecological and socio-
economic attributes are often ignored. </t>
  </si>
  <si>
    <t>The same applies to many of the currently available modelling tools. If these tools could also enlighten about the overall benefits of GI, it will strengthen their implementation (Jayasooriya and Ng, 2014). A dedicated amount of time and effort is essential to adjust to the GI practices keeping in mind all the relevant aspects. T</t>
  </si>
  <si>
    <t xml:space="preserve">The concept of life-cycle management is another facet that is repeatedly neglected but is imperative in developing adaptability to the uncertainties associated with flood risk (Zevenbergen et al., 2008). </t>
  </si>
  <si>
    <t xml:space="preserve">Only a few studies have concentrated on vulnerability analysis and risk assessment, which is essential to bring about disaster mitigation and preparedness plans in hazard-prone areas. The emphasis is more on the physical damages caused to property, while in-depth knowledge of the vulnerability of critical infrastructure networks can be of greater help in the long run (Hammond et al., 2015). </t>
  </si>
  <si>
    <t xml:space="preserve"> The emphasis is more on the physical damages caused to property, while in-depth knowledge of the vulnerability of critical infrastructure network can be of more value</t>
  </si>
  <si>
    <t xml:space="preserve">The process is crippled by the lack of data that either does not exist or is sensitive to be shared. </t>
  </si>
  <si>
    <t xml:space="preserve">The awareness of the benefits of GI is snowballing, but there is often a reluctance to pay, especially in places with low economic status due to variances in household income, educational background and environmental awareness. </t>
  </si>
  <si>
    <t>Lower levels of education can result in a limited understanding of the long-term benefits and cost savings associated with GI. Devoid of relevant knowledge and understanding, residents may not fully appreciate the worth of investing in such infrastructure.</t>
  </si>
  <si>
    <t xml:space="preserve"> affluent communities pay more attention to recreational activities and ensure a high quality of life (White</t>
  </si>
  <si>
    <t xml:space="preserve"> lack   of efficiency in market systems</t>
  </si>
  <si>
    <t xml:space="preserve">lack  blended finance techniques. </t>
  </si>
  <si>
    <t xml:space="preserve">Pricing of NbS </t>
  </si>
  <si>
    <t xml:space="preserve">Considering local economic conditions, authors reflect upon the lack   of efficiency in market systems and blended finance techniques. 
</t>
  </si>
  <si>
    <t>Commonly noted impediments include the pricing of NBS, price volatilities, prohibitively high transaction and opportunity costs, local   market failures, temporal barriers, and market opacity concerning demand and supply conditions</t>
  </si>
  <si>
    <t>price volatilities</t>
  </si>
  <si>
    <t>prohibitively high opportunity costs</t>
  </si>
  <si>
    <t>prohibitively high transaction costs</t>
  </si>
  <si>
    <t xml:space="preserve"> local   market failures</t>
  </si>
  <si>
    <t>temporal barriers</t>
  </si>
  <si>
    <t>despite significant policy attention, NBS   plans often fail to materialize due to public budget shortfalls.</t>
  </si>
  <si>
    <t xml:space="preserve">NBS projects generate widespread public benefits but do not produce immediate revenue streams to   support the high sunk costs they often entail. 
</t>
  </si>
  <si>
    <t xml:space="preserve">Given  the low revenue potential and susceptibility to market failures such as   freeriding, NBS typically rely on public financing. </t>
  </si>
  <si>
    <t xml:space="preserve">Continuous austerity   policies, however, have spurred governments to restrict their budget   allocation to investments related to legal obligations and political priorities, neither of which traditionally account for NBS.  </t>
  </si>
  <si>
    <t>In part, this public divestment derives from   the inability of public accountancy praxis to account for the economic   value of natural assets (Matsler, 2019).</t>
  </si>
  <si>
    <t xml:space="preserve"> low revenue potential</t>
  </si>
  <si>
    <t xml:space="preserve"> susceptibility to market failures such as   freeriding</t>
  </si>
  <si>
    <t>Continuous austerity   policies, however, have spurred governments to restrict their budget   allocation to investments related to legal obligations and political priorities</t>
  </si>
  <si>
    <t>inability of public accountancy praxis to account for the economic   value of natural assets</t>
  </si>
  <si>
    <t xml:space="preserve"> transaction costs, life-cycle costs, and   pre-financing needs</t>
  </si>
  <si>
    <t xml:space="preserve">additional cost   cimpact on risk–return balances </t>
  </si>
  <si>
    <t xml:space="preserve">lack of design standards
</t>
  </si>
  <si>
    <t xml:space="preserve">political unwillingness, </t>
  </si>
  <si>
    <t xml:space="preserve">sectoral approaches to   NBS, </t>
  </si>
  <si>
    <t xml:space="preserve">path dependencies, </t>
  </si>
  <si>
    <t xml:space="preserve">technological uncertainty, </t>
  </si>
  <si>
    <t>the unavailability of   funds,</t>
  </si>
  <si>
    <t xml:space="preserve"> insufficient institutional capacities, </t>
  </si>
  <si>
    <t xml:space="preserve">and the lack of legal basis to   enforce NBS policy </t>
  </si>
  <si>
    <t xml:space="preserve">insufficient return on investment </t>
  </si>
  <si>
    <t>implementation difficulties regarding the effort, the legal framework, and the availability of funds.</t>
  </si>
  <si>
    <t>A.4</t>
  </si>
  <si>
    <t>A.1.4</t>
  </si>
  <si>
    <t>A.1.5</t>
  </si>
  <si>
    <t>A.1.6</t>
  </si>
  <si>
    <t>A.1.7</t>
  </si>
  <si>
    <t>A.1.9</t>
  </si>
  <si>
    <t>A.1.10</t>
  </si>
  <si>
    <t xml:space="preserve">A.1.11 </t>
  </si>
  <si>
    <t>A.2.4</t>
  </si>
  <si>
    <t xml:space="preserve">A.2.5 </t>
  </si>
  <si>
    <t xml:space="preserve">A.2.6 </t>
  </si>
  <si>
    <t>A.2.7</t>
  </si>
  <si>
    <t>A.3.1</t>
  </si>
  <si>
    <t>A.3.3</t>
  </si>
  <si>
    <t>A.3.4</t>
  </si>
  <si>
    <t>A.4.1</t>
  </si>
  <si>
    <t>A.4.2</t>
  </si>
  <si>
    <t>A.4.3</t>
  </si>
  <si>
    <t>B.0.2</t>
  </si>
  <si>
    <t>B.0.3</t>
  </si>
  <si>
    <t>B.0.4</t>
  </si>
  <si>
    <t>B.0.5</t>
  </si>
  <si>
    <t>D.0.1</t>
  </si>
  <si>
    <t>D.0.2</t>
  </si>
  <si>
    <t>D.0.3</t>
  </si>
  <si>
    <t>D.0.4</t>
  </si>
  <si>
    <t>D.0.5</t>
  </si>
  <si>
    <t>E.0.1</t>
  </si>
  <si>
    <t>E.0.2</t>
  </si>
  <si>
    <t>E.0.3</t>
  </si>
  <si>
    <t>E.0.4</t>
  </si>
  <si>
    <t>E.0.5</t>
  </si>
  <si>
    <t>Theme</t>
  </si>
  <si>
    <t xml:space="preserve">Sub-theme </t>
  </si>
  <si>
    <t xml:space="preserve">A. Financial challenges </t>
  </si>
  <si>
    <t>A.1 Funding</t>
  </si>
  <si>
    <t xml:space="preserve">Different types of funding gaps for NbS: public / private / project phases /activities / cost types </t>
  </si>
  <si>
    <t>Long(er) term nature of nbs/benefits (not aligned with political cycles, budgets, and capacities)</t>
  </si>
  <si>
    <t xml:space="preserve">Distribution of responsibilities vis-à-vis budget availability between local, regional, national, transnational authorities </t>
  </si>
  <si>
    <t xml:space="preserve">Natural assets not embedded in financial accounting systems </t>
  </si>
  <si>
    <t>Legal/political priorities typically do not include NbS</t>
  </si>
  <si>
    <t xml:space="preserve">Risk associated to innovations </t>
  </si>
  <si>
    <t xml:space="preserve">Lack of knowledge about solution space </t>
  </si>
  <si>
    <t>Revenue generation /capture values from NbS benefits (incl conflicting interests)</t>
  </si>
  <si>
    <t>Reputational value as emerging driver for willingness to pay /investing in NbS</t>
  </si>
  <si>
    <t xml:space="preserve">Impact of funding types </t>
  </si>
  <si>
    <t xml:space="preserve">Market conditions for value capture </t>
  </si>
  <si>
    <t>A.2 Financing</t>
  </si>
  <si>
    <t>Financing gap for NbS projects for upfront costs and long term maintenance costs</t>
  </si>
  <si>
    <t xml:space="preserve">(Relative) demand for NbS finance </t>
  </si>
  <si>
    <t xml:space="preserve">Financing gap for NbS / green entrepreneurs </t>
  </si>
  <si>
    <t>Un-attractive risk-return profiles: ratio / funding type / timescale / asset value / multiple benefits /performance data</t>
  </si>
  <si>
    <t xml:space="preserve">Lack of confidence  and awareness </t>
  </si>
  <si>
    <t xml:space="preserve">Financial sector processes and policies  </t>
  </si>
  <si>
    <t>Financing applications</t>
  </si>
  <si>
    <t>A.3 Costs</t>
  </si>
  <si>
    <t>High relative) costs of NbS  at scale are costly - exacerbated by financial (insurance) schemes</t>
  </si>
  <si>
    <t>The role of costs in decision making</t>
  </si>
  <si>
    <t>Key NbS cost items: transaction costs, preparation costs, maintenance costs,  monitoring costs, land acquisition</t>
  </si>
  <si>
    <t xml:space="preserve">Complex cost structure and estimation process </t>
  </si>
  <si>
    <t>A.4 Climate finance</t>
  </si>
  <si>
    <t xml:space="preserve">Climate finance gap </t>
  </si>
  <si>
    <t xml:space="preserve">Lack of clarity </t>
  </si>
  <si>
    <t>Funding and financing conditions</t>
  </si>
  <si>
    <t xml:space="preserve">B. (E) Valuation difficulties </t>
  </si>
  <si>
    <t>No sub-theme</t>
  </si>
  <si>
    <t xml:space="preserve">Numerous (types of) impacts, over different time scales and different beneficiaries with non-uniform and dynamic preferences  </t>
  </si>
  <si>
    <t>No single accepted valuation method equipped to account for multiple values</t>
  </si>
  <si>
    <t>Stacking of many (uncertain and dynamic) variables</t>
  </si>
  <si>
    <t>Lack of (comparable) data /  (resulting from) NbS being embedded in unique contexts)</t>
  </si>
  <si>
    <t xml:space="preserve">Values identified /calculated not always values perceived (path-dependency) </t>
  </si>
  <si>
    <t>C.1 Performance</t>
  </si>
  <si>
    <t xml:space="preserve">Comparable evidence for (cost-)effectiveness, impacts, relative to grey alternatives, under different scenarios, and in different (scales) of ecosystems of multiple – interacting- NbS. </t>
  </si>
  <si>
    <t xml:space="preserve">Lack of (standardized) evidence gathering which accommodates for system complexities </t>
  </si>
  <si>
    <t xml:space="preserve">Suitable indicators (what to measure?) and sufficient measurements   </t>
  </si>
  <si>
    <t xml:space="preserve">C.2 Design (process) </t>
  </si>
  <si>
    <t xml:space="preserve">Domain-specific data and knowledge gaps </t>
  </si>
  <si>
    <t xml:space="preserve">Integrated transdisciplinary knowledge for multi-faceted approach </t>
  </si>
  <si>
    <t xml:space="preserve">Collaboration needed for designing NbS </t>
  </si>
  <si>
    <t xml:space="preserve">Knowledge gap on equitable outcomes of NbS </t>
  </si>
  <si>
    <t>C.3 Capacity limitations</t>
  </si>
  <si>
    <t xml:space="preserve">Technological capacity (including technology, ecological material, modelling techniques for decision support) </t>
  </si>
  <si>
    <t xml:space="preserve">Human capacity (competences, time, epistemic lock-in, knowledge exchange) </t>
  </si>
  <si>
    <t xml:space="preserve">D. Recognition, awareness, and prioritization </t>
  </si>
  <si>
    <t>Threats and challenges not acknowledged or prioritized across full spectrum of stakeholders</t>
  </si>
  <si>
    <t>Recognition of problems hindered by existing regulations and technology</t>
  </si>
  <si>
    <t>Potential of (multiple)  NbS not know across full spectrum of stakeholders</t>
  </si>
  <si>
    <t xml:space="preserve">Campaigns to address lack of awareness / existing perceptions   </t>
  </si>
  <si>
    <t>Drivers (other than lack of awareness) of resistance to NbS</t>
  </si>
  <si>
    <r>
      <t xml:space="preserve">E. The political system </t>
    </r>
    <r>
      <rPr>
        <i/>
        <sz val="8"/>
        <color theme="1"/>
        <rFont val="Aptos"/>
        <family val="2"/>
      </rPr>
      <t>(n=20)</t>
    </r>
  </si>
  <si>
    <t>Lack of political will or low political priority</t>
  </si>
  <si>
    <t xml:space="preserve">Lack of motivation / resistance to innovation and transitions </t>
  </si>
  <si>
    <t>Short term electoral cycles and dynamics in political arena</t>
  </si>
  <si>
    <t>Risk-averse political attitudes favouring existing financial arrangements</t>
  </si>
  <si>
    <t>Lack of vision and leadership</t>
  </si>
  <si>
    <t xml:space="preserve">F. Institutional conditions </t>
  </si>
  <si>
    <t>F.1 Public sector structure</t>
  </si>
  <si>
    <t>Compartmentalized silo structures with singular goals / obligations</t>
  </si>
  <si>
    <t>Collaborative governance is not aligned with traditional forms of administration</t>
  </si>
  <si>
    <t xml:space="preserve">F.2 Public sector policies  </t>
  </si>
  <si>
    <t>Expense justification  anchored in procedures, appraisal methodologies not accommodating for NbS</t>
  </si>
  <si>
    <t xml:space="preserve">Clear (policy) commitments, regulations and progress measurement </t>
  </si>
  <si>
    <t>Industry standards/guidelines  for NbS is challenging and lagging behind grey infrastructure standards</t>
  </si>
  <si>
    <t>Public procurement not accommodating for NbS (lifecycle activities, selection criteria, and bureaucratic)</t>
  </si>
  <si>
    <t>Financial accounting systems not (fully) accommodating for natural assets</t>
  </si>
  <si>
    <t xml:space="preserve">F.3 Market failures and provisioning modes  </t>
  </si>
  <si>
    <t>Public goods (free-riding), externalities</t>
  </si>
  <si>
    <t>Rent-seeking behaviour incentivized by public investments</t>
  </si>
  <si>
    <t>Complexity of provisioning mode for life-cycle</t>
  </si>
  <si>
    <t>F.4 Informal preferences</t>
  </si>
  <si>
    <t>Preference for “fast solutions” and standard modelling approaches</t>
  </si>
  <si>
    <t>Risk aversion in the public sector – hampers innovation and large-scale implementation</t>
  </si>
  <si>
    <t>Predefine problems and solutions</t>
  </si>
  <si>
    <t>F.5 Opportunity costs</t>
  </si>
  <si>
    <t>Competing demands for public budgets – economic rational in decision-making</t>
  </si>
  <si>
    <t>Competition over space amongst land-use functions, large areas vs scattered</t>
  </si>
  <si>
    <t>Perverse subsidies leading to higher opportunity costs</t>
  </si>
  <si>
    <t xml:space="preserve">C. (Implementation) Knowledge and evidence gaps   </t>
  </si>
  <si>
    <t>Code ID</t>
  </si>
  <si>
    <t>Inductive Thematic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</si>
</sst>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rgb="FF000000"/>
      <name val="Calibri"/>
      <family val="2"/>
      <scheme val="minor"/>
    </font>
    <font>
      <sz val="9"/>
      <color theme="1"/>
      <name val="Calibri"/>
      <family val="2"/>
      <scheme val="minor"/>
    </font>
    <font>
      <sz val="8"/>
      <name val="Calibri"/>
      <family val="2"/>
      <scheme val="minor"/>
    </font>
    <font>
      <u/>
      <sz val="11"/>
      <color theme="10"/>
      <name val="Calibri"/>
      <family val="2"/>
      <scheme val="minor"/>
    </font>
    <font>
      <sz val="8"/>
      <color theme="1"/>
      <name val="Aptos"/>
      <family val="2"/>
    </font>
    <font>
      <b/>
      <sz val="9"/>
      <color theme="1"/>
      <name val="Aptos"/>
      <family val="2"/>
    </font>
    <font>
      <i/>
      <sz val="8"/>
      <color theme="1"/>
      <name val="Aptos"/>
      <family val="2"/>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44">
    <xf numFmtId="0" fontId="0" fillId="0" borderId="0" xfId="0"/>
    <xf numFmtId="0" fontId="0" fillId="0" borderId="0" xfId="0" applyAlignment="1">
      <alignment wrapText="1"/>
    </xf>
    <xf numFmtId="0" fontId="1" fillId="0" borderId="0" xfId="0" applyFont="1"/>
    <xf numFmtId="0" fontId="3" fillId="0" borderId="0" xfId="0" applyFont="1"/>
    <xf numFmtId="0" fontId="0" fillId="0" borderId="0" xfId="0" applyAlignment="1">
      <alignment vertical="center"/>
    </xf>
    <xf numFmtId="0" fontId="2" fillId="0" borderId="0" xfId="0" applyFont="1" applyAlignment="1">
      <alignment vertical="center"/>
    </xf>
    <xf numFmtId="0" fontId="5" fillId="0" borderId="0" xfId="1" applyFill="1"/>
    <xf numFmtId="0" fontId="5" fillId="0" borderId="0" xfId="1"/>
    <xf numFmtId="0" fontId="1" fillId="0" borderId="0" xfId="0" applyFont="1" applyAlignment="1">
      <alignment horizontal="center"/>
    </xf>
    <xf numFmtId="0" fontId="0" fillId="0" borderId="0" xfId="0" applyFill="1" applyAlignment="1">
      <alignment wrapText="1"/>
    </xf>
    <xf numFmtId="0" fontId="0" fillId="0" borderId="0" xfId="0" applyFill="1"/>
    <xf numFmtId="0" fontId="0" fillId="2" borderId="0" xfId="0" applyFill="1"/>
    <xf numFmtId="0" fontId="0" fillId="0" borderId="0" xfId="0" applyAlignment="1"/>
    <xf numFmtId="0" fontId="0" fillId="0" borderId="0" xfId="0" applyFill="1" applyAlignment="1"/>
    <xf numFmtId="0" fontId="1" fillId="0" borderId="0" xfId="0" applyFont="1" applyAlignment="1"/>
    <xf numFmtId="0" fontId="0" fillId="0" borderId="0" xfId="0" applyFont="1"/>
    <xf numFmtId="0" fontId="1" fillId="0" borderId="0" xfId="0" applyFont="1" applyFill="1"/>
    <xf numFmtId="0" fontId="0" fillId="0" borderId="0" xfId="0" applyFill="1" applyAlignment="1">
      <alignment horizontal="center"/>
    </xf>
    <xf numFmtId="0" fontId="0" fillId="0" borderId="1" xfId="0" applyFill="1" applyBorder="1"/>
    <xf numFmtId="0" fontId="1" fillId="0" borderId="2" xfId="0" applyFont="1" applyFill="1" applyBorder="1"/>
    <xf numFmtId="0" fontId="1" fillId="0" borderId="3" xfId="0" applyFont="1" applyFill="1" applyBorder="1"/>
    <xf numFmtId="0" fontId="0" fillId="0" borderId="4" xfId="0" applyFill="1" applyBorder="1"/>
    <xf numFmtId="0" fontId="0" fillId="0" borderId="5" xfId="0" applyFill="1" applyBorder="1"/>
    <xf numFmtId="0" fontId="0" fillId="0" borderId="6" xfId="0" applyFill="1" applyBorder="1"/>
    <xf numFmtId="0" fontId="1" fillId="0" borderId="7" xfId="0" applyFont="1" applyFill="1" applyBorder="1"/>
    <xf numFmtId="0" fontId="0" fillId="0" borderId="0" xfId="0" applyFill="1" applyBorder="1"/>
    <xf numFmtId="0" fontId="0" fillId="0" borderId="8" xfId="0" applyFill="1" applyBorder="1"/>
    <xf numFmtId="0" fontId="0" fillId="0" borderId="9" xfId="0" applyFill="1" applyBorder="1"/>
    <xf numFmtId="0" fontId="6" fillId="0" borderId="0" xfId="0" applyFont="1" applyBorder="1" applyAlignment="1">
      <alignment vertical="center" wrapText="1"/>
    </xf>
    <xf numFmtId="0" fontId="6" fillId="0" borderId="4" xfId="0" applyFont="1" applyBorder="1" applyAlignment="1">
      <alignment vertical="center" wrapText="1"/>
    </xf>
    <xf numFmtId="0" fontId="6" fillId="0" borderId="6" xfId="0" applyFont="1" applyBorder="1" applyAlignment="1">
      <alignment vertical="center" wrapText="1"/>
    </xf>
    <xf numFmtId="0" fontId="0" fillId="0" borderId="0" xfId="0" applyNumberFormat="1" applyFont="1" applyAlignment="1"/>
    <xf numFmtId="0" fontId="0" fillId="0" borderId="0" xfId="0" applyFont="1" applyAlignment="1">
      <alignment vertical="center"/>
    </xf>
    <xf numFmtId="0" fontId="0" fillId="0" borderId="0" xfId="0" applyFont="1" applyAlignment="1">
      <alignment horizontal="left" vertical="center"/>
    </xf>
    <xf numFmtId="0" fontId="7" fillId="0" borderId="10" xfId="0" applyFont="1" applyBorder="1" applyAlignment="1">
      <alignment vertical="center"/>
    </xf>
    <xf numFmtId="0" fontId="7" fillId="0" borderId="10" xfId="0" applyFont="1" applyBorder="1" applyAlignment="1">
      <alignment vertical="center"/>
    </xf>
    <xf numFmtId="0" fontId="6" fillId="0" borderId="10" xfId="0" applyFont="1" applyBorder="1" applyAlignment="1">
      <alignment vertical="center"/>
    </xf>
    <xf numFmtId="0" fontId="6" fillId="0" borderId="10" xfId="0" applyFont="1" applyBorder="1" applyAlignment="1">
      <alignment vertical="center"/>
    </xf>
    <xf numFmtId="0" fontId="8" fillId="0" borderId="10" xfId="0" applyFont="1" applyBorder="1" applyAlignment="1">
      <alignment vertical="center"/>
    </xf>
    <xf numFmtId="0" fontId="7" fillId="0" borderId="10" xfId="0" applyFont="1" applyBorder="1" applyAlignment="1">
      <alignment horizontal="left" vertical="center" wrapText="1"/>
    </xf>
    <xf numFmtId="0" fontId="6" fillId="0" borderId="10" xfId="0" applyFont="1" applyBorder="1" applyAlignment="1">
      <alignment horizontal="left" vertical="center" wrapText="1"/>
    </xf>
    <xf numFmtId="0" fontId="0" fillId="0" borderId="0" xfId="0" applyAlignment="1">
      <alignment horizontal="left" wrapText="1"/>
    </xf>
    <xf numFmtId="0" fontId="0" fillId="3" borderId="0" xfId="0" applyFill="1"/>
    <xf numFmtId="0" fontId="0" fillId="0" borderId="11" xfId="0" applyBorder="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dPt>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Statistics_Occurencies!$H$3:$H$8</c:f>
              <c:strCache>
                <c:ptCount val="6"/>
                <c:pt idx="0">
                  <c:v>A</c:v>
                </c:pt>
                <c:pt idx="1">
                  <c:v>B</c:v>
                </c:pt>
                <c:pt idx="2">
                  <c:v>C</c:v>
                </c:pt>
                <c:pt idx="3">
                  <c:v>D</c:v>
                </c:pt>
                <c:pt idx="4">
                  <c:v>E</c:v>
                </c:pt>
                <c:pt idx="5">
                  <c:v>F</c:v>
                </c:pt>
              </c:strCache>
            </c:strRef>
          </c:cat>
          <c:val>
            <c:numRef>
              <c:f>Statistics_Occurencies!$I$3:$I$8</c:f>
              <c:numCache>
                <c:formatCode>General</c:formatCode>
                <c:ptCount val="6"/>
                <c:pt idx="0">
                  <c:v>184</c:v>
                </c:pt>
                <c:pt idx="1">
                  <c:v>67</c:v>
                </c:pt>
                <c:pt idx="2">
                  <c:v>154</c:v>
                </c:pt>
                <c:pt idx="3">
                  <c:v>39</c:v>
                </c:pt>
                <c:pt idx="4">
                  <c:v>22</c:v>
                </c:pt>
                <c:pt idx="5">
                  <c:v>180</c:v>
                </c:pt>
              </c:numCache>
            </c:numRef>
          </c:val>
          <c:extLst>
            <c:ext xmlns:c16="http://schemas.microsoft.com/office/drawing/2014/chart" uri="{C3380CC4-5D6E-409C-BE32-E72D297353CC}">
              <c16:uniqueId val="{00000000-CB36-42CA-A0C5-AB534A99443A}"/>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9790566891036801"/>
          <c:y val="9.7273357028409446E-2"/>
          <c:w val="0.6501167993111181"/>
          <c:h val="0.80545328594318111"/>
        </c:manualLayout>
      </c:layout>
      <c:pieChart>
        <c:varyColors val="1"/>
        <c:ser>
          <c:idx val="0"/>
          <c:order val="0"/>
          <c:dPt>
            <c:idx val="0"/>
            <c:bubble3D val="0"/>
            <c:spPr>
              <a:pattFill prst="ltUpDiag">
                <a:fgClr>
                  <a:schemeClr val="accent1">
                    <a:shade val="58000"/>
                  </a:schemeClr>
                </a:fgClr>
                <a:bgClr>
                  <a:schemeClr val="accent1">
                    <a:shade val="58000"/>
                    <a:lumMod val="20000"/>
                    <a:lumOff val="80000"/>
                  </a:schemeClr>
                </a:bgClr>
              </a:pattFill>
              <a:ln w="19050">
                <a:solidFill>
                  <a:schemeClr val="lt1"/>
                </a:solidFill>
              </a:ln>
              <a:effectLst>
                <a:innerShdw blurRad="114300">
                  <a:schemeClr val="accent1">
                    <a:shade val="58000"/>
                  </a:schemeClr>
                </a:innerShdw>
              </a:effectLst>
            </c:spPr>
          </c:dPt>
          <c:dPt>
            <c:idx val="1"/>
            <c:bubble3D val="0"/>
            <c:spPr>
              <a:pattFill prst="ltUpDiag">
                <a:fgClr>
                  <a:schemeClr val="accent1">
                    <a:shade val="86000"/>
                  </a:schemeClr>
                </a:fgClr>
                <a:bgClr>
                  <a:schemeClr val="accent1">
                    <a:shade val="86000"/>
                    <a:lumMod val="20000"/>
                    <a:lumOff val="80000"/>
                  </a:schemeClr>
                </a:bgClr>
              </a:pattFill>
              <a:ln w="19050">
                <a:solidFill>
                  <a:schemeClr val="lt1"/>
                </a:solidFill>
              </a:ln>
              <a:effectLst>
                <a:innerShdw blurRad="114300">
                  <a:schemeClr val="accent1">
                    <a:shade val="86000"/>
                  </a:schemeClr>
                </a:innerShdw>
              </a:effectLst>
            </c:spPr>
          </c:dPt>
          <c:dPt>
            <c:idx val="2"/>
            <c:bubble3D val="0"/>
            <c:spPr>
              <a:pattFill prst="ltUpDiag">
                <a:fgClr>
                  <a:schemeClr val="accent1">
                    <a:tint val="86000"/>
                  </a:schemeClr>
                </a:fgClr>
                <a:bgClr>
                  <a:schemeClr val="accent1">
                    <a:tint val="86000"/>
                    <a:lumMod val="20000"/>
                    <a:lumOff val="80000"/>
                  </a:schemeClr>
                </a:bgClr>
              </a:pattFill>
              <a:ln w="19050">
                <a:solidFill>
                  <a:schemeClr val="lt1"/>
                </a:solidFill>
              </a:ln>
              <a:effectLst>
                <a:innerShdw blurRad="114300">
                  <a:schemeClr val="accent1">
                    <a:tint val="86000"/>
                  </a:schemeClr>
                </a:innerShdw>
              </a:effectLst>
            </c:spPr>
          </c:dPt>
          <c:dPt>
            <c:idx val="3"/>
            <c:bubble3D val="0"/>
            <c:spPr>
              <a:pattFill prst="ltUpDiag">
                <a:fgClr>
                  <a:schemeClr val="accent1">
                    <a:tint val="58000"/>
                  </a:schemeClr>
                </a:fgClr>
                <a:bgClr>
                  <a:schemeClr val="accent1">
                    <a:tint val="58000"/>
                    <a:lumMod val="20000"/>
                    <a:lumOff val="80000"/>
                  </a:schemeClr>
                </a:bgClr>
              </a:pattFill>
              <a:ln w="19050">
                <a:solidFill>
                  <a:schemeClr val="lt1"/>
                </a:solidFill>
              </a:ln>
              <a:effectLst>
                <a:innerShdw blurRad="114300">
                  <a:schemeClr val="accent1">
                    <a:tint val="58000"/>
                  </a:schemeClr>
                </a:innerShdw>
              </a:effectLst>
            </c:spPr>
          </c:dPt>
          <c:dLbls>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Statistics_Occurencies!$J$3:$J$6</c:f>
              <c:strCache>
                <c:ptCount val="4"/>
                <c:pt idx="0">
                  <c:v>A.1</c:v>
                </c:pt>
                <c:pt idx="1">
                  <c:v>A.2</c:v>
                </c:pt>
                <c:pt idx="2">
                  <c:v>A.3</c:v>
                </c:pt>
                <c:pt idx="3">
                  <c:v>A.4</c:v>
                </c:pt>
              </c:strCache>
            </c:strRef>
          </c:cat>
          <c:val>
            <c:numRef>
              <c:f>Statistics_Occurencies!$K$3:$K$6</c:f>
              <c:numCache>
                <c:formatCode>General</c:formatCode>
                <c:ptCount val="4"/>
                <c:pt idx="0">
                  <c:v>113</c:v>
                </c:pt>
                <c:pt idx="1">
                  <c:v>31</c:v>
                </c:pt>
                <c:pt idx="2">
                  <c:v>33</c:v>
                </c:pt>
                <c:pt idx="3">
                  <c:v>7</c:v>
                </c:pt>
              </c:numCache>
            </c:numRef>
          </c:val>
          <c:extLst>
            <c:ext xmlns:c16="http://schemas.microsoft.com/office/drawing/2014/chart" uri="{C3380CC4-5D6E-409C-BE32-E72D297353CC}">
              <c16:uniqueId val="{00000000-D8FC-4C94-A73F-CFFB7BF2F3A0}"/>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601133</xdr:colOff>
      <xdr:row>4</xdr:row>
      <xdr:rowOff>158750</xdr:rowOff>
    </xdr:from>
    <xdr:to>
      <xdr:col>24</xdr:col>
      <xdr:colOff>92075</xdr:colOff>
      <xdr:row>40</xdr:row>
      <xdr:rowOff>80433</xdr:rowOff>
    </xdr:to>
    <xdr:graphicFrame macro="">
      <xdr:nvGraphicFramePr>
        <xdr:cNvPr id="6" name="Chart 5">
          <a:extLst>
            <a:ext uri="{FF2B5EF4-FFF2-40B4-BE49-F238E27FC236}">
              <a16:creationId xmlns:a16="http://schemas.microsoft.com/office/drawing/2014/main" id="{D6F0E3BA-8F7E-B12B-265F-3FF9443047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476250</xdr:colOff>
      <xdr:row>6</xdr:row>
      <xdr:rowOff>42334</xdr:rowOff>
    </xdr:from>
    <xdr:to>
      <xdr:col>32</xdr:col>
      <xdr:colOff>539750</xdr:colOff>
      <xdr:row>28</xdr:row>
      <xdr:rowOff>86781</xdr:rowOff>
    </xdr:to>
    <xdr:graphicFrame macro="">
      <xdr:nvGraphicFramePr>
        <xdr:cNvPr id="7" name="Chart 6">
          <a:extLst>
            <a:ext uri="{FF2B5EF4-FFF2-40B4-BE49-F238E27FC236}">
              <a16:creationId xmlns:a16="http://schemas.microsoft.com/office/drawing/2014/main" id="{FEB1532D-C4DC-E847-AA13-F115F756F0A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49742</xdr:colOff>
      <xdr:row>8</xdr:row>
      <xdr:rowOff>45508</xdr:rowOff>
    </xdr:from>
    <xdr:to>
      <xdr:col>28</xdr:col>
      <xdr:colOff>148167</xdr:colOff>
      <xdr:row>8</xdr:row>
      <xdr:rowOff>95250</xdr:rowOff>
    </xdr:to>
    <xdr:cxnSp macro="">
      <xdr:nvCxnSpPr>
        <xdr:cNvPr id="17" name="Straight Connector 16">
          <a:extLst>
            <a:ext uri="{FF2B5EF4-FFF2-40B4-BE49-F238E27FC236}">
              <a16:creationId xmlns:a16="http://schemas.microsoft.com/office/drawing/2014/main" id="{180AC906-6CA3-0D4D-9B7C-70512EF4C006}"/>
            </a:ext>
          </a:extLst>
        </xdr:cNvPr>
        <xdr:cNvCxnSpPr/>
      </xdr:nvCxnSpPr>
      <xdr:spPr>
        <a:xfrm>
          <a:off x="13956242" y="1506008"/>
          <a:ext cx="5622925" cy="49742"/>
        </a:xfrm>
        <a:prstGeom prst="line">
          <a:avLst/>
        </a:prstGeom>
        <a:ln w="3175">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122767</xdr:colOff>
      <xdr:row>25</xdr:row>
      <xdr:rowOff>103716</xdr:rowOff>
    </xdr:from>
    <xdr:to>
      <xdr:col>28</xdr:col>
      <xdr:colOff>313765</xdr:colOff>
      <xdr:row>26</xdr:row>
      <xdr:rowOff>22411</xdr:rowOff>
    </xdr:to>
    <xdr:cxnSp macro="">
      <xdr:nvCxnSpPr>
        <xdr:cNvPr id="18" name="Straight Connector 17">
          <a:extLst>
            <a:ext uri="{FF2B5EF4-FFF2-40B4-BE49-F238E27FC236}">
              <a16:creationId xmlns:a16="http://schemas.microsoft.com/office/drawing/2014/main" id="{15C845D9-4F81-4188-A1DB-AFE62C09FC5C}"/>
            </a:ext>
          </a:extLst>
        </xdr:cNvPr>
        <xdr:cNvCxnSpPr/>
      </xdr:nvCxnSpPr>
      <xdr:spPr>
        <a:xfrm>
          <a:off x="16315267" y="4619687"/>
          <a:ext cx="3216586" cy="97989"/>
        </a:xfrm>
        <a:prstGeom prst="line">
          <a:avLst/>
        </a:prstGeom>
        <a:ln w="3175">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25</xdr:col>
      <xdr:colOff>112059</xdr:colOff>
      <xdr:row>32</xdr:row>
      <xdr:rowOff>44824</xdr:rowOff>
    </xdr:from>
    <xdr:to>
      <xdr:col>33</xdr:col>
      <xdr:colOff>86991</xdr:colOff>
      <xdr:row>39</xdr:row>
      <xdr:rowOff>37384</xdr:rowOff>
    </xdr:to>
    <xdr:pic>
      <xdr:nvPicPr>
        <xdr:cNvPr id="27" name="Picture 26">
          <a:extLst>
            <a:ext uri="{FF2B5EF4-FFF2-40B4-BE49-F238E27FC236}">
              <a16:creationId xmlns:a16="http://schemas.microsoft.com/office/drawing/2014/main" id="{8359DC7A-1B8C-AF40-7551-61FD50BEEDC1}"/>
            </a:ext>
          </a:extLst>
        </xdr:cNvPr>
        <xdr:cNvPicPr>
          <a:picLocks noChangeAspect="1"/>
        </xdr:cNvPicPr>
      </xdr:nvPicPr>
      <xdr:blipFill>
        <a:blip xmlns:r="http://schemas.openxmlformats.org/officeDocument/2006/relationships" r:embed="rId3"/>
        <a:stretch>
          <a:fillRect/>
        </a:stretch>
      </xdr:blipFill>
      <xdr:spPr>
        <a:xfrm>
          <a:off x="17514794" y="5815853"/>
          <a:ext cx="4815873" cy="124761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oi.org/10.1016/j.envsci.2019.05.023" TargetMode="External"/><Relationship Id="rId13" Type="http://schemas.openxmlformats.org/officeDocument/2006/relationships/hyperlink" Target="https://doi.org/10.1146/annurev-environ-012320-054809" TargetMode="External"/><Relationship Id="rId18" Type="http://schemas.openxmlformats.org/officeDocument/2006/relationships/hyperlink" Target="https://doi.org/10.3389/fclim.2021.724065" TargetMode="External"/><Relationship Id="rId26" Type="http://schemas.openxmlformats.org/officeDocument/2006/relationships/hyperlink" Target="https://doi.org/10.1016/j.uclim.2023.101643" TargetMode="External"/><Relationship Id="rId3" Type="http://schemas.openxmlformats.org/officeDocument/2006/relationships/hyperlink" Target="https://doi.org/10.1080/23311886.2018.1478492" TargetMode="External"/><Relationship Id="rId21" Type="http://schemas.openxmlformats.org/officeDocument/2006/relationships/hyperlink" Target="https://doi.org/10.1371/journal.pone.0273325" TargetMode="External"/><Relationship Id="rId34" Type="http://schemas.openxmlformats.org/officeDocument/2006/relationships/hyperlink" Target="https://doi.org/10.1016/j.landurbplan.2021.104335" TargetMode="External"/><Relationship Id="rId7" Type="http://schemas.openxmlformats.org/officeDocument/2006/relationships/hyperlink" Target="https://doi.org/10.1016/j.envres.2019.108799" TargetMode="External"/><Relationship Id="rId12" Type="http://schemas.openxmlformats.org/officeDocument/2006/relationships/hyperlink" Target="https://doi.org/10.1111/jfr3.12561" TargetMode="External"/><Relationship Id="rId17" Type="http://schemas.openxmlformats.org/officeDocument/2006/relationships/hyperlink" Target="https://doi.org/10.3390/su132212488" TargetMode="External"/><Relationship Id="rId25" Type="http://schemas.openxmlformats.org/officeDocument/2006/relationships/hyperlink" Target="https://doi.org/10.1016/j.nbsj.2022.100032" TargetMode="External"/><Relationship Id="rId33" Type="http://schemas.openxmlformats.org/officeDocument/2006/relationships/hyperlink" Target="https://doi.org/10.22630/PNIKS.2019.28.4.58" TargetMode="External"/><Relationship Id="rId2" Type="http://schemas.openxmlformats.org/officeDocument/2006/relationships/hyperlink" Target="https://doi.org/10.1002/wcc.514" TargetMode="External"/><Relationship Id="rId16" Type="http://schemas.openxmlformats.org/officeDocument/2006/relationships/hyperlink" Target="https://doi.org/10.1111/rec.13346" TargetMode="External"/><Relationship Id="rId20" Type="http://schemas.openxmlformats.org/officeDocument/2006/relationships/hyperlink" Target="https://doi.org/10.3390/su14169975" TargetMode="External"/><Relationship Id="rId29" Type="http://schemas.openxmlformats.org/officeDocument/2006/relationships/hyperlink" Target="https://doi.org/10.3390/buildings13071621" TargetMode="External"/><Relationship Id="rId1" Type="http://schemas.openxmlformats.org/officeDocument/2006/relationships/hyperlink" Target="https://doi.org/10.1016/j.foreco.2015.04.003" TargetMode="External"/><Relationship Id="rId6" Type="http://schemas.openxmlformats.org/officeDocument/2006/relationships/hyperlink" Target="https://doi.org/10.1016/j.scitotenv.2018.04.134" TargetMode="External"/><Relationship Id="rId11" Type="http://schemas.openxmlformats.org/officeDocument/2006/relationships/hyperlink" Target="https://doi.org/10.1016/j.scitotenv.2020.138855" TargetMode="External"/><Relationship Id="rId24" Type="http://schemas.openxmlformats.org/officeDocument/2006/relationships/hyperlink" Target="https://doi.org/10.3390/su14074129" TargetMode="External"/><Relationship Id="rId32" Type="http://schemas.openxmlformats.org/officeDocument/2006/relationships/hyperlink" Target="https://doi.org/10.1002/sd.2510" TargetMode="External"/><Relationship Id="rId5" Type="http://schemas.openxmlformats.org/officeDocument/2006/relationships/hyperlink" Target="https://doi.org/10.1016/j.cities.2017.11.013" TargetMode="External"/><Relationship Id="rId15" Type="http://schemas.openxmlformats.org/officeDocument/2006/relationships/hyperlink" Target="https://doi.org/10.1038/s41598-021-03205-y" TargetMode="External"/><Relationship Id="rId23" Type="http://schemas.openxmlformats.org/officeDocument/2006/relationships/hyperlink" Target="https://doi.org/10.1016/j.jenvman.2022.114725" TargetMode="External"/><Relationship Id="rId28" Type="http://schemas.openxmlformats.org/officeDocument/2006/relationships/hyperlink" Target="https://doi.org/10.1016/j.jenvman.2023.117754" TargetMode="External"/><Relationship Id="rId10" Type="http://schemas.openxmlformats.org/officeDocument/2006/relationships/hyperlink" Target="https://doi.org/10.1016/j.forpol.2018.12.007" TargetMode="External"/><Relationship Id="rId19" Type="http://schemas.openxmlformats.org/officeDocument/2006/relationships/hyperlink" Target="https://doi.org/10.1016/j.jenvman.2021.112371" TargetMode="External"/><Relationship Id="rId31" Type="http://schemas.openxmlformats.org/officeDocument/2006/relationships/hyperlink" Target="https://doi.org/10.3389/frwa.2023.1188321" TargetMode="External"/><Relationship Id="rId4" Type="http://schemas.openxmlformats.org/officeDocument/2006/relationships/hyperlink" Target="https://doi.org/10.1890/15-1077" TargetMode="External"/><Relationship Id="rId9" Type="http://schemas.openxmlformats.org/officeDocument/2006/relationships/hyperlink" Target="https://doi.org/10.1016/j.scitotenv.2018.10.168" TargetMode="External"/><Relationship Id="rId14" Type="http://schemas.openxmlformats.org/officeDocument/2006/relationships/hyperlink" Target="https://doi.org/10.3389/ffgc.2020.589982" TargetMode="External"/><Relationship Id="rId22" Type="http://schemas.openxmlformats.org/officeDocument/2006/relationships/hyperlink" Target="https://doi.org/10.3390/w14233807" TargetMode="External"/><Relationship Id="rId27" Type="http://schemas.openxmlformats.org/officeDocument/2006/relationships/hyperlink" Target="https://doi.org/10.1016/j.nbsj.2023.100060" TargetMode="External"/><Relationship Id="rId30" Type="http://schemas.openxmlformats.org/officeDocument/2006/relationships/hyperlink" Target="https://doi.org/10.1111/rec.13810"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DAEF-52DB-4A08-BBB8-BD7A3101205E}">
  <dimension ref="A1:I35"/>
  <sheetViews>
    <sheetView workbookViewId="0">
      <selection activeCell="D41" sqref="D41"/>
    </sheetView>
  </sheetViews>
  <sheetFormatPr defaultRowHeight="14.5" x14ac:dyDescent="0.35"/>
  <cols>
    <col min="1" max="1" width="9" customWidth="1"/>
    <col min="2" max="2" width="47.453125" customWidth="1"/>
    <col min="3" max="3" width="10.54296875" customWidth="1"/>
    <col min="4" max="4" width="28" customWidth="1"/>
  </cols>
  <sheetData>
    <row r="1" spans="1:5" x14ac:dyDescent="0.35">
      <c r="A1" s="2" t="s">
        <v>1111</v>
      </c>
      <c r="B1" s="2" t="s">
        <v>130</v>
      </c>
      <c r="C1" s="2" t="s">
        <v>1147</v>
      </c>
      <c r="D1" s="2" t="s">
        <v>20</v>
      </c>
      <c r="E1" s="2" t="s">
        <v>1112</v>
      </c>
    </row>
    <row r="2" spans="1:5" x14ac:dyDescent="0.35">
      <c r="A2" s="4">
        <v>1</v>
      </c>
      <c r="B2" s="32" t="s">
        <v>131</v>
      </c>
      <c r="C2" s="32">
        <v>2015</v>
      </c>
      <c r="D2" s="32" t="s">
        <v>132</v>
      </c>
      <c r="E2" s="6" t="s">
        <v>1114</v>
      </c>
    </row>
    <row r="3" spans="1:5" x14ac:dyDescent="0.35">
      <c r="A3" s="4">
        <f>A2+1</f>
        <v>2</v>
      </c>
      <c r="B3" s="32" t="s">
        <v>133</v>
      </c>
      <c r="C3" s="32">
        <v>2016</v>
      </c>
      <c r="D3" s="32" t="s">
        <v>134</v>
      </c>
      <c r="E3" s="6" t="s">
        <v>1117</v>
      </c>
    </row>
    <row r="4" spans="1:5" x14ac:dyDescent="0.35">
      <c r="A4" s="4">
        <f t="shared" ref="A4:A35" si="0">A3+1</f>
        <v>3</v>
      </c>
      <c r="B4" s="33" t="s">
        <v>135</v>
      </c>
      <c r="C4" s="15">
        <v>2018</v>
      </c>
      <c r="D4" s="33" t="s">
        <v>136</v>
      </c>
      <c r="E4" s="6" t="s">
        <v>1115</v>
      </c>
    </row>
    <row r="5" spans="1:5" x14ac:dyDescent="0.35">
      <c r="A5" s="4">
        <f t="shared" si="0"/>
        <v>4</v>
      </c>
      <c r="B5" s="32" t="s">
        <v>137</v>
      </c>
      <c r="C5" s="32">
        <v>2018</v>
      </c>
      <c r="D5" s="32" t="s">
        <v>138</v>
      </c>
      <c r="E5" s="6" t="s">
        <v>1116</v>
      </c>
    </row>
    <row r="6" spans="1:5" x14ac:dyDescent="0.35">
      <c r="A6" s="4">
        <f t="shared" si="0"/>
        <v>5</v>
      </c>
      <c r="B6" s="32" t="s">
        <v>5</v>
      </c>
      <c r="C6" s="15">
        <v>2018</v>
      </c>
      <c r="D6" s="32" t="s">
        <v>139</v>
      </c>
      <c r="E6" s="6" t="s">
        <v>1118</v>
      </c>
    </row>
    <row r="7" spans="1:5" x14ac:dyDescent="0.35">
      <c r="A7" s="4">
        <f t="shared" si="0"/>
        <v>6</v>
      </c>
      <c r="B7" s="32" t="s">
        <v>140</v>
      </c>
      <c r="C7" s="32">
        <v>2018</v>
      </c>
      <c r="D7" s="32" t="s">
        <v>141</v>
      </c>
      <c r="E7" s="6" t="s">
        <v>1119</v>
      </c>
    </row>
    <row r="8" spans="1:5" x14ac:dyDescent="0.35">
      <c r="A8" s="4">
        <f t="shared" si="0"/>
        <v>7</v>
      </c>
      <c r="B8" s="32" t="s">
        <v>21</v>
      </c>
      <c r="C8" s="32">
        <v>2019</v>
      </c>
      <c r="D8" s="32" t="s">
        <v>22</v>
      </c>
      <c r="E8" s="7" t="s">
        <v>1120</v>
      </c>
    </row>
    <row r="9" spans="1:5" x14ac:dyDescent="0.35">
      <c r="A9" s="4">
        <f t="shared" si="0"/>
        <v>8</v>
      </c>
      <c r="B9" s="32" t="s">
        <v>142</v>
      </c>
      <c r="C9" s="32">
        <v>2019</v>
      </c>
      <c r="D9" s="32" t="s">
        <v>143</v>
      </c>
      <c r="E9" s="6" t="s">
        <v>1121</v>
      </c>
    </row>
    <row r="10" spans="1:5" x14ac:dyDescent="0.35">
      <c r="A10" s="4">
        <f t="shared" si="0"/>
        <v>9</v>
      </c>
      <c r="B10" s="32" t="s">
        <v>144</v>
      </c>
      <c r="C10" s="32">
        <v>2019</v>
      </c>
      <c r="D10" s="5" t="s">
        <v>145</v>
      </c>
      <c r="E10" s="6" t="s">
        <v>1122</v>
      </c>
    </row>
    <row r="11" spans="1:5" x14ac:dyDescent="0.35">
      <c r="A11" s="4">
        <f t="shared" si="0"/>
        <v>10</v>
      </c>
      <c r="B11" s="32" t="s">
        <v>146</v>
      </c>
      <c r="C11" s="32">
        <v>2019</v>
      </c>
      <c r="D11" s="32" t="s">
        <v>147</v>
      </c>
      <c r="E11" s="6" t="s">
        <v>1123</v>
      </c>
    </row>
    <row r="12" spans="1:5" x14ac:dyDescent="0.35">
      <c r="A12" s="4">
        <f t="shared" si="0"/>
        <v>11</v>
      </c>
      <c r="B12" s="32" t="s">
        <v>1</v>
      </c>
      <c r="C12" s="32">
        <v>2019</v>
      </c>
      <c r="D12" s="32" t="s">
        <v>148</v>
      </c>
      <c r="E12" s="6" t="s">
        <v>1124</v>
      </c>
    </row>
    <row r="13" spans="1:5" x14ac:dyDescent="0.35">
      <c r="A13" s="4">
        <f t="shared" si="0"/>
        <v>12</v>
      </c>
      <c r="B13" s="32" t="s">
        <v>149</v>
      </c>
      <c r="C13" s="32">
        <v>2020</v>
      </c>
      <c r="D13" s="32" t="s">
        <v>150</v>
      </c>
      <c r="E13" s="6" t="s">
        <v>1125</v>
      </c>
    </row>
    <row r="14" spans="1:5" x14ac:dyDescent="0.35">
      <c r="A14" s="4">
        <f t="shared" si="0"/>
        <v>13</v>
      </c>
      <c r="B14" s="32" t="s">
        <v>151</v>
      </c>
      <c r="C14" s="32">
        <v>2020</v>
      </c>
      <c r="D14" s="32" t="s">
        <v>152</v>
      </c>
      <c r="E14" s="6" t="s">
        <v>1126</v>
      </c>
    </row>
    <row r="15" spans="1:5" x14ac:dyDescent="0.35">
      <c r="A15" s="4">
        <f t="shared" si="0"/>
        <v>14</v>
      </c>
      <c r="B15" s="32" t="s">
        <v>153</v>
      </c>
      <c r="C15" s="32">
        <v>2021</v>
      </c>
      <c r="D15" s="32" t="s">
        <v>154</v>
      </c>
      <c r="E15" s="6" t="s">
        <v>1127</v>
      </c>
    </row>
    <row r="16" spans="1:5" x14ac:dyDescent="0.35">
      <c r="A16" s="4">
        <f t="shared" si="0"/>
        <v>15</v>
      </c>
      <c r="B16" s="32" t="s">
        <v>155</v>
      </c>
      <c r="C16" s="32">
        <v>2021</v>
      </c>
      <c r="D16" s="32" t="s">
        <v>156</v>
      </c>
      <c r="E16" s="6" t="s">
        <v>1128</v>
      </c>
    </row>
    <row r="17" spans="1:9" x14ac:dyDescent="0.35">
      <c r="A17" s="4">
        <f t="shared" si="0"/>
        <v>16</v>
      </c>
      <c r="B17" s="32" t="s">
        <v>2</v>
      </c>
      <c r="C17" s="32">
        <v>2021</v>
      </c>
      <c r="D17" s="32" t="s">
        <v>60</v>
      </c>
      <c r="E17" s="6" t="s">
        <v>1129</v>
      </c>
    </row>
    <row r="18" spans="1:9" x14ac:dyDescent="0.35">
      <c r="A18" s="4">
        <f t="shared" si="0"/>
        <v>17</v>
      </c>
      <c r="B18" s="32" t="s">
        <v>157</v>
      </c>
      <c r="C18" s="32">
        <v>2021</v>
      </c>
      <c r="D18" s="32" t="s">
        <v>158</v>
      </c>
      <c r="E18" s="6" t="s">
        <v>1130</v>
      </c>
    </row>
    <row r="19" spans="1:9" x14ac:dyDescent="0.35">
      <c r="A19" s="4">
        <f t="shared" si="0"/>
        <v>18</v>
      </c>
      <c r="B19" s="32" t="s">
        <v>159</v>
      </c>
      <c r="C19" s="32">
        <v>2021</v>
      </c>
      <c r="D19" s="32" t="s">
        <v>160</v>
      </c>
      <c r="E19" s="6" t="s">
        <v>1131</v>
      </c>
    </row>
    <row r="20" spans="1:9" x14ac:dyDescent="0.35">
      <c r="A20" s="4">
        <f t="shared" si="0"/>
        <v>19</v>
      </c>
      <c r="B20" s="32" t="s">
        <v>161</v>
      </c>
      <c r="C20" s="32">
        <v>2021</v>
      </c>
      <c r="D20" s="32" t="s">
        <v>162</v>
      </c>
      <c r="E20" s="6" t="s">
        <v>1132</v>
      </c>
    </row>
    <row r="21" spans="1:9" x14ac:dyDescent="0.35">
      <c r="A21" s="4">
        <f t="shared" si="0"/>
        <v>20</v>
      </c>
      <c r="B21" s="32" t="s">
        <v>163</v>
      </c>
      <c r="C21" s="32">
        <v>2021</v>
      </c>
      <c r="D21" s="32" t="s">
        <v>164</v>
      </c>
      <c r="E21" s="6" t="s">
        <v>1133</v>
      </c>
    </row>
    <row r="22" spans="1:9" x14ac:dyDescent="0.35">
      <c r="A22" s="4">
        <f t="shared" si="0"/>
        <v>21</v>
      </c>
      <c r="B22" s="32" t="s">
        <v>165</v>
      </c>
      <c r="C22" s="32">
        <v>2022</v>
      </c>
      <c r="D22" s="32" t="s">
        <v>166</v>
      </c>
      <c r="E22" s="7" t="s">
        <v>1113</v>
      </c>
    </row>
    <row r="23" spans="1:9" x14ac:dyDescent="0.35">
      <c r="A23" s="4">
        <f t="shared" si="0"/>
        <v>22</v>
      </c>
      <c r="B23" s="32" t="s">
        <v>167</v>
      </c>
      <c r="C23" s="32">
        <v>2022</v>
      </c>
      <c r="D23" s="32" t="s">
        <v>168</v>
      </c>
      <c r="E23" s="6" t="s">
        <v>1134</v>
      </c>
    </row>
    <row r="24" spans="1:9" x14ac:dyDescent="0.35">
      <c r="A24" s="4">
        <f t="shared" si="0"/>
        <v>23</v>
      </c>
      <c r="B24" s="32" t="s">
        <v>169</v>
      </c>
      <c r="C24" s="32">
        <v>2022</v>
      </c>
      <c r="D24" s="32" t="s">
        <v>170</v>
      </c>
      <c r="E24" s="6" t="s">
        <v>1135</v>
      </c>
    </row>
    <row r="25" spans="1:9" x14ac:dyDescent="0.35">
      <c r="A25" s="4">
        <f t="shared" si="0"/>
        <v>24</v>
      </c>
      <c r="B25" s="32" t="s">
        <v>171</v>
      </c>
      <c r="C25" s="32">
        <v>2022</v>
      </c>
      <c r="D25" s="32" t="s">
        <v>172</v>
      </c>
      <c r="E25" s="6" t="s">
        <v>1136</v>
      </c>
      <c r="I25" s="7"/>
    </row>
    <row r="26" spans="1:9" x14ac:dyDescent="0.35">
      <c r="A26" s="4">
        <f t="shared" si="0"/>
        <v>25</v>
      </c>
      <c r="B26" s="32" t="s">
        <v>173</v>
      </c>
      <c r="C26" s="32">
        <v>2022</v>
      </c>
      <c r="D26" s="32" t="s">
        <v>174</v>
      </c>
      <c r="E26" s="6" t="s">
        <v>1137</v>
      </c>
    </row>
    <row r="27" spans="1:9" x14ac:dyDescent="0.35">
      <c r="A27" s="4">
        <f t="shared" si="0"/>
        <v>26</v>
      </c>
      <c r="B27" s="32" t="s">
        <v>175</v>
      </c>
      <c r="C27" s="32">
        <v>2022</v>
      </c>
      <c r="D27" s="32" t="s">
        <v>176</v>
      </c>
      <c r="E27" s="6" t="s">
        <v>1138</v>
      </c>
    </row>
    <row r="28" spans="1:9" x14ac:dyDescent="0.35">
      <c r="A28" s="4">
        <f t="shared" si="0"/>
        <v>27</v>
      </c>
      <c r="B28" s="32" t="s">
        <v>177</v>
      </c>
      <c r="C28" s="32">
        <v>2022</v>
      </c>
      <c r="D28" s="32" t="s">
        <v>178</v>
      </c>
      <c r="E28" s="6" t="s">
        <v>1139</v>
      </c>
    </row>
    <row r="29" spans="1:9" x14ac:dyDescent="0.35">
      <c r="A29" s="4">
        <f t="shared" si="0"/>
        <v>28</v>
      </c>
      <c r="B29" s="32" t="s">
        <v>4</v>
      </c>
      <c r="C29" s="32">
        <v>2023</v>
      </c>
      <c r="D29" s="32" t="s">
        <v>110</v>
      </c>
      <c r="E29" s="6" t="s">
        <v>1140</v>
      </c>
    </row>
    <row r="30" spans="1:9" x14ac:dyDescent="0.35">
      <c r="A30" s="4">
        <f t="shared" si="0"/>
        <v>29</v>
      </c>
      <c r="B30" s="32" t="s">
        <v>179</v>
      </c>
      <c r="C30" s="32">
        <v>2023</v>
      </c>
      <c r="D30" s="32" t="s">
        <v>180</v>
      </c>
      <c r="E30" s="6" t="s">
        <v>1141</v>
      </c>
    </row>
    <row r="31" spans="1:9" x14ac:dyDescent="0.35">
      <c r="A31" s="4">
        <f t="shared" si="0"/>
        <v>30</v>
      </c>
      <c r="B31" s="32" t="s">
        <v>181</v>
      </c>
      <c r="C31" s="32">
        <v>2023</v>
      </c>
      <c r="D31" s="32" t="s">
        <v>182</v>
      </c>
      <c r="E31" s="6" t="s">
        <v>1142</v>
      </c>
    </row>
    <row r="32" spans="1:9" x14ac:dyDescent="0.35">
      <c r="A32" s="4">
        <f t="shared" si="0"/>
        <v>31</v>
      </c>
      <c r="B32" s="32" t="s">
        <v>3</v>
      </c>
      <c r="C32" s="32">
        <v>2023</v>
      </c>
      <c r="D32" s="32" t="s">
        <v>77</v>
      </c>
      <c r="E32" s="6" t="s">
        <v>1143</v>
      </c>
    </row>
    <row r="33" spans="1:5" x14ac:dyDescent="0.35">
      <c r="A33" s="4">
        <f t="shared" si="0"/>
        <v>32</v>
      </c>
      <c r="B33" s="32" t="s">
        <v>183</v>
      </c>
      <c r="C33" s="32">
        <v>2023</v>
      </c>
      <c r="D33" s="32" t="s">
        <v>184</v>
      </c>
      <c r="E33" s="6" t="s">
        <v>1144</v>
      </c>
    </row>
    <row r="34" spans="1:5" x14ac:dyDescent="0.35">
      <c r="A34" s="4">
        <f t="shared" si="0"/>
        <v>33</v>
      </c>
      <c r="B34" s="32" t="s">
        <v>185</v>
      </c>
      <c r="C34" s="32">
        <v>2023</v>
      </c>
      <c r="D34" s="32" t="s">
        <v>88</v>
      </c>
      <c r="E34" s="6" t="s">
        <v>1145</v>
      </c>
    </row>
    <row r="35" spans="1:5" x14ac:dyDescent="0.35">
      <c r="A35" s="4">
        <f t="shared" si="0"/>
        <v>34</v>
      </c>
      <c r="B35" s="32" t="s">
        <v>186</v>
      </c>
      <c r="C35" s="32">
        <v>2023</v>
      </c>
      <c r="D35" s="32" t="s">
        <v>187</v>
      </c>
      <c r="E35" s="6" t="s">
        <v>1146</v>
      </c>
    </row>
  </sheetData>
  <hyperlinks>
    <hyperlink ref="E2" r:id="rId1" xr:uid="{1063A839-7BCF-48E9-9E12-17769F322676}"/>
    <hyperlink ref="E4" r:id="rId2" xr:uid="{A27F02F2-67A6-44AE-A419-CD1D40268C5B}"/>
    <hyperlink ref="E5" r:id="rId3" xr:uid="{AFF20990-D747-4265-956C-4EE1B994AFF6}"/>
    <hyperlink ref="E3" r:id="rId4" xr:uid="{6370F908-6682-4AB0-83A9-F83C27A10BF6}"/>
    <hyperlink ref="E6" r:id="rId5" xr:uid="{4718F15F-453F-45EF-9306-F9B23AB7BA9A}"/>
    <hyperlink ref="E7" r:id="rId6" xr:uid="{AF1A1702-34E2-4D0B-A1C6-170F50B48C08}"/>
    <hyperlink ref="E9" r:id="rId7" xr:uid="{CFB1CB7A-DA82-4B71-BEA2-E025EBE6F8D0}"/>
    <hyperlink ref="E10" r:id="rId8" xr:uid="{59D091E3-558D-49E8-8BD0-34B3604B4F10}"/>
    <hyperlink ref="E11" r:id="rId9" xr:uid="{B0240920-C78B-4258-9671-C2999609F1B1}"/>
    <hyperlink ref="E12" r:id="rId10" xr:uid="{FDE44455-295F-43E3-BC0E-67B86BF00A4F}"/>
    <hyperlink ref="E13" r:id="rId11" xr:uid="{35E972BA-5206-4004-AED4-439ED2D50F0A}"/>
    <hyperlink ref="E14" r:id="rId12" xr:uid="{C2E31D61-E870-4284-8845-7E8371F8A779}"/>
    <hyperlink ref="E15" r:id="rId13" xr:uid="{8FC9029E-E581-4A6F-8BAD-D5E8623B97E5}"/>
    <hyperlink ref="E16" r:id="rId14" xr:uid="{D7C28C1B-07D5-4FB3-836C-9CD1517A6793}"/>
    <hyperlink ref="E17" r:id="rId15" xr:uid="{5E095062-7EAB-48E8-AE3E-CB1C161FB965}"/>
    <hyperlink ref="E18" r:id="rId16" xr:uid="{7510E54B-7C38-459D-94E0-DE7C34D705E6}"/>
    <hyperlink ref="E19" r:id="rId17" xr:uid="{2E8E2CD7-3268-4CA9-9CBB-A8A858FA74E8}"/>
    <hyperlink ref="E20" r:id="rId18" xr:uid="{59B835AF-E01C-4DC0-8FC9-2C5EFB528150}"/>
    <hyperlink ref="E21" r:id="rId19" xr:uid="{7AC2F1F4-A137-4247-AA62-E6135A0889EA}"/>
    <hyperlink ref="E23" r:id="rId20" xr:uid="{919CCA5F-1C59-4C8B-89C2-AEDDF42D22B8}"/>
    <hyperlink ref="E24" r:id="rId21" xr:uid="{5D168274-B7CF-4CF9-A8D0-72ADD3714DE7}"/>
    <hyperlink ref="E25" r:id="rId22" xr:uid="{4BB31688-CE60-4AB7-9D4B-2C6067747860}"/>
    <hyperlink ref="E26" r:id="rId23" xr:uid="{9CAE449F-1A68-4F63-B33B-E397B1C213C8}"/>
    <hyperlink ref="E27" r:id="rId24" xr:uid="{88AD2E0E-BDEF-4DC1-B64C-DA18E09A5D94}"/>
    <hyperlink ref="E28" r:id="rId25" xr:uid="{AD1C34D4-ACC2-40DE-92CE-F5B2CD05EABE}"/>
    <hyperlink ref="E29" r:id="rId26" xr:uid="{50F80D4E-546A-4245-AE00-121F87C3F9BE}"/>
    <hyperlink ref="E30" r:id="rId27" xr:uid="{E549B367-FD15-4691-AAA2-A09A047D98D7}"/>
    <hyperlink ref="E31" r:id="rId28" xr:uid="{E68BCC14-3AAE-4672-8326-726938EB9B35}"/>
    <hyperlink ref="E32" r:id="rId29" xr:uid="{5B296406-F837-47DD-8E0C-80A47AE2A689}"/>
    <hyperlink ref="E33" r:id="rId30" xr:uid="{D5CFD82C-9645-40F4-BC98-2956C44D677E}"/>
    <hyperlink ref="E34" r:id="rId31" xr:uid="{0D63D8BA-2F28-482F-8405-6A8B8FB20D7E}"/>
    <hyperlink ref="E35" r:id="rId32" xr:uid="{AB4C7933-8100-4720-A6F3-B682B6B95A75}"/>
    <hyperlink ref="E8" r:id="rId33" xr:uid="{A83EA0A1-B68E-4D08-AB0C-75966EEF210C}"/>
    <hyperlink ref="E22" r:id="rId34" xr:uid="{1541006A-F4DC-4D9F-829C-28CB0F2A9B9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FA538-2D99-488C-9801-01A66CF03C6E}">
  <sheetPr>
    <tabColor rgb="FFFFC000"/>
  </sheetPr>
  <dimension ref="A1:G6"/>
  <sheetViews>
    <sheetView workbookViewId="0">
      <selection sqref="A1:B1"/>
    </sheetView>
  </sheetViews>
  <sheetFormatPr defaultRowHeight="14.5" x14ac:dyDescent="0.35"/>
  <cols>
    <col min="1" max="1" width="5.81640625" customWidth="1"/>
    <col min="2" max="2" width="6" customWidth="1"/>
    <col min="3" max="3" width="28.453125" customWidth="1"/>
    <col min="4" max="4" width="27.1796875" customWidth="1"/>
    <col min="6" max="6" width="12" customWidth="1"/>
    <col min="7" max="7" width="11.26953125" customWidth="1"/>
  </cols>
  <sheetData>
    <row r="1" spans="1:7" x14ac:dyDescent="0.35">
      <c r="A1" s="13" t="s">
        <v>1111</v>
      </c>
      <c r="B1" s="13" t="s">
        <v>1434</v>
      </c>
      <c r="C1" s="2" t="s">
        <v>7</v>
      </c>
      <c r="D1" s="2" t="s">
        <v>222</v>
      </c>
      <c r="E1" s="2" t="s">
        <v>223</v>
      </c>
      <c r="F1" s="2" t="s">
        <v>224</v>
      </c>
      <c r="G1" s="2" t="s">
        <v>225</v>
      </c>
    </row>
    <row r="2" spans="1:7" x14ac:dyDescent="0.35">
      <c r="A2">
        <v>6</v>
      </c>
      <c r="B2">
        <v>1</v>
      </c>
      <c r="C2" t="s">
        <v>226</v>
      </c>
      <c r="D2" t="s">
        <v>988</v>
      </c>
      <c r="E2" s="2" t="s">
        <v>273</v>
      </c>
      <c r="F2">
        <v>0</v>
      </c>
      <c r="G2">
        <v>4</v>
      </c>
    </row>
    <row r="3" spans="1:7" x14ac:dyDescent="0.35">
      <c r="A3">
        <v>6</v>
      </c>
      <c r="B3">
        <v>2</v>
      </c>
      <c r="C3" t="s">
        <v>228</v>
      </c>
      <c r="D3" t="s">
        <v>227</v>
      </c>
      <c r="E3" s="2" t="s">
        <v>273</v>
      </c>
      <c r="F3">
        <v>0</v>
      </c>
      <c r="G3">
        <v>4</v>
      </c>
    </row>
    <row r="4" spans="1:7" x14ac:dyDescent="0.35">
      <c r="A4">
        <v>6</v>
      </c>
      <c r="B4">
        <v>3</v>
      </c>
      <c r="C4" t="s">
        <v>230</v>
      </c>
      <c r="D4" t="s">
        <v>229</v>
      </c>
      <c r="E4" s="2" t="s">
        <v>273</v>
      </c>
      <c r="F4">
        <v>0</v>
      </c>
      <c r="G4">
        <v>4</v>
      </c>
    </row>
    <row r="5" spans="1:7" x14ac:dyDescent="0.35">
      <c r="A5">
        <v>6</v>
      </c>
      <c r="B5">
        <v>4</v>
      </c>
      <c r="C5" t="s">
        <v>231</v>
      </c>
      <c r="D5" t="s">
        <v>227</v>
      </c>
      <c r="E5" s="2" t="s">
        <v>273</v>
      </c>
      <c r="F5">
        <v>0</v>
      </c>
      <c r="G5">
        <v>4</v>
      </c>
    </row>
    <row r="6" spans="1:7" x14ac:dyDescent="0.35">
      <c r="A6">
        <v>6</v>
      </c>
      <c r="B6">
        <v>5</v>
      </c>
      <c r="C6" t="s">
        <v>233</v>
      </c>
      <c r="D6" t="s">
        <v>232</v>
      </c>
      <c r="E6" s="2" t="s">
        <v>273</v>
      </c>
      <c r="F6">
        <v>0</v>
      </c>
      <c r="G6">
        <v>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02441-3414-4CAD-A580-F271416138D2}">
  <sheetPr>
    <tabColor rgb="FFFFC000"/>
  </sheetPr>
  <dimension ref="A1:G21"/>
  <sheetViews>
    <sheetView workbookViewId="0">
      <selection sqref="A1:B1"/>
    </sheetView>
  </sheetViews>
  <sheetFormatPr defaultColWidth="5" defaultRowHeight="14.5" x14ac:dyDescent="0.35"/>
  <cols>
    <col min="1" max="1" width="3.54296875" customWidth="1"/>
    <col min="2" max="2" width="4" customWidth="1"/>
    <col min="3" max="3" width="45.54296875" customWidth="1"/>
    <col min="4" max="4" width="31.453125" customWidth="1"/>
    <col min="5" max="5" width="7.54296875" customWidth="1"/>
    <col min="6" max="6" width="9.26953125" customWidth="1"/>
    <col min="7" max="7" width="8.26953125" customWidth="1"/>
  </cols>
  <sheetData>
    <row r="1" spans="1:7" x14ac:dyDescent="0.35">
      <c r="A1" s="13" t="s">
        <v>1111</v>
      </c>
      <c r="B1" s="13" t="s">
        <v>1434</v>
      </c>
      <c r="C1" s="2" t="s">
        <v>7</v>
      </c>
      <c r="D1" s="2" t="s">
        <v>6</v>
      </c>
      <c r="E1" s="2" t="s">
        <v>223</v>
      </c>
      <c r="F1" s="2" t="s">
        <v>224</v>
      </c>
      <c r="G1" s="2" t="s">
        <v>225</v>
      </c>
    </row>
    <row r="2" spans="1:7" x14ac:dyDescent="0.35">
      <c r="A2">
        <v>7</v>
      </c>
      <c r="B2">
        <v>1</v>
      </c>
      <c r="C2" t="s">
        <v>23</v>
      </c>
      <c r="D2" t="s">
        <v>26</v>
      </c>
      <c r="E2" t="s">
        <v>257</v>
      </c>
      <c r="F2">
        <v>5</v>
      </c>
      <c r="G2">
        <v>2</v>
      </c>
    </row>
    <row r="3" spans="1:7" x14ac:dyDescent="0.35">
      <c r="A3">
        <v>7</v>
      </c>
      <c r="B3">
        <v>2</v>
      </c>
      <c r="C3" t="s">
        <v>24</v>
      </c>
      <c r="D3" t="s">
        <v>27</v>
      </c>
      <c r="E3" t="s">
        <v>257</v>
      </c>
      <c r="F3">
        <v>5</v>
      </c>
      <c r="G3">
        <v>2</v>
      </c>
    </row>
    <row r="4" spans="1:7" x14ac:dyDescent="0.35">
      <c r="A4">
        <v>7</v>
      </c>
      <c r="B4">
        <v>3</v>
      </c>
      <c r="C4" t="s">
        <v>25</v>
      </c>
      <c r="D4" t="s">
        <v>989</v>
      </c>
      <c r="E4" t="s">
        <v>257</v>
      </c>
      <c r="F4">
        <v>5</v>
      </c>
      <c r="G4">
        <v>2</v>
      </c>
    </row>
    <row r="5" spans="1:7" x14ac:dyDescent="0.35">
      <c r="A5">
        <v>7</v>
      </c>
      <c r="B5">
        <v>4</v>
      </c>
      <c r="C5" t="s">
        <v>41</v>
      </c>
      <c r="D5" t="s">
        <v>42</v>
      </c>
      <c r="E5" t="s">
        <v>270</v>
      </c>
      <c r="F5">
        <v>2</v>
      </c>
      <c r="G5">
        <v>4</v>
      </c>
    </row>
    <row r="6" spans="1:7" x14ac:dyDescent="0.35">
      <c r="A6">
        <v>7</v>
      </c>
      <c r="B6">
        <f>B5+1</f>
        <v>5</v>
      </c>
      <c r="C6" t="s">
        <v>29</v>
      </c>
      <c r="D6" t="s">
        <v>43</v>
      </c>
      <c r="E6" t="s">
        <v>270</v>
      </c>
      <c r="F6" s="3">
        <v>2</v>
      </c>
      <c r="G6" s="3">
        <v>4</v>
      </c>
    </row>
    <row r="7" spans="1:7" x14ac:dyDescent="0.35">
      <c r="A7">
        <v>7</v>
      </c>
      <c r="B7">
        <f t="shared" ref="B7:B21" si="0">B6+1</f>
        <v>6</v>
      </c>
      <c r="C7" t="s">
        <v>30</v>
      </c>
      <c r="D7" t="s">
        <v>44</v>
      </c>
      <c r="E7" t="s">
        <v>270</v>
      </c>
      <c r="F7">
        <v>1</v>
      </c>
      <c r="G7">
        <v>8</v>
      </c>
    </row>
    <row r="8" spans="1:7" x14ac:dyDescent="0.35">
      <c r="A8">
        <v>7</v>
      </c>
      <c r="B8">
        <f t="shared" si="0"/>
        <v>7</v>
      </c>
      <c r="C8" t="s">
        <v>31</v>
      </c>
      <c r="D8" t="s">
        <v>990</v>
      </c>
      <c r="E8" t="s">
        <v>190</v>
      </c>
      <c r="F8">
        <v>3</v>
      </c>
      <c r="G8">
        <v>1</v>
      </c>
    </row>
    <row r="9" spans="1:7" x14ac:dyDescent="0.35">
      <c r="A9">
        <v>7</v>
      </c>
      <c r="B9">
        <f t="shared" si="0"/>
        <v>8</v>
      </c>
      <c r="C9" t="s">
        <v>32</v>
      </c>
      <c r="D9" t="s">
        <v>45</v>
      </c>
      <c r="E9" t="s">
        <v>270</v>
      </c>
      <c r="F9">
        <v>2</v>
      </c>
      <c r="G9">
        <v>4</v>
      </c>
    </row>
    <row r="10" spans="1:7" x14ac:dyDescent="0.35">
      <c r="A10">
        <v>7</v>
      </c>
      <c r="B10">
        <f t="shared" si="0"/>
        <v>9</v>
      </c>
      <c r="C10" t="s">
        <v>33</v>
      </c>
      <c r="D10" t="s">
        <v>46</v>
      </c>
      <c r="E10" t="s">
        <v>190</v>
      </c>
      <c r="F10">
        <v>2</v>
      </c>
      <c r="G10">
        <v>2</v>
      </c>
    </row>
    <row r="11" spans="1:7" x14ac:dyDescent="0.35">
      <c r="A11">
        <v>7</v>
      </c>
      <c r="B11">
        <f t="shared" si="0"/>
        <v>10</v>
      </c>
      <c r="C11" t="s">
        <v>47</v>
      </c>
      <c r="D11" t="s">
        <v>991</v>
      </c>
      <c r="E11" t="s">
        <v>278</v>
      </c>
      <c r="F11">
        <v>0</v>
      </c>
      <c r="G11">
        <v>3</v>
      </c>
    </row>
    <row r="12" spans="1:7" x14ac:dyDescent="0.35">
      <c r="A12">
        <v>7</v>
      </c>
      <c r="B12">
        <f t="shared" si="0"/>
        <v>11</v>
      </c>
      <c r="C12" t="s">
        <v>50</v>
      </c>
      <c r="D12" t="s">
        <v>48</v>
      </c>
      <c r="E12" t="s">
        <v>270</v>
      </c>
      <c r="F12">
        <v>2</v>
      </c>
      <c r="G12">
        <v>5</v>
      </c>
    </row>
    <row r="13" spans="1:7" x14ac:dyDescent="0.35">
      <c r="A13">
        <v>7</v>
      </c>
      <c r="B13">
        <f t="shared" si="0"/>
        <v>12</v>
      </c>
      <c r="C13" t="s">
        <v>51</v>
      </c>
      <c r="D13" t="s">
        <v>49</v>
      </c>
      <c r="E13" t="s">
        <v>278</v>
      </c>
      <c r="F13">
        <v>0</v>
      </c>
      <c r="G13">
        <v>5</v>
      </c>
    </row>
    <row r="14" spans="1:7" x14ac:dyDescent="0.35">
      <c r="A14">
        <v>7</v>
      </c>
      <c r="B14">
        <f t="shared" si="0"/>
        <v>13</v>
      </c>
      <c r="C14" t="s">
        <v>34</v>
      </c>
      <c r="D14" t="s">
        <v>52</v>
      </c>
      <c r="E14" t="s">
        <v>257</v>
      </c>
      <c r="F14">
        <v>2</v>
      </c>
      <c r="G14">
        <v>2</v>
      </c>
    </row>
    <row r="15" spans="1:7" x14ac:dyDescent="0.35">
      <c r="A15">
        <v>7</v>
      </c>
      <c r="B15">
        <f t="shared" si="0"/>
        <v>14</v>
      </c>
      <c r="C15" t="s">
        <v>35</v>
      </c>
      <c r="D15" t="s">
        <v>53</v>
      </c>
      <c r="E15" t="s">
        <v>270</v>
      </c>
      <c r="F15">
        <v>2</v>
      </c>
      <c r="G15">
        <v>4</v>
      </c>
    </row>
    <row r="16" spans="1:7" x14ac:dyDescent="0.35">
      <c r="A16">
        <v>7</v>
      </c>
      <c r="B16">
        <f t="shared" si="0"/>
        <v>15</v>
      </c>
      <c r="C16" t="s">
        <v>36</v>
      </c>
      <c r="D16" t="s">
        <v>54</v>
      </c>
      <c r="E16" t="s">
        <v>202</v>
      </c>
      <c r="F16">
        <v>0</v>
      </c>
      <c r="G16">
        <v>5</v>
      </c>
    </row>
    <row r="17" spans="1:7" x14ac:dyDescent="0.35">
      <c r="A17">
        <v>7</v>
      </c>
      <c r="B17">
        <f t="shared" si="0"/>
        <v>16</v>
      </c>
      <c r="C17" t="s">
        <v>37</v>
      </c>
      <c r="D17" t="s">
        <v>992</v>
      </c>
      <c r="E17" t="s">
        <v>270</v>
      </c>
      <c r="F17">
        <v>1</v>
      </c>
      <c r="G17">
        <v>10</v>
      </c>
    </row>
    <row r="18" spans="1:7" x14ac:dyDescent="0.35">
      <c r="A18">
        <v>7</v>
      </c>
      <c r="B18">
        <f t="shared" si="0"/>
        <v>17</v>
      </c>
      <c r="C18" t="s">
        <v>38</v>
      </c>
      <c r="D18" t="s">
        <v>55</v>
      </c>
      <c r="E18" t="s">
        <v>257</v>
      </c>
      <c r="F18">
        <v>2</v>
      </c>
      <c r="G18">
        <v>4</v>
      </c>
    </row>
    <row r="19" spans="1:7" x14ac:dyDescent="0.35">
      <c r="A19">
        <v>7</v>
      </c>
      <c r="B19">
        <f t="shared" si="0"/>
        <v>18</v>
      </c>
      <c r="C19" t="s">
        <v>39</v>
      </c>
      <c r="D19" t="s">
        <v>56</v>
      </c>
      <c r="E19" t="s">
        <v>190</v>
      </c>
      <c r="F19">
        <v>3</v>
      </c>
      <c r="G19">
        <v>1</v>
      </c>
    </row>
    <row r="20" spans="1:7" x14ac:dyDescent="0.35">
      <c r="A20">
        <v>7</v>
      </c>
      <c r="B20">
        <f t="shared" si="0"/>
        <v>19</v>
      </c>
      <c r="C20" t="s">
        <v>57</v>
      </c>
      <c r="D20" t="s">
        <v>58</v>
      </c>
      <c r="E20" t="s">
        <v>270</v>
      </c>
      <c r="F20">
        <v>1</v>
      </c>
      <c r="G20">
        <v>1</v>
      </c>
    </row>
    <row r="21" spans="1:7" x14ac:dyDescent="0.35">
      <c r="A21">
        <v>7</v>
      </c>
      <c r="B21">
        <f t="shared" si="0"/>
        <v>20</v>
      </c>
      <c r="C21" t="s">
        <v>40</v>
      </c>
      <c r="D21" t="s">
        <v>59</v>
      </c>
      <c r="E21" t="s">
        <v>270</v>
      </c>
      <c r="F21">
        <v>1</v>
      </c>
      <c r="G21">
        <v>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BCA33-BB6F-41EE-BA68-2A248940932E}">
  <sheetPr>
    <tabColor rgb="FFFFC000"/>
  </sheetPr>
  <dimension ref="A1:G13"/>
  <sheetViews>
    <sheetView workbookViewId="0">
      <selection sqref="A1:B1"/>
    </sheetView>
  </sheetViews>
  <sheetFormatPr defaultRowHeight="14.5" x14ac:dyDescent="0.35"/>
  <cols>
    <col min="1" max="1" width="6.54296875" customWidth="1"/>
    <col min="2" max="2" width="6" customWidth="1"/>
    <col min="4" max="4" width="43.54296875" customWidth="1"/>
  </cols>
  <sheetData>
    <row r="1" spans="1:7" x14ac:dyDescent="0.35">
      <c r="A1" s="13" t="s">
        <v>1111</v>
      </c>
      <c r="B1" s="13" t="s">
        <v>1434</v>
      </c>
      <c r="C1" s="2" t="s">
        <v>7</v>
      </c>
      <c r="D1" s="2" t="s">
        <v>222</v>
      </c>
      <c r="E1" s="2" t="s">
        <v>223</v>
      </c>
      <c r="F1" s="2" t="s">
        <v>224</v>
      </c>
      <c r="G1" s="2" t="s">
        <v>225</v>
      </c>
    </row>
    <row r="2" spans="1:7" x14ac:dyDescent="0.35">
      <c r="A2">
        <v>8</v>
      </c>
      <c r="B2">
        <v>1</v>
      </c>
      <c r="C2" t="s">
        <v>720</v>
      </c>
      <c r="D2" t="s">
        <v>719</v>
      </c>
      <c r="E2" t="s">
        <v>273</v>
      </c>
      <c r="F2">
        <v>0</v>
      </c>
      <c r="G2">
        <v>4</v>
      </c>
    </row>
    <row r="3" spans="1:7" x14ac:dyDescent="0.35">
      <c r="A3">
        <v>8</v>
      </c>
      <c r="B3">
        <v>2</v>
      </c>
      <c r="C3" t="s">
        <v>722</v>
      </c>
      <c r="D3" t="s">
        <v>721</v>
      </c>
      <c r="E3" t="s">
        <v>190</v>
      </c>
      <c r="F3">
        <v>1</v>
      </c>
      <c r="G3">
        <v>2</v>
      </c>
    </row>
    <row r="4" spans="1:7" x14ac:dyDescent="0.35">
      <c r="A4">
        <v>8</v>
      </c>
      <c r="B4">
        <v>3</v>
      </c>
      <c r="C4" t="s">
        <v>724</v>
      </c>
      <c r="D4" t="s">
        <v>723</v>
      </c>
      <c r="E4" t="s">
        <v>190</v>
      </c>
      <c r="F4">
        <v>2</v>
      </c>
      <c r="G4">
        <v>1</v>
      </c>
    </row>
    <row r="5" spans="1:7" x14ac:dyDescent="0.35">
      <c r="A5">
        <v>8</v>
      </c>
      <c r="B5">
        <v>4</v>
      </c>
      <c r="C5" t="s">
        <v>724</v>
      </c>
      <c r="D5" t="s">
        <v>725</v>
      </c>
      <c r="E5" t="s">
        <v>190</v>
      </c>
      <c r="F5">
        <v>2</v>
      </c>
      <c r="G5">
        <v>1</v>
      </c>
    </row>
    <row r="6" spans="1:7" x14ac:dyDescent="0.35">
      <c r="A6">
        <v>8</v>
      </c>
      <c r="B6">
        <v>5</v>
      </c>
      <c r="C6" t="s">
        <v>727</v>
      </c>
      <c r="D6" t="s">
        <v>726</v>
      </c>
      <c r="E6" t="s">
        <v>190</v>
      </c>
      <c r="F6">
        <v>2</v>
      </c>
      <c r="G6">
        <v>4</v>
      </c>
    </row>
    <row r="7" spans="1:7" x14ac:dyDescent="0.35">
      <c r="A7">
        <v>8</v>
      </c>
      <c r="B7">
        <v>6</v>
      </c>
      <c r="C7" t="s">
        <v>729</v>
      </c>
      <c r="D7" t="s">
        <v>728</v>
      </c>
      <c r="E7" t="s">
        <v>190</v>
      </c>
      <c r="F7">
        <v>2</v>
      </c>
      <c r="G7">
        <v>1</v>
      </c>
    </row>
    <row r="8" spans="1:7" x14ac:dyDescent="0.35">
      <c r="A8">
        <v>8</v>
      </c>
      <c r="B8">
        <v>7</v>
      </c>
      <c r="C8" t="s">
        <v>731</v>
      </c>
      <c r="D8" t="s">
        <v>730</v>
      </c>
      <c r="E8" t="s">
        <v>190</v>
      </c>
      <c r="F8">
        <v>2</v>
      </c>
      <c r="G8">
        <v>2</v>
      </c>
    </row>
    <row r="9" spans="1:7" x14ac:dyDescent="0.35">
      <c r="A9">
        <v>8</v>
      </c>
      <c r="B9">
        <v>8</v>
      </c>
      <c r="C9" t="s">
        <v>733</v>
      </c>
      <c r="D9" t="s">
        <v>732</v>
      </c>
      <c r="E9" t="s">
        <v>190</v>
      </c>
      <c r="F9">
        <v>1</v>
      </c>
      <c r="G9">
        <v>2</v>
      </c>
    </row>
    <row r="10" spans="1:7" x14ac:dyDescent="0.35">
      <c r="A10">
        <v>8</v>
      </c>
      <c r="B10">
        <v>9</v>
      </c>
      <c r="C10" t="s">
        <v>733</v>
      </c>
      <c r="D10" t="s">
        <v>734</v>
      </c>
      <c r="E10" t="s">
        <v>202</v>
      </c>
      <c r="F10">
        <v>0</v>
      </c>
      <c r="G10">
        <v>1</v>
      </c>
    </row>
    <row r="11" spans="1:7" x14ac:dyDescent="0.35">
      <c r="A11">
        <v>8</v>
      </c>
      <c r="B11">
        <f>B10+1</f>
        <v>10</v>
      </c>
      <c r="C11" t="s">
        <v>733</v>
      </c>
      <c r="D11" t="s">
        <v>993</v>
      </c>
      <c r="E11" t="s">
        <v>190</v>
      </c>
      <c r="F11">
        <v>2</v>
      </c>
      <c r="G11">
        <v>3</v>
      </c>
    </row>
    <row r="12" spans="1:7" x14ac:dyDescent="0.35">
      <c r="A12">
        <v>8</v>
      </c>
      <c r="B12">
        <f t="shared" ref="B12:B13" si="0">B11+1</f>
        <v>11</v>
      </c>
      <c r="C12" t="s">
        <v>733</v>
      </c>
      <c r="D12" t="s">
        <v>994</v>
      </c>
      <c r="E12" t="s">
        <v>190</v>
      </c>
      <c r="F12">
        <v>2</v>
      </c>
      <c r="G12">
        <v>2</v>
      </c>
    </row>
    <row r="13" spans="1:7" x14ac:dyDescent="0.35">
      <c r="A13">
        <v>8</v>
      </c>
      <c r="B13">
        <f t="shared" si="0"/>
        <v>12</v>
      </c>
      <c r="C13" t="s">
        <v>733</v>
      </c>
      <c r="D13" t="s">
        <v>735</v>
      </c>
      <c r="E13" t="s">
        <v>273</v>
      </c>
      <c r="F13">
        <v>0</v>
      </c>
      <c r="G13">
        <v>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E7716-9CA0-40B6-8DD4-2C4BC87A9321}">
  <sheetPr>
    <tabColor rgb="FFFFC000"/>
  </sheetPr>
  <dimension ref="A1:G16"/>
  <sheetViews>
    <sheetView workbookViewId="0">
      <selection sqref="A1:B1"/>
    </sheetView>
  </sheetViews>
  <sheetFormatPr defaultRowHeight="14.5" x14ac:dyDescent="0.35"/>
  <cols>
    <col min="4" max="4" width="29.08984375" customWidth="1"/>
  </cols>
  <sheetData>
    <row r="1" spans="1:7" x14ac:dyDescent="0.35">
      <c r="A1" s="13" t="s">
        <v>1111</v>
      </c>
      <c r="B1" s="13" t="s">
        <v>1434</v>
      </c>
      <c r="C1" s="2" t="s">
        <v>7</v>
      </c>
      <c r="D1" s="2" t="s">
        <v>222</v>
      </c>
      <c r="E1" s="2" t="s">
        <v>223</v>
      </c>
      <c r="F1" s="2" t="s">
        <v>224</v>
      </c>
      <c r="G1" s="2" t="s">
        <v>225</v>
      </c>
    </row>
    <row r="2" spans="1:7" x14ac:dyDescent="0.35">
      <c r="A2">
        <v>9</v>
      </c>
      <c r="B2">
        <v>1</v>
      </c>
      <c r="C2" t="s">
        <v>659</v>
      </c>
      <c r="D2" t="s">
        <v>658</v>
      </c>
      <c r="E2" t="s">
        <v>273</v>
      </c>
      <c r="F2">
        <v>0</v>
      </c>
      <c r="G2">
        <v>2</v>
      </c>
    </row>
    <row r="3" spans="1:7" x14ac:dyDescent="0.35">
      <c r="A3">
        <v>9</v>
      </c>
      <c r="B3">
        <v>2</v>
      </c>
      <c r="C3" t="s">
        <v>661</v>
      </c>
      <c r="D3" t="s">
        <v>660</v>
      </c>
      <c r="E3" t="s">
        <v>273</v>
      </c>
      <c r="F3">
        <v>0</v>
      </c>
      <c r="G3">
        <v>4</v>
      </c>
    </row>
    <row r="4" spans="1:7" x14ac:dyDescent="0.35">
      <c r="A4">
        <v>9</v>
      </c>
      <c r="B4">
        <v>3</v>
      </c>
      <c r="C4" t="s">
        <v>663</v>
      </c>
      <c r="D4" t="s">
        <v>662</v>
      </c>
      <c r="E4" t="s">
        <v>270</v>
      </c>
      <c r="F4">
        <v>1</v>
      </c>
      <c r="G4">
        <v>10</v>
      </c>
    </row>
    <row r="5" spans="1:7" x14ac:dyDescent="0.35">
      <c r="A5">
        <v>9</v>
      </c>
      <c r="B5">
        <v>4</v>
      </c>
      <c r="C5" t="s">
        <v>665</v>
      </c>
      <c r="D5" t="s">
        <v>664</v>
      </c>
      <c r="E5" t="s">
        <v>257</v>
      </c>
      <c r="F5">
        <v>2</v>
      </c>
      <c r="G5">
        <v>1</v>
      </c>
    </row>
    <row r="6" spans="1:7" x14ac:dyDescent="0.35">
      <c r="A6">
        <v>9</v>
      </c>
      <c r="B6">
        <v>5</v>
      </c>
      <c r="C6" t="s">
        <v>668</v>
      </c>
      <c r="D6" t="s">
        <v>667</v>
      </c>
      <c r="E6" t="s">
        <v>257</v>
      </c>
      <c r="F6">
        <v>1</v>
      </c>
      <c r="G6">
        <v>1</v>
      </c>
    </row>
    <row r="7" spans="1:7" x14ac:dyDescent="0.35">
      <c r="A7">
        <v>9</v>
      </c>
      <c r="B7">
        <v>6</v>
      </c>
      <c r="C7" t="s">
        <v>670</v>
      </c>
      <c r="D7" t="s">
        <v>669</v>
      </c>
      <c r="E7" t="s">
        <v>257</v>
      </c>
      <c r="F7">
        <v>1</v>
      </c>
      <c r="G7">
        <v>1</v>
      </c>
    </row>
    <row r="8" spans="1:7" x14ac:dyDescent="0.35">
      <c r="A8">
        <v>9</v>
      </c>
      <c r="B8">
        <v>7</v>
      </c>
      <c r="C8" t="s">
        <v>672</v>
      </c>
      <c r="D8" t="s">
        <v>671</v>
      </c>
      <c r="E8" t="s">
        <v>257</v>
      </c>
      <c r="F8">
        <v>2</v>
      </c>
      <c r="G8">
        <v>5</v>
      </c>
    </row>
    <row r="9" spans="1:7" x14ac:dyDescent="0.35">
      <c r="A9">
        <v>9</v>
      </c>
      <c r="B9">
        <v>8</v>
      </c>
      <c r="C9" t="s">
        <v>673</v>
      </c>
      <c r="D9" t="s">
        <v>660</v>
      </c>
      <c r="E9" t="s">
        <v>257</v>
      </c>
      <c r="F9">
        <v>2</v>
      </c>
      <c r="G9">
        <v>5</v>
      </c>
    </row>
    <row r="10" spans="1:7" x14ac:dyDescent="0.35">
      <c r="A10">
        <v>9</v>
      </c>
      <c r="B10">
        <v>9</v>
      </c>
      <c r="C10" t="s">
        <v>675</v>
      </c>
      <c r="D10" t="s">
        <v>674</v>
      </c>
      <c r="E10" t="s">
        <v>257</v>
      </c>
      <c r="F10">
        <v>2</v>
      </c>
      <c r="G10">
        <v>5</v>
      </c>
    </row>
    <row r="11" spans="1:7" x14ac:dyDescent="0.35">
      <c r="A11">
        <v>9</v>
      </c>
      <c r="B11">
        <v>10</v>
      </c>
      <c r="C11" t="s">
        <v>676</v>
      </c>
      <c r="D11" t="s">
        <v>1201</v>
      </c>
      <c r="E11" t="s">
        <v>257</v>
      </c>
      <c r="F11">
        <v>2</v>
      </c>
      <c r="G11">
        <v>5</v>
      </c>
    </row>
    <row r="12" spans="1:7" x14ac:dyDescent="0.35">
      <c r="A12">
        <v>9</v>
      </c>
      <c r="B12">
        <v>11</v>
      </c>
      <c r="C12" t="s">
        <v>678</v>
      </c>
      <c r="D12" t="s">
        <v>677</v>
      </c>
      <c r="E12" t="s">
        <v>257</v>
      </c>
      <c r="F12">
        <v>2</v>
      </c>
      <c r="G12">
        <v>5</v>
      </c>
    </row>
    <row r="13" spans="1:7" x14ac:dyDescent="0.35">
      <c r="A13">
        <v>9</v>
      </c>
      <c r="B13">
        <v>12</v>
      </c>
      <c r="C13" t="s">
        <v>680</v>
      </c>
      <c r="D13" t="s">
        <v>679</v>
      </c>
      <c r="E13" t="s">
        <v>273</v>
      </c>
      <c r="F13">
        <v>0</v>
      </c>
      <c r="G13">
        <v>3</v>
      </c>
    </row>
    <row r="14" spans="1:7" x14ac:dyDescent="0.35">
      <c r="A14">
        <v>9</v>
      </c>
      <c r="B14">
        <v>13</v>
      </c>
      <c r="C14" t="s">
        <v>682</v>
      </c>
      <c r="D14" t="s">
        <v>681</v>
      </c>
      <c r="E14" t="s">
        <v>257</v>
      </c>
      <c r="F14">
        <v>1</v>
      </c>
      <c r="G14">
        <v>1</v>
      </c>
    </row>
    <row r="15" spans="1:7" x14ac:dyDescent="0.35">
      <c r="A15">
        <v>9</v>
      </c>
      <c r="B15">
        <v>14</v>
      </c>
      <c r="C15" t="s">
        <v>685</v>
      </c>
      <c r="D15" t="s">
        <v>684</v>
      </c>
      <c r="E15" t="s">
        <v>273</v>
      </c>
      <c r="F15">
        <v>0</v>
      </c>
      <c r="G15">
        <v>1</v>
      </c>
    </row>
    <row r="16" spans="1:7" x14ac:dyDescent="0.35">
      <c r="A16">
        <v>9</v>
      </c>
      <c r="B16">
        <v>15</v>
      </c>
      <c r="C16" t="s">
        <v>687</v>
      </c>
      <c r="D16" t="s">
        <v>686</v>
      </c>
      <c r="E16" t="s">
        <v>273</v>
      </c>
      <c r="F16">
        <v>0</v>
      </c>
      <c r="G16">
        <v>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D0D02-7C19-4AB6-A845-A5F265700827}">
  <sheetPr>
    <tabColor rgb="FFFFC000"/>
  </sheetPr>
  <dimension ref="A1:G19"/>
  <sheetViews>
    <sheetView workbookViewId="0">
      <selection sqref="A1:B1"/>
    </sheetView>
  </sheetViews>
  <sheetFormatPr defaultRowHeight="14.5" x14ac:dyDescent="0.35"/>
  <cols>
    <col min="1" max="3" width="8.7265625" style="12"/>
    <col min="4" max="4" width="25.36328125" style="12" customWidth="1"/>
    <col min="5" max="16384" width="8.7265625" style="12"/>
  </cols>
  <sheetData>
    <row r="1" spans="1:7" x14ac:dyDescent="0.35">
      <c r="A1" s="13" t="s">
        <v>1111</v>
      </c>
      <c r="B1" s="13" t="s">
        <v>1434</v>
      </c>
      <c r="C1" s="14" t="s">
        <v>7</v>
      </c>
      <c r="D1" s="14" t="s">
        <v>222</v>
      </c>
      <c r="E1" s="14" t="s">
        <v>223</v>
      </c>
      <c r="F1" s="14" t="s">
        <v>224</v>
      </c>
      <c r="G1" s="14" t="s">
        <v>225</v>
      </c>
    </row>
    <row r="2" spans="1:7" x14ac:dyDescent="0.35">
      <c r="A2" s="12">
        <v>10</v>
      </c>
      <c r="B2" s="12">
        <v>1</v>
      </c>
      <c r="C2" s="12" t="s">
        <v>523</v>
      </c>
      <c r="D2" s="12" t="s">
        <v>522</v>
      </c>
      <c r="E2" s="12" t="s">
        <v>273</v>
      </c>
      <c r="F2" s="12">
        <v>0</v>
      </c>
      <c r="G2" s="12">
        <v>1</v>
      </c>
    </row>
    <row r="3" spans="1:7" x14ac:dyDescent="0.35">
      <c r="A3" s="12">
        <v>10</v>
      </c>
      <c r="B3" s="12">
        <v>2</v>
      </c>
      <c r="C3" s="12" t="s">
        <v>525</v>
      </c>
      <c r="D3" s="12" t="s">
        <v>524</v>
      </c>
      <c r="E3" s="12" t="s">
        <v>273</v>
      </c>
      <c r="F3" s="12">
        <v>0</v>
      </c>
      <c r="G3" s="12">
        <v>1</v>
      </c>
    </row>
    <row r="4" spans="1:7" x14ac:dyDescent="0.35">
      <c r="A4" s="12">
        <v>10</v>
      </c>
      <c r="B4" s="12">
        <v>3</v>
      </c>
      <c r="C4" s="12" t="s">
        <v>526</v>
      </c>
      <c r="D4" s="12" t="s">
        <v>1202</v>
      </c>
      <c r="E4" s="12" t="s">
        <v>190</v>
      </c>
      <c r="F4" s="12">
        <v>1</v>
      </c>
      <c r="G4" s="12">
        <v>1</v>
      </c>
    </row>
    <row r="5" spans="1:7" x14ac:dyDescent="0.35">
      <c r="A5" s="12">
        <v>10</v>
      </c>
      <c r="B5" s="12">
        <v>4</v>
      </c>
      <c r="C5" s="12" t="s">
        <v>527</v>
      </c>
      <c r="D5" s="12" t="s">
        <v>527</v>
      </c>
      <c r="E5" s="12" t="s">
        <v>273</v>
      </c>
      <c r="F5" s="12">
        <v>0</v>
      </c>
      <c r="G5" s="12">
        <v>4</v>
      </c>
    </row>
    <row r="6" spans="1:7" x14ac:dyDescent="0.35">
      <c r="A6" s="12">
        <v>10</v>
      </c>
      <c r="B6" s="12">
        <v>5</v>
      </c>
      <c r="C6" s="12" t="s">
        <v>528</v>
      </c>
      <c r="D6" s="12" t="s">
        <v>1203</v>
      </c>
      <c r="E6" s="12" t="s">
        <v>273</v>
      </c>
      <c r="F6" s="12">
        <v>0</v>
      </c>
      <c r="G6" s="12">
        <v>1</v>
      </c>
    </row>
    <row r="7" spans="1:7" x14ac:dyDescent="0.35">
      <c r="A7" s="12">
        <v>10</v>
      </c>
      <c r="B7" s="12">
        <v>6</v>
      </c>
      <c r="C7" s="12" t="s">
        <v>1204</v>
      </c>
      <c r="D7" s="12" t="s">
        <v>1205</v>
      </c>
      <c r="E7" s="12" t="s">
        <v>190</v>
      </c>
      <c r="F7" s="12">
        <v>1</v>
      </c>
      <c r="G7" s="12">
        <v>1</v>
      </c>
    </row>
    <row r="8" spans="1:7" x14ac:dyDescent="0.35">
      <c r="A8" s="12">
        <v>10</v>
      </c>
      <c r="B8" s="12">
        <v>7</v>
      </c>
      <c r="C8" s="12" t="s">
        <v>530</v>
      </c>
      <c r="D8" s="12" t="s">
        <v>529</v>
      </c>
      <c r="E8" s="12" t="s">
        <v>190</v>
      </c>
      <c r="F8" s="12">
        <v>3</v>
      </c>
      <c r="G8" s="12">
        <v>2</v>
      </c>
    </row>
    <row r="9" spans="1:7" x14ac:dyDescent="0.35">
      <c r="A9" s="12">
        <v>10</v>
      </c>
      <c r="B9" s="12">
        <v>8</v>
      </c>
      <c r="C9" s="12" t="s">
        <v>1206</v>
      </c>
      <c r="D9" s="12" t="s">
        <v>1206</v>
      </c>
      <c r="E9" s="12" t="s">
        <v>270</v>
      </c>
      <c r="F9" s="12">
        <v>1</v>
      </c>
      <c r="G9" s="12">
        <v>1</v>
      </c>
    </row>
    <row r="10" spans="1:7" x14ac:dyDescent="0.35">
      <c r="A10" s="12">
        <v>10</v>
      </c>
      <c r="B10" s="12">
        <v>9</v>
      </c>
      <c r="C10" s="12" t="s">
        <v>1207</v>
      </c>
      <c r="D10" s="12" t="s">
        <v>532</v>
      </c>
      <c r="E10" s="12" t="s">
        <v>257</v>
      </c>
      <c r="F10" s="12">
        <v>3</v>
      </c>
      <c r="G10" s="12">
        <v>3</v>
      </c>
    </row>
    <row r="11" spans="1:7" x14ac:dyDescent="0.35">
      <c r="A11" s="12">
        <v>10</v>
      </c>
      <c r="B11" s="12">
        <v>10</v>
      </c>
      <c r="C11" s="12" t="s">
        <v>534</v>
      </c>
      <c r="D11" s="12" t="s">
        <v>533</v>
      </c>
      <c r="E11" s="12" t="s">
        <v>270</v>
      </c>
      <c r="F11" s="12">
        <v>2</v>
      </c>
      <c r="G11" s="12">
        <v>4</v>
      </c>
    </row>
    <row r="12" spans="1:7" x14ac:dyDescent="0.35">
      <c r="A12" s="12">
        <v>10</v>
      </c>
      <c r="B12" s="12">
        <f>B11+1</f>
        <v>11</v>
      </c>
      <c r="C12" s="12" t="s">
        <v>536</v>
      </c>
      <c r="D12" s="12" t="s">
        <v>535</v>
      </c>
      <c r="E12" s="12" t="s">
        <v>270</v>
      </c>
      <c r="F12" s="12">
        <v>3</v>
      </c>
      <c r="G12" s="12">
        <v>1</v>
      </c>
    </row>
    <row r="13" spans="1:7" x14ac:dyDescent="0.35">
      <c r="A13" s="12">
        <v>10</v>
      </c>
      <c r="B13" s="12">
        <f t="shared" ref="B13:B18" si="0">B12+1</f>
        <v>12</v>
      </c>
      <c r="C13" s="12" t="s">
        <v>538</v>
      </c>
      <c r="D13" s="12" t="s">
        <v>537</v>
      </c>
      <c r="E13" s="12" t="s">
        <v>257</v>
      </c>
      <c r="F13" s="12">
        <v>1</v>
      </c>
      <c r="G13" s="12">
        <v>1</v>
      </c>
    </row>
    <row r="14" spans="1:7" x14ac:dyDescent="0.35">
      <c r="A14" s="12">
        <v>10</v>
      </c>
      <c r="B14" s="12">
        <f t="shared" si="0"/>
        <v>13</v>
      </c>
      <c r="C14" s="12" t="s">
        <v>540</v>
      </c>
      <c r="D14" s="12" t="s">
        <v>539</v>
      </c>
      <c r="E14" s="12" t="s">
        <v>257</v>
      </c>
      <c r="F14" s="12">
        <v>1</v>
      </c>
      <c r="G14" s="12">
        <v>1</v>
      </c>
    </row>
    <row r="15" spans="1:7" x14ac:dyDescent="0.35">
      <c r="A15" s="12">
        <v>10</v>
      </c>
      <c r="B15" s="12">
        <f t="shared" si="0"/>
        <v>14</v>
      </c>
      <c r="C15" s="12" t="s">
        <v>542</v>
      </c>
      <c r="D15" s="12" t="s">
        <v>541</v>
      </c>
      <c r="E15" s="12" t="s">
        <v>257</v>
      </c>
      <c r="F15" s="12">
        <v>2</v>
      </c>
      <c r="G15" s="12">
        <v>2</v>
      </c>
    </row>
    <row r="16" spans="1:7" x14ac:dyDescent="0.35">
      <c r="A16" s="12">
        <v>10</v>
      </c>
      <c r="B16" s="12">
        <f t="shared" si="0"/>
        <v>15</v>
      </c>
      <c r="C16" s="12" t="s">
        <v>544</v>
      </c>
      <c r="D16" s="12" t="s">
        <v>543</v>
      </c>
      <c r="E16" s="12" t="s">
        <v>257</v>
      </c>
      <c r="F16" s="12">
        <v>2</v>
      </c>
      <c r="G16" s="12">
        <v>3</v>
      </c>
    </row>
    <row r="17" spans="1:7" x14ac:dyDescent="0.35">
      <c r="A17" s="12">
        <v>10</v>
      </c>
      <c r="B17" s="12">
        <f t="shared" si="0"/>
        <v>16</v>
      </c>
      <c r="C17" s="12" t="s">
        <v>546</v>
      </c>
      <c r="D17" s="12" t="s">
        <v>1208</v>
      </c>
      <c r="E17" s="12" t="s">
        <v>190</v>
      </c>
      <c r="F17" s="12">
        <v>2</v>
      </c>
      <c r="G17" s="12">
        <v>2</v>
      </c>
    </row>
    <row r="18" spans="1:7" x14ac:dyDescent="0.35">
      <c r="A18" s="12">
        <v>10</v>
      </c>
      <c r="B18" s="12">
        <f t="shared" si="0"/>
        <v>17</v>
      </c>
      <c r="C18" s="12" t="s">
        <v>548</v>
      </c>
      <c r="D18" s="12" t="s">
        <v>547</v>
      </c>
      <c r="E18" s="12" t="s">
        <v>270</v>
      </c>
      <c r="F18" s="12">
        <v>1</v>
      </c>
      <c r="G18" s="12">
        <v>8</v>
      </c>
    </row>
    <row r="19" spans="1:7" x14ac:dyDescent="0.35">
      <c r="A19" s="12">
        <v>10</v>
      </c>
      <c r="B19" s="12">
        <f>B18+1</f>
        <v>18</v>
      </c>
      <c r="C19" s="12" t="s">
        <v>550</v>
      </c>
      <c r="D19" s="12" t="s">
        <v>549</v>
      </c>
      <c r="E19" s="12" t="s">
        <v>278</v>
      </c>
      <c r="F19" s="12">
        <v>0</v>
      </c>
      <c r="G19" s="12">
        <v>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60D89-B64A-4810-8119-6E33543D96AC}">
  <sheetPr>
    <tabColor rgb="FFFFC000"/>
  </sheetPr>
  <dimension ref="A1:G19"/>
  <sheetViews>
    <sheetView workbookViewId="0">
      <selection sqref="A1:B1"/>
    </sheetView>
  </sheetViews>
  <sheetFormatPr defaultRowHeight="14.5" x14ac:dyDescent="0.35"/>
  <cols>
    <col min="1" max="2" width="4.453125" customWidth="1"/>
    <col min="3" max="3" width="54" customWidth="1"/>
    <col min="4" max="4" width="27.453125" customWidth="1"/>
  </cols>
  <sheetData>
    <row r="1" spans="1:7" s="2" customFormat="1" x14ac:dyDescent="0.35">
      <c r="A1" s="13" t="s">
        <v>1111</v>
      </c>
      <c r="B1" s="13" t="s">
        <v>1434</v>
      </c>
      <c r="C1" s="2" t="s">
        <v>7</v>
      </c>
      <c r="D1" s="2" t="s">
        <v>6</v>
      </c>
      <c r="E1" s="2" t="s">
        <v>223</v>
      </c>
      <c r="F1" s="2" t="s">
        <v>224</v>
      </c>
      <c r="G1" s="2" t="s">
        <v>225</v>
      </c>
    </row>
    <row r="2" spans="1:7" x14ac:dyDescent="0.35">
      <c r="A2">
        <v>11</v>
      </c>
      <c r="B2">
        <v>1</v>
      </c>
      <c r="C2" t="s">
        <v>111</v>
      </c>
      <c r="D2" t="s">
        <v>112</v>
      </c>
      <c r="E2" t="s">
        <v>190</v>
      </c>
      <c r="F2">
        <v>1</v>
      </c>
      <c r="G2">
        <v>1</v>
      </c>
    </row>
    <row r="3" spans="1:7" x14ac:dyDescent="0.35">
      <c r="A3">
        <v>11</v>
      </c>
      <c r="B3">
        <v>2</v>
      </c>
      <c r="C3" t="s">
        <v>8</v>
      </c>
      <c r="D3" t="s">
        <v>113</v>
      </c>
      <c r="E3" t="s">
        <v>190</v>
      </c>
      <c r="F3">
        <v>1</v>
      </c>
      <c r="G3">
        <v>1</v>
      </c>
    </row>
    <row r="4" spans="1:7" x14ac:dyDescent="0.35">
      <c r="A4">
        <v>11</v>
      </c>
      <c r="B4">
        <v>3</v>
      </c>
      <c r="C4" t="s">
        <v>9</v>
      </c>
      <c r="D4" t="s">
        <v>114</v>
      </c>
      <c r="E4" t="s">
        <v>270</v>
      </c>
      <c r="F4">
        <v>1</v>
      </c>
      <c r="G4">
        <v>1</v>
      </c>
    </row>
    <row r="5" spans="1:7" x14ac:dyDescent="0.35">
      <c r="A5">
        <v>11</v>
      </c>
      <c r="B5">
        <v>4</v>
      </c>
      <c r="C5" t="s">
        <v>9</v>
      </c>
      <c r="D5" t="s">
        <v>115</v>
      </c>
      <c r="E5" t="s">
        <v>190</v>
      </c>
      <c r="F5">
        <v>1</v>
      </c>
      <c r="G5">
        <v>1</v>
      </c>
    </row>
    <row r="6" spans="1:7" x14ac:dyDescent="0.35">
      <c r="A6">
        <v>11</v>
      </c>
      <c r="B6">
        <v>5</v>
      </c>
      <c r="C6" t="s">
        <v>116</v>
      </c>
      <c r="D6" t="s">
        <v>117</v>
      </c>
      <c r="E6" t="s">
        <v>278</v>
      </c>
      <c r="F6">
        <v>0</v>
      </c>
      <c r="G6">
        <v>4</v>
      </c>
    </row>
    <row r="7" spans="1:7" x14ac:dyDescent="0.35">
      <c r="A7">
        <v>11</v>
      </c>
      <c r="B7">
        <v>6</v>
      </c>
      <c r="C7" t="s">
        <v>10</v>
      </c>
      <c r="D7" t="s">
        <v>118</v>
      </c>
      <c r="E7" t="s">
        <v>190</v>
      </c>
      <c r="F7">
        <v>3</v>
      </c>
      <c r="G7">
        <v>1</v>
      </c>
    </row>
    <row r="8" spans="1:7" x14ac:dyDescent="0.35">
      <c r="A8">
        <v>11</v>
      </c>
      <c r="B8">
        <v>7</v>
      </c>
      <c r="C8" t="s">
        <v>11</v>
      </c>
      <c r="D8" t="s">
        <v>119</v>
      </c>
      <c r="E8" t="s">
        <v>190</v>
      </c>
      <c r="F8">
        <v>1</v>
      </c>
      <c r="G8">
        <v>1</v>
      </c>
    </row>
    <row r="9" spans="1:7" x14ac:dyDescent="0.35">
      <c r="A9">
        <v>11</v>
      </c>
      <c r="B9">
        <v>8</v>
      </c>
      <c r="C9" t="s">
        <v>12</v>
      </c>
      <c r="D9" t="s">
        <v>120</v>
      </c>
      <c r="E9" t="s">
        <v>190</v>
      </c>
      <c r="F9">
        <v>2</v>
      </c>
      <c r="G9">
        <v>2</v>
      </c>
    </row>
    <row r="10" spans="1:7" x14ac:dyDescent="0.35">
      <c r="A10">
        <v>11</v>
      </c>
      <c r="B10">
        <v>9</v>
      </c>
      <c r="C10" t="s">
        <v>13</v>
      </c>
      <c r="D10" t="s">
        <v>121</v>
      </c>
      <c r="E10" t="s">
        <v>190</v>
      </c>
      <c r="F10">
        <v>1</v>
      </c>
      <c r="G10">
        <v>3</v>
      </c>
    </row>
    <row r="11" spans="1:7" x14ac:dyDescent="0.35">
      <c r="A11">
        <v>11</v>
      </c>
      <c r="B11">
        <v>10</v>
      </c>
      <c r="C11" t="s">
        <v>15</v>
      </c>
      <c r="D11" t="s">
        <v>122</v>
      </c>
      <c r="E11" t="s">
        <v>273</v>
      </c>
      <c r="F11">
        <v>0</v>
      </c>
      <c r="G11">
        <v>1</v>
      </c>
    </row>
    <row r="12" spans="1:7" x14ac:dyDescent="0.35">
      <c r="A12">
        <v>11</v>
      </c>
      <c r="B12">
        <v>11</v>
      </c>
      <c r="C12" t="s">
        <v>14</v>
      </c>
      <c r="D12" t="s">
        <v>123</v>
      </c>
      <c r="E12" t="s">
        <v>190</v>
      </c>
      <c r="F12">
        <v>3</v>
      </c>
      <c r="G12">
        <v>1</v>
      </c>
    </row>
    <row r="13" spans="1:7" x14ac:dyDescent="0.35">
      <c r="A13">
        <v>11</v>
      </c>
      <c r="B13">
        <v>12</v>
      </c>
      <c r="C13" t="s">
        <v>124</v>
      </c>
      <c r="D13" t="s">
        <v>125</v>
      </c>
      <c r="E13" t="s">
        <v>190</v>
      </c>
      <c r="F13">
        <v>1</v>
      </c>
      <c r="G13">
        <v>1</v>
      </c>
    </row>
    <row r="14" spans="1:7" x14ac:dyDescent="0.35">
      <c r="A14">
        <v>11</v>
      </c>
      <c r="B14">
        <v>13</v>
      </c>
      <c r="C14" t="s">
        <v>16</v>
      </c>
      <c r="D14" t="s">
        <v>126</v>
      </c>
      <c r="E14" t="s">
        <v>273</v>
      </c>
      <c r="F14">
        <v>0</v>
      </c>
      <c r="G14">
        <v>2</v>
      </c>
    </row>
    <row r="15" spans="1:7" x14ac:dyDescent="0.35">
      <c r="A15">
        <v>11</v>
      </c>
      <c r="B15">
        <v>14</v>
      </c>
      <c r="C15" t="s">
        <v>17</v>
      </c>
      <c r="D15" t="s">
        <v>127</v>
      </c>
      <c r="E15" t="s">
        <v>190</v>
      </c>
      <c r="F15">
        <v>3</v>
      </c>
      <c r="G15">
        <v>1</v>
      </c>
    </row>
    <row r="16" spans="1:7" x14ac:dyDescent="0.35">
      <c r="A16">
        <v>11</v>
      </c>
      <c r="B16">
        <v>15</v>
      </c>
      <c r="C16" t="s">
        <v>18</v>
      </c>
      <c r="D16" t="s">
        <v>128</v>
      </c>
      <c r="E16" t="s">
        <v>190</v>
      </c>
      <c r="F16">
        <v>3</v>
      </c>
      <c r="G16">
        <v>1</v>
      </c>
    </row>
    <row r="17" spans="1:7" x14ac:dyDescent="0.35">
      <c r="A17">
        <v>11</v>
      </c>
      <c r="B17">
        <v>16</v>
      </c>
      <c r="C17" t="s">
        <v>19</v>
      </c>
      <c r="D17" t="s">
        <v>129</v>
      </c>
      <c r="E17" t="s">
        <v>190</v>
      </c>
      <c r="F17">
        <v>3</v>
      </c>
      <c r="G17">
        <v>1</v>
      </c>
    </row>
    <row r="18" spans="1:7" x14ac:dyDescent="0.35">
      <c r="D18" t="s">
        <v>28</v>
      </c>
    </row>
    <row r="19" spans="1:7" x14ac:dyDescent="0.35">
      <c r="D19" t="s">
        <v>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55670-6E02-41FD-B033-B9BF71390D4F}">
  <sheetPr>
    <tabColor rgb="FFFFC000"/>
  </sheetPr>
  <dimension ref="A1:G17"/>
  <sheetViews>
    <sheetView workbookViewId="0">
      <selection sqref="A1:B1"/>
    </sheetView>
  </sheetViews>
  <sheetFormatPr defaultRowHeight="14.5" x14ac:dyDescent="0.35"/>
  <cols>
    <col min="3" max="3" width="17.26953125" customWidth="1"/>
    <col min="4" max="4" width="17.54296875" customWidth="1"/>
  </cols>
  <sheetData>
    <row r="1" spans="1:7" x14ac:dyDescent="0.35">
      <c r="A1" s="13" t="s">
        <v>1111</v>
      </c>
      <c r="B1" s="13" t="s">
        <v>1434</v>
      </c>
      <c r="C1" s="2" t="s">
        <v>7</v>
      </c>
      <c r="D1" s="2" t="s">
        <v>222</v>
      </c>
      <c r="E1" s="2" t="s">
        <v>223</v>
      </c>
      <c r="F1" s="2" t="s">
        <v>224</v>
      </c>
      <c r="G1" s="2" t="s">
        <v>225</v>
      </c>
    </row>
    <row r="2" spans="1:7" x14ac:dyDescent="0.35">
      <c r="A2">
        <v>12</v>
      </c>
      <c r="B2">
        <v>1</v>
      </c>
      <c r="C2" t="s">
        <v>904</v>
      </c>
      <c r="D2" t="s">
        <v>903</v>
      </c>
      <c r="E2" t="s">
        <v>190</v>
      </c>
      <c r="F2">
        <v>1</v>
      </c>
      <c r="G2">
        <v>1</v>
      </c>
    </row>
    <row r="3" spans="1:7" x14ac:dyDescent="0.35">
      <c r="A3">
        <v>12</v>
      </c>
      <c r="B3">
        <v>2</v>
      </c>
      <c r="C3" t="s">
        <v>906</v>
      </c>
      <c r="D3" t="s">
        <v>905</v>
      </c>
      <c r="E3" t="s">
        <v>190</v>
      </c>
      <c r="F3">
        <v>1</v>
      </c>
      <c r="G3">
        <v>3</v>
      </c>
    </row>
    <row r="4" spans="1:7" x14ac:dyDescent="0.35">
      <c r="A4">
        <v>12</v>
      </c>
      <c r="B4">
        <v>3</v>
      </c>
      <c r="C4" t="s">
        <v>906</v>
      </c>
      <c r="D4" t="s">
        <v>907</v>
      </c>
      <c r="E4" t="s">
        <v>257</v>
      </c>
      <c r="F4">
        <v>1</v>
      </c>
      <c r="G4">
        <v>2</v>
      </c>
    </row>
    <row r="5" spans="1:7" x14ac:dyDescent="0.35">
      <c r="A5">
        <v>12</v>
      </c>
      <c r="B5">
        <v>4</v>
      </c>
      <c r="C5" t="s">
        <v>906</v>
      </c>
      <c r="D5" t="s">
        <v>908</v>
      </c>
      <c r="E5" t="s">
        <v>190</v>
      </c>
      <c r="F5">
        <v>2</v>
      </c>
      <c r="G5">
        <v>2</v>
      </c>
    </row>
    <row r="6" spans="1:7" x14ac:dyDescent="0.35">
      <c r="A6">
        <v>12</v>
      </c>
      <c r="B6">
        <v>5</v>
      </c>
      <c r="C6" t="s">
        <v>910</v>
      </c>
      <c r="D6" t="s">
        <v>909</v>
      </c>
      <c r="E6" t="s">
        <v>270</v>
      </c>
      <c r="F6">
        <v>1</v>
      </c>
      <c r="G6">
        <v>2</v>
      </c>
    </row>
    <row r="7" spans="1:7" x14ac:dyDescent="0.35">
      <c r="A7">
        <v>12</v>
      </c>
      <c r="B7">
        <v>6</v>
      </c>
      <c r="C7" t="s">
        <v>912</v>
      </c>
      <c r="D7" t="s">
        <v>911</v>
      </c>
      <c r="E7" t="s">
        <v>257</v>
      </c>
      <c r="F7">
        <v>5</v>
      </c>
      <c r="G7">
        <v>2</v>
      </c>
    </row>
    <row r="8" spans="1:7" x14ac:dyDescent="0.35">
      <c r="A8">
        <v>12</v>
      </c>
      <c r="B8">
        <v>7</v>
      </c>
      <c r="C8" t="s">
        <v>914</v>
      </c>
      <c r="D8" t="s">
        <v>913</v>
      </c>
      <c r="E8" t="s">
        <v>257</v>
      </c>
      <c r="F8">
        <v>1</v>
      </c>
      <c r="G8">
        <v>2</v>
      </c>
    </row>
    <row r="9" spans="1:7" x14ac:dyDescent="0.35">
      <c r="A9">
        <v>12</v>
      </c>
      <c r="B9">
        <v>8</v>
      </c>
      <c r="C9" t="s">
        <v>914</v>
      </c>
      <c r="D9" t="s">
        <v>915</v>
      </c>
      <c r="E9" t="s">
        <v>190</v>
      </c>
      <c r="F9">
        <v>3</v>
      </c>
      <c r="G9">
        <v>2</v>
      </c>
    </row>
    <row r="10" spans="1:7" x14ac:dyDescent="0.35">
      <c r="A10">
        <v>12</v>
      </c>
      <c r="B10">
        <v>9</v>
      </c>
      <c r="C10" t="s">
        <v>917</v>
      </c>
      <c r="D10" t="s">
        <v>916</v>
      </c>
      <c r="E10" t="s">
        <v>190</v>
      </c>
      <c r="F10">
        <v>2</v>
      </c>
      <c r="G10">
        <v>2</v>
      </c>
    </row>
    <row r="11" spans="1:7" x14ac:dyDescent="0.35">
      <c r="A11">
        <v>12</v>
      </c>
      <c r="B11">
        <v>10</v>
      </c>
      <c r="C11" t="s">
        <v>919</v>
      </c>
      <c r="D11" t="s">
        <v>918</v>
      </c>
      <c r="E11" t="s">
        <v>190</v>
      </c>
      <c r="F11">
        <v>2</v>
      </c>
      <c r="G11">
        <v>2</v>
      </c>
    </row>
    <row r="12" spans="1:7" x14ac:dyDescent="0.35">
      <c r="A12">
        <v>12</v>
      </c>
      <c r="B12">
        <v>11</v>
      </c>
      <c r="C12" t="s">
        <v>921</v>
      </c>
      <c r="D12" t="s">
        <v>920</v>
      </c>
      <c r="E12" t="s">
        <v>278</v>
      </c>
      <c r="F12">
        <v>0</v>
      </c>
      <c r="G12">
        <v>5</v>
      </c>
    </row>
    <row r="13" spans="1:7" x14ac:dyDescent="0.35">
      <c r="A13">
        <v>12</v>
      </c>
      <c r="B13">
        <v>12</v>
      </c>
      <c r="C13" t="s">
        <v>923</v>
      </c>
      <c r="D13" t="s">
        <v>922</v>
      </c>
      <c r="E13" t="s">
        <v>270</v>
      </c>
      <c r="F13">
        <v>1</v>
      </c>
      <c r="G13">
        <v>1</v>
      </c>
    </row>
    <row r="14" spans="1:7" x14ac:dyDescent="0.35">
      <c r="A14">
        <v>12</v>
      </c>
      <c r="B14">
        <v>13</v>
      </c>
      <c r="C14" t="s">
        <v>925</v>
      </c>
      <c r="D14" t="s">
        <v>924</v>
      </c>
      <c r="E14" t="s">
        <v>270</v>
      </c>
      <c r="F14">
        <v>1</v>
      </c>
      <c r="G14">
        <v>1</v>
      </c>
    </row>
    <row r="15" spans="1:7" x14ac:dyDescent="0.35">
      <c r="A15">
        <v>12</v>
      </c>
      <c r="B15">
        <v>14</v>
      </c>
      <c r="C15" t="s">
        <v>925</v>
      </c>
      <c r="D15" t="s">
        <v>926</v>
      </c>
      <c r="E15" t="s">
        <v>190</v>
      </c>
      <c r="F15">
        <v>2</v>
      </c>
      <c r="G15">
        <v>2</v>
      </c>
    </row>
    <row r="16" spans="1:7" x14ac:dyDescent="0.35">
      <c r="A16">
        <v>12</v>
      </c>
      <c r="B16">
        <v>15</v>
      </c>
      <c r="C16" t="s">
        <v>928</v>
      </c>
      <c r="D16" t="s">
        <v>927</v>
      </c>
      <c r="E16" t="s">
        <v>190</v>
      </c>
      <c r="F16">
        <v>1</v>
      </c>
      <c r="G16">
        <v>1</v>
      </c>
    </row>
    <row r="17" spans="1:7" x14ac:dyDescent="0.35">
      <c r="A17">
        <v>12</v>
      </c>
      <c r="B17">
        <f>B16+1</f>
        <v>16</v>
      </c>
      <c r="C17" t="s">
        <v>930</v>
      </c>
      <c r="D17" t="s">
        <v>929</v>
      </c>
      <c r="E17" t="s">
        <v>190</v>
      </c>
      <c r="F17">
        <v>1</v>
      </c>
      <c r="G17">
        <v>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08DA9-440B-42E9-94B6-F6710A91ED4C}">
  <sheetPr>
    <tabColor rgb="FFFFC000"/>
  </sheetPr>
  <dimension ref="A1:G23"/>
  <sheetViews>
    <sheetView workbookViewId="0">
      <selection sqref="A1:B1"/>
    </sheetView>
  </sheetViews>
  <sheetFormatPr defaultRowHeight="14.5" x14ac:dyDescent="0.35"/>
  <sheetData>
    <row r="1" spans="1:7" x14ac:dyDescent="0.35">
      <c r="A1" s="13" t="s">
        <v>1111</v>
      </c>
      <c r="B1" s="13" t="s">
        <v>1434</v>
      </c>
      <c r="C1" s="2" t="s">
        <v>7</v>
      </c>
      <c r="D1" s="2" t="s">
        <v>222</v>
      </c>
      <c r="E1" s="2" t="s">
        <v>223</v>
      </c>
      <c r="F1" s="2" t="s">
        <v>224</v>
      </c>
      <c r="G1" s="2" t="s">
        <v>225</v>
      </c>
    </row>
    <row r="2" spans="1:7" x14ac:dyDescent="0.35">
      <c r="A2">
        <v>13</v>
      </c>
      <c r="B2">
        <v>1</v>
      </c>
      <c r="C2" t="s">
        <v>352</v>
      </c>
      <c r="D2" t="s">
        <v>351</v>
      </c>
      <c r="E2" t="s">
        <v>278</v>
      </c>
      <c r="F2">
        <v>0</v>
      </c>
      <c r="G2">
        <v>3</v>
      </c>
    </row>
    <row r="3" spans="1:7" x14ac:dyDescent="0.35">
      <c r="A3">
        <v>13</v>
      </c>
      <c r="B3">
        <v>2</v>
      </c>
      <c r="C3" t="s">
        <v>356</v>
      </c>
      <c r="D3" t="s">
        <v>355</v>
      </c>
      <c r="E3" t="s">
        <v>278</v>
      </c>
      <c r="F3">
        <v>0</v>
      </c>
      <c r="G3">
        <v>3</v>
      </c>
    </row>
    <row r="4" spans="1:7" x14ac:dyDescent="0.35">
      <c r="A4">
        <v>13</v>
      </c>
      <c r="B4">
        <v>3</v>
      </c>
      <c r="C4" t="s">
        <v>358</v>
      </c>
      <c r="D4" t="s">
        <v>357</v>
      </c>
      <c r="E4" t="s">
        <v>278</v>
      </c>
      <c r="F4">
        <v>0</v>
      </c>
      <c r="G4">
        <v>5</v>
      </c>
    </row>
    <row r="5" spans="1:7" x14ac:dyDescent="0.35">
      <c r="A5">
        <v>13</v>
      </c>
      <c r="B5">
        <v>4</v>
      </c>
      <c r="C5" t="s">
        <v>361</v>
      </c>
      <c r="D5" t="s">
        <v>360</v>
      </c>
      <c r="E5" t="s">
        <v>273</v>
      </c>
      <c r="F5">
        <v>0</v>
      </c>
      <c r="G5">
        <v>1</v>
      </c>
    </row>
    <row r="6" spans="1:7" x14ac:dyDescent="0.35">
      <c r="A6">
        <v>13</v>
      </c>
      <c r="B6">
        <v>5</v>
      </c>
      <c r="C6" t="s">
        <v>363</v>
      </c>
      <c r="D6" t="s">
        <v>362</v>
      </c>
      <c r="E6" t="s">
        <v>273</v>
      </c>
      <c r="F6">
        <v>0</v>
      </c>
      <c r="G6">
        <v>1</v>
      </c>
    </row>
    <row r="7" spans="1:7" x14ac:dyDescent="0.35">
      <c r="A7">
        <v>13</v>
      </c>
      <c r="B7">
        <v>6</v>
      </c>
      <c r="C7" t="s">
        <v>365</v>
      </c>
      <c r="D7" t="s">
        <v>364</v>
      </c>
      <c r="E7" t="s">
        <v>273</v>
      </c>
      <c r="F7">
        <v>0</v>
      </c>
      <c r="G7">
        <v>1</v>
      </c>
    </row>
    <row r="8" spans="1:7" x14ac:dyDescent="0.35">
      <c r="A8">
        <v>13</v>
      </c>
      <c r="B8">
        <v>7</v>
      </c>
      <c r="C8" t="s">
        <v>367</v>
      </c>
      <c r="D8" t="s">
        <v>366</v>
      </c>
      <c r="E8" t="s">
        <v>273</v>
      </c>
      <c r="F8">
        <v>0</v>
      </c>
      <c r="G8">
        <v>5</v>
      </c>
    </row>
    <row r="9" spans="1:7" x14ac:dyDescent="0.35">
      <c r="A9">
        <v>13</v>
      </c>
      <c r="B9">
        <v>8</v>
      </c>
      <c r="C9" t="s">
        <v>369</v>
      </c>
      <c r="D9" t="s">
        <v>368</v>
      </c>
      <c r="E9" t="s">
        <v>278</v>
      </c>
      <c r="F9">
        <v>0</v>
      </c>
      <c r="G9">
        <v>5</v>
      </c>
    </row>
    <row r="10" spans="1:7" x14ac:dyDescent="0.35">
      <c r="A10">
        <v>13</v>
      </c>
      <c r="B10">
        <v>9</v>
      </c>
      <c r="C10" t="s">
        <v>372</v>
      </c>
      <c r="D10" t="s">
        <v>371</v>
      </c>
      <c r="E10" t="s">
        <v>190</v>
      </c>
      <c r="F10">
        <v>2</v>
      </c>
      <c r="G10">
        <v>1</v>
      </c>
    </row>
    <row r="11" spans="1:7" x14ac:dyDescent="0.35">
      <c r="A11">
        <v>13</v>
      </c>
      <c r="B11">
        <v>10</v>
      </c>
      <c r="C11" t="s">
        <v>374</v>
      </c>
      <c r="D11" t="s">
        <v>373</v>
      </c>
      <c r="E11" t="s">
        <v>190</v>
      </c>
      <c r="F11">
        <v>3</v>
      </c>
      <c r="G11">
        <v>2</v>
      </c>
    </row>
    <row r="12" spans="1:7" x14ac:dyDescent="0.35">
      <c r="A12">
        <v>13</v>
      </c>
      <c r="B12">
        <v>11</v>
      </c>
      <c r="C12" t="s">
        <v>376</v>
      </c>
      <c r="D12" t="s">
        <v>375</v>
      </c>
      <c r="E12" t="s">
        <v>270</v>
      </c>
      <c r="F12">
        <v>1</v>
      </c>
      <c r="G12">
        <v>4</v>
      </c>
    </row>
    <row r="13" spans="1:7" x14ac:dyDescent="0.35">
      <c r="A13">
        <v>13</v>
      </c>
      <c r="B13">
        <v>12</v>
      </c>
      <c r="C13" t="s">
        <v>378</v>
      </c>
      <c r="D13" t="s">
        <v>377</v>
      </c>
      <c r="E13" t="s">
        <v>257</v>
      </c>
      <c r="F13">
        <v>3</v>
      </c>
      <c r="G13">
        <v>3</v>
      </c>
    </row>
    <row r="14" spans="1:7" x14ac:dyDescent="0.35">
      <c r="A14">
        <v>13</v>
      </c>
      <c r="B14">
        <v>13</v>
      </c>
      <c r="C14" t="s">
        <v>380</v>
      </c>
      <c r="D14" t="s">
        <v>379</v>
      </c>
      <c r="E14" t="s">
        <v>257</v>
      </c>
      <c r="F14">
        <v>3</v>
      </c>
      <c r="G14">
        <v>3</v>
      </c>
    </row>
    <row r="15" spans="1:7" x14ac:dyDescent="0.35">
      <c r="A15">
        <v>13</v>
      </c>
      <c r="B15">
        <v>14</v>
      </c>
      <c r="C15" t="s">
        <v>382</v>
      </c>
      <c r="D15" t="s">
        <v>381</v>
      </c>
      <c r="E15" t="s">
        <v>257</v>
      </c>
      <c r="F15">
        <v>1</v>
      </c>
      <c r="G15">
        <v>1</v>
      </c>
    </row>
    <row r="16" spans="1:7" x14ac:dyDescent="0.35">
      <c r="A16">
        <v>13</v>
      </c>
      <c r="B16">
        <v>15</v>
      </c>
      <c r="C16" t="s">
        <v>384</v>
      </c>
      <c r="D16" t="s">
        <v>383</v>
      </c>
      <c r="E16" t="s">
        <v>257</v>
      </c>
      <c r="F16">
        <v>1</v>
      </c>
      <c r="G16">
        <v>1</v>
      </c>
    </row>
    <row r="17" spans="1:7" x14ac:dyDescent="0.35">
      <c r="A17">
        <v>13</v>
      </c>
      <c r="B17">
        <f>B16+1</f>
        <v>16</v>
      </c>
      <c r="C17" t="s">
        <v>386</v>
      </c>
      <c r="D17" t="s">
        <v>385</v>
      </c>
      <c r="E17" t="s">
        <v>257</v>
      </c>
      <c r="F17">
        <v>2</v>
      </c>
      <c r="G17">
        <v>1</v>
      </c>
    </row>
    <row r="18" spans="1:7" x14ac:dyDescent="0.35">
      <c r="A18">
        <v>13</v>
      </c>
      <c r="B18">
        <f t="shared" ref="B18:B23" si="0">B17+1</f>
        <v>17</v>
      </c>
      <c r="C18" t="s">
        <v>387</v>
      </c>
      <c r="D18" t="s">
        <v>1227</v>
      </c>
      <c r="E18" t="s">
        <v>273</v>
      </c>
      <c r="F18">
        <v>0</v>
      </c>
      <c r="G18">
        <v>1</v>
      </c>
    </row>
    <row r="19" spans="1:7" x14ac:dyDescent="0.35">
      <c r="A19">
        <v>13</v>
      </c>
      <c r="B19">
        <f t="shared" si="0"/>
        <v>18</v>
      </c>
      <c r="C19" t="s">
        <v>387</v>
      </c>
      <c r="D19" t="s">
        <v>1228</v>
      </c>
      <c r="E19" t="s">
        <v>257</v>
      </c>
      <c r="F19">
        <v>4</v>
      </c>
      <c r="G19">
        <v>1</v>
      </c>
    </row>
    <row r="20" spans="1:7" x14ac:dyDescent="0.35">
      <c r="A20">
        <v>13</v>
      </c>
      <c r="B20">
        <f t="shared" si="0"/>
        <v>19</v>
      </c>
      <c r="C20" t="s">
        <v>389</v>
      </c>
      <c r="D20" t="s">
        <v>388</v>
      </c>
      <c r="E20" t="s">
        <v>190</v>
      </c>
      <c r="F20">
        <v>1</v>
      </c>
      <c r="G20">
        <v>1</v>
      </c>
    </row>
    <row r="21" spans="1:7" x14ac:dyDescent="0.35">
      <c r="A21">
        <v>13</v>
      </c>
      <c r="B21">
        <f t="shared" si="0"/>
        <v>20</v>
      </c>
      <c r="C21" t="s">
        <v>391</v>
      </c>
      <c r="D21" t="s">
        <v>390</v>
      </c>
      <c r="E21" t="s">
        <v>270</v>
      </c>
      <c r="F21">
        <v>1</v>
      </c>
      <c r="G21">
        <v>1</v>
      </c>
    </row>
    <row r="22" spans="1:7" x14ac:dyDescent="0.35">
      <c r="A22">
        <v>13</v>
      </c>
      <c r="B22">
        <f t="shared" si="0"/>
        <v>21</v>
      </c>
      <c r="C22" t="s">
        <v>1229</v>
      </c>
      <c r="D22" t="s">
        <v>1230</v>
      </c>
      <c r="E22" t="s">
        <v>257</v>
      </c>
      <c r="F22">
        <v>2</v>
      </c>
      <c r="G22">
        <v>2</v>
      </c>
    </row>
    <row r="23" spans="1:7" x14ac:dyDescent="0.35">
      <c r="A23">
        <v>13</v>
      </c>
      <c r="B23">
        <f t="shared" si="0"/>
        <v>22</v>
      </c>
      <c r="C23" t="s">
        <v>393</v>
      </c>
      <c r="D23" t="s">
        <v>392</v>
      </c>
      <c r="E23" t="s">
        <v>257</v>
      </c>
      <c r="F23">
        <v>5</v>
      </c>
      <c r="G23">
        <v>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E078C-190C-41AD-95FA-74831BBEA3F7}">
  <sheetPr>
    <tabColor rgb="FFFFC000"/>
  </sheetPr>
  <dimension ref="A1:G14"/>
  <sheetViews>
    <sheetView workbookViewId="0">
      <selection sqref="A1:B1"/>
    </sheetView>
  </sheetViews>
  <sheetFormatPr defaultRowHeight="14.5" x14ac:dyDescent="0.35"/>
  <cols>
    <col min="1" max="2" width="8.7265625" style="12"/>
    <col min="3" max="3" width="18" style="12" customWidth="1"/>
    <col min="4" max="4" width="18.7265625" style="12" customWidth="1"/>
    <col min="5" max="16384" width="8.7265625" style="12"/>
  </cols>
  <sheetData>
    <row r="1" spans="1:7" x14ac:dyDescent="0.35">
      <c r="A1" s="13" t="s">
        <v>1111</v>
      </c>
      <c r="B1" s="13" t="s">
        <v>1434</v>
      </c>
      <c r="C1" s="14" t="s">
        <v>7</v>
      </c>
      <c r="D1" s="14" t="s">
        <v>222</v>
      </c>
      <c r="E1" s="14" t="s">
        <v>223</v>
      </c>
      <c r="F1" s="14" t="s">
        <v>224</v>
      </c>
      <c r="G1" s="14" t="s">
        <v>225</v>
      </c>
    </row>
    <row r="2" spans="1:7" x14ac:dyDescent="0.35">
      <c r="A2" s="12">
        <v>14</v>
      </c>
      <c r="B2" s="12">
        <v>1</v>
      </c>
      <c r="C2" s="12" t="s">
        <v>795</v>
      </c>
      <c r="D2" s="12" t="s">
        <v>794</v>
      </c>
      <c r="E2" s="12" t="s">
        <v>273</v>
      </c>
      <c r="F2" s="12">
        <v>0</v>
      </c>
      <c r="G2" s="12">
        <v>5</v>
      </c>
    </row>
    <row r="3" spans="1:7" x14ac:dyDescent="0.35">
      <c r="A3" s="12">
        <v>14</v>
      </c>
      <c r="B3" s="12">
        <v>2</v>
      </c>
      <c r="C3" s="12" t="s">
        <v>797</v>
      </c>
      <c r="D3" s="12" t="s">
        <v>796</v>
      </c>
      <c r="E3" s="12" t="s">
        <v>273</v>
      </c>
      <c r="F3" s="12">
        <v>0</v>
      </c>
      <c r="G3" s="12">
        <v>1</v>
      </c>
    </row>
    <row r="4" spans="1:7" x14ac:dyDescent="0.35">
      <c r="A4" s="12">
        <v>14</v>
      </c>
      <c r="B4" s="12">
        <v>4</v>
      </c>
      <c r="C4" s="12" t="s">
        <v>1233</v>
      </c>
      <c r="D4" s="12" t="s">
        <v>1233</v>
      </c>
      <c r="E4" s="12" t="s">
        <v>270</v>
      </c>
      <c r="F4" s="12">
        <v>3</v>
      </c>
      <c r="G4" s="12">
        <v>1</v>
      </c>
    </row>
    <row r="5" spans="1:7" x14ac:dyDescent="0.35">
      <c r="A5" s="12">
        <v>14</v>
      </c>
      <c r="B5" s="12">
        <f>B4+1</f>
        <v>5</v>
      </c>
      <c r="C5" s="12" t="s">
        <v>1234</v>
      </c>
      <c r="D5" s="12" t="s">
        <v>1231</v>
      </c>
      <c r="E5" s="12" t="s">
        <v>270</v>
      </c>
      <c r="F5" s="12">
        <v>2</v>
      </c>
      <c r="G5" s="12">
        <v>1</v>
      </c>
    </row>
    <row r="6" spans="1:7" x14ac:dyDescent="0.35">
      <c r="A6" s="12">
        <v>14</v>
      </c>
      <c r="B6" s="12">
        <f t="shared" ref="B6:B14" si="0">B5+1</f>
        <v>6</v>
      </c>
      <c r="C6" s="12" t="s">
        <v>1232</v>
      </c>
      <c r="D6" s="12" t="s">
        <v>1232</v>
      </c>
      <c r="E6" s="12" t="s">
        <v>270</v>
      </c>
      <c r="F6" s="12">
        <v>2</v>
      </c>
      <c r="G6" s="12">
        <v>7</v>
      </c>
    </row>
    <row r="7" spans="1:7" x14ac:dyDescent="0.35">
      <c r="A7" s="12">
        <v>14</v>
      </c>
      <c r="B7" s="12">
        <f t="shared" si="0"/>
        <v>7</v>
      </c>
      <c r="C7" s="12" t="s">
        <v>1235</v>
      </c>
      <c r="D7" s="12" t="s">
        <v>1236</v>
      </c>
      <c r="E7" s="12" t="s">
        <v>270</v>
      </c>
      <c r="F7" s="12">
        <v>3</v>
      </c>
      <c r="G7" s="12">
        <v>3</v>
      </c>
    </row>
    <row r="8" spans="1:7" x14ac:dyDescent="0.35">
      <c r="A8" s="12">
        <v>14</v>
      </c>
      <c r="B8" s="12">
        <f t="shared" si="0"/>
        <v>8</v>
      </c>
      <c r="C8" s="12" t="s">
        <v>799</v>
      </c>
      <c r="D8" s="12" t="s">
        <v>798</v>
      </c>
      <c r="E8" s="12" t="s">
        <v>257</v>
      </c>
      <c r="F8" s="12">
        <v>5</v>
      </c>
      <c r="G8" s="12">
        <v>3</v>
      </c>
    </row>
    <row r="9" spans="1:7" x14ac:dyDescent="0.35">
      <c r="A9" s="12">
        <v>14</v>
      </c>
      <c r="B9" s="12">
        <f t="shared" si="0"/>
        <v>9</v>
      </c>
      <c r="C9" s="12" t="s">
        <v>800</v>
      </c>
      <c r="D9" s="12" t="s">
        <v>800</v>
      </c>
      <c r="E9" s="12" t="s">
        <v>257</v>
      </c>
      <c r="F9" s="12">
        <v>3</v>
      </c>
      <c r="G9" s="12">
        <v>2</v>
      </c>
    </row>
    <row r="10" spans="1:7" x14ac:dyDescent="0.35">
      <c r="A10" s="12">
        <v>14</v>
      </c>
      <c r="B10" s="12">
        <f t="shared" si="0"/>
        <v>10</v>
      </c>
      <c r="C10" s="12" t="s">
        <v>801</v>
      </c>
      <c r="D10" s="12" t="s">
        <v>1237</v>
      </c>
      <c r="E10" s="12" t="s">
        <v>257</v>
      </c>
      <c r="F10" s="12">
        <v>5</v>
      </c>
      <c r="G10" s="12">
        <v>2</v>
      </c>
    </row>
    <row r="11" spans="1:7" x14ac:dyDescent="0.35">
      <c r="A11" s="12">
        <v>14</v>
      </c>
      <c r="B11" s="12">
        <f t="shared" si="0"/>
        <v>11</v>
      </c>
      <c r="C11" s="12" t="s">
        <v>803</v>
      </c>
      <c r="D11" s="12" t="s">
        <v>802</v>
      </c>
      <c r="E11" s="12" t="s">
        <v>257</v>
      </c>
      <c r="F11" s="12">
        <v>2</v>
      </c>
      <c r="G11" s="12">
        <v>2</v>
      </c>
    </row>
    <row r="12" spans="1:7" x14ac:dyDescent="0.35">
      <c r="A12" s="12">
        <v>14</v>
      </c>
      <c r="B12" s="12">
        <f t="shared" si="0"/>
        <v>12</v>
      </c>
      <c r="C12" s="12" t="s">
        <v>804</v>
      </c>
      <c r="D12" s="12" t="s">
        <v>804</v>
      </c>
      <c r="E12" s="12" t="s">
        <v>202</v>
      </c>
      <c r="F12" s="12">
        <v>0</v>
      </c>
      <c r="G12" s="12">
        <v>1</v>
      </c>
    </row>
    <row r="13" spans="1:7" x14ac:dyDescent="0.35">
      <c r="A13" s="12">
        <v>14</v>
      </c>
      <c r="B13" s="12">
        <f t="shared" si="0"/>
        <v>13</v>
      </c>
      <c r="C13" s="12" t="s">
        <v>805</v>
      </c>
      <c r="D13" s="12" t="s">
        <v>995</v>
      </c>
      <c r="E13" s="12" t="s">
        <v>273</v>
      </c>
      <c r="F13" s="12">
        <v>0</v>
      </c>
      <c r="G13" s="12">
        <v>5</v>
      </c>
    </row>
    <row r="14" spans="1:7" x14ac:dyDescent="0.35">
      <c r="A14" s="12">
        <v>14</v>
      </c>
      <c r="B14" s="12">
        <f t="shared" si="0"/>
        <v>14</v>
      </c>
      <c r="C14" s="12" t="s">
        <v>807</v>
      </c>
      <c r="D14" s="12" t="s">
        <v>806</v>
      </c>
      <c r="E14" s="12" t="s">
        <v>270</v>
      </c>
      <c r="F14" s="12">
        <v>1</v>
      </c>
      <c r="G14" s="12">
        <v>11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8698F-0EAF-4066-BF76-6DF148646736}">
  <sheetPr>
    <tabColor rgb="FFFFC000"/>
  </sheetPr>
  <dimension ref="A1:G9"/>
  <sheetViews>
    <sheetView workbookViewId="0">
      <selection sqref="A1:B1"/>
    </sheetView>
  </sheetViews>
  <sheetFormatPr defaultRowHeight="14.5" x14ac:dyDescent="0.35"/>
  <cols>
    <col min="1" max="2" width="8.7265625" style="12"/>
    <col min="3" max="3" width="19.90625" style="12" customWidth="1"/>
    <col min="4" max="4" width="25.08984375" style="12" customWidth="1"/>
    <col min="5" max="16384" width="8.7265625" style="12"/>
  </cols>
  <sheetData>
    <row r="1" spans="1:7" x14ac:dyDescent="0.35">
      <c r="A1" s="13" t="s">
        <v>1111</v>
      </c>
      <c r="B1" s="13" t="s">
        <v>1434</v>
      </c>
      <c r="C1" s="14" t="s">
        <v>7</v>
      </c>
      <c r="D1" s="14" t="s">
        <v>222</v>
      </c>
      <c r="E1" s="14" t="s">
        <v>223</v>
      </c>
      <c r="F1" s="14" t="s">
        <v>224</v>
      </c>
      <c r="G1" s="14" t="s">
        <v>225</v>
      </c>
    </row>
    <row r="2" spans="1:7" x14ac:dyDescent="0.35">
      <c r="A2" s="12">
        <v>15</v>
      </c>
      <c r="B2" s="12">
        <v>1</v>
      </c>
      <c r="C2" s="12" t="s">
        <v>844</v>
      </c>
      <c r="D2" s="12" t="s">
        <v>843</v>
      </c>
      <c r="E2" s="12" t="s">
        <v>273</v>
      </c>
      <c r="F2" s="12">
        <v>0</v>
      </c>
      <c r="G2" s="12">
        <v>4</v>
      </c>
    </row>
    <row r="3" spans="1:7" x14ac:dyDescent="0.35">
      <c r="A3" s="12">
        <v>15</v>
      </c>
      <c r="B3" s="12">
        <f>B2+1</f>
        <v>2</v>
      </c>
      <c r="C3" s="12" t="s">
        <v>844</v>
      </c>
      <c r="D3" s="12" t="s">
        <v>1238</v>
      </c>
      <c r="E3" s="12" t="s">
        <v>270</v>
      </c>
      <c r="F3" s="12">
        <v>1</v>
      </c>
      <c r="G3" s="12">
        <v>10</v>
      </c>
    </row>
    <row r="4" spans="1:7" x14ac:dyDescent="0.35">
      <c r="A4" s="12">
        <v>15</v>
      </c>
      <c r="B4" s="12">
        <f t="shared" ref="B4:B9" si="0">B3+1</f>
        <v>3</v>
      </c>
      <c r="C4" s="12" t="s">
        <v>846</v>
      </c>
      <c r="D4" s="12" t="s">
        <v>1239</v>
      </c>
      <c r="E4" s="12" t="s">
        <v>278</v>
      </c>
      <c r="F4" s="12">
        <v>0</v>
      </c>
      <c r="G4" s="12">
        <v>3</v>
      </c>
    </row>
    <row r="5" spans="1:7" x14ac:dyDescent="0.35">
      <c r="A5" s="12">
        <v>15</v>
      </c>
      <c r="B5" s="12">
        <f t="shared" si="0"/>
        <v>4</v>
      </c>
      <c r="C5" s="12" t="s">
        <v>846</v>
      </c>
      <c r="D5" s="12" t="s">
        <v>845</v>
      </c>
      <c r="E5" s="12" t="s">
        <v>270</v>
      </c>
      <c r="F5" s="12">
        <v>1</v>
      </c>
      <c r="G5" s="12">
        <v>7</v>
      </c>
    </row>
    <row r="6" spans="1:7" ht="16" customHeight="1" x14ac:dyDescent="0.35">
      <c r="A6" s="12">
        <v>15</v>
      </c>
      <c r="B6" s="12">
        <f t="shared" si="0"/>
        <v>5</v>
      </c>
      <c r="C6" s="1" t="s">
        <v>1244</v>
      </c>
      <c r="D6" s="12" t="s">
        <v>1240</v>
      </c>
      <c r="E6" s="12" t="s">
        <v>270</v>
      </c>
      <c r="F6" s="12">
        <v>1</v>
      </c>
      <c r="G6" s="12">
        <v>10</v>
      </c>
    </row>
    <row r="7" spans="1:7" ht="16" customHeight="1" x14ac:dyDescent="0.35">
      <c r="A7" s="12">
        <v>15</v>
      </c>
      <c r="B7" s="12">
        <f t="shared" si="0"/>
        <v>6</v>
      </c>
      <c r="C7" s="1" t="s">
        <v>1244</v>
      </c>
      <c r="D7" s="12" t="s">
        <v>1242</v>
      </c>
      <c r="E7" s="12" t="s">
        <v>270</v>
      </c>
      <c r="F7" s="12">
        <v>1</v>
      </c>
      <c r="G7" s="12">
        <v>10</v>
      </c>
    </row>
    <row r="8" spans="1:7" ht="16" customHeight="1" x14ac:dyDescent="0.35">
      <c r="A8" s="12">
        <v>15</v>
      </c>
      <c r="B8" s="12">
        <f t="shared" si="0"/>
        <v>7</v>
      </c>
      <c r="C8" s="1" t="s">
        <v>1244</v>
      </c>
      <c r="D8" s="12" t="s">
        <v>1241</v>
      </c>
      <c r="E8" s="12" t="s">
        <v>190</v>
      </c>
      <c r="F8" s="12">
        <v>2</v>
      </c>
      <c r="G8" s="12">
        <v>2</v>
      </c>
    </row>
    <row r="9" spans="1:7" x14ac:dyDescent="0.35">
      <c r="A9" s="12">
        <v>15</v>
      </c>
      <c r="B9" s="12">
        <f t="shared" si="0"/>
        <v>8</v>
      </c>
      <c r="C9" s="12" t="s">
        <v>1243</v>
      </c>
      <c r="D9" s="12" t="s">
        <v>847</v>
      </c>
      <c r="E9" s="12" t="s">
        <v>270</v>
      </c>
      <c r="F9" s="12">
        <v>1</v>
      </c>
      <c r="G9" s="12">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D7E5F-EBD4-4391-AD4A-3BF2CCA7F0AC}">
  <dimension ref="A1:D67"/>
  <sheetViews>
    <sheetView zoomScale="160" zoomScaleNormal="160" workbookViewId="0">
      <selection activeCell="C37" sqref="C37"/>
    </sheetView>
  </sheetViews>
  <sheetFormatPr defaultRowHeight="10.5" customHeight="1" x14ac:dyDescent="0.35"/>
  <cols>
    <col min="1" max="1" width="16.453125" style="41" customWidth="1"/>
    <col min="2" max="2" width="20.90625" style="12" customWidth="1"/>
    <col min="3" max="3" width="14.90625" style="12" customWidth="1"/>
    <col min="4" max="4" width="117.08984375" style="12" customWidth="1"/>
    <col min="5" max="16384" width="8.7265625" style="12"/>
  </cols>
  <sheetData>
    <row r="1" spans="1:4" ht="35.5" customHeight="1" x14ac:dyDescent="0.35">
      <c r="A1" s="43" t="s">
        <v>1435</v>
      </c>
      <c r="B1" s="43"/>
      <c r="C1" s="43"/>
      <c r="D1" s="43"/>
    </row>
    <row r="2" spans="1:4" ht="10.5" customHeight="1" x14ac:dyDescent="0.35">
      <c r="A2" s="39" t="s">
        <v>1348</v>
      </c>
      <c r="B2" s="34" t="s">
        <v>1349</v>
      </c>
      <c r="C2" s="35" t="s">
        <v>225</v>
      </c>
      <c r="D2" s="35"/>
    </row>
    <row r="3" spans="1:4" ht="10.5" customHeight="1" x14ac:dyDescent="0.35">
      <c r="A3" s="40" t="s">
        <v>1350</v>
      </c>
      <c r="B3" s="36" t="s">
        <v>1351</v>
      </c>
      <c r="C3" s="37" t="s">
        <v>553</v>
      </c>
      <c r="D3" s="37" t="s">
        <v>1352</v>
      </c>
    </row>
    <row r="4" spans="1:4" ht="10.5" customHeight="1" x14ac:dyDescent="0.35">
      <c r="A4" s="40"/>
      <c r="B4" s="36"/>
      <c r="C4" s="37" t="s">
        <v>690</v>
      </c>
      <c r="D4" s="37" t="s">
        <v>1353</v>
      </c>
    </row>
    <row r="5" spans="1:4" ht="10.5" customHeight="1" x14ac:dyDescent="0.35">
      <c r="A5" s="40"/>
      <c r="B5" s="36"/>
      <c r="C5" s="37" t="s">
        <v>272</v>
      </c>
      <c r="D5" s="37" t="s">
        <v>1354</v>
      </c>
    </row>
    <row r="6" spans="1:4" ht="10.5" customHeight="1" x14ac:dyDescent="0.35">
      <c r="A6" s="40"/>
      <c r="B6" s="36"/>
      <c r="C6" s="37" t="s">
        <v>1317</v>
      </c>
      <c r="D6" s="37" t="s">
        <v>1355</v>
      </c>
    </row>
    <row r="7" spans="1:4" ht="10.5" customHeight="1" x14ac:dyDescent="0.35">
      <c r="A7" s="40"/>
      <c r="B7" s="36"/>
      <c r="C7" s="37" t="s">
        <v>1318</v>
      </c>
      <c r="D7" s="37" t="s">
        <v>1356</v>
      </c>
    </row>
    <row r="8" spans="1:4" ht="10.5" customHeight="1" x14ac:dyDescent="0.35">
      <c r="A8" s="40"/>
      <c r="B8" s="36"/>
      <c r="C8" s="37" t="s">
        <v>1319</v>
      </c>
      <c r="D8" s="37" t="s">
        <v>1357</v>
      </c>
    </row>
    <row r="9" spans="1:4" ht="10.5" customHeight="1" x14ac:dyDescent="0.35">
      <c r="A9" s="40"/>
      <c r="B9" s="36"/>
      <c r="C9" s="37" t="s">
        <v>1320</v>
      </c>
      <c r="D9" s="37" t="s">
        <v>1358</v>
      </c>
    </row>
    <row r="10" spans="1:4" ht="10.5" customHeight="1" x14ac:dyDescent="0.35">
      <c r="A10" s="40"/>
      <c r="B10" s="36"/>
      <c r="C10" s="37" t="s">
        <v>1151</v>
      </c>
      <c r="D10" s="37" t="s">
        <v>1359</v>
      </c>
    </row>
    <row r="11" spans="1:4" ht="10.5" customHeight="1" x14ac:dyDescent="0.35">
      <c r="A11" s="40"/>
      <c r="B11" s="36"/>
      <c r="C11" s="37" t="s">
        <v>1321</v>
      </c>
      <c r="D11" s="37" t="s">
        <v>1360</v>
      </c>
    </row>
    <row r="12" spans="1:4" ht="10.5" customHeight="1" x14ac:dyDescent="0.35">
      <c r="A12" s="40"/>
      <c r="B12" s="36"/>
      <c r="C12" s="37" t="s">
        <v>1322</v>
      </c>
      <c r="D12" s="37" t="s">
        <v>1361</v>
      </c>
    </row>
    <row r="13" spans="1:4" ht="10.5" customHeight="1" x14ac:dyDescent="0.35">
      <c r="A13" s="40"/>
      <c r="B13" s="36"/>
      <c r="C13" s="37" t="s">
        <v>1323</v>
      </c>
      <c r="D13" s="37" t="s">
        <v>1362</v>
      </c>
    </row>
    <row r="14" spans="1:4" ht="10.5" customHeight="1" x14ac:dyDescent="0.35">
      <c r="A14" s="40"/>
      <c r="B14" s="36" t="s">
        <v>1363</v>
      </c>
      <c r="C14" s="37" t="s">
        <v>354</v>
      </c>
      <c r="D14" s="37" t="s">
        <v>1364</v>
      </c>
    </row>
    <row r="15" spans="1:4" ht="10.5" customHeight="1" x14ac:dyDescent="0.35">
      <c r="A15" s="40"/>
      <c r="B15" s="36"/>
      <c r="C15" s="37" t="s">
        <v>435</v>
      </c>
      <c r="D15" s="37" t="s">
        <v>1365</v>
      </c>
    </row>
    <row r="16" spans="1:4" ht="10.5" customHeight="1" x14ac:dyDescent="0.35">
      <c r="A16" s="40"/>
      <c r="B16" s="36"/>
      <c r="C16" s="37" t="s">
        <v>359</v>
      </c>
      <c r="D16" s="37" t="s">
        <v>1366</v>
      </c>
    </row>
    <row r="17" spans="1:4" ht="10.5" customHeight="1" x14ac:dyDescent="0.35">
      <c r="A17" s="40"/>
      <c r="B17" s="36"/>
      <c r="C17" s="37" t="s">
        <v>1324</v>
      </c>
      <c r="D17" s="37" t="s">
        <v>1367</v>
      </c>
    </row>
    <row r="18" spans="1:4" ht="10.5" customHeight="1" x14ac:dyDescent="0.35">
      <c r="A18" s="40"/>
      <c r="B18" s="36"/>
      <c r="C18" s="37" t="s">
        <v>1325</v>
      </c>
      <c r="D18" s="37" t="s">
        <v>1368</v>
      </c>
    </row>
    <row r="19" spans="1:4" ht="10.5" customHeight="1" x14ac:dyDescent="0.35">
      <c r="A19" s="40"/>
      <c r="B19" s="36"/>
      <c r="C19" s="37" t="s">
        <v>1326</v>
      </c>
      <c r="D19" s="37" t="s">
        <v>1369</v>
      </c>
    </row>
    <row r="20" spans="1:4" ht="10.5" customHeight="1" x14ac:dyDescent="0.35">
      <c r="A20" s="40"/>
      <c r="B20" s="36"/>
      <c r="C20" s="37" t="s">
        <v>1327</v>
      </c>
      <c r="D20" s="37" t="s">
        <v>1370</v>
      </c>
    </row>
    <row r="21" spans="1:4" ht="10.5" customHeight="1" x14ac:dyDescent="0.35">
      <c r="A21" s="40"/>
      <c r="B21" s="36" t="s">
        <v>1371</v>
      </c>
      <c r="C21" s="37" t="s">
        <v>1328</v>
      </c>
      <c r="D21" s="37" t="s">
        <v>1372</v>
      </c>
    </row>
    <row r="22" spans="1:4" ht="10.5" customHeight="1" x14ac:dyDescent="0.35">
      <c r="A22" s="40"/>
      <c r="B22" s="36"/>
      <c r="C22" s="37" t="s">
        <v>1156</v>
      </c>
      <c r="D22" s="37" t="s">
        <v>1373</v>
      </c>
    </row>
    <row r="23" spans="1:4" ht="10.5" customHeight="1" x14ac:dyDescent="0.35">
      <c r="A23" s="40"/>
      <c r="B23" s="36"/>
      <c r="C23" s="37" t="s">
        <v>1329</v>
      </c>
      <c r="D23" s="37" t="s">
        <v>1374</v>
      </c>
    </row>
    <row r="24" spans="1:4" ht="10.5" customHeight="1" x14ac:dyDescent="0.35">
      <c r="A24" s="40"/>
      <c r="B24" s="36"/>
      <c r="C24" s="37" t="s">
        <v>1330</v>
      </c>
      <c r="D24" s="37" t="s">
        <v>1375</v>
      </c>
    </row>
    <row r="25" spans="1:4" ht="10.5" customHeight="1" x14ac:dyDescent="0.35">
      <c r="A25" s="40"/>
      <c r="B25" s="36" t="s">
        <v>1376</v>
      </c>
      <c r="C25" s="37" t="s">
        <v>1331</v>
      </c>
      <c r="D25" s="37" t="s">
        <v>1377</v>
      </c>
    </row>
    <row r="26" spans="1:4" ht="10.5" customHeight="1" x14ac:dyDescent="0.35">
      <c r="A26" s="40"/>
      <c r="B26" s="36"/>
      <c r="C26" s="37" t="s">
        <v>1332</v>
      </c>
      <c r="D26" s="37" t="s">
        <v>1378</v>
      </c>
    </row>
    <row r="27" spans="1:4" ht="10.5" customHeight="1" x14ac:dyDescent="0.35">
      <c r="A27" s="40"/>
      <c r="B27" s="36"/>
      <c r="C27" s="37" t="s">
        <v>1333</v>
      </c>
      <c r="D27" s="37" t="s">
        <v>1379</v>
      </c>
    </row>
    <row r="28" spans="1:4" ht="10.5" customHeight="1" x14ac:dyDescent="0.35">
      <c r="A28" s="40" t="s">
        <v>1380</v>
      </c>
      <c r="B28" s="38" t="s">
        <v>1381</v>
      </c>
      <c r="C28" s="37" t="s">
        <v>1154</v>
      </c>
      <c r="D28" s="37" t="s">
        <v>1382</v>
      </c>
    </row>
    <row r="29" spans="1:4" ht="10.5" customHeight="1" x14ac:dyDescent="0.35">
      <c r="A29" s="40"/>
      <c r="B29" s="38"/>
      <c r="C29" s="37" t="s">
        <v>1334</v>
      </c>
      <c r="D29" s="37" t="s">
        <v>1383</v>
      </c>
    </row>
    <row r="30" spans="1:4" ht="10.5" customHeight="1" x14ac:dyDescent="0.35">
      <c r="A30" s="40"/>
      <c r="B30" s="38"/>
      <c r="C30" s="37" t="s">
        <v>1335</v>
      </c>
      <c r="D30" s="37" t="s">
        <v>1384</v>
      </c>
    </row>
    <row r="31" spans="1:4" ht="10.5" customHeight="1" x14ac:dyDescent="0.35">
      <c r="A31" s="40"/>
      <c r="B31" s="38"/>
      <c r="C31" s="37" t="s">
        <v>1336</v>
      </c>
      <c r="D31" s="37" t="s">
        <v>1385</v>
      </c>
    </row>
    <row r="32" spans="1:4" ht="10.5" customHeight="1" x14ac:dyDescent="0.35">
      <c r="A32" s="40"/>
      <c r="B32" s="38"/>
      <c r="C32" s="37" t="s">
        <v>1337</v>
      </c>
      <c r="D32" s="37" t="s">
        <v>1386</v>
      </c>
    </row>
    <row r="33" spans="1:4" ht="10.5" customHeight="1" x14ac:dyDescent="0.35">
      <c r="A33" s="40" t="s">
        <v>1433</v>
      </c>
      <c r="B33" s="36" t="s">
        <v>1387</v>
      </c>
      <c r="C33" s="37" t="s">
        <v>249</v>
      </c>
      <c r="D33" s="37" t="s">
        <v>1388</v>
      </c>
    </row>
    <row r="34" spans="1:4" ht="10.5" customHeight="1" x14ac:dyDescent="0.35">
      <c r="A34" s="40"/>
      <c r="B34" s="36"/>
      <c r="C34" s="37" t="s">
        <v>237</v>
      </c>
      <c r="D34" s="37" t="s">
        <v>1389</v>
      </c>
    </row>
    <row r="35" spans="1:4" ht="10.5" customHeight="1" x14ac:dyDescent="0.35">
      <c r="A35" s="40"/>
      <c r="B35" s="36"/>
      <c r="C35" s="37" t="s">
        <v>370</v>
      </c>
      <c r="D35" s="37" t="s">
        <v>1390</v>
      </c>
    </row>
    <row r="36" spans="1:4" ht="10.5" customHeight="1" x14ac:dyDescent="0.35">
      <c r="A36" s="40"/>
      <c r="B36" s="36" t="s">
        <v>1391</v>
      </c>
      <c r="C36" s="37" t="s">
        <v>304</v>
      </c>
      <c r="D36" s="37" t="s">
        <v>1392</v>
      </c>
    </row>
    <row r="37" spans="1:4" ht="10.5" customHeight="1" x14ac:dyDescent="0.35">
      <c r="A37" s="40"/>
      <c r="B37" s="36"/>
      <c r="C37" s="37" t="s">
        <v>192</v>
      </c>
      <c r="D37" s="37" t="s">
        <v>1393</v>
      </c>
    </row>
    <row r="38" spans="1:4" ht="10.5" customHeight="1" x14ac:dyDescent="0.35">
      <c r="A38" s="40"/>
      <c r="B38" s="36"/>
      <c r="C38" s="37" t="s">
        <v>403</v>
      </c>
      <c r="D38" s="37" t="s">
        <v>1394</v>
      </c>
    </row>
    <row r="39" spans="1:4" ht="10.5" customHeight="1" x14ac:dyDescent="0.35">
      <c r="A39" s="40"/>
      <c r="B39" s="36"/>
      <c r="C39" s="37" t="s">
        <v>240</v>
      </c>
      <c r="D39" s="37" t="s">
        <v>1395</v>
      </c>
    </row>
    <row r="40" spans="1:4" ht="10.5" customHeight="1" x14ac:dyDescent="0.35">
      <c r="A40" s="40"/>
      <c r="B40" s="36" t="s">
        <v>1396</v>
      </c>
      <c r="C40" s="37" t="s">
        <v>308</v>
      </c>
      <c r="D40" s="37" t="s">
        <v>1397</v>
      </c>
    </row>
    <row r="41" spans="1:4" ht="10.5" customHeight="1" x14ac:dyDescent="0.35">
      <c r="A41" s="40"/>
      <c r="B41" s="36"/>
      <c r="C41" s="37" t="s">
        <v>531</v>
      </c>
      <c r="D41" s="37" t="s">
        <v>1398</v>
      </c>
    </row>
    <row r="42" spans="1:4" ht="10.5" customHeight="1" x14ac:dyDescent="0.35">
      <c r="A42" s="40" t="s">
        <v>1399</v>
      </c>
      <c r="B42" s="38" t="s">
        <v>1381</v>
      </c>
      <c r="C42" s="37" t="s">
        <v>1338</v>
      </c>
      <c r="D42" s="37" t="s">
        <v>1400</v>
      </c>
    </row>
    <row r="43" spans="1:4" ht="10.5" customHeight="1" x14ac:dyDescent="0.35">
      <c r="A43" s="40"/>
      <c r="B43" s="38"/>
      <c r="C43" s="37" t="s">
        <v>1339</v>
      </c>
      <c r="D43" s="37" t="s">
        <v>1401</v>
      </c>
    </row>
    <row r="44" spans="1:4" ht="10.5" customHeight="1" x14ac:dyDescent="0.35">
      <c r="A44" s="40"/>
      <c r="B44" s="38"/>
      <c r="C44" s="37" t="s">
        <v>1340</v>
      </c>
      <c r="D44" s="37" t="s">
        <v>1402</v>
      </c>
    </row>
    <row r="45" spans="1:4" ht="10.5" customHeight="1" x14ac:dyDescent="0.35">
      <c r="A45" s="40"/>
      <c r="B45" s="38"/>
      <c r="C45" s="37" t="s">
        <v>1341</v>
      </c>
      <c r="D45" s="37" t="s">
        <v>1403</v>
      </c>
    </row>
    <row r="46" spans="1:4" ht="10.5" customHeight="1" x14ac:dyDescent="0.35">
      <c r="A46" s="40"/>
      <c r="B46" s="38"/>
      <c r="C46" s="37" t="s">
        <v>1342</v>
      </c>
      <c r="D46" s="37" t="s">
        <v>1404</v>
      </c>
    </row>
    <row r="47" spans="1:4" ht="10.5" customHeight="1" x14ac:dyDescent="0.35">
      <c r="A47" s="40" t="s">
        <v>1405</v>
      </c>
      <c r="B47" s="38" t="s">
        <v>1381</v>
      </c>
      <c r="C47" s="37" t="s">
        <v>1343</v>
      </c>
      <c r="D47" s="37" t="s">
        <v>1406</v>
      </c>
    </row>
    <row r="48" spans="1:4" ht="10.5" customHeight="1" x14ac:dyDescent="0.35">
      <c r="A48" s="40"/>
      <c r="B48" s="38"/>
      <c r="C48" s="37" t="s">
        <v>1344</v>
      </c>
      <c r="D48" s="37" t="s">
        <v>1407</v>
      </c>
    </row>
    <row r="49" spans="1:4" ht="10.5" customHeight="1" x14ac:dyDescent="0.35">
      <c r="A49" s="40"/>
      <c r="B49" s="38"/>
      <c r="C49" s="37" t="s">
        <v>1345</v>
      </c>
      <c r="D49" s="37" t="s">
        <v>1408</v>
      </c>
    </row>
    <row r="50" spans="1:4" ht="10.5" customHeight="1" x14ac:dyDescent="0.35">
      <c r="A50" s="40"/>
      <c r="B50" s="38"/>
      <c r="C50" s="37" t="s">
        <v>1346</v>
      </c>
      <c r="D50" s="37" t="s">
        <v>1409</v>
      </c>
    </row>
    <row r="51" spans="1:4" ht="10.5" customHeight="1" x14ac:dyDescent="0.35">
      <c r="A51" s="40"/>
      <c r="B51" s="38"/>
      <c r="C51" s="37" t="s">
        <v>1347</v>
      </c>
      <c r="D51" s="37" t="s">
        <v>1410</v>
      </c>
    </row>
    <row r="52" spans="1:4" ht="10.5" customHeight="1" x14ac:dyDescent="0.35">
      <c r="A52" s="40" t="s">
        <v>1411</v>
      </c>
      <c r="B52" s="36" t="s">
        <v>1412</v>
      </c>
      <c r="C52" s="37" t="s">
        <v>259</v>
      </c>
      <c r="D52" s="37" t="s">
        <v>1413</v>
      </c>
    </row>
    <row r="53" spans="1:4" ht="10.5" customHeight="1" x14ac:dyDescent="0.35">
      <c r="A53" s="40"/>
      <c r="B53" s="36"/>
      <c r="C53" s="37" t="s">
        <v>321</v>
      </c>
      <c r="D53" s="37" t="s">
        <v>1414</v>
      </c>
    </row>
    <row r="54" spans="1:4" ht="10.5" customHeight="1" x14ac:dyDescent="0.35">
      <c r="A54" s="40"/>
      <c r="B54" s="36" t="s">
        <v>1415</v>
      </c>
      <c r="C54" s="37" t="s">
        <v>683</v>
      </c>
      <c r="D54" s="37" t="s">
        <v>1416</v>
      </c>
    </row>
    <row r="55" spans="1:4" ht="10.5" customHeight="1" x14ac:dyDescent="0.35">
      <c r="A55" s="40"/>
      <c r="B55" s="36"/>
      <c r="C55" s="37" t="s">
        <v>666</v>
      </c>
      <c r="D55" s="37" t="s">
        <v>1417</v>
      </c>
    </row>
    <row r="56" spans="1:4" ht="10.5" customHeight="1" x14ac:dyDescent="0.35">
      <c r="A56" s="40"/>
      <c r="B56" s="36"/>
      <c r="C56" s="37" t="s">
        <v>325</v>
      </c>
      <c r="D56" s="37" t="s">
        <v>1418</v>
      </c>
    </row>
    <row r="57" spans="1:4" ht="10.5" customHeight="1" x14ac:dyDescent="0.35">
      <c r="A57" s="40"/>
      <c r="B57" s="36"/>
      <c r="C57" s="37" t="s">
        <v>1095</v>
      </c>
      <c r="D57" s="37" t="s">
        <v>1419</v>
      </c>
    </row>
    <row r="58" spans="1:4" ht="10.5" customHeight="1" x14ac:dyDescent="0.35">
      <c r="A58" s="40"/>
      <c r="B58" s="36"/>
      <c r="C58" s="37" t="s">
        <v>1096</v>
      </c>
      <c r="D58" s="37" t="s">
        <v>1420</v>
      </c>
    </row>
    <row r="59" spans="1:4" ht="10.5" customHeight="1" x14ac:dyDescent="0.35">
      <c r="A59" s="40"/>
      <c r="B59" s="36" t="s">
        <v>1421</v>
      </c>
      <c r="C59" s="37" t="s">
        <v>545</v>
      </c>
      <c r="D59" s="37" t="s">
        <v>1422</v>
      </c>
    </row>
    <row r="60" spans="1:4" ht="10.5" customHeight="1" x14ac:dyDescent="0.35">
      <c r="A60" s="40"/>
      <c r="B60" s="36"/>
      <c r="C60" s="37" t="s">
        <v>714</v>
      </c>
      <c r="D60" s="37" t="s">
        <v>1423</v>
      </c>
    </row>
    <row r="61" spans="1:4" ht="10.5" customHeight="1" x14ac:dyDescent="0.35">
      <c r="A61" s="40"/>
      <c r="B61" s="36"/>
      <c r="C61" s="37" t="s">
        <v>604</v>
      </c>
      <c r="D61" s="37" t="s">
        <v>1424</v>
      </c>
    </row>
    <row r="62" spans="1:4" ht="10.5" customHeight="1" x14ac:dyDescent="0.35">
      <c r="A62" s="40"/>
      <c r="B62" s="36" t="s">
        <v>1425</v>
      </c>
      <c r="C62" s="37" t="s">
        <v>1097</v>
      </c>
      <c r="D62" s="37" t="s">
        <v>1426</v>
      </c>
    </row>
    <row r="63" spans="1:4" ht="10.5" customHeight="1" x14ac:dyDescent="0.35">
      <c r="A63" s="40"/>
      <c r="B63" s="36"/>
      <c r="C63" s="37" t="s">
        <v>1098</v>
      </c>
      <c r="D63" s="37" t="s">
        <v>1427</v>
      </c>
    </row>
    <row r="64" spans="1:4" ht="10.5" customHeight="1" x14ac:dyDescent="0.35">
      <c r="A64" s="40"/>
      <c r="B64" s="36"/>
      <c r="C64" s="37" t="s">
        <v>1099</v>
      </c>
      <c r="D64" s="37" t="s">
        <v>1428</v>
      </c>
    </row>
    <row r="65" spans="1:4" ht="10.5" customHeight="1" x14ac:dyDescent="0.35">
      <c r="A65" s="40"/>
      <c r="B65" s="36" t="s">
        <v>1429</v>
      </c>
      <c r="C65" s="37" t="s">
        <v>1101</v>
      </c>
      <c r="D65" s="37" t="s">
        <v>1430</v>
      </c>
    </row>
    <row r="66" spans="1:4" ht="10.5" customHeight="1" x14ac:dyDescent="0.35">
      <c r="A66" s="40"/>
      <c r="B66" s="36"/>
      <c r="C66" s="37" t="s">
        <v>1102</v>
      </c>
      <c r="D66" s="37" t="s">
        <v>1431</v>
      </c>
    </row>
    <row r="67" spans="1:4" ht="10.5" customHeight="1" x14ac:dyDescent="0.35">
      <c r="A67" s="40"/>
      <c r="B67" s="36"/>
      <c r="C67" s="37" t="s">
        <v>1103</v>
      </c>
      <c r="D67" s="37" t="s">
        <v>1432</v>
      </c>
    </row>
  </sheetData>
  <mergeCells count="23">
    <mergeCell ref="A1:D1"/>
    <mergeCell ref="A47:A51"/>
    <mergeCell ref="B47:B51"/>
    <mergeCell ref="A52:A67"/>
    <mergeCell ref="B52:B53"/>
    <mergeCell ref="B54:B58"/>
    <mergeCell ref="B59:B61"/>
    <mergeCell ref="B62:B64"/>
    <mergeCell ref="B65:B67"/>
    <mergeCell ref="A28:A32"/>
    <mergeCell ref="B28:B32"/>
    <mergeCell ref="B33:B35"/>
    <mergeCell ref="B36:B39"/>
    <mergeCell ref="B40:B41"/>
    <mergeCell ref="A42:A46"/>
    <mergeCell ref="B42:B46"/>
    <mergeCell ref="A33:A41"/>
    <mergeCell ref="C2:D2"/>
    <mergeCell ref="A3:A27"/>
    <mergeCell ref="B3:B13"/>
    <mergeCell ref="B14:B20"/>
    <mergeCell ref="B21:B24"/>
    <mergeCell ref="B25:B27"/>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D0E1E-7D5B-41F7-824A-BF62A9905594}">
  <sheetPr>
    <tabColor rgb="FFFFC000"/>
  </sheetPr>
  <dimension ref="A1:G18"/>
  <sheetViews>
    <sheetView workbookViewId="0">
      <selection sqref="A1:B1"/>
    </sheetView>
  </sheetViews>
  <sheetFormatPr defaultRowHeight="14.5" x14ac:dyDescent="0.35"/>
  <cols>
    <col min="1" max="2" width="4.453125" customWidth="1"/>
    <col min="3" max="3" width="44.1796875" customWidth="1"/>
    <col min="4" max="4" width="45.81640625" customWidth="1"/>
  </cols>
  <sheetData>
    <row r="1" spans="1:7" s="2" customFormat="1" x14ac:dyDescent="0.35">
      <c r="A1" s="13" t="s">
        <v>1111</v>
      </c>
      <c r="B1" s="13" t="s">
        <v>1434</v>
      </c>
      <c r="C1" s="2" t="s">
        <v>7</v>
      </c>
      <c r="D1" s="2" t="s">
        <v>6</v>
      </c>
      <c r="E1" s="2" t="s">
        <v>223</v>
      </c>
      <c r="F1" s="2" t="s">
        <v>224</v>
      </c>
      <c r="G1" s="2" t="s">
        <v>225</v>
      </c>
    </row>
    <row r="2" spans="1:7" x14ac:dyDescent="0.35">
      <c r="A2">
        <v>16</v>
      </c>
      <c r="B2">
        <v>1</v>
      </c>
      <c r="C2" t="s">
        <v>61</v>
      </c>
      <c r="D2" t="s">
        <v>63</v>
      </c>
      <c r="E2" t="s">
        <v>257</v>
      </c>
      <c r="F2">
        <v>5</v>
      </c>
      <c r="G2">
        <v>2</v>
      </c>
    </row>
    <row r="3" spans="1:7" x14ac:dyDescent="0.35">
      <c r="A3">
        <v>16</v>
      </c>
      <c r="B3">
        <f>B2+1</f>
        <v>2</v>
      </c>
      <c r="C3" t="s">
        <v>62</v>
      </c>
      <c r="D3" t="s">
        <v>996</v>
      </c>
      <c r="E3" t="s">
        <v>278</v>
      </c>
      <c r="F3">
        <v>0</v>
      </c>
      <c r="G3">
        <v>3</v>
      </c>
    </row>
    <row r="4" spans="1:7" x14ac:dyDescent="0.35">
      <c r="A4">
        <v>16</v>
      </c>
      <c r="B4">
        <f t="shared" ref="B4:B17" si="0">B3+1</f>
        <v>3</v>
      </c>
      <c r="C4" t="s">
        <v>64</v>
      </c>
      <c r="D4" t="s">
        <v>64</v>
      </c>
      <c r="E4" t="s">
        <v>190</v>
      </c>
      <c r="F4">
        <v>1</v>
      </c>
      <c r="G4">
        <v>1</v>
      </c>
    </row>
    <row r="5" spans="1:7" x14ac:dyDescent="0.35">
      <c r="A5">
        <v>16</v>
      </c>
      <c r="B5">
        <f t="shared" si="0"/>
        <v>4</v>
      </c>
      <c r="C5" t="s">
        <v>65</v>
      </c>
      <c r="D5" t="s">
        <v>65</v>
      </c>
      <c r="E5" t="s">
        <v>190</v>
      </c>
      <c r="F5">
        <v>1</v>
      </c>
      <c r="G5">
        <v>1</v>
      </c>
    </row>
    <row r="6" spans="1:7" x14ac:dyDescent="0.35">
      <c r="A6">
        <v>16</v>
      </c>
      <c r="B6">
        <f t="shared" si="0"/>
        <v>5</v>
      </c>
      <c r="C6" t="s">
        <v>66</v>
      </c>
      <c r="D6" t="s">
        <v>66</v>
      </c>
      <c r="E6" t="s">
        <v>190</v>
      </c>
      <c r="F6">
        <v>1</v>
      </c>
      <c r="G6">
        <v>1</v>
      </c>
    </row>
    <row r="7" spans="1:7" x14ac:dyDescent="0.35">
      <c r="A7">
        <v>16</v>
      </c>
      <c r="B7">
        <f t="shared" si="0"/>
        <v>6</v>
      </c>
      <c r="C7" t="s">
        <v>67</v>
      </c>
      <c r="D7" t="s">
        <v>67</v>
      </c>
      <c r="E7" t="s">
        <v>190</v>
      </c>
      <c r="F7">
        <v>1</v>
      </c>
      <c r="G7">
        <v>3</v>
      </c>
    </row>
    <row r="8" spans="1:7" x14ac:dyDescent="0.35">
      <c r="A8">
        <v>16</v>
      </c>
      <c r="B8">
        <f t="shared" si="0"/>
        <v>7</v>
      </c>
      <c r="C8" t="s">
        <v>68</v>
      </c>
      <c r="D8" t="s">
        <v>997</v>
      </c>
      <c r="E8" t="s">
        <v>273</v>
      </c>
      <c r="F8">
        <v>0</v>
      </c>
      <c r="G8">
        <v>4</v>
      </c>
    </row>
    <row r="9" spans="1:7" x14ac:dyDescent="0.35">
      <c r="A9">
        <v>16</v>
      </c>
      <c r="B9">
        <f t="shared" si="0"/>
        <v>8</v>
      </c>
      <c r="C9" t="s">
        <v>69</v>
      </c>
      <c r="D9" t="s">
        <v>998</v>
      </c>
      <c r="E9" t="s">
        <v>190</v>
      </c>
      <c r="F9">
        <v>1</v>
      </c>
      <c r="G9">
        <v>1</v>
      </c>
    </row>
    <row r="10" spans="1:7" x14ac:dyDescent="0.35">
      <c r="A10">
        <v>16</v>
      </c>
      <c r="B10">
        <f t="shared" si="0"/>
        <v>9</v>
      </c>
      <c r="C10" t="s">
        <v>70</v>
      </c>
      <c r="D10" t="s">
        <v>999</v>
      </c>
      <c r="E10" t="s">
        <v>190</v>
      </c>
      <c r="F10">
        <v>3</v>
      </c>
      <c r="G10">
        <v>1</v>
      </c>
    </row>
    <row r="11" spans="1:7" x14ac:dyDescent="0.35">
      <c r="A11">
        <v>16</v>
      </c>
      <c r="B11">
        <f t="shared" si="0"/>
        <v>10</v>
      </c>
      <c r="C11" t="s">
        <v>1246</v>
      </c>
      <c r="D11" t="s">
        <v>1000</v>
      </c>
      <c r="E11" t="s">
        <v>190</v>
      </c>
      <c r="F11">
        <v>2</v>
      </c>
      <c r="G11">
        <v>1</v>
      </c>
    </row>
    <row r="12" spans="1:7" x14ac:dyDescent="0.35">
      <c r="A12">
        <v>16</v>
      </c>
      <c r="B12">
        <f t="shared" si="0"/>
        <v>11</v>
      </c>
      <c r="C12" t="s">
        <v>71</v>
      </c>
      <c r="D12" t="s">
        <v>1001</v>
      </c>
      <c r="E12" t="s">
        <v>257</v>
      </c>
      <c r="F12">
        <v>5</v>
      </c>
      <c r="G12">
        <v>2</v>
      </c>
    </row>
    <row r="13" spans="1:7" x14ac:dyDescent="0.35">
      <c r="A13">
        <v>16</v>
      </c>
      <c r="B13">
        <f t="shared" si="0"/>
        <v>12</v>
      </c>
      <c r="C13" t="s">
        <v>72</v>
      </c>
      <c r="D13" t="s">
        <v>1245</v>
      </c>
      <c r="E13" t="s">
        <v>190</v>
      </c>
      <c r="F13">
        <v>1</v>
      </c>
      <c r="G13">
        <v>1</v>
      </c>
    </row>
    <row r="14" spans="1:7" x14ac:dyDescent="0.35">
      <c r="A14">
        <v>16</v>
      </c>
      <c r="B14">
        <f t="shared" si="0"/>
        <v>13</v>
      </c>
      <c r="C14" t="s">
        <v>73</v>
      </c>
      <c r="D14" t="s">
        <v>1002</v>
      </c>
      <c r="E14" t="s">
        <v>190</v>
      </c>
      <c r="F14">
        <v>1</v>
      </c>
      <c r="G14">
        <v>1</v>
      </c>
    </row>
    <row r="15" spans="1:7" x14ac:dyDescent="0.35">
      <c r="A15">
        <v>16</v>
      </c>
      <c r="B15">
        <f t="shared" si="0"/>
        <v>14</v>
      </c>
      <c r="C15" t="s">
        <v>74</v>
      </c>
      <c r="D15" t="s">
        <v>1004</v>
      </c>
      <c r="E15" t="s">
        <v>190</v>
      </c>
      <c r="F15">
        <v>1</v>
      </c>
      <c r="G15">
        <v>2</v>
      </c>
    </row>
    <row r="16" spans="1:7" x14ac:dyDescent="0.35">
      <c r="A16">
        <v>16</v>
      </c>
      <c r="B16">
        <f t="shared" si="0"/>
        <v>15</v>
      </c>
      <c r="C16" t="s">
        <v>75</v>
      </c>
      <c r="D16" t="s">
        <v>1003</v>
      </c>
      <c r="E16" t="s">
        <v>190</v>
      </c>
      <c r="F16">
        <v>1</v>
      </c>
      <c r="G16">
        <v>1</v>
      </c>
    </row>
    <row r="17" spans="1:7" x14ac:dyDescent="0.35">
      <c r="A17">
        <v>16</v>
      </c>
      <c r="B17">
        <f t="shared" si="0"/>
        <v>16</v>
      </c>
      <c r="C17" t="s">
        <v>76</v>
      </c>
      <c r="D17" t="s">
        <v>1005</v>
      </c>
      <c r="E17" t="s">
        <v>190</v>
      </c>
      <c r="F17">
        <v>1</v>
      </c>
      <c r="G17">
        <v>1</v>
      </c>
    </row>
    <row r="18" spans="1:7" x14ac:dyDescent="0.35">
      <c r="D18" t="s">
        <v>28</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BB352-6C2F-4C69-A484-A2261810757A}">
  <sheetPr>
    <tabColor rgb="FFFFC000"/>
  </sheetPr>
  <dimension ref="A1:G31"/>
  <sheetViews>
    <sheetView workbookViewId="0">
      <selection sqref="A1:B1"/>
    </sheetView>
  </sheetViews>
  <sheetFormatPr defaultRowHeight="14.5" x14ac:dyDescent="0.35"/>
  <cols>
    <col min="1" max="2" width="8.7265625" style="12"/>
    <col min="3" max="3" width="47.08984375" style="12" customWidth="1"/>
    <col min="4" max="4" width="28.54296875" style="12" customWidth="1"/>
    <col min="5" max="16384" width="8.7265625" style="12"/>
  </cols>
  <sheetData>
    <row r="1" spans="1:7" x14ac:dyDescent="0.35">
      <c r="A1" s="13" t="s">
        <v>1111</v>
      </c>
      <c r="B1" s="13" t="s">
        <v>1434</v>
      </c>
      <c r="C1" s="14" t="s">
        <v>7</v>
      </c>
      <c r="D1" s="14" t="s">
        <v>222</v>
      </c>
      <c r="E1" s="14" t="s">
        <v>223</v>
      </c>
      <c r="F1" s="14" t="s">
        <v>224</v>
      </c>
      <c r="G1" s="14" t="s">
        <v>225</v>
      </c>
    </row>
    <row r="2" spans="1:7" x14ac:dyDescent="0.35">
      <c r="A2" s="12">
        <v>17</v>
      </c>
      <c r="B2" s="12">
        <v>1</v>
      </c>
      <c r="C2" s="12" t="s">
        <v>302</v>
      </c>
      <c r="D2" s="12" t="s">
        <v>302</v>
      </c>
      <c r="E2" s="12" t="s">
        <v>190</v>
      </c>
      <c r="F2" s="12">
        <v>1</v>
      </c>
      <c r="G2" s="12">
        <v>2</v>
      </c>
    </row>
    <row r="3" spans="1:7" x14ac:dyDescent="0.35">
      <c r="A3" s="12">
        <v>17</v>
      </c>
      <c r="B3" s="12">
        <v>2</v>
      </c>
      <c r="C3" s="12" t="s">
        <v>303</v>
      </c>
      <c r="D3" s="12" t="s">
        <v>303</v>
      </c>
      <c r="E3" s="12" t="s">
        <v>190</v>
      </c>
      <c r="F3" s="12">
        <v>2</v>
      </c>
      <c r="G3" s="12">
        <v>1</v>
      </c>
    </row>
    <row r="4" spans="1:7" x14ac:dyDescent="0.35">
      <c r="A4" s="12">
        <v>17</v>
      </c>
      <c r="B4" s="12">
        <v>3</v>
      </c>
      <c r="C4" s="12" t="s">
        <v>305</v>
      </c>
      <c r="D4" s="12" t="s">
        <v>305</v>
      </c>
      <c r="E4" s="12" t="s">
        <v>190</v>
      </c>
      <c r="F4" s="12">
        <v>2</v>
      </c>
      <c r="G4" s="12">
        <v>1</v>
      </c>
    </row>
    <row r="5" spans="1:7" x14ac:dyDescent="0.35">
      <c r="A5" s="12">
        <v>17</v>
      </c>
      <c r="B5" s="12">
        <v>4</v>
      </c>
      <c r="C5" s="12" t="s">
        <v>307</v>
      </c>
      <c r="D5" s="12" t="s">
        <v>306</v>
      </c>
      <c r="E5" s="12" t="s">
        <v>190</v>
      </c>
      <c r="F5" s="12">
        <v>3</v>
      </c>
      <c r="G5" s="12">
        <v>2</v>
      </c>
    </row>
    <row r="6" spans="1:7" x14ac:dyDescent="0.35">
      <c r="A6" s="12">
        <v>17</v>
      </c>
      <c r="B6" s="12">
        <v>5</v>
      </c>
      <c r="C6" s="12" t="s">
        <v>309</v>
      </c>
      <c r="D6" s="12" t="s">
        <v>309</v>
      </c>
      <c r="E6" s="12" t="s">
        <v>190</v>
      </c>
      <c r="F6" s="12">
        <v>3</v>
      </c>
      <c r="G6" s="12">
        <v>2</v>
      </c>
    </row>
    <row r="7" spans="1:7" x14ac:dyDescent="0.35">
      <c r="A7" s="12">
        <v>17</v>
      </c>
      <c r="B7" s="12">
        <v>6</v>
      </c>
      <c r="C7" s="12" t="s">
        <v>311</v>
      </c>
      <c r="D7" s="12" t="s">
        <v>310</v>
      </c>
      <c r="E7" s="12" t="s">
        <v>202</v>
      </c>
      <c r="F7" s="12">
        <v>0</v>
      </c>
      <c r="G7" s="12">
        <v>1</v>
      </c>
    </row>
    <row r="8" spans="1:7" x14ac:dyDescent="0.35">
      <c r="A8" s="12">
        <v>17</v>
      </c>
      <c r="B8" s="12">
        <v>7</v>
      </c>
      <c r="C8" s="12" t="s">
        <v>313</v>
      </c>
      <c r="D8" s="12" t="s">
        <v>312</v>
      </c>
      <c r="E8" s="12" t="s">
        <v>202</v>
      </c>
      <c r="F8" s="12">
        <v>0</v>
      </c>
      <c r="G8" s="12">
        <v>2</v>
      </c>
    </row>
    <row r="9" spans="1:7" x14ac:dyDescent="0.35">
      <c r="A9" s="12">
        <v>17</v>
      </c>
      <c r="B9" s="12">
        <v>8</v>
      </c>
      <c r="C9" s="12" t="s">
        <v>315</v>
      </c>
      <c r="D9" s="12" t="s">
        <v>314</v>
      </c>
      <c r="E9" s="12" t="s">
        <v>270</v>
      </c>
      <c r="F9" s="12">
        <v>1</v>
      </c>
      <c r="G9" s="12">
        <v>1</v>
      </c>
    </row>
    <row r="10" spans="1:7" x14ac:dyDescent="0.35">
      <c r="A10" s="12">
        <v>17</v>
      </c>
      <c r="B10" s="12">
        <v>9</v>
      </c>
      <c r="C10" s="12" t="s">
        <v>316</v>
      </c>
      <c r="D10" s="12" t="s">
        <v>316</v>
      </c>
      <c r="E10" s="12" t="s">
        <v>257</v>
      </c>
      <c r="F10" s="12">
        <v>3</v>
      </c>
      <c r="G10" s="12">
        <v>1</v>
      </c>
    </row>
    <row r="11" spans="1:7" x14ac:dyDescent="0.35">
      <c r="A11" s="12">
        <v>17</v>
      </c>
      <c r="B11" s="12">
        <v>10</v>
      </c>
      <c r="C11" s="12" t="s">
        <v>318</v>
      </c>
      <c r="D11" s="12" t="s">
        <v>317</v>
      </c>
      <c r="E11" s="12" t="s">
        <v>270</v>
      </c>
      <c r="F11" s="12">
        <v>1</v>
      </c>
      <c r="G11" s="12">
        <v>8</v>
      </c>
    </row>
    <row r="12" spans="1:7" x14ac:dyDescent="0.35">
      <c r="A12" s="12">
        <v>17</v>
      </c>
      <c r="B12" s="12">
        <v>11</v>
      </c>
      <c r="C12" s="12" t="s">
        <v>320</v>
      </c>
      <c r="D12" s="12" t="s">
        <v>319</v>
      </c>
      <c r="E12" s="12" t="s">
        <v>257</v>
      </c>
      <c r="F12" s="12">
        <v>5</v>
      </c>
      <c r="G12" s="12">
        <v>3</v>
      </c>
    </row>
    <row r="13" spans="1:7" x14ac:dyDescent="0.35">
      <c r="A13" s="12">
        <v>17</v>
      </c>
      <c r="B13" s="12">
        <v>12</v>
      </c>
      <c r="C13" s="12" t="s">
        <v>323</v>
      </c>
      <c r="D13" s="12" t="s">
        <v>322</v>
      </c>
      <c r="E13" s="12" t="s">
        <v>257</v>
      </c>
      <c r="F13" s="12">
        <v>1</v>
      </c>
      <c r="G13" s="12">
        <v>1</v>
      </c>
    </row>
    <row r="14" spans="1:7" x14ac:dyDescent="0.35">
      <c r="A14" s="12">
        <v>17</v>
      </c>
      <c r="B14" s="12">
        <v>13</v>
      </c>
      <c r="C14" s="12" t="s">
        <v>326</v>
      </c>
      <c r="D14" s="12" t="s">
        <v>326</v>
      </c>
      <c r="E14" s="12" t="s">
        <v>257</v>
      </c>
      <c r="F14" s="12">
        <v>1</v>
      </c>
      <c r="G14" s="12">
        <v>1</v>
      </c>
    </row>
    <row r="15" spans="1:7" x14ac:dyDescent="0.35">
      <c r="A15" s="12">
        <v>17</v>
      </c>
      <c r="B15" s="12">
        <v>14</v>
      </c>
      <c r="C15" s="12" t="s">
        <v>327</v>
      </c>
      <c r="D15" s="12" t="s">
        <v>327</v>
      </c>
      <c r="E15" s="12" t="s">
        <v>257</v>
      </c>
      <c r="F15" s="12">
        <v>1</v>
      </c>
      <c r="G15" s="12">
        <v>2</v>
      </c>
    </row>
    <row r="16" spans="1:7" x14ac:dyDescent="0.35">
      <c r="A16" s="12">
        <v>17</v>
      </c>
      <c r="B16" s="12">
        <v>15</v>
      </c>
      <c r="C16" s="12" t="s">
        <v>329</v>
      </c>
      <c r="D16" s="12" t="s">
        <v>328</v>
      </c>
      <c r="E16" s="12" t="s">
        <v>190</v>
      </c>
      <c r="F16" s="12">
        <v>2</v>
      </c>
      <c r="G16" s="12">
        <v>2</v>
      </c>
    </row>
    <row r="17" spans="1:7" x14ac:dyDescent="0.35">
      <c r="A17" s="12">
        <v>17</v>
      </c>
      <c r="B17" s="12">
        <f>B16+1</f>
        <v>16</v>
      </c>
      <c r="C17" s="12" t="s">
        <v>331</v>
      </c>
      <c r="D17" s="12" t="s">
        <v>330</v>
      </c>
      <c r="E17" s="12" t="s">
        <v>257</v>
      </c>
      <c r="F17" s="12">
        <v>5</v>
      </c>
      <c r="G17" s="12">
        <v>2</v>
      </c>
    </row>
    <row r="18" spans="1:7" x14ac:dyDescent="0.35">
      <c r="A18" s="12">
        <v>17</v>
      </c>
      <c r="B18" s="12">
        <f t="shared" ref="B18:B31" si="0">B17+1</f>
        <v>17</v>
      </c>
      <c r="C18" s="12" t="s">
        <v>332</v>
      </c>
      <c r="D18" s="12" t="s">
        <v>332</v>
      </c>
      <c r="E18" s="12" t="s">
        <v>190</v>
      </c>
      <c r="F18" s="12">
        <v>3</v>
      </c>
      <c r="G18" s="12">
        <v>1</v>
      </c>
    </row>
    <row r="19" spans="1:7" x14ac:dyDescent="0.35">
      <c r="A19" s="12">
        <v>17</v>
      </c>
      <c r="B19" s="12">
        <f t="shared" si="0"/>
        <v>18</v>
      </c>
      <c r="C19" s="12" t="s">
        <v>334</v>
      </c>
      <c r="D19" s="12" t="s">
        <v>333</v>
      </c>
      <c r="E19" s="12" t="s">
        <v>257</v>
      </c>
      <c r="F19" s="12">
        <v>1</v>
      </c>
      <c r="G19" s="12">
        <v>1</v>
      </c>
    </row>
    <row r="20" spans="1:7" x14ac:dyDescent="0.35">
      <c r="A20" s="12">
        <v>17</v>
      </c>
      <c r="B20" s="12">
        <f t="shared" si="0"/>
        <v>19</v>
      </c>
      <c r="C20" s="12" t="s">
        <v>336</v>
      </c>
      <c r="D20" s="12" t="s">
        <v>335</v>
      </c>
      <c r="E20" s="12" t="s">
        <v>257</v>
      </c>
      <c r="F20" s="12">
        <v>1</v>
      </c>
      <c r="G20" s="12">
        <v>1</v>
      </c>
    </row>
    <row r="21" spans="1:7" x14ac:dyDescent="0.35">
      <c r="A21" s="12">
        <v>17</v>
      </c>
      <c r="B21" s="12">
        <f t="shared" si="0"/>
        <v>20</v>
      </c>
      <c r="C21" s="12" t="s">
        <v>338</v>
      </c>
      <c r="D21" s="12" t="s">
        <v>337</v>
      </c>
      <c r="E21" s="12" t="s">
        <v>257</v>
      </c>
      <c r="F21" s="12">
        <v>2</v>
      </c>
      <c r="G21" s="12">
        <v>2</v>
      </c>
    </row>
    <row r="22" spans="1:7" x14ac:dyDescent="0.35">
      <c r="A22" s="12">
        <v>17</v>
      </c>
      <c r="B22" s="12">
        <f t="shared" si="0"/>
        <v>21</v>
      </c>
      <c r="C22" s="12" t="s">
        <v>339</v>
      </c>
      <c r="D22" s="12" t="s">
        <v>339</v>
      </c>
      <c r="E22" s="12" t="s">
        <v>257</v>
      </c>
      <c r="F22" s="12">
        <v>2</v>
      </c>
      <c r="G22" s="12">
        <v>2</v>
      </c>
    </row>
    <row r="23" spans="1:7" x14ac:dyDescent="0.35">
      <c r="A23" s="12">
        <v>17</v>
      </c>
      <c r="B23" s="12">
        <f t="shared" si="0"/>
        <v>22</v>
      </c>
      <c r="C23" s="12" t="s">
        <v>341</v>
      </c>
      <c r="D23" s="12" t="s">
        <v>340</v>
      </c>
      <c r="E23" s="12" t="s">
        <v>257</v>
      </c>
      <c r="F23" s="12">
        <v>2</v>
      </c>
      <c r="G23" s="12">
        <v>2</v>
      </c>
    </row>
    <row r="24" spans="1:7" x14ac:dyDescent="0.35">
      <c r="A24" s="12">
        <v>17</v>
      </c>
      <c r="B24" s="12">
        <f t="shared" si="0"/>
        <v>23</v>
      </c>
      <c r="C24" s="12" t="s">
        <v>342</v>
      </c>
      <c r="D24" s="12" t="s">
        <v>342</v>
      </c>
      <c r="E24" s="12" t="s">
        <v>257</v>
      </c>
      <c r="F24" s="12">
        <v>2</v>
      </c>
      <c r="G24" s="12">
        <v>2</v>
      </c>
    </row>
    <row r="25" spans="1:7" x14ac:dyDescent="0.35">
      <c r="A25" s="12">
        <v>17</v>
      </c>
      <c r="B25" s="12">
        <f t="shared" si="0"/>
        <v>24</v>
      </c>
      <c r="C25" s="12" t="s">
        <v>343</v>
      </c>
      <c r="D25" s="12" t="s">
        <v>343</v>
      </c>
      <c r="E25" s="12" t="s">
        <v>257</v>
      </c>
      <c r="F25" s="12">
        <v>2</v>
      </c>
      <c r="G25" s="12">
        <v>2</v>
      </c>
    </row>
    <row r="26" spans="1:7" x14ac:dyDescent="0.35">
      <c r="A26" s="12">
        <v>17</v>
      </c>
      <c r="B26" s="12">
        <f t="shared" si="0"/>
        <v>25</v>
      </c>
      <c r="C26" s="12" t="s">
        <v>345</v>
      </c>
      <c r="D26" s="12" t="s">
        <v>344</v>
      </c>
      <c r="E26" s="12" t="s">
        <v>190</v>
      </c>
      <c r="F26" s="12">
        <v>3</v>
      </c>
      <c r="G26" s="12">
        <v>1</v>
      </c>
    </row>
    <row r="27" spans="1:7" x14ac:dyDescent="0.35">
      <c r="A27" s="12">
        <v>17</v>
      </c>
      <c r="B27" s="12">
        <f t="shared" si="0"/>
        <v>26</v>
      </c>
      <c r="C27" s="12" t="s">
        <v>346</v>
      </c>
      <c r="D27" s="12" t="s">
        <v>346</v>
      </c>
      <c r="E27" s="12" t="s">
        <v>278</v>
      </c>
      <c r="F27" s="12">
        <v>0</v>
      </c>
      <c r="G27" s="12">
        <v>1</v>
      </c>
    </row>
    <row r="28" spans="1:7" x14ac:dyDescent="0.35">
      <c r="A28" s="12">
        <v>17</v>
      </c>
      <c r="B28" s="12">
        <f t="shared" si="0"/>
        <v>27</v>
      </c>
      <c r="C28" s="12" t="s">
        <v>347</v>
      </c>
      <c r="D28" s="12" t="s">
        <v>347</v>
      </c>
      <c r="E28" s="12" t="s">
        <v>278</v>
      </c>
      <c r="F28" s="12">
        <v>0</v>
      </c>
      <c r="G28" s="12">
        <v>5</v>
      </c>
    </row>
    <row r="29" spans="1:7" x14ac:dyDescent="0.35">
      <c r="A29" s="12">
        <v>17</v>
      </c>
      <c r="B29" s="12">
        <f t="shared" si="0"/>
        <v>28</v>
      </c>
      <c r="C29" s="12" t="s">
        <v>348</v>
      </c>
      <c r="D29" s="12" t="s">
        <v>348</v>
      </c>
      <c r="E29" s="12" t="s">
        <v>190</v>
      </c>
      <c r="F29" s="12">
        <v>3</v>
      </c>
      <c r="G29" s="12">
        <v>1</v>
      </c>
    </row>
    <row r="30" spans="1:7" x14ac:dyDescent="0.35">
      <c r="A30" s="12">
        <v>17</v>
      </c>
      <c r="B30" s="12">
        <f t="shared" si="0"/>
        <v>29</v>
      </c>
      <c r="C30" s="12" t="s">
        <v>349</v>
      </c>
      <c r="D30" s="12" t="s">
        <v>349</v>
      </c>
      <c r="E30" s="12" t="s">
        <v>273</v>
      </c>
      <c r="F30" s="12">
        <v>1</v>
      </c>
      <c r="G30" s="12">
        <v>1</v>
      </c>
    </row>
    <row r="31" spans="1:7" x14ac:dyDescent="0.35">
      <c r="A31" s="12">
        <v>17</v>
      </c>
      <c r="B31" s="12">
        <f t="shared" si="0"/>
        <v>30</v>
      </c>
      <c r="C31" s="12" t="s">
        <v>350</v>
      </c>
      <c r="D31" s="12" t="s">
        <v>350</v>
      </c>
      <c r="E31" s="12" t="s">
        <v>190</v>
      </c>
      <c r="F31" s="12">
        <v>3</v>
      </c>
      <c r="G31" s="12">
        <v>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6D54C-C867-40E3-8A9D-399E5D49378D}">
  <sheetPr>
    <tabColor rgb="FFFFC000"/>
  </sheetPr>
  <dimension ref="A1:G66"/>
  <sheetViews>
    <sheetView workbookViewId="0">
      <selection sqref="A1:B1"/>
    </sheetView>
  </sheetViews>
  <sheetFormatPr defaultRowHeight="14.5" x14ac:dyDescent="0.35"/>
  <cols>
    <col min="4" max="4" width="32.6328125" customWidth="1"/>
    <col min="5" max="5" width="9.26953125" customWidth="1"/>
  </cols>
  <sheetData>
    <row r="1" spans="1:7" x14ac:dyDescent="0.35">
      <c r="A1" s="13" t="s">
        <v>1111</v>
      </c>
      <c r="B1" s="13" t="s">
        <v>1434</v>
      </c>
      <c r="C1" s="2" t="s">
        <v>7</v>
      </c>
      <c r="D1" s="2" t="s">
        <v>222</v>
      </c>
      <c r="E1" s="2" t="s">
        <v>223</v>
      </c>
      <c r="F1" s="2" t="s">
        <v>224</v>
      </c>
      <c r="G1" s="2" t="s">
        <v>225</v>
      </c>
    </row>
    <row r="2" spans="1:7" x14ac:dyDescent="0.35">
      <c r="A2">
        <v>18</v>
      </c>
      <c r="B2">
        <v>1</v>
      </c>
      <c r="C2" t="s">
        <v>552</v>
      </c>
      <c r="D2" t="s">
        <v>551</v>
      </c>
      <c r="E2" t="s">
        <v>278</v>
      </c>
      <c r="F2">
        <v>0</v>
      </c>
      <c r="G2">
        <v>1</v>
      </c>
    </row>
    <row r="3" spans="1:7" x14ac:dyDescent="0.35">
      <c r="A3">
        <v>18</v>
      </c>
      <c r="B3">
        <f>B2+1</f>
        <v>2</v>
      </c>
      <c r="C3" t="s">
        <v>555</v>
      </c>
      <c r="D3" t="s">
        <v>554</v>
      </c>
      <c r="E3" t="s">
        <v>278</v>
      </c>
      <c r="F3">
        <v>0</v>
      </c>
      <c r="G3">
        <v>1</v>
      </c>
    </row>
    <row r="4" spans="1:7" x14ac:dyDescent="0.35">
      <c r="A4">
        <v>18</v>
      </c>
      <c r="B4">
        <f t="shared" ref="B4:B66" si="0">B3+1</f>
        <v>3</v>
      </c>
      <c r="C4" t="s">
        <v>557</v>
      </c>
      <c r="D4" t="s">
        <v>556</v>
      </c>
      <c r="E4" t="s">
        <v>273</v>
      </c>
      <c r="F4">
        <v>0</v>
      </c>
      <c r="G4">
        <v>3</v>
      </c>
    </row>
    <row r="5" spans="1:7" x14ac:dyDescent="0.35">
      <c r="A5">
        <v>18</v>
      </c>
      <c r="B5">
        <f t="shared" si="0"/>
        <v>4</v>
      </c>
      <c r="D5" t="s">
        <v>558</v>
      </c>
      <c r="E5" t="s">
        <v>273</v>
      </c>
      <c r="F5">
        <v>0</v>
      </c>
      <c r="G5">
        <v>3</v>
      </c>
    </row>
    <row r="6" spans="1:7" x14ac:dyDescent="0.35">
      <c r="A6">
        <v>18</v>
      </c>
      <c r="B6">
        <f t="shared" si="0"/>
        <v>5</v>
      </c>
      <c r="C6" t="s">
        <v>560</v>
      </c>
      <c r="D6" t="s">
        <v>559</v>
      </c>
      <c r="E6" t="s">
        <v>190</v>
      </c>
      <c r="F6">
        <v>3</v>
      </c>
      <c r="G6">
        <v>1</v>
      </c>
    </row>
    <row r="7" spans="1:7" x14ac:dyDescent="0.35">
      <c r="A7">
        <v>18</v>
      </c>
      <c r="B7">
        <f t="shared" si="0"/>
        <v>6</v>
      </c>
      <c r="D7" t="s">
        <v>561</v>
      </c>
      <c r="E7" t="s">
        <v>190</v>
      </c>
      <c r="F7">
        <v>1</v>
      </c>
      <c r="G7">
        <v>1</v>
      </c>
    </row>
    <row r="8" spans="1:7" x14ac:dyDescent="0.35">
      <c r="A8">
        <v>18</v>
      </c>
      <c r="B8">
        <f t="shared" si="0"/>
        <v>7</v>
      </c>
      <c r="D8" t="s">
        <v>562</v>
      </c>
      <c r="E8" t="s">
        <v>190</v>
      </c>
      <c r="F8">
        <v>3</v>
      </c>
      <c r="G8">
        <v>3</v>
      </c>
    </row>
    <row r="9" spans="1:7" x14ac:dyDescent="0.35">
      <c r="A9">
        <v>18</v>
      </c>
      <c r="B9">
        <f t="shared" si="0"/>
        <v>8</v>
      </c>
      <c r="C9" t="s">
        <v>564</v>
      </c>
      <c r="D9" t="s">
        <v>563</v>
      </c>
      <c r="E9" t="s">
        <v>278</v>
      </c>
      <c r="F9">
        <v>0</v>
      </c>
      <c r="G9">
        <v>3</v>
      </c>
    </row>
    <row r="10" spans="1:7" x14ac:dyDescent="0.35">
      <c r="A10">
        <v>18</v>
      </c>
      <c r="B10">
        <f t="shared" si="0"/>
        <v>9</v>
      </c>
      <c r="D10" t="s">
        <v>565</v>
      </c>
      <c r="E10" t="s">
        <v>190</v>
      </c>
      <c r="F10">
        <v>3</v>
      </c>
      <c r="G10">
        <v>4</v>
      </c>
    </row>
    <row r="11" spans="1:7" x14ac:dyDescent="0.35">
      <c r="A11">
        <v>18</v>
      </c>
      <c r="B11">
        <f t="shared" si="0"/>
        <v>10</v>
      </c>
      <c r="C11" t="s">
        <v>567</v>
      </c>
      <c r="D11" t="s">
        <v>566</v>
      </c>
      <c r="E11" t="s">
        <v>270</v>
      </c>
      <c r="F11">
        <v>1</v>
      </c>
      <c r="G11">
        <v>7</v>
      </c>
    </row>
    <row r="12" spans="1:7" x14ac:dyDescent="0.35">
      <c r="A12">
        <v>18</v>
      </c>
      <c r="B12">
        <f t="shared" si="0"/>
        <v>11</v>
      </c>
      <c r="C12" t="s">
        <v>569</v>
      </c>
      <c r="D12" t="s">
        <v>568</v>
      </c>
      <c r="E12" t="s">
        <v>202</v>
      </c>
      <c r="F12">
        <v>0</v>
      </c>
      <c r="G12">
        <v>3</v>
      </c>
    </row>
    <row r="13" spans="1:7" x14ac:dyDescent="0.35">
      <c r="A13">
        <v>18</v>
      </c>
      <c r="B13">
        <f t="shared" si="0"/>
        <v>12</v>
      </c>
      <c r="D13" t="s">
        <v>570</v>
      </c>
      <c r="E13" t="s">
        <v>270</v>
      </c>
      <c r="F13">
        <v>1</v>
      </c>
      <c r="G13">
        <v>1</v>
      </c>
    </row>
    <row r="14" spans="1:7" x14ac:dyDescent="0.35">
      <c r="A14">
        <v>18</v>
      </c>
      <c r="B14">
        <f t="shared" si="0"/>
        <v>13</v>
      </c>
      <c r="D14" t="s">
        <v>571</v>
      </c>
      <c r="E14" t="s">
        <v>270</v>
      </c>
      <c r="F14">
        <v>1</v>
      </c>
      <c r="G14">
        <v>1</v>
      </c>
    </row>
    <row r="15" spans="1:7" x14ac:dyDescent="0.35">
      <c r="A15">
        <v>18</v>
      </c>
      <c r="B15">
        <f t="shared" si="0"/>
        <v>14</v>
      </c>
      <c r="D15" t="s">
        <v>572</v>
      </c>
      <c r="E15" t="s">
        <v>270</v>
      </c>
      <c r="F15">
        <v>1</v>
      </c>
      <c r="G15">
        <v>2</v>
      </c>
    </row>
    <row r="16" spans="1:7" x14ac:dyDescent="0.35">
      <c r="A16">
        <v>18</v>
      </c>
      <c r="B16">
        <f t="shared" si="0"/>
        <v>15</v>
      </c>
      <c r="C16" t="s">
        <v>574</v>
      </c>
      <c r="D16" t="s">
        <v>573</v>
      </c>
      <c r="E16" t="s">
        <v>270</v>
      </c>
      <c r="F16">
        <v>1</v>
      </c>
      <c r="G16">
        <v>6</v>
      </c>
    </row>
    <row r="17" spans="1:7" x14ac:dyDescent="0.35">
      <c r="A17">
        <v>18</v>
      </c>
      <c r="B17">
        <f t="shared" si="0"/>
        <v>16</v>
      </c>
      <c r="C17" t="s">
        <v>576</v>
      </c>
      <c r="D17" t="s">
        <v>575</v>
      </c>
      <c r="E17" t="s">
        <v>270</v>
      </c>
      <c r="F17">
        <v>1</v>
      </c>
      <c r="G17">
        <v>8</v>
      </c>
    </row>
    <row r="18" spans="1:7" x14ac:dyDescent="0.35">
      <c r="A18">
        <v>18</v>
      </c>
      <c r="B18">
        <f t="shared" si="0"/>
        <v>17</v>
      </c>
      <c r="C18" t="s">
        <v>578</v>
      </c>
      <c r="D18" t="s">
        <v>577</v>
      </c>
      <c r="E18" t="s">
        <v>270</v>
      </c>
      <c r="F18">
        <v>1</v>
      </c>
      <c r="G18">
        <v>9</v>
      </c>
    </row>
    <row r="19" spans="1:7" x14ac:dyDescent="0.35">
      <c r="A19">
        <v>18</v>
      </c>
      <c r="B19">
        <f t="shared" si="0"/>
        <v>18</v>
      </c>
      <c r="C19" t="s">
        <v>580</v>
      </c>
      <c r="D19" t="s">
        <v>579</v>
      </c>
      <c r="E19" t="s">
        <v>270</v>
      </c>
      <c r="F19">
        <v>1</v>
      </c>
      <c r="G19">
        <v>10</v>
      </c>
    </row>
    <row r="20" spans="1:7" x14ac:dyDescent="0.35">
      <c r="A20">
        <v>18</v>
      </c>
      <c r="B20">
        <f t="shared" si="0"/>
        <v>19</v>
      </c>
      <c r="C20" t="s">
        <v>582</v>
      </c>
      <c r="D20" t="s">
        <v>581</v>
      </c>
      <c r="E20" t="s">
        <v>270</v>
      </c>
      <c r="F20">
        <v>1</v>
      </c>
      <c r="G20">
        <v>11</v>
      </c>
    </row>
    <row r="21" spans="1:7" x14ac:dyDescent="0.35">
      <c r="A21">
        <v>18</v>
      </c>
      <c r="B21">
        <f t="shared" si="0"/>
        <v>20</v>
      </c>
      <c r="C21" t="s">
        <v>584</v>
      </c>
      <c r="D21" t="s">
        <v>583</v>
      </c>
      <c r="E21" t="s">
        <v>270</v>
      </c>
      <c r="F21">
        <v>1</v>
      </c>
      <c r="G21">
        <v>11</v>
      </c>
    </row>
    <row r="22" spans="1:7" x14ac:dyDescent="0.35">
      <c r="A22">
        <v>18</v>
      </c>
      <c r="B22">
        <f t="shared" si="0"/>
        <v>21</v>
      </c>
      <c r="C22" t="s">
        <v>586</v>
      </c>
      <c r="D22" t="s">
        <v>585</v>
      </c>
      <c r="E22" t="s">
        <v>270</v>
      </c>
      <c r="F22">
        <v>2</v>
      </c>
      <c r="G22">
        <v>5</v>
      </c>
    </row>
    <row r="23" spans="1:7" x14ac:dyDescent="0.35">
      <c r="A23">
        <v>18</v>
      </c>
      <c r="B23">
        <f t="shared" si="0"/>
        <v>22</v>
      </c>
      <c r="C23" t="s">
        <v>587</v>
      </c>
      <c r="D23" t="s">
        <v>1247</v>
      </c>
      <c r="E23" t="s">
        <v>270</v>
      </c>
      <c r="F23">
        <v>2</v>
      </c>
      <c r="G23">
        <v>4</v>
      </c>
    </row>
    <row r="24" spans="1:7" x14ac:dyDescent="0.35">
      <c r="A24">
        <v>18</v>
      </c>
      <c r="B24">
        <f t="shared" si="0"/>
        <v>23</v>
      </c>
      <c r="D24" t="s">
        <v>1248</v>
      </c>
      <c r="E24" t="s">
        <v>257</v>
      </c>
      <c r="F24">
        <v>5</v>
      </c>
      <c r="G24">
        <v>2</v>
      </c>
    </row>
    <row r="25" spans="1:7" x14ac:dyDescent="0.35">
      <c r="A25">
        <v>18</v>
      </c>
      <c r="B25">
        <f t="shared" si="0"/>
        <v>24</v>
      </c>
      <c r="C25" t="s">
        <v>589</v>
      </c>
      <c r="D25" t="s">
        <v>588</v>
      </c>
      <c r="E25" t="s">
        <v>270</v>
      </c>
      <c r="F25">
        <v>2</v>
      </c>
      <c r="G25">
        <v>3</v>
      </c>
    </row>
    <row r="26" spans="1:7" x14ac:dyDescent="0.35">
      <c r="A26">
        <v>18</v>
      </c>
      <c r="B26">
        <f t="shared" si="0"/>
        <v>25</v>
      </c>
      <c r="C26" t="s">
        <v>591</v>
      </c>
      <c r="D26" t="s">
        <v>590</v>
      </c>
      <c r="E26" t="s">
        <v>270</v>
      </c>
      <c r="F26">
        <v>2</v>
      </c>
      <c r="G26">
        <v>2</v>
      </c>
    </row>
    <row r="27" spans="1:7" x14ac:dyDescent="0.35">
      <c r="A27">
        <v>18</v>
      </c>
      <c r="B27">
        <f t="shared" si="0"/>
        <v>26</v>
      </c>
      <c r="C27" t="s">
        <v>593</v>
      </c>
      <c r="D27" t="s">
        <v>592</v>
      </c>
      <c r="E27" t="s">
        <v>270</v>
      </c>
      <c r="F27">
        <v>2</v>
      </c>
      <c r="G27">
        <v>2</v>
      </c>
    </row>
    <row r="28" spans="1:7" x14ac:dyDescent="0.35">
      <c r="A28">
        <v>18</v>
      </c>
      <c r="B28">
        <f t="shared" si="0"/>
        <v>27</v>
      </c>
      <c r="D28" t="s">
        <v>594</v>
      </c>
      <c r="E28" t="s">
        <v>270</v>
      </c>
      <c r="F28">
        <v>2</v>
      </c>
      <c r="G28">
        <v>2</v>
      </c>
    </row>
    <row r="29" spans="1:7" x14ac:dyDescent="0.35">
      <c r="A29">
        <v>18</v>
      </c>
      <c r="B29">
        <f t="shared" si="0"/>
        <v>28</v>
      </c>
      <c r="D29" t="s">
        <v>595</v>
      </c>
      <c r="E29" t="s">
        <v>270</v>
      </c>
      <c r="F29">
        <v>3</v>
      </c>
      <c r="G29">
        <v>3</v>
      </c>
    </row>
    <row r="30" spans="1:7" x14ac:dyDescent="0.35">
      <c r="A30">
        <v>18</v>
      </c>
      <c r="B30">
        <f t="shared" si="0"/>
        <v>29</v>
      </c>
      <c r="C30" t="s">
        <v>597</v>
      </c>
      <c r="D30" t="s">
        <v>596</v>
      </c>
      <c r="E30" t="s">
        <v>270</v>
      </c>
      <c r="F30">
        <v>3</v>
      </c>
      <c r="G30">
        <v>4</v>
      </c>
    </row>
    <row r="31" spans="1:7" x14ac:dyDescent="0.35">
      <c r="A31">
        <v>18</v>
      </c>
      <c r="B31">
        <f t="shared" si="0"/>
        <v>30</v>
      </c>
      <c r="C31" t="s">
        <v>599</v>
      </c>
      <c r="D31" t="s">
        <v>598</v>
      </c>
      <c r="E31" t="s">
        <v>270</v>
      </c>
      <c r="F31">
        <v>3</v>
      </c>
      <c r="G31">
        <v>4</v>
      </c>
    </row>
    <row r="32" spans="1:7" x14ac:dyDescent="0.35">
      <c r="A32">
        <v>18</v>
      </c>
      <c r="B32">
        <f t="shared" si="0"/>
        <v>31</v>
      </c>
      <c r="C32" t="s">
        <v>601</v>
      </c>
      <c r="D32" t="s">
        <v>600</v>
      </c>
      <c r="E32" t="s">
        <v>257</v>
      </c>
      <c r="F32">
        <v>1</v>
      </c>
      <c r="G32">
        <v>2</v>
      </c>
    </row>
    <row r="33" spans="1:7" x14ac:dyDescent="0.35">
      <c r="A33">
        <v>18</v>
      </c>
      <c r="B33">
        <f t="shared" si="0"/>
        <v>32</v>
      </c>
      <c r="C33" t="s">
        <v>603</v>
      </c>
      <c r="D33" t="s">
        <v>602</v>
      </c>
      <c r="E33" t="s">
        <v>257</v>
      </c>
      <c r="F33">
        <v>2</v>
      </c>
      <c r="G33">
        <v>4</v>
      </c>
    </row>
    <row r="34" spans="1:7" x14ac:dyDescent="0.35">
      <c r="A34">
        <v>18</v>
      </c>
      <c r="B34">
        <f t="shared" si="0"/>
        <v>33</v>
      </c>
      <c r="D34" t="s">
        <v>605</v>
      </c>
      <c r="E34" t="s">
        <v>257</v>
      </c>
      <c r="F34">
        <v>2</v>
      </c>
      <c r="G34">
        <v>4</v>
      </c>
    </row>
    <row r="35" spans="1:7" x14ac:dyDescent="0.35">
      <c r="A35">
        <v>18</v>
      </c>
      <c r="B35">
        <f t="shared" si="0"/>
        <v>34</v>
      </c>
      <c r="C35" t="s">
        <v>607</v>
      </c>
      <c r="D35" t="s">
        <v>606</v>
      </c>
      <c r="E35" t="s">
        <v>257</v>
      </c>
      <c r="F35">
        <v>2</v>
      </c>
      <c r="G35">
        <v>4</v>
      </c>
    </row>
    <row r="36" spans="1:7" x14ac:dyDescent="0.35">
      <c r="A36">
        <v>18</v>
      </c>
      <c r="B36">
        <f t="shared" si="0"/>
        <v>35</v>
      </c>
      <c r="D36" t="s">
        <v>608</v>
      </c>
      <c r="E36" t="s">
        <v>257</v>
      </c>
      <c r="F36">
        <v>2</v>
      </c>
      <c r="G36">
        <v>4</v>
      </c>
    </row>
    <row r="37" spans="1:7" x14ac:dyDescent="0.35">
      <c r="A37">
        <v>18</v>
      </c>
      <c r="B37">
        <f t="shared" si="0"/>
        <v>36</v>
      </c>
      <c r="C37" t="s">
        <v>610</v>
      </c>
      <c r="D37" t="s">
        <v>609</v>
      </c>
      <c r="E37" t="s">
        <v>257</v>
      </c>
      <c r="F37">
        <v>3</v>
      </c>
      <c r="G37">
        <v>3</v>
      </c>
    </row>
    <row r="38" spans="1:7" x14ac:dyDescent="0.35">
      <c r="A38">
        <v>18</v>
      </c>
      <c r="B38">
        <f t="shared" si="0"/>
        <v>37</v>
      </c>
      <c r="D38" t="s">
        <v>611</v>
      </c>
      <c r="E38" t="s">
        <v>257</v>
      </c>
      <c r="F38">
        <v>1</v>
      </c>
      <c r="G38">
        <v>2</v>
      </c>
    </row>
    <row r="39" spans="1:7" x14ac:dyDescent="0.35">
      <c r="A39">
        <v>18</v>
      </c>
      <c r="B39">
        <f t="shared" si="0"/>
        <v>38</v>
      </c>
      <c r="D39" t="s">
        <v>612</v>
      </c>
      <c r="E39" t="s">
        <v>190</v>
      </c>
      <c r="F39">
        <v>3</v>
      </c>
      <c r="G39">
        <v>2</v>
      </c>
    </row>
    <row r="40" spans="1:7" x14ac:dyDescent="0.35">
      <c r="A40">
        <v>18</v>
      </c>
      <c r="B40">
        <f t="shared" si="0"/>
        <v>39</v>
      </c>
      <c r="C40" t="s">
        <v>614</v>
      </c>
      <c r="D40" t="s">
        <v>613</v>
      </c>
      <c r="E40" t="s">
        <v>257</v>
      </c>
      <c r="F40">
        <v>2</v>
      </c>
      <c r="G40">
        <v>4</v>
      </c>
    </row>
    <row r="41" spans="1:7" x14ac:dyDescent="0.35">
      <c r="A41">
        <v>18</v>
      </c>
      <c r="B41">
        <f t="shared" si="0"/>
        <v>40</v>
      </c>
      <c r="D41" t="s">
        <v>615</v>
      </c>
      <c r="E41" t="s">
        <v>257</v>
      </c>
      <c r="F41">
        <v>1</v>
      </c>
      <c r="G41">
        <v>2</v>
      </c>
    </row>
    <row r="42" spans="1:7" x14ac:dyDescent="0.35">
      <c r="A42">
        <v>18</v>
      </c>
      <c r="B42">
        <f t="shared" si="0"/>
        <v>41</v>
      </c>
      <c r="C42" t="s">
        <v>617</v>
      </c>
      <c r="D42" t="s">
        <v>616</v>
      </c>
      <c r="E42" t="s">
        <v>257</v>
      </c>
      <c r="F42">
        <v>1</v>
      </c>
      <c r="G42">
        <v>2</v>
      </c>
    </row>
    <row r="43" spans="1:7" x14ac:dyDescent="0.35">
      <c r="A43">
        <v>18</v>
      </c>
      <c r="B43">
        <f t="shared" si="0"/>
        <v>42</v>
      </c>
      <c r="D43" t="s">
        <v>618</v>
      </c>
      <c r="E43" t="s">
        <v>190</v>
      </c>
      <c r="F43">
        <v>2</v>
      </c>
      <c r="G43">
        <v>3</v>
      </c>
    </row>
    <row r="44" spans="1:7" x14ac:dyDescent="0.35">
      <c r="A44">
        <v>18</v>
      </c>
      <c r="B44">
        <f t="shared" si="0"/>
        <v>43</v>
      </c>
      <c r="C44" t="s">
        <v>620</v>
      </c>
      <c r="D44" t="s">
        <v>619</v>
      </c>
      <c r="E44" t="s">
        <v>257</v>
      </c>
      <c r="F44">
        <v>2</v>
      </c>
      <c r="G44">
        <v>2</v>
      </c>
    </row>
    <row r="45" spans="1:7" x14ac:dyDescent="0.35">
      <c r="A45">
        <v>18</v>
      </c>
      <c r="B45">
        <f t="shared" si="0"/>
        <v>44</v>
      </c>
      <c r="C45" t="s">
        <v>622</v>
      </c>
      <c r="D45" t="s">
        <v>621</v>
      </c>
      <c r="E45" t="s">
        <v>257</v>
      </c>
      <c r="F45">
        <v>2</v>
      </c>
      <c r="G45">
        <v>2</v>
      </c>
    </row>
    <row r="46" spans="1:7" x14ac:dyDescent="0.35">
      <c r="A46">
        <v>18</v>
      </c>
      <c r="B46">
        <f t="shared" si="0"/>
        <v>45</v>
      </c>
      <c r="C46" t="s">
        <v>624</v>
      </c>
      <c r="D46" t="s">
        <v>623</v>
      </c>
      <c r="E46" t="s">
        <v>257</v>
      </c>
      <c r="F46">
        <v>2</v>
      </c>
      <c r="G46">
        <v>3</v>
      </c>
    </row>
    <row r="47" spans="1:7" x14ac:dyDescent="0.35">
      <c r="A47">
        <v>18</v>
      </c>
      <c r="B47">
        <f t="shared" si="0"/>
        <v>46</v>
      </c>
      <c r="C47" t="s">
        <v>626</v>
      </c>
      <c r="D47" t="s">
        <v>625</v>
      </c>
      <c r="E47" t="s">
        <v>257</v>
      </c>
      <c r="F47">
        <v>2</v>
      </c>
      <c r="G47">
        <v>3</v>
      </c>
    </row>
    <row r="48" spans="1:7" x14ac:dyDescent="0.35">
      <c r="A48">
        <v>18</v>
      </c>
      <c r="B48">
        <f t="shared" si="0"/>
        <v>47</v>
      </c>
      <c r="D48" t="s">
        <v>627</v>
      </c>
      <c r="E48" t="s">
        <v>257</v>
      </c>
      <c r="F48">
        <v>2</v>
      </c>
      <c r="G48">
        <v>3</v>
      </c>
    </row>
    <row r="49" spans="1:7" x14ac:dyDescent="0.35">
      <c r="A49">
        <v>18</v>
      </c>
      <c r="B49">
        <f t="shared" si="0"/>
        <v>48</v>
      </c>
      <c r="C49" t="s">
        <v>629</v>
      </c>
      <c r="D49" t="s">
        <v>628</v>
      </c>
      <c r="E49" t="s">
        <v>257</v>
      </c>
      <c r="F49">
        <v>2</v>
      </c>
      <c r="G49">
        <v>4</v>
      </c>
    </row>
    <row r="50" spans="1:7" x14ac:dyDescent="0.35">
      <c r="A50">
        <v>18</v>
      </c>
      <c r="B50">
        <f t="shared" si="0"/>
        <v>49</v>
      </c>
      <c r="C50" t="s">
        <v>631</v>
      </c>
      <c r="D50" t="s">
        <v>630</v>
      </c>
      <c r="E50" t="s">
        <v>257</v>
      </c>
      <c r="F50">
        <v>2</v>
      </c>
      <c r="G50">
        <v>4</v>
      </c>
    </row>
    <row r="51" spans="1:7" x14ac:dyDescent="0.35">
      <c r="A51">
        <v>18</v>
      </c>
      <c r="B51">
        <f t="shared" si="0"/>
        <v>50</v>
      </c>
      <c r="C51" t="s">
        <v>631</v>
      </c>
      <c r="D51" t="s">
        <v>632</v>
      </c>
      <c r="E51" t="s">
        <v>257</v>
      </c>
      <c r="F51">
        <v>2</v>
      </c>
      <c r="G51">
        <v>4</v>
      </c>
    </row>
    <row r="52" spans="1:7" x14ac:dyDescent="0.35">
      <c r="A52">
        <v>18</v>
      </c>
      <c r="B52">
        <f t="shared" si="0"/>
        <v>51</v>
      </c>
      <c r="C52" t="s">
        <v>634</v>
      </c>
      <c r="D52" t="s">
        <v>633</v>
      </c>
      <c r="E52" t="s">
        <v>257</v>
      </c>
      <c r="F52">
        <v>4</v>
      </c>
      <c r="G52">
        <v>2</v>
      </c>
    </row>
    <row r="53" spans="1:7" x14ac:dyDescent="0.35">
      <c r="A53">
        <v>18</v>
      </c>
      <c r="B53">
        <f t="shared" si="0"/>
        <v>52</v>
      </c>
      <c r="C53" t="s">
        <v>634</v>
      </c>
      <c r="D53" t="s">
        <v>635</v>
      </c>
      <c r="E53" t="s">
        <v>257</v>
      </c>
      <c r="F53">
        <v>4</v>
      </c>
      <c r="G53">
        <v>2</v>
      </c>
    </row>
    <row r="54" spans="1:7" x14ac:dyDescent="0.35">
      <c r="A54">
        <v>18</v>
      </c>
      <c r="B54">
        <f t="shared" si="0"/>
        <v>53</v>
      </c>
      <c r="C54" t="s">
        <v>637</v>
      </c>
      <c r="D54" t="s">
        <v>636</v>
      </c>
      <c r="E54" t="s">
        <v>270</v>
      </c>
      <c r="F54">
        <v>1</v>
      </c>
      <c r="G54">
        <v>5</v>
      </c>
    </row>
    <row r="55" spans="1:7" x14ac:dyDescent="0.35">
      <c r="A55">
        <v>18</v>
      </c>
      <c r="B55">
        <f t="shared" si="0"/>
        <v>54</v>
      </c>
      <c r="C55" t="s">
        <v>638</v>
      </c>
      <c r="D55" t="s">
        <v>638</v>
      </c>
      <c r="E55" t="s">
        <v>270</v>
      </c>
      <c r="F55">
        <v>1</v>
      </c>
      <c r="G55">
        <v>11</v>
      </c>
    </row>
    <row r="56" spans="1:7" x14ac:dyDescent="0.35">
      <c r="A56">
        <v>18</v>
      </c>
      <c r="B56">
        <f t="shared" si="0"/>
        <v>55</v>
      </c>
      <c r="C56" t="s">
        <v>639</v>
      </c>
      <c r="D56" t="s">
        <v>639</v>
      </c>
      <c r="E56" t="s">
        <v>270</v>
      </c>
      <c r="F56">
        <v>2</v>
      </c>
      <c r="G56">
        <v>5</v>
      </c>
    </row>
    <row r="57" spans="1:7" x14ac:dyDescent="0.35">
      <c r="A57">
        <v>18</v>
      </c>
      <c r="B57">
        <f t="shared" si="0"/>
        <v>56</v>
      </c>
      <c r="C57" t="s">
        <v>640</v>
      </c>
      <c r="D57" t="s">
        <v>640</v>
      </c>
      <c r="E57" t="s">
        <v>270</v>
      </c>
      <c r="F57">
        <v>1</v>
      </c>
      <c r="G57">
        <v>11</v>
      </c>
    </row>
    <row r="58" spans="1:7" x14ac:dyDescent="0.35">
      <c r="A58">
        <v>18</v>
      </c>
      <c r="B58">
        <f t="shared" si="0"/>
        <v>57</v>
      </c>
      <c r="C58" t="s">
        <v>642</v>
      </c>
      <c r="D58" t="s">
        <v>641</v>
      </c>
      <c r="E58" t="s">
        <v>270</v>
      </c>
      <c r="F58">
        <v>1</v>
      </c>
      <c r="G58">
        <v>11</v>
      </c>
    </row>
    <row r="59" spans="1:7" x14ac:dyDescent="0.35">
      <c r="A59">
        <v>18</v>
      </c>
      <c r="B59">
        <f t="shared" si="0"/>
        <v>58</v>
      </c>
      <c r="C59" t="s">
        <v>642</v>
      </c>
      <c r="D59" t="s">
        <v>643</v>
      </c>
      <c r="E59" t="s">
        <v>270</v>
      </c>
      <c r="F59">
        <v>1</v>
      </c>
      <c r="G59">
        <v>8</v>
      </c>
    </row>
    <row r="60" spans="1:7" x14ac:dyDescent="0.35">
      <c r="A60">
        <v>18</v>
      </c>
      <c r="B60">
        <f t="shared" si="0"/>
        <v>59</v>
      </c>
      <c r="C60" t="s">
        <v>645</v>
      </c>
      <c r="D60" t="s">
        <v>644</v>
      </c>
      <c r="E60" t="s">
        <v>257</v>
      </c>
      <c r="F60">
        <v>2</v>
      </c>
      <c r="G60">
        <v>2</v>
      </c>
    </row>
    <row r="61" spans="1:7" x14ac:dyDescent="0.35">
      <c r="A61">
        <v>18</v>
      </c>
      <c r="B61">
        <f t="shared" si="0"/>
        <v>60</v>
      </c>
      <c r="C61" t="s">
        <v>647</v>
      </c>
      <c r="D61" t="s">
        <v>646</v>
      </c>
      <c r="E61" t="s">
        <v>257</v>
      </c>
      <c r="F61">
        <v>2</v>
      </c>
      <c r="G61">
        <v>4</v>
      </c>
    </row>
    <row r="62" spans="1:7" x14ac:dyDescent="0.35">
      <c r="A62">
        <v>18</v>
      </c>
      <c r="B62">
        <f t="shared" si="0"/>
        <v>61</v>
      </c>
      <c r="C62" t="s">
        <v>649</v>
      </c>
      <c r="D62" t="s">
        <v>648</v>
      </c>
      <c r="E62" t="s">
        <v>257</v>
      </c>
      <c r="F62">
        <v>2</v>
      </c>
      <c r="G62">
        <v>3</v>
      </c>
    </row>
    <row r="63" spans="1:7" x14ac:dyDescent="0.35">
      <c r="A63">
        <v>18</v>
      </c>
      <c r="B63">
        <f t="shared" si="0"/>
        <v>62</v>
      </c>
      <c r="C63" t="s">
        <v>651</v>
      </c>
      <c r="D63" t="s">
        <v>650</v>
      </c>
      <c r="E63" t="s">
        <v>270</v>
      </c>
      <c r="F63">
        <v>1</v>
      </c>
      <c r="G63">
        <v>7</v>
      </c>
    </row>
    <row r="64" spans="1:7" x14ac:dyDescent="0.35">
      <c r="A64">
        <v>18</v>
      </c>
      <c r="B64">
        <f t="shared" si="0"/>
        <v>63</v>
      </c>
      <c r="C64" t="s">
        <v>653</v>
      </c>
      <c r="D64" t="s">
        <v>652</v>
      </c>
      <c r="E64" t="s">
        <v>270</v>
      </c>
      <c r="F64">
        <v>1</v>
      </c>
      <c r="G64">
        <v>11</v>
      </c>
    </row>
    <row r="65" spans="1:7" x14ac:dyDescent="0.35">
      <c r="A65">
        <v>18</v>
      </c>
      <c r="B65">
        <f t="shared" si="0"/>
        <v>64</v>
      </c>
      <c r="C65" t="s">
        <v>655</v>
      </c>
      <c r="D65" t="s">
        <v>654</v>
      </c>
      <c r="E65" t="s">
        <v>190</v>
      </c>
      <c r="F65">
        <v>1</v>
      </c>
      <c r="G65">
        <v>1</v>
      </c>
    </row>
    <row r="66" spans="1:7" x14ac:dyDescent="0.35">
      <c r="A66">
        <v>18</v>
      </c>
      <c r="B66">
        <f t="shared" si="0"/>
        <v>65</v>
      </c>
      <c r="C66" t="s">
        <v>657</v>
      </c>
      <c r="D66" t="s">
        <v>656</v>
      </c>
      <c r="E66" t="s">
        <v>190</v>
      </c>
      <c r="F66">
        <v>1</v>
      </c>
      <c r="G66">
        <v>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7BDB4-F84E-4B50-BCC2-07E63E403C02}">
  <sheetPr>
    <tabColor rgb="FFFFC000"/>
  </sheetPr>
  <dimension ref="A1:G16"/>
  <sheetViews>
    <sheetView workbookViewId="0">
      <selection sqref="A1:B1"/>
    </sheetView>
  </sheetViews>
  <sheetFormatPr defaultRowHeight="14.5" x14ac:dyDescent="0.35"/>
  <cols>
    <col min="1" max="1" width="5.81640625" customWidth="1"/>
    <col min="2" max="2" width="6" customWidth="1"/>
    <col min="3" max="3" width="28.453125" customWidth="1"/>
    <col min="4" max="4" width="27.1796875" customWidth="1"/>
    <col min="6" max="6" width="12" customWidth="1"/>
    <col min="7" max="7" width="11.26953125" customWidth="1"/>
  </cols>
  <sheetData>
    <row r="1" spans="1:7" s="2" customFormat="1" x14ac:dyDescent="0.35">
      <c r="A1" s="13" t="s">
        <v>1111</v>
      </c>
      <c r="B1" s="13" t="s">
        <v>1434</v>
      </c>
      <c r="C1" s="2" t="s">
        <v>7</v>
      </c>
      <c r="D1" s="2" t="s">
        <v>222</v>
      </c>
      <c r="E1" s="2" t="s">
        <v>223</v>
      </c>
      <c r="F1" s="2" t="s">
        <v>224</v>
      </c>
      <c r="G1" s="2" t="s">
        <v>225</v>
      </c>
    </row>
    <row r="2" spans="1:7" x14ac:dyDescent="0.35">
      <c r="A2">
        <v>19</v>
      </c>
      <c r="B2">
        <v>1</v>
      </c>
      <c r="C2" t="s">
        <v>189</v>
      </c>
      <c r="D2" t="s">
        <v>188</v>
      </c>
      <c r="E2" s="2" t="s">
        <v>190</v>
      </c>
      <c r="F2" s="2">
        <v>2</v>
      </c>
      <c r="G2" s="2">
        <v>2</v>
      </c>
    </row>
    <row r="3" spans="1:7" x14ac:dyDescent="0.35">
      <c r="A3">
        <v>19</v>
      </c>
      <c r="B3">
        <v>2</v>
      </c>
      <c r="C3" t="s">
        <v>194</v>
      </c>
      <c r="D3" t="s">
        <v>193</v>
      </c>
      <c r="E3" t="s">
        <v>190</v>
      </c>
      <c r="F3">
        <v>2</v>
      </c>
      <c r="G3">
        <v>2</v>
      </c>
    </row>
    <row r="4" spans="1:7" x14ac:dyDescent="0.35">
      <c r="A4">
        <v>19</v>
      </c>
      <c r="B4">
        <v>3</v>
      </c>
      <c r="C4" t="s">
        <v>196</v>
      </c>
      <c r="D4" t="s">
        <v>195</v>
      </c>
      <c r="E4" t="s">
        <v>190</v>
      </c>
      <c r="F4">
        <v>2</v>
      </c>
      <c r="G4">
        <v>2</v>
      </c>
    </row>
    <row r="5" spans="1:7" x14ac:dyDescent="0.35">
      <c r="A5">
        <v>19</v>
      </c>
      <c r="B5">
        <v>4</v>
      </c>
      <c r="C5" t="s">
        <v>198</v>
      </c>
      <c r="D5" t="s">
        <v>197</v>
      </c>
      <c r="E5" t="s">
        <v>190</v>
      </c>
      <c r="F5">
        <v>3</v>
      </c>
      <c r="G5">
        <v>2</v>
      </c>
    </row>
    <row r="6" spans="1:7" x14ac:dyDescent="0.35">
      <c r="A6">
        <v>19</v>
      </c>
      <c r="B6">
        <v>5</v>
      </c>
      <c r="C6" t="s">
        <v>201</v>
      </c>
      <c r="D6" t="s">
        <v>200</v>
      </c>
      <c r="E6" t="s">
        <v>270</v>
      </c>
      <c r="F6">
        <v>4</v>
      </c>
      <c r="G6">
        <v>3</v>
      </c>
    </row>
    <row r="7" spans="1:7" x14ac:dyDescent="0.35">
      <c r="A7">
        <v>19</v>
      </c>
      <c r="B7">
        <v>6</v>
      </c>
      <c r="C7" t="s">
        <v>204</v>
      </c>
      <c r="D7" t="s">
        <v>203</v>
      </c>
      <c r="E7" t="s">
        <v>270</v>
      </c>
      <c r="F7">
        <v>4</v>
      </c>
      <c r="G7">
        <v>1</v>
      </c>
    </row>
    <row r="8" spans="1:7" x14ac:dyDescent="0.35">
      <c r="A8">
        <v>19</v>
      </c>
      <c r="B8">
        <v>7</v>
      </c>
      <c r="C8" t="s">
        <v>204</v>
      </c>
      <c r="D8" t="s">
        <v>205</v>
      </c>
      <c r="E8" t="s">
        <v>270</v>
      </c>
      <c r="F8">
        <v>4</v>
      </c>
      <c r="G8">
        <v>2</v>
      </c>
    </row>
    <row r="9" spans="1:7" x14ac:dyDescent="0.35">
      <c r="A9">
        <v>19</v>
      </c>
      <c r="B9">
        <v>8</v>
      </c>
      <c r="C9" t="s">
        <v>207</v>
      </c>
      <c r="D9" t="s">
        <v>206</v>
      </c>
      <c r="E9" t="s">
        <v>270</v>
      </c>
      <c r="F9">
        <v>4</v>
      </c>
      <c r="G9">
        <v>2</v>
      </c>
    </row>
    <row r="10" spans="1:7" x14ac:dyDescent="0.35">
      <c r="A10">
        <v>19</v>
      </c>
      <c r="B10">
        <v>9</v>
      </c>
      <c r="C10" t="s">
        <v>209</v>
      </c>
      <c r="D10" t="s">
        <v>208</v>
      </c>
      <c r="E10" t="s">
        <v>257</v>
      </c>
      <c r="F10">
        <v>3</v>
      </c>
      <c r="G10">
        <v>3</v>
      </c>
    </row>
    <row r="11" spans="1:7" x14ac:dyDescent="0.35">
      <c r="A11">
        <v>19</v>
      </c>
      <c r="B11">
        <v>10</v>
      </c>
      <c r="C11" t="s">
        <v>211</v>
      </c>
      <c r="D11" t="s">
        <v>210</v>
      </c>
      <c r="E11" t="s">
        <v>257</v>
      </c>
      <c r="F11">
        <v>2</v>
      </c>
      <c r="G11">
        <v>2</v>
      </c>
    </row>
    <row r="12" spans="1:7" x14ac:dyDescent="0.35">
      <c r="A12">
        <v>19</v>
      </c>
      <c r="B12">
        <v>11</v>
      </c>
      <c r="C12" t="s">
        <v>213</v>
      </c>
      <c r="D12" t="s">
        <v>212</v>
      </c>
      <c r="E12" t="s">
        <v>257</v>
      </c>
      <c r="F12">
        <v>2</v>
      </c>
      <c r="G12">
        <v>2</v>
      </c>
    </row>
    <row r="13" spans="1:7" x14ac:dyDescent="0.35">
      <c r="A13">
        <v>19</v>
      </c>
      <c r="B13">
        <v>12</v>
      </c>
      <c r="C13" t="s">
        <v>215</v>
      </c>
      <c r="D13" t="s">
        <v>214</v>
      </c>
      <c r="E13" t="s">
        <v>257</v>
      </c>
      <c r="F13">
        <v>2</v>
      </c>
      <c r="G13">
        <v>2</v>
      </c>
    </row>
    <row r="14" spans="1:7" x14ac:dyDescent="0.35">
      <c r="A14">
        <v>19</v>
      </c>
      <c r="B14">
        <v>13</v>
      </c>
      <c r="C14" t="s">
        <v>217</v>
      </c>
      <c r="D14" t="s">
        <v>216</v>
      </c>
      <c r="E14" t="s">
        <v>270</v>
      </c>
      <c r="F14">
        <v>4</v>
      </c>
      <c r="G14">
        <v>3</v>
      </c>
    </row>
    <row r="15" spans="1:7" x14ac:dyDescent="0.35">
      <c r="A15">
        <v>19</v>
      </c>
      <c r="B15">
        <v>14</v>
      </c>
      <c r="C15" t="s">
        <v>219</v>
      </c>
      <c r="D15" t="s">
        <v>218</v>
      </c>
      <c r="E15" t="s">
        <v>270</v>
      </c>
      <c r="F15">
        <v>4</v>
      </c>
      <c r="G15">
        <v>3</v>
      </c>
    </row>
    <row r="16" spans="1:7" x14ac:dyDescent="0.35">
      <c r="A16">
        <v>19</v>
      </c>
      <c r="B16">
        <v>15</v>
      </c>
      <c r="C16" t="s">
        <v>221</v>
      </c>
      <c r="D16" t="s">
        <v>220</v>
      </c>
      <c r="E16" t="s">
        <v>270</v>
      </c>
      <c r="F16">
        <v>4</v>
      </c>
      <c r="G16">
        <v>3</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D001E-04AC-474B-9D9B-256BBFC73436}">
  <sheetPr>
    <tabColor rgb="FFFFC000"/>
  </sheetPr>
  <dimension ref="A1:G20"/>
  <sheetViews>
    <sheetView workbookViewId="0">
      <selection sqref="A1:B1"/>
    </sheetView>
  </sheetViews>
  <sheetFormatPr defaultRowHeight="14.5" x14ac:dyDescent="0.35"/>
  <cols>
    <col min="3" max="3" width="31.36328125" customWidth="1"/>
    <col min="4" max="4" width="50.7265625" customWidth="1"/>
  </cols>
  <sheetData>
    <row r="1" spans="1:7" s="2" customFormat="1" x14ac:dyDescent="0.35">
      <c r="A1" s="13" t="s">
        <v>1111</v>
      </c>
      <c r="B1" s="13" t="s">
        <v>1434</v>
      </c>
      <c r="C1" s="2" t="s">
        <v>7</v>
      </c>
      <c r="D1" s="2" t="s">
        <v>222</v>
      </c>
      <c r="E1" s="2" t="s">
        <v>223</v>
      </c>
      <c r="F1" s="2" t="s">
        <v>224</v>
      </c>
      <c r="G1" s="2" t="s">
        <v>225</v>
      </c>
    </row>
    <row r="2" spans="1:7" x14ac:dyDescent="0.35">
      <c r="A2">
        <v>20</v>
      </c>
      <c r="B2">
        <v>1</v>
      </c>
      <c r="C2" t="s">
        <v>809</v>
      </c>
      <c r="D2" t="s">
        <v>808</v>
      </c>
      <c r="E2" t="s">
        <v>202</v>
      </c>
      <c r="F2">
        <v>0</v>
      </c>
      <c r="G2">
        <v>1</v>
      </c>
    </row>
    <row r="3" spans="1:7" x14ac:dyDescent="0.35">
      <c r="A3">
        <v>20</v>
      </c>
      <c r="B3">
        <v>2</v>
      </c>
      <c r="C3" t="s">
        <v>811</v>
      </c>
      <c r="D3" t="s">
        <v>810</v>
      </c>
      <c r="E3" t="s">
        <v>270</v>
      </c>
      <c r="F3">
        <v>1</v>
      </c>
      <c r="G3">
        <v>2</v>
      </c>
    </row>
    <row r="4" spans="1:7" x14ac:dyDescent="0.35">
      <c r="A4">
        <v>20</v>
      </c>
      <c r="B4">
        <v>3</v>
      </c>
      <c r="C4" t="s">
        <v>841</v>
      </c>
      <c r="D4" t="s">
        <v>812</v>
      </c>
      <c r="E4" t="s">
        <v>270</v>
      </c>
      <c r="F4">
        <v>2</v>
      </c>
      <c r="G4">
        <v>1</v>
      </c>
    </row>
    <row r="5" spans="1:7" x14ac:dyDescent="0.35">
      <c r="A5">
        <v>20</v>
      </c>
      <c r="B5">
        <v>4</v>
      </c>
      <c r="C5" t="s">
        <v>814</v>
      </c>
      <c r="D5" t="s">
        <v>813</v>
      </c>
      <c r="E5" t="s">
        <v>270</v>
      </c>
      <c r="F5">
        <v>2</v>
      </c>
      <c r="G5">
        <v>4</v>
      </c>
    </row>
    <row r="6" spans="1:7" x14ac:dyDescent="0.35">
      <c r="A6">
        <v>20</v>
      </c>
      <c r="B6">
        <v>5</v>
      </c>
      <c r="C6" t="s">
        <v>842</v>
      </c>
      <c r="D6" t="s">
        <v>815</v>
      </c>
      <c r="E6" t="s">
        <v>270</v>
      </c>
      <c r="F6">
        <v>2</v>
      </c>
      <c r="G6">
        <v>4</v>
      </c>
    </row>
    <row r="7" spans="1:7" x14ac:dyDescent="0.35">
      <c r="A7">
        <v>20</v>
      </c>
      <c r="B7">
        <v>6</v>
      </c>
      <c r="C7" t="s">
        <v>817</v>
      </c>
      <c r="D7" t="s">
        <v>816</v>
      </c>
      <c r="E7" t="s">
        <v>257</v>
      </c>
      <c r="F7">
        <v>5</v>
      </c>
      <c r="G7">
        <v>1</v>
      </c>
    </row>
    <row r="8" spans="1:7" x14ac:dyDescent="0.35">
      <c r="A8">
        <v>20</v>
      </c>
      <c r="B8">
        <v>7</v>
      </c>
      <c r="C8" t="s">
        <v>819</v>
      </c>
      <c r="D8" t="s">
        <v>818</v>
      </c>
      <c r="E8" t="s">
        <v>257</v>
      </c>
      <c r="F8">
        <v>1</v>
      </c>
      <c r="G8">
        <v>1</v>
      </c>
    </row>
    <row r="9" spans="1:7" x14ac:dyDescent="0.35">
      <c r="A9">
        <v>20</v>
      </c>
      <c r="B9">
        <v>8</v>
      </c>
      <c r="C9" t="s">
        <v>821</v>
      </c>
      <c r="D9" t="s">
        <v>820</v>
      </c>
      <c r="E9" t="s">
        <v>270</v>
      </c>
      <c r="F9">
        <v>1</v>
      </c>
      <c r="G9">
        <v>6</v>
      </c>
    </row>
    <row r="10" spans="1:7" x14ac:dyDescent="0.35">
      <c r="A10">
        <v>20</v>
      </c>
      <c r="B10">
        <v>9</v>
      </c>
      <c r="C10" t="s">
        <v>823</v>
      </c>
      <c r="D10" t="s">
        <v>822</v>
      </c>
      <c r="E10" t="s">
        <v>270</v>
      </c>
      <c r="F10">
        <v>1</v>
      </c>
      <c r="G10">
        <v>6</v>
      </c>
    </row>
    <row r="11" spans="1:7" x14ac:dyDescent="0.35">
      <c r="A11">
        <v>20</v>
      </c>
      <c r="B11">
        <v>10</v>
      </c>
      <c r="C11" t="s">
        <v>823</v>
      </c>
      <c r="D11" t="s">
        <v>824</v>
      </c>
      <c r="E11" t="s">
        <v>257</v>
      </c>
      <c r="F11">
        <v>3</v>
      </c>
      <c r="G11">
        <v>3</v>
      </c>
    </row>
    <row r="12" spans="1:7" x14ac:dyDescent="0.35">
      <c r="A12">
        <v>20</v>
      </c>
      <c r="B12">
        <v>11</v>
      </c>
      <c r="C12" t="s">
        <v>823</v>
      </c>
      <c r="D12" t="s">
        <v>825</v>
      </c>
      <c r="E12" t="s">
        <v>257</v>
      </c>
      <c r="F12">
        <v>3</v>
      </c>
      <c r="G12">
        <v>3</v>
      </c>
    </row>
    <row r="13" spans="1:7" x14ac:dyDescent="0.35">
      <c r="A13">
        <v>20</v>
      </c>
      <c r="B13">
        <v>12</v>
      </c>
      <c r="C13" t="s">
        <v>827</v>
      </c>
      <c r="D13" t="s">
        <v>826</v>
      </c>
      <c r="E13" t="s">
        <v>270</v>
      </c>
      <c r="F13">
        <v>1</v>
      </c>
      <c r="G13">
        <v>10</v>
      </c>
    </row>
    <row r="14" spans="1:7" x14ac:dyDescent="0.35">
      <c r="A14">
        <v>20</v>
      </c>
      <c r="B14">
        <v>13</v>
      </c>
      <c r="C14" t="s">
        <v>829</v>
      </c>
      <c r="D14" t="s">
        <v>828</v>
      </c>
      <c r="E14" t="s">
        <v>257</v>
      </c>
      <c r="F14">
        <v>2</v>
      </c>
      <c r="G14">
        <v>1</v>
      </c>
    </row>
    <row r="15" spans="1:7" x14ac:dyDescent="0.35">
      <c r="A15">
        <v>20</v>
      </c>
      <c r="B15">
        <v>14</v>
      </c>
      <c r="C15" t="s">
        <v>831</v>
      </c>
      <c r="D15" t="s">
        <v>830</v>
      </c>
      <c r="E15" t="s">
        <v>257</v>
      </c>
      <c r="F15">
        <v>2</v>
      </c>
      <c r="G15">
        <v>1</v>
      </c>
    </row>
    <row r="16" spans="1:7" x14ac:dyDescent="0.35">
      <c r="A16">
        <v>20</v>
      </c>
      <c r="B16">
        <v>15</v>
      </c>
      <c r="C16" t="s">
        <v>833</v>
      </c>
      <c r="D16" t="s">
        <v>832</v>
      </c>
      <c r="E16" t="s">
        <v>257</v>
      </c>
      <c r="F16">
        <v>3</v>
      </c>
      <c r="G16">
        <v>3</v>
      </c>
    </row>
    <row r="17" spans="1:7" x14ac:dyDescent="0.35">
      <c r="A17">
        <v>20</v>
      </c>
      <c r="B17">
        <f>B16+1</f>
        <v>16</v>
      </c>
      <c r="C17" t="s">
        <v>833</v>
      </c>
      <c r="D17" t="s">
        <v>834</v>
      </c>
      <c r="E17" t="s">
        <v>270</v>
      </c>
      <c r="F17">
        <v>1</v>
      </c>
      <c r="G17">
        <v>11</v>
      </c>
    </row>
    <row r="18" spans="1:7" x14ac:dyDescent="0.35">
      <c r="A18">
        <v>20</v>
      </c>
      <c r="B18">
        <f t="shared" ref="B18:B20" si="0">B17+1</f>
        <v>17</v>
      </c>
      <c r="C18" t="s">
        <v>836</v>
      </c>
      <c r="D18" t="s">
        <v>835</v>
      </c>
      <c r="E18" t="s">
        <v>270</v>
      </c>
      <c r="F18">
        <v>1</v>
      </c>
      <c r="G18">
        <v>8</v>
      </c>
    </row>
    <row r="19" spans="1:7" x14ac:dyDescent="0.35">
      <c r="A19">
        <v>20</v>
      </c>
      <c r="B19">
        <f t="shared" si="0"/>
        <v>18</v>
      </c>
      <c r="C19" t="s">
        <v>838</v>
      </c>
      <c r="D19" t="s">
        <v>837</v>
      </c>
      <c r="E19" t="s">
        <v>270</v>
      </c>
      <c r="F19">
        <v>1</v>
      </c>
      <c r="G19">
        <v>4</v>
      </c>
    </row>
    <row r="20" spans="1:7" x14ac:dyDescent="0.35">
      <c r="A20">
        <v>20</v>
      </c>
      <c r="B20">
        <f t="shared" si="0"/>
        <v>19</v>
      </c>
      <c r="C20" t="s">
        <v>840</v>
      </c>
      <c r="D20" t="s">
        <v>839</v>
      </c>
      <c r="E20" t="s">
        <v>270</v>
      </c>
      <c r="F20">
        <v>2</v>
      </c>
      <c r="G20">
        <v>6</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05FE1-7C64-4837-B71A-6A3BE5D46FDA}">
  <sheetPr>
    <tabColor rgb="FFFFC000"/>
  </sheetPr>
  <dimension ref="A1:G17"/>
  <sheetViews>
    <sheetView workbookViewId="0">
      <selection sqref="A1:B1"/>
    </sheetView>
  </sheetViews>
  <sheetFormatPr defaultRowHeight="14.5" x14ac:dyDescent="0.35"/>
  <cols>
    <col min="4" max="4" width="33.26953125" customWidth="1"/>
    <col min="5" max="5" width="12.453125" customWidth="1"/>
    <col min="6" max="6" width="21.26953125" customWidth="1"/>
  </cols>
  <sheetData>
    <row r="1" spans="1:7" x14ac:dyDescent="0.35">
      <c r="A1" s="13" t="s">
        <v>1111</v>
      </c>
      <c r="B1" s="13" t="s">
        <v>1434</v>
      </c>
      <c r="C1" s="2" t="s">
        <v>7</v>
      </c>
      <c r="D1" s="2" t="s">
        <v>222</v>
      </c>
      <c r="E1" s="2" t="s">
        <v>223</v>
      </c>
      <c r="F1" s="2" t="s">
        <v>224</v>
      </c>
      <c r="G1" s="2" t="s">
        <v>225</v>
      </c>
    </row>
    <row r="2" spans="1:7" x14ac:dyDescent="0.35">
      <c r="A2">
        <v>21</v>
      </c>
      <c r="B2">
        <v>1</v>
      </c>
      <c r="C2" t="s">
        <v>932</v>
      </c>
      <c r="D2" t="s">
        <v>931</v>
      </c>
      <c r="E2" t="s">
        <v>278</v>
      </c>
      <c r="F2">
        <v>0</v>
      </c>
      <c r="G2">
        <v>3</v>
      </c>
    </row>
    <row r="3" spans="1:7" x14ac:dyDescent="0.35">
      <c r="A3">
        <v>21</v>
      </c>
      <c r="B3">
        <v>2</v>
      </c>
      <c r="C3" t="s">
        <v>932</v>
      </c>
      <c r="D3" t="s">
        <v>933</v>
      </c>
      <c r="E3" t="s">
        <v>190</v>
      </c>
      <c r="F3">
        <v>1</v>
      </c>
      <c r="G3">
        <v>1</v>
      </c>
    </row>
    <row r="4" spans="1:7" x14ac:dyDescent="0.35">
      <c r="A4">
        <v>21</v>
      </c>
      <c r="B4">
        <v>3</v>
      </c>
      <c r="C4" t="s">
        <v>935</v>
      </c>
      <c r="D4" t="s">
        <v>934</v>
      </c>
      <c r="E4" t="s">
        <v>270</v>
      </c>
      <c r="F4">
        <v>1</v>
      </c>
      <c r="G4">
        <v>1</v>
      </c>
    </row>
    <row r="5" spans="1:7" x14ac:dyDescent="0.35">
      <c r="A5">
        <v>21</v>
      </c>
      <c r="B5">
        <v>4</v>
      </c>
      <c r="C5" t="s">
        <v>937</v>
      </c>
      <c r="D5" t="s">
        <v>936</v>
      </c>
      <c r="E5" t="s">
        <v>270</v>
      </c>
      <c r="F5">
        <v>1</v>
      </c>
      <c r="G5">
        <v>1</v>
      </c>
    </row>
    <row r="6" spans="1:7" x14ac:dyDescent="0.35">
      <c r="A6">
        <v>21</v>
      </c>
      <c r="B6">
        <v>5</v>
      </c>
      <c r="C6" t="s">
        <v>939</v>
      </c>
      <c r="D6" t="s">
        <v>938</v>
      </c>
      <c r="E6" t="s">
        <v>270</v>
      </c>
      <c r="F6">
        <v>1</v>
      </c>
      <c r="G6">
        <v>1</v>
      </c>
    </row>
    <row r="7" spans="1:7" x14ac:dyDescent="0.35">
      <c r="A7">
        <v>21</v>
      </c>
      <c r="B7">
        <v>6</v>
      </c>
      <c r="C7" t="s">
        <v>941</v>
      </c>
      <c r="D7" t="s">
        <v>940</v>
      </c>
      <c r="E7" t="s">
        <v>270</v>
      </c>
      <c r="F7">
        <v>2</v>
      </c>
      <c r="G7">
        <v>5</v>
      </c>
    </row>
    <row r="8" spans="1:7" x14ac:dyDescent="0.35">
      <c r="A8">
        <v>21</v>
      </c>
      <c r="B8">
        <v>7</v>
      </c>
      <c r="C8" t="s">
        <v>941</v>
      </c>
      <c r="D8" t="s">
        <v>942</v>
      </c>
      <c r="E8" t="s">
        <v>270</v>
      </c>
      <c r="F8">
        <v>2</v>
      </c>
      <c r="G8">
        <v>6</v>
      </c>
    </row>
    <row r="9" spans="1:7" x14ac:dyDescent="0.35">
      <c r="A9">
        <v>21</v>
      </c>
      <c r="B9">
        <v>8</v>
      </c>
      <c r="C9" t="s">
        <v>944</v>
      </c>
      <c r="D9" t="s">
        <v>943</v>
      </c>
      <c r="E9" t="s">
        <v>257</v>
      </c>
      <c r="F9">
        <v>5</v>
      </c>
      <c r="G9">
        <v>2</v>
      </c>
    </row>
    <row r="10" spans="1:7" x14ac:dyDescent="0.35">
      <c r="A10">
        <v>21</v>
      </c>
      <c r="B10">
        <v>9</v>
      </c>
      <c r="C10" t="s">
        <v>946</v>
      </c>
      <c r="D10" t="s">
        <v>945</v>
      </c>
      <c r="E10" t="s">
        <v>257</v>
      </c>
      <c r="F10">
        <v>5</v>
      </c>
      <c r="G10">
        <v>2</v>
      </c>
    </row>
    <row r="11" spans="1:7" x14ac:dyDescent="0.35">
      <c r="A11">
        <v>21</v>
      </c>
      <c r="B11">
        <v>10</v>
      </c>
      <c r="C11" t="s">
        <v>948</v>
      </c>
      <c r="D11" t="s">
        <v>947</v>
      </c>
      <c r="E11" t="s">
        <v>257</v>
      </c>
      <c r="F11">
        <v>1</v>
      </c>
      <c r="G11">
        <v>1</v>
      </c>
    </row>
    <row r="12" spans="1:7" x14ac:dyDescent="0.35">
      <c r="A12">
        <v>21</v>
      </c>
      <c r="B12">
        <v>11</v>
      </c>
      <c r="C12" t="s">
        <v>950</v>
      </c>
      <c r="D12" t="s">
        <v>949</v>
      </c>
      <c r="E12" t="s">
        <v>190</v>
      </c>
      <c r="F12">
        <v>2</v>
      </c>
      <c r="G12">
        <v>2</v>
      </c>
    </row>
    <row r="13" spans="1:7" x14ac:dyDescent="0.35">
      <c r="A13">
        <v>21</v>
      </c>
      <c r="B13">
        <v>13</v>
      </c>
      <c r="C13" t="s">
        <v>952</v>
      </c>
      <c r="D13" t="s">
        <v>951</v>
      </c>
      <c r="E13" t="s">
        <v>257</v>
      </c>
      <c r="F13">
        <v>1</v>
      </c>
      <c r="G13">
        <v>1</v>
      </c>
    </row>
    <row r="14" spans="1:7" x14ac:dyDescent="0.35">
      <c r="A14">
        <v>21</v>
      </c>
      <c r="B14">
        <v>14</v>
      </c>
      <c r="C14" t="s">
        <v>954</v>
      </c>
      <c r="D14" t="s">
        <v>953</v>
      </c>
      <c r="E14" t="s">
        <v>257</v>
      </c>
      <c r="F14">
        <v>4</v>
      </c>
      <c r="G14">
        <v>1</v>
      </c>
    </row>
    <row r="15" spans="1:7" x14ac:dyDescent="0.35">
      <c r="A15">
        <v>21</v>
      </c>
      <c r="B15">
        <v>15</v>
      </c>
      <c r="C15" t="s">
        <v>956</v>
      </c>
      <c r="D15" t="s">
        <v>955</v>
      </c>
      <c r="E15" t="s">
        <v>278</v>
      </c>
      <c r="F15">
        <v>0</v>
      </c>
      <c r="G15">
        <v>3</v>
      </c>
    </row>
    <row r="16" spans="1:7" x14ac:dyDescent="0.35">
      <c r="A16">
        <v>21</v>
      </c>
      <c r="B16">
        <f>B15+1</f>
        <v>16</v>
      </c>
      <c r="C16" t="s">
        <v>958</v>
      </c>
      <c r="D16" t="s">
        <v>957</v>
      </c>
      <c r="E16" t="s">
        <v>270</v>
      </c>
      <c r="F16">
        <v>2</v>
      </c>
      <c r="G16">
        <v>5</v>
      </c>
    </row>
    <row r="17" spans="1:7" x14ac:dyDescent="0.35">
      <c r="A17">
        <v>21</v>
      </c>
      <c r="B17">
        <f t="shared" ref="B17" si="0">B16+1</f>
        <v>17</v>
      </c>
      <c r="C17" t="s">
        <v>960</v>
      </c>
      <c r="D17" t="s">
        <v>959</v>
      </c>
      <c r="E17" t="s">
        <v>257</v>
      </c>
      <c r="F17">
        <v>2</v>
      </c>
      <c r="G17">
        <v>2</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68FFD-5AB1-444C-8C37-2A3A59ACC540}">
  <sheetPr>
    <tabColor rgb="FFFFC000"/>
  </sheetPr>
  <dimension ref="A1:G17"/>
  <sheetViews>
    <sheetView workbookViewId="0">
      <selection sqref="A1:B1"/>
    </sheetView>
  </sheetViews>
  <sheetFormatPr defaultRowHeight="14.5" x14ac:dyDescent="0.35"/>
  <cols>
    <col min="1" max="1" width="3.81640625" style="10" customWidth="1"/>
    <col min="2" max="2" width="4.1796875" style="10" customWidth="1"/>
    <col min="3" max="3" width="27.54296875" style="10" customWidth="1"/>
    <col min="4" max="4" width="22.1796875" style="10" customWidth="1"/>
    <col min="5" max="16384" width="8.7265625" style="10"/>
  </cols>
  <sheetData>
    <row r="1" spans="1:7" x14ac:dyDescent="0.35">
      <c r="A1" s="13" t="s">
        <v>1111</v>
      </c>
      <c r="B1" s="13" t="s">
        <v>1434</v>
      </c>
      <c r="C1" s="16" t="s">
        <v>7</v>
      </c>
      <c r="D1" s="16" t="s">
        <v>222</v>
      </c>
      <c r="E1" s="16" t="s">
        <v>223</v>
      </c>
      <c r="F1" s="16" t="s">
        <v>224</v>
      </c>
      <c r="G1" s="16" t="s">
        <v>225</v>
      </c>
    </row>
    <row r="2" spans="1:7" x14ac:dyDescent="0.35">
      <c r="A2" s="10">
        <v>22</v>
      </c>
      <c r="B2" s="10">
        <v>1</v>
      </c>
      <c r="C2" s="10" t="s">
        <v>269</v>
      </c>
      <c r="D2" s="10" t="s">
        <v>268</v>
      </c>
      <c r="E2" s="10" t="s">
        <v>278</v>
      </c>
      <c r="F2" s="10">
        <v>0</v>
      </c>
      <c r="G2" s="10">
        <v>1</v>
      </c>
    </row>
    <row r="3" spans="1:7" x14ac:dyDescent="0.35">
      <c r="A3" s="10">
        <v>22</v>
      </c>
      <c r="B3" s="10">
        <v>2</v>
      </c>
      <c r="C3" s="10" t="s">
        <v>1107</v>
      </c>
      <c r="D3" s="10" t="s">
        <v>1108</v>
      </c>
      <c r="E3" s="10" t="s">
        <v>278</v>
      </c>
      <c r="F3" s="10">
        <v>0</v>
      </c>
      <c r="G3" s="10">
        <v>5</v>
      </c>
    </row>
    <row r="4" spans="1:7" x14ac:dyDescent="0.35">
      <c r="A4" s="10">
        <v>22</v>
      </c>
      <c r="B4" s="10">
        <v>3</v>
      </c>
      <c r="C4" s="10" t="s">
        <v>1107</v>
      </c>
      <c r="D4" s="10" t="s">
        <v>1109</v>
      </c>
      <c r="E4" s="10" t="s">
        <v>278</v>
      </c>
      <c r="F4" s="10">
        <v>0</v>
      </c>
      <c r="G4" s="10">
        <v>5</v>
      </c>
    </row>
    <row r="5" spans="1:7" x14ac:dyDescent="0.35">
      <c r="A5" s="10">
        <v>22</v>
      </c>
      <c r="B5" s="10">
        <v>4</v>
      </c>
      <c r="C5" s="10" t="s">
        <v>275</v>
      </c>
      <c r="D5" s="10" t="s">
        <v>274</v>
      </c>
      <c r="E5" s="10" t="s">
        <v>273</v>
      </c>
      <c r="F5" s="10">
        <v>0</v>
      </c>
      <c r="G5" s="10">
        <v>1</v>
      </c>
    </row>
    <row r="6" spans="1:7" x14ac:dyDescent="0.35">
      <c r="A6" s="10">
        <v>22</v>
      </c>
      <c r="B6" s="10">
        <v>5</v>
      </c>
      <c r="C6" s="10" t="s">
        <v>277</v>
      </c>
      <c r="D6" s="10" t="s">
        <v>276</v>
      </c>
      <c r="E6" s="10" t="s">
        <v>202</v>
      </c>
      <c r="F6" s="10">
        <v>0</v>
      </c>
      <c r="G6" s="10">
        <v>1</v>
      </c>
    </row>
    <row r="7" spans="1:7" x14ac:dyDescent="0.35">
      <c r="A7" s="10">
        <v>22</v>
      </c>
      <c r="B7" s="10">
        <v>6</v>
      </c>
      <c r="C7" s="10" t="s">
        <v>280</v>
      </c>
      <c r="D7" s="10" t="s">
        <v>279</v>
      </c>
      <c r="E7" s="10" t="s">
        <v>202</v>
      </c>
      <c r="F7" s="10">
        <v>0</v>
      </c>
      <c r="G7" s="10">
        <v>3</v>
      </c>
    </row>
    <row r="8" spans="1:7" x14ac:dyDescent="0.35">
      <c r="A8" s="10">
        <v>22</v>
      </c>
      <c r="B8" s="10">
        <v>7</v>
      </c>
      <c r="C8" s="10" t="s">
        <v>282</v>
      </c>
      <c r="D8" s="10" t="s">
        <v>281</v>
      </c>
      <c r="E8" s="10" t="s">
        <v>270</v>
      </c>
      <c r="F8" s="10">
        <v>1</v>
      </c>
      <c r="G8" s="10">
        <v>1</v>
      </c>
    </row>
    <row r="9" spans="1:7" x14ac:dyDescent="0.35">
      <c r="A9" s="10">
        <v>22</v>
      </c>
      <c r="B9" s="10">
        <v>8</v>
      </c>
      <c r="C9" s="10" t="s">
        <v>284</v>
      </c>
      <c r="D9" s="10" t="s">
        <v>283</v>
      </c>
      <c r="E9" s="10" t="s">
        <v>270</v>
      </c>
      <c r="F9" s="10">
        <v>2</v>
      </c>
      <c r="G9" s="10">
        <v>4</v>
      </c>
    </row>
    <row r="10" spans="1:7" x14ac:dyDescent="0.35">
      <c r="A10" s="10">
        <v>22</v>
      </c>
      <c r="B10" s="10">
        <v>9</v>
      </c>
      <c r="C10" s="10" t="s">
        <v>286</v>
      </c>
      <c r="D10" s="10" t="s">
        <v>285</v>
      </c>
      <c r="E10" s="10" t="s">
        <v>270</v>
      </c>
      <c r="F10" s="10">
        <v>3</v>
      </c>
      <c r="G10" s="10">
        <v>2</v>
      </c>
    </row>
    <row r="11" spans="1:7" x14ac:dyDescent="0.35">
      <c r="A11" s="10">
        <v>22</v>
      </c>
      <c r="B11" s="10">
        <v>10</v>
      </c>
      <c r="C11" s="10" t="s">
        <v>288</v>
      </c>
      <c r="D11" s="10" t="s">
        <v>287</v>
      </c>
      <c r="E11" s="10" t="s">
        <v>257</v>
      </c>
      <c r="F11" s="10">
        <v>1</v>
      </c>
      <c r="G11" s="10">
        <v>1</v>
      </c>
    </row>
    <row r="12" spans="1:7" x14ac:dyDescent="0.35">
      <c r="A12" s="10">
        <v>22</v>
      </c>
      <c r="B12" s="10">
        <v>11</v>
      </c>
      <c r="C12" s="10" t="s">
        <v>290</v>
      </c>
      <c r="D12" s="10" t="s">
        <v>289</v>
      </c>
      <c r="E12" s="10" t="s">
        <v>257</v>
      </c>
      <c r="F12" s="10">
        <v>5</v>
      </c>
      <c r="G12" s="10">
        <v>2</v>
      </c>
    </row>
    <row r="13" spans="1:7" x14ac:dyDescent="0.35">
      <c r="A13" s="10">
        <v>22</v>
      </c>
      <c r="B13" s="10">
        <v>12</v>
      </c>
      <c r="C13" s="10" t="s">
        <v>292</v>
      </c>
      <c r="D13" s="10" t="s">
        <v>291</v>
      </c>
      <c r="E13" s="10" t="s">
        <v>257</v>
      </c>
      <c r="F13" s="10">
        <v>3</v>
      </c>
      <c r="G13" s="10">
        <v>3</v>
      </c>
    </row>
    <row r="14" spans="1:7" x14ac:dyDescent="0.35">
      <c r="A14" s="10">
        <v>22</v>
      </c>
      <c r="B14" s="10">
        <v>13</v>
      </c>
      <c r="C14" s="10" t="s">
        <v>295</v>
      </c>
      <c r="D14" s="10" t="s">
        <v>294</v>
      </c>
      <c r="E14" s="10" t="s">
        <v>257</v>
      </c>
      <c r="F14" s="10">
        <v>2</v>
      </c>
      <c r="G14" s="10">
        <v>2</v>
      </c>
    </row>
    <row r="15" spans="1:7" x14ac:dyDescent="0.35">
      <c r="A15" s="10">
        <v>22</v>
      </c>
      <c r="B15" s="10">
        <v>14</v>
      </c>
      <c r="C15" s="10" t="s">
        <v>297</v>
      </c>
      <c r="D15" s="10" t="s">
        <v>296</v>
      </c>
      <c r="E15" s="10" t="s">
        <v>190</v>
      </c>
      <c r="F15" s="10">
        <v>1</v>
      </c>
      <c r="G15" s="10">
        <v>1</v>
      </c>
    </row>
    <row r="16" spans="1:7" x14ac:dyDescent="0.35">
      <c r="A16" s="10">
        <v>22</v>
      </c>
      <c r="B16" s="10">
        <v>15</v>
      </c>
      <c r="C16" s="10" t="s">
        <v>299</v>
      </c>
      <c r="D16" s="10" t="s">
        <v>298</v>
      </c>
      <c r="E16" s="10" t="s">
        <v>190</v>
      </c>
      <c r="F16" s="10">
        <v>1</v>
      </c>
      <c r="G16" s="10">
        <v>1</v>
      </c>
    </row>
    <row r="17" spans="1:7" x14ac:dyDescent="0.35">
      <c r="A17" s="10">
        <v>22</v>
      </c>
      <c r="B17" s="10">
        <v>16</v>
      </c>
      <c r="C17" s="10" t="s">
        <v>301</v>
      </c>
      <c r="D17" s="10" t="s">
        <v>300</v>
      </c>
      <c r="E17" s="10" t="s">
        <v>257</v>
      </c>
      <c r="F17" s="10">
        <v>4</v>
      </c>
      <c r="G17" s="10">
        <v>2</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BD78A-3202-4D28-97B4-C0B087010999}">
  <sheetPr>
    <tabColor rgb="FFFFC000"/>
  </sheetPr>
  <dimension ref="A1:G14"/>
  <sheetViews>
    <sheetView workbookViewId="0">
      <selection sqref="A1:B1"/>
    </sheetView>
  </sheetViews>
  <sheetFormatPr defaultRowHeight="14.5" x14ac:dyDescent="0.35"/>
  <cols>
    <col min="3" max="3" width="25" customWidth="1"/>
    <col min="4" max="4" width="29.36328125" customWidth="1"/>
  </cols>
  <sheetData>
    <row r="1" spans="1:7" x14ac:dyDescent="0.35">
      <c r="A1" s="13" t="s">
        <v>1111</v>
      </c>
      <c r="B1" s="13" t="s">
        <v>1434</v>
      </c>
      <c r="C1" s="2" t="s">
        <v>7</v>
      </c>
      <c r="D1" s="2" t="s">
        <v>222</v>
      </c>
      <c r="E1" s="2" t="s">
        <v>223</v>
      </c>
      <c r="F1" s="2" t="s">
        <v>224</v>
      </c>
      <c r="G1" s="2" t="s">
        <v>225</v>
      </c>
    </row>
    <row r="2" spans="1:7" x14ac:dyDescent="0.35">
      <c r="A2">
        <v>23</v>
      </c>
      <c r="B2">
        <v>1</v>
      </c>
      <c r="C2" t="s">
        <v>395</v>
      </c>
      <c r="D2" t="s">
        <v>394</v>
      </c>
      <c r="E2" t="s">
        <v>273</v>
      </c>
      <c r="F2">
        <v>0</v>
      </c>
      <c r="G2">
        <v>1</v>
      </c>
    </row>
    <row r="3" spans="1:7" x14ac:dyDescent="0.35">
      <c r="A3">
        <v>23</v>
      </c>
      <c r="B3">
        <v>2</v>
      </c>
      <c r="C3" t="s">
        <v>397</v>
      </c>
      <c r="D3" t="s">
        <v>396</v>
      </c>
      <c r="E3" t="s">
        <v>190</v>
      </c>
      <c r="F3">
        <v>1</v>
      </c>
      <c r="G3">
        <v>1</v>
      </c>
    </row>
    <row r="4" spans="1:7" x14ac:dyDescent="0.35">
      <c r="A4">
        <v>23</v>
      </c>
      <c r="B4">
        <v>3</v>
      </c>
      <c r="C4" t="s">
        <v>399</v>
      </c>
      <c r="D4" t="s">
        <v>398</v>
      </c>
      <c r="E4" t="s">
        <v>190</v>
      </c>
      <c r="F4">
        <v>1</v>
      </c>
      <c r="G4">
        <v>2</v>
      </c>
    </row>
    <row r="5" spans="1:7" x14ac:dyDescent="0.35">
      <c r="A5">
        <v>23</v>
      </c>
      <c r="B5">
        <v>4</v>
      </c>
      <c r="C5" t="s">
        <v>399</v>
      </c>
      <c r="D5" t="s">
        <v>400</v>
      </c>
      <c r="E5" t="s">
        <v>190</v>
      </c>
      <c r="F5">
        <v>2</v>
      </c>
      <c r="G5">
        <v>2</v>
      </c>
    </row>
    <row r="6" spans="1:7" x14ac:dyDescent="0.35">
      <c r="A6">
        <v>23</v>
      </c>
      <c r="B6">
        <v>5</v>
      </c>
      <c r="C6" t="s">
        <v>402</v>
      </c>
      <c r="D6" t="s">
        <v>401</v>
      </c>
      <c r="E6" t="s">
        <v>190</v>
      </c>
      <c r="F6">
        <v>2</v>
      </c>
      <c r="G6">
        <v>3</v>
      </c>
    </row>
    <row r="7" spans="1:7" x14ac:dyDescent="0.35">
      <c r="A7">
        <v>23</v>
      </c>
      <c r="B7">
        <f>B6+1</f>
        <v>6</v>
      </c>
      <c r="C7" t="s">
        <v>402</v>
      </c>
      <c r="D7" t="s">
        <v>404</v>
      </c>
      <c r="E7" t="s">
        <v>257</v>
      </c>
      <c r="F7">
        <v>1</v>
      </c>
      <c r="G7">
        <v>1</v>
      </c>
    </row>
    <row r="8" spans="1:7" x14ac:dyDescent="0.35">
      <c r="A8">
        <v>23</v>
      </c>
      <c r="B8">
        <f t="shared" ref="B8:B14" si="0">B7+1</f>
        <v>7</v>
      </c>
      <c r="C8" t="s">
        <v>406</v>
      </c>
      <c r="D8" t="s">
        <v>405</v>
      </c>
      <c r="E8" t="s">
        <v>257</v>
      </c>
      <c r="F8">
        <v>1</v>
      </c>
      <c r="G8">
        <v>2</v>
      </c>
    </row>
    <row r="9" spans="1:7" x14ac:dyDescent="0.35">
      <c r="A9">
        <v>23</v>
      </c>
      <c r="B9">
        <f t="shared" si="0"/>
        <v>8</v>
      </c>
      <c r="C9" t="s">
        <v>408</v>
      </c>
      <c r="D9" t="s">
        <v>407</v>
      </c>
      <c r="E9" t="s">
        <v>190</v>
      </c>
      <c r="F9">
        <v>2</v>
      </c>
      <c r="G9">
        <v>3</v>
      </c>
    </row>
    <row r="10" spans="1:7" x14ac:dyDescent="0.35">
      <c r="A10">
        <v>23</v>
      </c>
      <c r="B10">
        <f t="shared" si="0"/>
        <v>9</v>
      </c>
      <c r="C10" t="s">
        <v>408</v>
      </c>
      <c r="D10" t="s">
        <v>1249</v>
      </c>
      <c r="E10" t="s">
        <v>190</v>
      </c>
      <c r="F10">
        <v>3</v>
      </c>
      <c r="G10">
        <v>2</v>
      </c>
    </row>
    <row r="11" spans="1:7" x14ac:dyDescent="0.35">
      <c r="A11">
        <v>23</v>
      </c>
      <c r="B11">
        <f t="shared" si="0"/>
        <v>10</v>
      </c>
      <c r="C11" t="s">
        <v>410</v>
      </c>
      <c r="D11" t="s">
        <v>409</v>
      </c>
      <c r="E11" t="s">
        <v>257</v>
      </c>
      <c r="F11">
        <v>3</v>
      </c>
      <c r="G11">
        <v>3</v>
      </c>
    </row>
    <row r="12" spans="1:7" x14ac:dyDescent="0.35">
      <c r="A12">
        <v>23</v>
      </c>
      <c r="B12">
        <f t="shared" si="0"/>
        <v>11</v>
      </c>
      <c r="C12" t="s">
        <v>412</v>
      </c>
      <c r="D12" t="s">
        <v>411</v>
      </c>
      <c r="E12" t="s">
        <v>270</v>
      </c>
      <c r="F12">
        <v>1</v>
      </c>
      <c r="G12">
        <v>1</v>
      </c>
    </row>
    <row r="13" spans="1:7" x14ac:dyDescent="0.35">
      <c r="A13">
        <v>23</v>
      </c>
      <c r="B13">
        <f t="shared" si="0"/>
        <v>12</v>
      </c>
      <c r="C13" t="s">
        <v>414</v>
      </c>
      <c r="D13" t="s">
        <v>413</v>
      </c>
      <c r="E13" t="s">
        <v>257</v>
      </c>
      <c r="F13">
        <v>1</v>
      </c>
      <c r="G13">
        <v>1</v>
      </c>
    </row>
    <row r="14" spans="1:7" x14ac:dyDescent="0.35">
      <c r="A14">
        <v>23</v>
      </c>
      <c r="B14">
        <f t="shared" si="0"/>
        <v>13</v>
      </c>
      <c r="C14" t="s">
        <v>416</v>
      </c>
      <c r="D14" t="s">
        <v>415</v>
      </c>
      <c r="E14" t="s">
        <v>273</v>
      </c>
      <c r="F14">
        <v>0</v>
      </c>
      <c r="G14">
        <v>1</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86B3C-976B-4917-A226-644043539B57}">
  <sheetPr>
    <tabColor rgb="FFFFC000"/>
  </sheetPr>
  <dimension ref="A1:G11"/>
  <sheetViews>
    <sheetView workbookViewId="0">
      <selection sqref="A1:B1"/>
    </sheetView>
  </sheetViews>
  <sheetFormatPr defaultRowHeight="14.5" x14ac:dyDescent="0.35"/>
  <cols>
    <col min="3" max="3" width="21.453125" customWidth="1"/>
    <col min="4" max="4" width="27" customWidth="1"/>
  </cols>
  <sheetData>
    <row r="1" spans="1:7" x14ac:dyDescent="0.35">
      <c r="A1" s="13" t="s">
        <v>1111</v>
      </c>
      <c r="B1" s="13" t="s">
        <v>1434</v>
      </c>
      <c r="C1" s="2" t="s">
        <v>7</v>
      </c>
      <c r="D1" s="2" t="s">
        <v>222</v>
      </c>
      <c r="E1" s="2" t="s">
        <v>223</v>
      </c>
      <c r="F1" s="2" t="s">
        <v>224</v>
      </c>
      <c r="G1" s="2" t="s">
        <v>225</v>
      </c>
    </row>
    <row r="2" spans="1:7" x14ac:dyDescent="0.35">
      <c r="A2">
        <v>24</v>
      </c>
      <c r="B2">
        <v>1</v>
      </c>
      <c r="C2" t="s">
        <v>856</v>
      </c>
      <c r="D2" t="s">
        <v>855</v>
      </c>
      <c r="E2" t="s">
        <v>190</v>
      </c>
      <c r="F2">
        <v>1</v>
      </c>
      <c r="G2">
        <v>1</v>
      </c>
    </row>
    <row r="3" spans="1:7" x14ac:dyDescent="0.35">
      <c r="A3">
        <v>24</v>
      </c>
      <c r="B3">
        <v>2</v>
      </c>
      <c r="C3" t="s">
        <v>858</v>
      </c>
      <c r="D3" t="s">
        <v>857</v>
      </c>
      <c r="E3" t="s">
        <v>190</v>
      </c>
      <c r="F3">
        <v>1</v>
      </c>
      <c r="G3">
        <v>1</v>
      </c>
    </row>
    <row r="4" spans="1:7" x14ac:dyDescent="0.35">
      <c r="A4">
        <v>24</v>
      </c>
      <c r="B4">
        <v>3</v>
      </c>
      <c r="C4" t="s">
        <v>860</v>
      </c>
      <c r="D4" t="s">
        <v>859</v>
      </c>
      <c r="E4" t="s">
        <v>190</v>
      </c>
      <c r="F4">
        <v>1</v>
      </c>
      <c r="G4">
        <v>1</v>
      </c>
    </row>
    <row r="5" spans="1:7" x14ac:dyDescent="0.35">
      <c r="A5">
        <v>24</v>
      </c>
      <c r="B5">
        <v>4</v>
      </c>
      <c r="C5" t="s">
        <v>862</v>
      </c>
      <c r="D5" t="s">
        <v>861</v>
      </c>
      <c r="E5" t="s">
        <v>190</v>
      </c>
      <c r="F5">
        <v>1</v>
      </c>
      <c r="G5">
        <v>1</v>
      </c>
    </row>
    <row r="6" spans="1:7" x14ac:dyDescent="0.35">
      <c r="A6">
        <v>24</v>
      </c>
      <c r="B6">
        <v>5</v>
      </c>
      <c r="C6" t="s">
        <v>864</v>
      </c>
      <c r="D6" t="s">
        <v>863</v>
      </c>
      <c r="E6" t="s">
        <v>190</v>
      </c>
      <c r="F6">
        <v>2</v>
      </c>
      <c r="G6">
        <v>1</v>
      </c>
    </row>
    <row r="7" spans="1:7" x14ac:dyDescent="0.35">
      <c r="A7">
        <v>24</v>
      </c>
      <c r="B7">
        <v>6</v>
      </c>
      <c r="C7" t="s">
        <v>866</v>
      </c>
      <c r="D7" t="s">
        <v>865</v>
      </c>
      <c r="E7" t="s">
        <v>273</v>
      </c>
      <c r="F7">
        <v>0</v>
      </c>
      <c r="G7">
        <v>3</v>
      </c>
    </row>
    <row r="8" spans="1:7" x14ac:dyDescent="0.35">
      <c r="A8">
        <v>24</v>
      </c>
      <c r="B8">
        <v>7</v>
      </c>
      <c r="C8" t="s">
        <v>868</v>
      </c>
      <c r="D8" t="s">
        <v>867</v>
      </c>
      <c r="E8" t="s">
        <v>257</v>
      </c>
      <c r="F8">
        <v>5</v>
      </c>
      <c r="G8">
        <v>2</v>
      </c>
    </row>
    <row r="9" spans="1:7" x14ac:dyDescent="0.35">
      <c r="A9">
        <v>24</v>
      </c>
      <c r="B9">
        <v>8</v>
      </c>
      <c r="C9" t="s">
        <v>870</v>
      </c>
      <c r="D9" t="s">
        <v>869</v>
      </c>
      <c r="E9" t="s">
        <v>270</v>
      </c>
      <c r="F9">
        <v>1</v>
      </c>
      <c r="G9">
        <v>10</v>
      </c>
    </row>
    <row r="10" spans="1:7" x14ac:dyDescent="0.35">
      <c r="A10">
        <v>24</v>
      </c>
      <c r="B10">
        <v>9</v>
      </c>
      <c r="C10" t="s">
        <v>870</v>
      </c>
      <c r="D10" t="s">
        <v>871</v>
      </c>
      <c r="E10" t="s">
        <v>190</v>
      </c>
      <c r="F10">
        <v>2</v>
      </c>
      <c r="G10">
        <v>3</v>
      </c>
    </row>
    <row r="11" spans="1:7" x14ac:dyDescent="0.35">
      <c r="A11">
        <v>24</v>
      </c>
      <c r="B11">
        <v>10</v>
      </c>
      <c r="C11" t="s">
        <v>870</v>
      </c>
      <c r="D11" t="s">
        <v>872</v>
      </c>
      <c r="E11" t="s">
        <v>190</v>
      </c>
      <c r="F11">
        <v>1</v>
      </c>
      <c r="G11">
        <v>1</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D8327-B5BE-4F59-8EB8-A6571CB4CD08}">
  <sheetPr>
    <tabColor rgb="FFFFC000"/>
  </sheetPr>
  <dimension ref="A1:G22"/>
  <sheetViews>
    <sheetView workbookViewId="0">
      <selection sqref="A1:B1"/>
    </sheetView>
  </sheetViews>
  <sheetFormatPr defaultRowHeight="14.5" x14ac:dyDescent="0.35"/>
  <sheetData>
    <row r="1" spans="1:7" x14ac:dyDescent="0.35">
      <c r="A1" s="13" t="s">
        <v>1111</v>
      </c>
      <c r="B1" s="13" t="s">
        <v>1434</v>
      </c>
      <c r="C1" s="2" t="s">
        <v>7</v>
      </c>
      <c r="D1" s="2" t="s">
        <v>222</v>
      </c>
      <c r="E1" s="2" t="s">
        <v>223</v>
      </c>
      <c r="F1" s="2" t="s">
        <v>224</v>
      </c>
      <c r="G1" s="2" t="s">
        <v>225</v>
      </c>
    </row>
    <row r="2" spans="1:7" x14ac:dyDescent="0.35">
      <c r="A2">
        <v>25</v>
      </c>
      <c r="B2">
        <v>1</v>
      </c>
      <c r="C2" t="s">
        <v>481</v>
      </c>
      <c r="D2" t="s">
        <v>480</v>
      </c>
      <c r="E2" t="s">
        <v>273</v>
      </c>
      <c r="F2">
        <v>0</v>
      </c>
      <c r="G2">
        <v>1</v>
      </c>
    </row>
    <row r="3" spans="1:7" x14ac:dyDescent="0.35">
      <c r="A3">
        <v>25</v>
      </c>
      <c r="B3">
        <v>2</v>
      </c>
      <c r="C3" t="s">
        <v>483</v>
      </c>
      <c r="D3" t="s">
        <v>482</v>
      </c>
      <c r="E3" t="s">
        <v>273</v>
      </c>
      <c r="F3">
        <v>0</v>
      </c>
      <c r="G3">
        <v>1</v>
      </c>
    </row>
    <row r="4" spans="1:7" x14ac:dyDescent="0.35">
      <c r="A4">
        <v>25</v>
      </c>
      <c r="B4">
        <v>3</v>
      </c>
      <c r="C4" t="s">
        <v>485</v>
      </c>
      <c r="D4" t="s">
        <v>484</v>
      </c>
      <c r="E4" t="s">
        <v>190</v>
      </c>
      <c r="F4">
        <v>1</v>
      </c>
      <c r="G4">
        <v>2</v>
      </c>
    </row>
    <row r="5" spans="1:7" x14ac:dyDescent="0.35">
      <c r="A5">
        <v>25</v>
      </c>
      <c r="B5">
        <v>4</v>
      </c>
      <c r="C5" t="s">
        <v>487</v>
      </c>
      <c r="D5" t="s">
        <v>486</v>
      </c>
      <c r="E5" t="s">
        <v>190</v>
      </c>
      <c r="F5">
        <v>1</v>
      </c>
      <c r="G5">
        <v>3</v>
      </c>
    </row>
    <row r="6" spans="1:7" x14ac:dyDescent="0.35">
      <c r="A6">
        <v>25</v>
      </c>
      <c r="B6">
        <v>5</v>
      </c>
      <c r="C6" t="s">
        <v>489</v>
      </c>
      <c r="D6" t="s">
        <v>488</v>
      </c>
      <c r="E6" t="s">
        <v>190</v>
      </c>
      <c r="F6">
        <v>3</v>
      </c>
      <c r="G6">
        <v>2</v>
      </c>
    </row>
    <row r="7" spans="1:7" x14ac:dyDescent="0.35">
      <c r="A7">
        <v>25</v>
      </c>
      <c r="B7">
        <v>6</v>
      </c>
      <c r="C7" t="s">
        <v>491</v>
      </c>
      <c r="D7" t="s">
        <v>490</v>
      </c>
      <c r="E7" t="s">
        <v>270</v>
      </c>
      <c r="F7">
        <v>3</v>
      </c>
      <c r="G7">
        <v>1</v>
      </c>
    </row>
    <row r="8" spans="1:7" x14ac:dyDescent="0.35">
      <c r="A8">
        <v>25</v>
      </c>
      <c r="B8">
        <v>7</v>
      </c>
      <c r="C8" t="s">
        <v>493</v>
      </c>
      <c r="D8" t="s">
        <v>492</v>
      </c>
      <c r="E8" t="s">
        <v>257</v>
      </c>
      <c r="F8">
        <v>1</v>
      </c>
      <c r="G8">
        <v>2</v>
      </c>
    </row>
    <row r="9" spans="1:7" x14ac:dyDescent="0.35">
      <c r="A9">
        <v>25</v>
      </c>
      <c r="B9">
        <v>8</v>
      </c>
      <c r="C9" t="s">
        <v>495</v>
      </c>
      <c r="D9" t="s">
        <v>494</v>
      </c>
      <c r="E9" t="s">
        <v>257</v>
      </c>
      <c r="F9">
        <v>1</v>
      </c>
      <c r="G9">
        <v>2</v>
      </c>
    </row>
    <row r="10" spans="1:7" x14ac:dyDescent="0.35">
      <c r="A10">
        <v>25</v>
      </c>
      <c r="B10">
        <v>9</v>
      </c>
      <c r="C10" t="s">
        <v>497</v>
      </c>
      <c r="D10" t="s">
        <v>496</v>
      </c>
      <c r="E10" t="s">
        <v>190</v>
      </c>
      <c r="F10">
        <v>3</v>
      </c>
      <c r="G10">
        <v>2</v>
      </c>
    </row>
    <row r="11" spans="1:7" x14ac:dyDescent="0.35">
      <c r="A11">
        <v>25</v>
      </c>
      <c r="B11">
        <v>10</v>
      </c>
      <c r="C11" t="s">
        <v>499</v>
      </c>
      <c r="D11" t="s">
        <v>498</v>
      </c>
      <c r="E11" t="s">
        <v>257</v>
      </c>
      <c r="F11">
        <v>5</v>
      </c>
      <c r="G11">
        <v>2</v>
      </c>
    </row>
    <row r="12" spans="1:7" x14ac:dyDescent="0.35">
      <c r="A12">
        <v>25</v>
      </c>
      <c r="B12">
        <v>11</v>
      </c>
      <c r="C12" t="s">
        <v>501</v>
      </c>
      <c r="D12" t="s">
        <v>500</v>
      </c>
      <c r="E12" t="s">
        <v>257</v>
      </c>
      <c r="F12">
        <v>5</v>
      </c>
      <c r="G12">
        <v>2</v>
      </c>
    </row>
    <row r="13" spans="1:7" x14ac:dyDescent="0.35">
      <c r="A13">
        <v>25</v>
      </c>
      <c r="B13">
        <v>12</v>
      </c>
      <c r="C13" t="s">
        <v>503</v>
      </c>
      <c r="D13" t="s">
        <v>502</v>
      </c>
      <c r="E13" t="s">
        <v>257</v>
      </c>
      <c r="F13">
        <v>5</v>
      </c>
      <c r="G13">
        <v>2</v>
      </c>
    </row>
    <row r="14" spans="1:7" x14ac:dyDescent="0.35">
      <c r="A14">
        <v>25</v>
      </c>
      <c r="B14">
        <v>13</v>
      </c>
      <c r="C14" t="s">
        <v>505</v>
      </c>
      <c r="D14" t="s">
        <v>504</v>
      </c>
      <c r="E14" t="s">
        <v>257</v>
      </c>
      <c r="F14">
        <v>1</v>
      </c>
      <c r="G14">
        <v>1</v>
      </c>
    </row>
    <row r="15" spans="1:7" x14ac:dyDescent="0.35">
      <c r="A15">
        <v>25</v>
      </c>
      <c r="B15">
        <v>14</v>
      </c>
      <c r="C15" t="s">
        <v>507</v>
      </c>
      <c r="D15" t="s">
        <v>506</v>
      </c>
      <c r="E15" t="s">
        <v>257</v>
      </c>
      <c r="F15">
        <v>2</v>
      </c>
      <c r="G15">
        <v>1</v>
      </c>
    </row>
    <row r="16" spans="1:7" x14ac:dyDescent="0.35">
      <c r="A16">
        <v>25</v>
      </c>
      <c r="B16">
        <v>15</v>
      </c>
      <c r="C16" t="s">
        <v>509</v>
      </c>
      <c r="D16" t="s">
        <v>508</v>
      </c>
      <c r="E16" t="s">
        <v>257</v>
      </c>
      <c r="F16">
        <v>2</v>
      </c>
      <c r="G16">
        <v>3</v>
      </c>
    </row>
    <row r="17" spans="1:7" x14ac:dyDescent="0.35">
      <c r="A17">
        <v>25</v>
      </c>
      <c r="B17">
        <f>B16+1</f>
        <v>16</v>
      </c>
      <c r="C17" t="s">
        <v>511</v>
      </c>
      <c r="D17" t="s">
        <v>510</v>
      </c>
      <c r="E17" t="s">
        <v>257</v>
      </c>
      <c r="F17">
        <v>2</v>
      </c>
      <c r="G17">
        <v>3</v>
      </c>
    </row>
    <row r="18" spans="1:7" x14ac:dyDescent="0.35">
      <c r="A18">
        <v>25</v>
      </c>
      <c r="B18">
        <f t="shared" ref="B18:B22" si="0">B17+1</f>
        <v>17</v>
      </c>
      <c r="C18" t="s">
        <v>513</v>
      </c>
      <c r="D18" t="s">
        <v>512</v>
      </c>
      <c r="E18" t="s">
        <v>190</v>
      </c>
      <c r="F18">
        <v>1</v>
      </c>
      <c r="G18">
        <v>1</v>
      </c>
    </row>
    <row r="19" spans="1:7" x14ac:dyDescent="0.35">
      <c r="A19">
        <v>25</v>
      </c>
      <c r="B19">
        <f t="shared" si="0"/>
        <v>18</v>
      </c>
      <c r="C19" t="s">
        <v>515</v>
      </c>
      <c r="D19" t="s">
        <v>514</v>
      </c>
      <c r="E19" t="s">
        <v>190</v>
      </c>
      <c r="F19">
        <v>2</v>
      </c>
      <c r="G19">
        <v>1</v>
      </c>
    </row>
    <row r="20" spans="1:7" x14ac:dyDescent="0.35">
      <c r="A20">
        <v>25</v>
      </c>
      <c r="B20">
        <f t="shared" si="0"/>
        <v>19</v>
      </c>
      <c r="C20" t="s">
        <v>517</v>
      </c>
      <c r="D20" t="s">
        <v>516</v>
      </c>
      <c r="E20" t="s">
        <v>278</v>
      </c>
      <c r="F20">
        <v>0</v>
      </c>
      <c r="G20">
        <v>5</v>
      </c>
    </row>
    <row r="21" spans="1:7" x14ac:dyDescent="0.35">
      <c r="A21">
        <v>25</v>
      </c>
      <c r="B21">
        <f t="shared" si="0"/>
        <v>20</v>
      </c>
      <c r="C21" t="s">
        <v>519</v>
      </c>
      <c r="D21" t="s">
        <v>518</v>
      </c>
      <c r="E21" t="s">
        <v>270</v>
      </c>
      <c r="F21">
        <v>1</v>
      </c>
      <c r="G21">
        <v>1</v>
      </c>
    </row>
    <row r="22" spans="1:7" x14ac:dyDescent="0.35">
      <c r="A22">
        <v>25</v>
      </c>
      <c r="B22">
        <f t="shared" si="0"/>
        <v>21</v>
      </c>
      <c r="C22" t="s">
        <v>521</v>
      </c>
      <c r="D22" t="s">
        <v>520</v>
      </c>
      <c r="E22" t="s">
        <v>257</v>
      </c>
      <c r="F22">
        <v>2</v>
      </c>
      <c r="G22">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C4129-4445-4E67-AE12-26B4DC559E60}">
  <sheetPr>
    <tabColor rgb="FFFFC000"/>
  </sheetPr>
  <dimension ref="A1:M650"/>
  <sheetViews>
    <sheetView zoomScale="90" zoomScaleNormal="90" workbookViewId="0">
      <selection sqref="A1:B1"/>
    </sheetView>
  </sheetViews>
  <sheetFormatPr defaultRowHeight="14.5" x14ac:dyDescent="0.35"/>
  <cols>
    <col min="1" max="1" width="6" style="10" customWidth="1"/>
    <col min="2" max="2" width="6.54296875" style="10" customWidth="1"/>
    <col min="3" max="3" width="154.81640625" style="10" customWidth="1"/>
    <col min="4" max="4" width="11.7265625" style="10" customWidth="1"/>
    <col min="5" max="5" width="11.453125" style="10" customWidth="1"/>
    <col min="6" max="16384" width="8.7265625" style="10"/>
  </cols>
  <sheetData>
    <row r="1" spans="1:13" x14ac:dyDescent="0.35">
      <c r="A1" s="13" t="s">
        <v>1111</v>
      </c>
      <c r="B1" s="13" t="s">
        <v>1434</v>
      </c>
      <c r="C1" s="10" t="s">
        <v>222</v>
      </c>
      <c r="D1" s="10" t="s">
        <v>223</v>
      </c>
      <c r="E1" s="10" t="s">
        <v>1195</v>
      </c>
      <c r="F1" s="10" t="s">
        <v>225</v>
      </c>
    </row>
    <row r="2" spans="1:13" x14ac:dyDescent="0.35">
      <c r="A2" s="10">
        <f>'1'!A2</f>
        <v>1</v>
      </c>
      <c r="B2" s="10">
        <f>'1'!B2</f>
        <v>1</v>
      </c>
      <c r="C2" s="10" t="str">
        <f>'1'!D2</f>
        <v>woodlands take many decades to become established</v>
      </c>
      <c r="D2" s="10" t="str">
        <f>'1'!E2</f>
        <v>A</v>
      </c>
      <c r="E2" s="10">
        <f>'1'!F2</f>
        <v>1</v>
      </c>
      <c r="F2" s="10">
        <f>'1'!G2</f>
        <v>2</v>
      </c>
      <c r="H2" s="16"/>
      <c r="I2" s="16"/>
      <c r="J2" s="16"/>
      <c r="K2" s="16"/>
      <c r="L2" s="16"/>
      <c r="M2" s="16"/>
    </row>
    <row r="3" spans="1:13" x14ac:dyDescent="0.35">
      <c r="A3" s="10">
        <f>'1'!A3</f>
        <v>1</v>
      </c>
      <c r="B3" s="10">
        <f>'1'!B3</f>
        <v>2</v>
      </c>
      <c r="C3" s="10" t="str">
        <f>'1'!D3</f>
        <v>benefits at scales beyond the target site</v>
      </c>
      <c r="D3" s="10" t="str">
        <f>'1'!E3</f>
        <v>A</v>
      </c>
      <c r="E3" s="10">
        <f>'1'!F3</f>
        <v>1</v>
      </c>
      <c r="F3" s="10">
        <f>'1'!G3</f>
        <v>8</v>
      </c>
    </row>
    <row r="4" spans="1:13" x14ac:dyDescent="0.35">
      <c r="A4" s="10">
        <f>'1'!A4</f>
        <v>1</v>
      </c>
      <c r="B4" s="10">
        <f>'1'!B4</f>
        <v>3</v>
      </c>
      <c r="C4" s="10" t="str">
        <f>'1'!D4</f>
        <v>Research needed about different stakeholder groups who prioritise different woodland benefits</v>
      </c>
      <c r="D4" s="10" t="str">
        <f>'1'!E4</f>
        <v>B</v>
      </c>
      <c r="E4" s="10">
        <f>'1'!F4</f>
        <v>0</v>
      </c>
      <c r="F4" s="10">
        <f>'1'!G4</f>
        <v>1</v>
      </c>
    </row>
    <row r="5" spans="1:13" x14ac:dyDescent="0.35">
      <c r="A5" s="10">
        <f>'1'!A5</f>
        <v>1</v>
      </c>
      <c r="B5" s="10">
        <f>'1'!B5</f>
        <v>4</v>
      </c>
      <c r="C5" s="10" t="str">
        <f>'1'!D5</f>
        <v xml:space="preserve">data on social benefits can be  resource-intensive to collect and difficult to quantify in a manner  that is both meaningful and large-scale </v>
      </c>
      <c r="D5" s="10" t="str">
        <f>'1'!E5</f>
        <v>C</v>
      </c>
      <c r="E5" s="10">
        <f>'1'!F5</f>
        <v>3</v>
      </c>
      <c r="F5" s="10">
        <f>'1'!G5</f>
        <v>1</v>
      </c>
    </row>
    <row r="6" spans="1:13" x14ac:dyDescent="0.35">
      <c r="A6" s="10">
        <f>'1'!A6</f>
        <v>1</v>
      </c>
      <c r="B6" s="10">
        <f>'1'!B6</f>
        <v>5</v>
      </c>
      <c r="C6" s="10" t="str">
        <f>'1'!D6</f>
        <v>effectiveness of grant schemes difficult to assess due to lack of information on (social) impacts</v>
      </c>
      <c r="D6" s="10" t="str">
        <f>'1'!E6</f>
        <v>C</v>
      </c>
      <c r="E6" s="10">
        <f>'1'!F6</f>
        <v>2</v>
      </c>
      <c r="F6" s="10">
        <f>'1'!G6</f>
        <v>1</v>
      </c>
    </row>
    <row r="7" spans="1:13" x14ac:dyDescent="0.35">
      <c r="A7" s="10">
        <f>'1'!A7</f>
        <v>1</v>
      </c>
      <c r="B7" s="10">
        <f>'1'!B7</f>
        <v>6</v>
      </c>
      <c r="C7" s="10" t="str">
        <f>'1'!D7</f>
        <v>many restoration projects have no system of long-term monitoring, quality outcome data are limited,  posing a significant barrier to evaluation</v>
      </c>
      <c r="D7" s="10" t="str">
        <f>'1'!E7</f>
        <v>C</v>
      </c>
      <c r="E7" s="10">
        <f>'1'!F7</f>
        <v>1</v>
      </c>
      <c r="F7" s="10">
        <f>'1'!G7</f>
        <v>2</v>
      </c>
    </row>
    <row r="8" spans="1:13" x14ac:dyDescent="0.35">
      <c r="A8" s="10">
        <f>'1'!A8</f>
        <v>1</v>
      </c>
      <c r="B8" s="10">
        <f>'1'!B8</f>
        <v>7</v>
      </c>
      <c r="C8" s="10" t="str">
        <f>'1'!D8</f>
        <v xml:space="preserve">rationale behind woodland restoration projects  is rarely clearly articulated. Objectives are therefore  difficult to measure, and can vary significantly between and within  woodlands. Moreover, since high-level policy objectives such as ‘conserving  biodiversity’ are relatively abstract, identifying suitable outcome  measures is challenging and often relies on proxies such as population trends of indicator species </v>
      </c>
      <c r="D8" s="10" t="str">
        <f>'1'!E8</f>
        <v>C</v>
      </c>
      <c r="E8" s="10">
        <f>'1'!F8</f>
        <v>1</v>
      </c>
      <c r="F8" s="10">
        <f>'1'!G8</f>
        <v>3</v>
      </c>
    </row>
    <row r="9" spans="1:13" x14ac:dyDescent="0.35">
      <c r="A9" s="10">
        <f>'1'!A9</f>
        <v>1</v>
      </c>
      <c r="B9" s="10">
        <f>'1'!B9</f>
        <v>8</v>
      </c>
      <c r="C9" s="10" t="str">
        <f>'1'!D9</f>
        <v xml:space="preserve"> difficulty of  mapping non-market benefits in a policy relevant way</v>
      </c>
      <c r="D9" s="10" t="str">
        <f>'1'!E9</f>
        <v>C</v>
      </c>
      <c r="E9" s="10">
        <f>'1'!F9</f>
        <v>2</v>
      </c>
      <c r="F9" s="10">
        <f>'1'!G9</f>
        <v>2</v>
      </c>
    </row>
    <row r="10" spans="1:13" ht="15" thickBot="1" x14ac:dyDescent="0.4">
      <c r="A10" s="10">
        <f>'1'!A10</f>
        <v>1</v>
      </c>
      <c r="B10" s="10">
        <f>'1'!B10</f>
        <v>9</v>
      </c>
      <c r="C10" s="10" t="str">
        <f>'1'!D10</f>
        <v>Evaluation is often seen as low priority and can face resource limitations, particularly  on smaller projects.</v>
      </c>
      <c r="D10" s="10" t="str">
        <f>'1'!E10</f>
        <v>A</v>
      </c>
      <c r="E10" s="10">
        <f>'1'!F10</f>
        <v>1</v>
      </c>
      <c r="F10" s="10">
        <f>'1'!G10</f>
        <v>1</v>
      </c>
    </row>
    <row r="11" spans="1:13" ht="15" thickBot="1" x14ac:dyDescent="0.4">
      <c r="A11" s="10">
        <f>'1'!A11</f>
        <v>1</v>
      </c>
      <c r="B11" s="10">
        <f>'1'!B11</f>
        <v>10</v>
      </c>
      <c r="C11" s="10" t="str">
        <f>'1'!D11</f>
        <v>farmers and private  investors depend on profitability - grant payments instrumental to change behaviour/practices</v>
      </c>
      <c r="D11" s="10" t="str">
        <f>'1'!E11</f>
        <v>A</v>
      </c>
      <c r="E11" s="10">
        <f>'1'!F11</f>
        <v>1</v>
      </c>
      <c r="F11" s="10">
        <f>'1'!G11</f>
        <v>8</v>
      </c>
      <c r="I11" s="18"/>
    </row>
    <row r="12" spans="1:13" x14ac:dyDescent="0.35">
      <c r="A12" s="10">
        <f>'1'!A12</f>
        <v>1</v>
      </c>
      <c r="B12" s="10">
        <f>'1'!B12</f>
        <v>11</v>
      </c>
      <c r="C12" s="10" t="str">
        <f>'1'!D12</f>
        <v>Poor economic returns - - most important barrier to woodland creation</v>
      </c>
      <c r="D12" s="10" t="str">
        <f>'1'!E12</f>
        <v>A</v>
      </c>
      <c r="E12" s="10">
        <f>'1'!F12</f>
        <v>1</v>
      </c>
      <c r="F12" s="10">
        <f>'1'!G12</f>
        <v>8</v>
      </c>
    </row>
    <row r="13" spans="1:13" x14ac:dyDescent="0.35">
      <c r="A13" s="10">
        <f>'1'!A13</f>
        <v>1</v>
      </c>
      <c r="B13" s="10">
        <f>'1'!B13</f>
        <v>12</v>
      </c>
      <c r="C13" s="10" t="str">
        <f>'1'!D13</f>
        <v>tax incentives as a significant  motivator to change business practices</v>
      </c>
      <c r="D13" s="10" t="str">
        <f>'1'!E13</f>
        <v>A</v>
      </c>
      <c r="E13" s="10">
        <f>'1'!F13</f>
        <v>1</v>
      </c>
      <c r="F13" s="10">
        <f>'1'!G13</f>
        <v>10</v>
      </c>
    </row>
    <row r="14" spans="1:13" x14ac:dyDescent="0.35">
      <c r="A14" s="10">
        <f>'1'!A14</f>
        <v>1</v>
      </c>
      <c r="B14" s="10">
        <f>'1'!B14</f>
        <v>13</v>
      </c>
      <c r="C14" s="10" t="str">
        <f>'1'!D14</f>
        <v>market fluctuations may influence the decision to plant woodland if the value  of grants or timber products is uncompetitive with alternative  land-uses</v>
      </c>
      <c r="D14" s="10" t="str">
        <f>'1'!E14</f>
        <v>A</v>
      </c>
      <c r="E14" s="10">
        <f>'1'!F14</f>
        <v>1</v>
      </c>
      <c r="F14" s="10">
        <f>'1'!G14</f>
        <v>11</v>
      </c>
    </row>
    <row r="15" spans="1:13" x14ac:dyDescent="0.35">
      <c r="A15" s="10">
        <f>'1'!A15</f>
        <v>1</v>
      </c>
      <c r="B15" s="10">
        <f>'1'!B15</f>
        <v>14</v>
      </c>
      <c r="C15" s="10" t="str">
        <f>'1'!D15</f>
        <v xml:space="preserve">institutional investors remain attracted to the tax benefits and long-term  income </v>
      </c>
      <c r="D15" s="10" t="str">
        <f>'1'!E15</f>
        <v>A</v>
      </c>
      <c r="E15" s="10">
        <f>'1'!F15</f>
        <v>2</v>
      </c>
      <c r="F15" s="10">
        <f>'1'!G15</f>
        <v>4</v>
      </c>
    </row>
    <row r="16" spans="1:13" x14ac:dyDescent="0.35">
      <c r="A16" s="10">
        <f>'1'!A16</f>
        <v>1</v>
      </c>
      <c r="B16" s="10">
        <f>'1'!B16</f>
        <v>15</v>
      </c>
      <c r="C16" s="10" t="str">
        <f>'1'!D16</f>
        <v>farmers are often drawn to the shorter-term benefits of grant payments, or may avoid planting altogether</v>
      </c>
      <c r="D16" s="10" t="str">
        <f>'1'!E16</f>
        <v>A</v>
      </c>
      <c r="E16" s="10">
        <f>'1'!F16</f>
        <v>1</v>
      </c>
      <c r="F16" s="10">
        <f>'1'!G16</f>
        <v>2</v>
      </c>
    </row>
    <row r="17" spans="1:6" x14ac:dyDescent="0.35">
      <c r="A17" s="10">
        <f>'1'!A17</f>
        <v>1</v>
      </c>
      <c r="B17" s="10">
        <f>'1'!B17</f>
        <v>16</v>
      </c>
      <c r="C17" s="10" t="str">
        <f>'1'!D17</f>
        <v xml:space="preserve">Bureaucracy associated with grant schemes, often requires legal assistance </v>
      </c>
      <c r="D17" s="10" t="str">
        <f>'1'!E17</f>
        <v>A</v>
      </c>
      <c r="E17" s="10">
        <f>'1'!F17</f>
        <v>1</v>
      </c>
      <c r="F17" s="10">
        <f>'1'!G17</f>
        <v>10</v>
      </c>
    </row>
    <row r="18" spans="1:6" x14ac:dyDescent="0.35">
      <c r="A18" s="10">
        <f>'1'!A18</f>
        <v>1</v>
      </c>
      <c r="B18" s="10">
        <f>'1'!B18</f>
        <v>17</v>
      </c>
      <c r="C18" s="10" t="str">
        <f>'1'!D18</f>
        <v>establishment and opportunity costs vary by woodland</v>
      </c>
      <c r="D18" s="10" t="str">
        <f>'1'!E18</f>
        <v>B</v>
      </c>
      <c r="E18" s="10">
        <f>'1'!F18</f>
        <v>0</v>
      </c>
      <c r="F18" s="10">
        <f>'1'!G18</f>
        <v>4</v>
      </c>
    </row>
    <row r="19" spans="1:6" x14ac:dyDescent="0.35">
      <c r="A19" s="10">
        <f>'1'!A19</f>
        <v>1</v>
      </c>
      <c r="B19" s="10">
        <f>'1'!B19</f>
        <v>18</v>
      </c>
      <c r="C19" s="10" t="str">
        <f>'1'!D19</f>
        <v>Prioritising new woodlands on a  ‘least-cost’ or ‘most-benefit’ basis alone will be inefficient since it  does not recognise differential variability in costs and benefits over  space</v>
      </c>
      <c r="D19" s="10" t="str">
        <f>'1'!E19</f>
        <v>B</v>
      </c>
      <c r="E19" s="10">
        <f>'1'!F19</f>
        <v>0</v>
      </c>
      <c r="F19" s="10">
        <f>'1'!G19</f>
        <v>4</v>
      </c>
    </row>
    <row r="20" spans="1:6" x14ac:dyDescent="0.35">
      <c r="A20" s="10">
        <f>'1'!A20</f>
        <v>1</v>
      </c>
      <c r="B20" s="10">
        <f>'1'!B20</f>
        <v>19</v>
      </c>
      <c r="C20" s="10" t="str">
        <f>'1'!D20</f>
        <v xml:space="preserve"> Since grant payments are largely  based on establishment cost, expenditure is therefore weighted  towards lower benefit woodlands</v>
      </c>
      <c r="D20" s="10" t="str">
        <f>'1'!E20</f>
        <v>A</v>
      </c>
      <c r="E20" s="10">
        <f>'1'!F20</f>
        <v>3</v>
      </c>
      <c r="F20" s="10">
        <f>'1'!G20</f>
        <v>2</v>
      </c>
    </row>
    <row r="21" spans="1:6" x14ac:dyDescent="0.35">
      <c r="A21" s="10">
        <f>'1'!A21</f>
        <v>1</v>
      </c>
      <c r="B21" s="10">
        <f>'1'!B21</f>
        <v>20</v>
      </c>
      <c r="C21" s="10" t="str">
        <f>'1'!D21</f>
        <v>need for  updated cost-benefit analysis that takes into account a wider range  of woodland benefits</v>
      </c>
      <c r="D21" s="10" t="str">
        <f>'1'!E21</f>
        <v>C</v>
      </c>
      <c r="E21" s="10">
        <f>'1'!F21</f>
        <v>1</v>
      </c>
      <c r="F21" s="10">
        <f>'1'!G21</f>
        <v>1</v>
      </c>
    </row>
    <row r="22" spans="1:6" x14ac:dyDescent="0.35">
      <c r="A22" s="10">
        <f>'1'!A22</f>
        <v>1</v>
      </c>
      <c r="B22" s="10">
        <f>'1'!B22</f>
        <v>21</v>
      </c>
      <c r="C22" s="10" t="str">
        <f>'1'!D22</f>
        <v>ecosystem services are not necessarily congruent in  space and time: maximisation of one service may result in the  reduction of others</v>
      </c>
      <c r="D22" s="10" t="str">
        <f>'1'!E22</f>
        <v>A</v>
      </c>
      <c r="E22" s="10">
        <f>'1'!F22</f>
        <v>1</v>
      </c>
      <c r="F22" s="10">
        <f>'1'!G22</f>
        <v>10</v>
      </c>
    </row>
    <row r="23" spans="1:6" x14ac:dyDescent="0.35">
      <c r="A23" s="10">
        <f>'1'!A23</f>
        <v>1</v>
      </c>
      <c r="B23" s="10">
        <f>'1'!B23</f>
        <v>22</v>
      </c>
      <c r="C23" s="10" t="str">
        <f>'1'!D23</f>
        <v>Complexity can distort outcomes: decisions may be made based on ease of application rather than ecological suitability or landowner objectives</v>
      </c>
      <c r="D23" s="10" t="str">
        <f>'1'!E23</f>
        <v>A</v>
      </c>
      <c r="E23" s="10">
        <f>'1'!F23</f>
        <v>1</v>
      </c>
      <c r="F23" s="10">
        <f>'1'!G23</f>
        <v>7</v>
      </c>
    </row>
    <row r="24" spans="1:6" x14ac:dyDescent="0.35">
      <c r="A24" s="10">
        <f>'1'!A24</f>
        <v>1</v>
      </c>
      <c r="B24" s="10">
        <f>'1'!B24</f>
        <v>23</v>
      </c>
      <c r="C24" s="10" t="str">
        <f>'1'!D24</f>
        <v>complexities carry significant transaction costs, both at the outset and for  the duration of the payment period</v>
      </c>
      <c r="D24" s="10" t="str">
        <f>'1'!E24</f>
        <v>A</v>
      </c>
      <c r="E24" s="10">
        <f>'1'!F24</f>
        <v>3</v>
      </c>
      <c r="F24" s="10">
        <f>'1'!G24</f>
        <v>3</v>
      </c>
    </row>
    <row r="25" spans="1:6" x14ac:dyDescent="0.35">
      <c r="A25" s="10">
        <f>'1'!A25</f>
        <v>1</v>
      </c>
      <c r="B25" s="10">
        <f>'1'!B25</f>
        <v>24</v>
      </c>
      <c r="C25" s="10" t="str">
        <f>'1'!D25</f>
        <v>type of support and advice available to landowners can  greatly influence behaviour. This is tempered by perceived relevance, reliability and reputation of the source. Sound advice may be rejected if it contradicts value systems, while the advice and perception of peer groups is highly  influential</v>
      </c>
      <c r="D25" s="10" t="str">
        <f>'1'!E25</f>
        <v>D</v>
      </c>
      <c r="E25" s="10">
        <f>'1'!F25</f>
        <v>0</v>
      </c>
      <c r="F25" s="10">
        <f>'1'!G25</f>
        <v>5</v>
      </c>
    </row>
    <row r="26" spans="1:6" x14ac:dyDescent="0.35">
      <c r="A26" s="10">
        <f>'1'!A26</f>
        <v>1</v>
      </c>
      <c r="B26" s="10">
        <f>'1'!B26</f>
        <v>25</v>
      </c>
      <c r="C26" s="10" t="str">
        <f>'1'!D26</f>
        <v xml:space="preserve"> a deep cultural divide exists  between forestry and other land uses such as shooting and farming. Many  farmers are strongly influenced by tradition and preserve a  strongly productivist self-image</v>
      </c>
      <c r="D26" s="10" t="str">
        <f>'1'!E26</f>
        <v>D</v>
      </c>
      <c r="E26" s="10">
        <f>'1'!F26</f>
        <v>0</v>
      </c>
      <c r="F26" s="10">
        <f>'1'!G26</f>
        <v>5</v>
      </c>
    </row>
    <row r="27" spans="1:6" x14ac:dyDescent="0.35">
      <c r="A27" s="10">
        <f>'1'!A27</f>
        <v>1</v>
      </c>
      <c r="B27" s="10">
        <f>'1'!B27</f>
        <v>26</v>
      </c>
      <c r="C27" s="10" t="str">
        <f>'1'!D27</f>
        <v>farmers  may not depart from activities that define their identity even if  offered financial incentives</v>
      </c>
      <c r="D27" s="10" t="str">
        <f>'1'!E27</f>
        <v>D</v>
      </c>
      <c r="E27" s="10">
        <f>'1'!F27</f>
        <v>0</v>
      </c>
      <c r="F27" s="10">
        <f>'1'!G27</f>
        <v>5</v>
      </c>
    </row>
    <row r="28" spans="1:6" x14ac:dyDescent="0.35">
      <c r="A28" s="10">
        <f>'1'!A28</f>
        <v>1</v>
      </c>
      <c r="B28" s="10">
        <f>'1'!B28</f>
        <v>27</v>
      </c>
      <c r="C28" s="10" t="str">
        <f>'1'!D28</f>
        <v xml:space="preserve">success  is highly dependent upon aligning  policy objectives with the motivations, attitudes and values of private landowners </v>
      </c>
      <c r="D28" s="10" t="str">
        <f>'1'!E28</f>
        <v>A</v>
      </c>
      <c r="E28" s="10">
        <f>'1'!F28</f>
        <v>1</v>
      </c>
      <c r="F28" s="10">
        <f>'1'!G28</f>
        <v>8</v>
      </c>
    </row>
    <row r="29" spans="1:6" x14ac:dyDescent="0.35">
      <c r="A29" s="10">
        <f>'1'!A29</f>
        <v>1</v>
      </c>
      <c r="B29" s="10">
        <f>'1'!B29</f>
        <v>28</v>
      </c>
      <c r="C29" s="10" t="str">
        <f>'1'!D29</f>
        <v>divisions between farming and  forestry have produced little forestry expertise within the agricultural sector</v>
      </c>
      <c r="D29" s="10" t="str">
        <f>'1'!E29</f>
        <v>C</v>
      </c>
      <c r="E29" s="10">
        <f>'1'!F29</f>
        <v>3</v>
      </c>
      <c r="F29" s="10">
        <f>'1'!G29</f>
        <v>2</v>
      </c>
    </row>
    <row r="30" spans="1:6" x14ac:dyDescent="0.35">
      <c r="A30" s="10">
        <f>'1'!A30</f>
        <v>1</v>
      </c>
      <c r="B30" s="10">
        <f>'1'!B30</f>
        <v>29</v>
      </c>
      <c r="C30" s="10" t="str">
        <f>'1'!D30</f>
        <v>Government has clearly stated its intention to increase woodland cover from 18% towards  25% of land area by 2050</v>
      </c>
      <c r="D30" s="10" t="str">
        <f>'1'!E30</f>
        <v xml:space="preserve">F </v>
      </c>
      <c r="E30" s="10">
        <f>'1'!F30</f>
        <v>2</v>
      </c>
      <c r="F30" s="10">
        <f>'1'!G30</f>
        <v>2</v>
      </c>
    </row>
    <row r="31" spans="1:6" x14ac:dyDescent="0.35">
      <c r="A31" s="10">
        <f>'1'!A31</f>
        <v>1</v>
      </c>
      <c r="B31" s="10">
        <f>'1'!B31</f>
        <v>30</v>
      </c>
      <c r="C31" s="10" t="str">
        <f>'1'!D31</f>
        <v>Traditional models of rural decision-making predicate strongly  on economic benefit maximisation by rational actors</v>
      </c>
      <c r="D31" s="10" t="str">
        <f>'1'!E31</f>
        <v>F</v>
      </c>
      <c r="E31" s="10">
        <f>'1'!F31</f>
        <v>5</v>
      </c>
      <c r="F31" s="10">
        <f>'1'!G31</f>
        <v>1</v>
      </c>
    </row>
    <row r="32" spans="1:6" x14ac:dyDescent="0.35">
      <c r="A32" s="10">
        <f>'1'!A32</f>
        <v>1</v>
      </c>
      <c r="B32" s="10">
        <f>'1'!B32</f>
        <v>31</v>
      </c>
      <c r="C32" s="10" t="str">
        <f>'1'!D32</f>
        <v>benefits of new woodland are not guaranteed and depend on woodland type, spatial characteristics and cultural context</v>
      </c>
      <c r="D32" s="10" t="str">
        <f>'1'!E32</f>
        <v>B</v>
      </c>
      <c r="E32" s="10">
        <f>'1'!F32</f>
        <v>0</v>
      </c>
      <c r="F32" s="10">
        <f>'1'!G32</f>
        <v>4</v>
      </c>
    </row>
    <row r="33" spans="1:6" x14ac:dyDescent="0.35">
      <c r="A33" s="10">
        <f>'1'!A33</f>
        <v>1</v>
      </c>
      <c r="B33" s="10">
        <f>'1'!B33</f>
        <v>32</v>
      </c>
      <c r="C33" s="10" t="str">
        <f>'1'!D33</f>
        <v xml:space="preserve"> benefits are neither guaranteed nor uniform</v>
      </c>
      <c r="D33" s="10" t="str">
        <f>'1'!E33</f>
        <v>B</v>
      </c>
      <c r="E33" s="10">
        <f>'1'!F33</f>
        <v>0</v>
      </c>
      <c r="F33" s="10">
        <f>'1'!G33</f>
        <v>4</v>
      </c>
    </row>
    <row r="34" spans="1:6" x14ac:dyDescent="0.35">
      <c r="A34" s="10">
        <f>'1'!A34</f>
        <v>1</v>
      </c>
      <c r="B34" s="10">
        <f>'1'!B34</f>
        <v>33</v>
      </c>
      <c r="C34" s="10" t="str">
        <f>'1'!D34</f>
        <v xml:space="preserve"> woodland expansion occurs at the expense of other, potentially  more valuable, land uses</v>
      </c>
      <c r="D34" s="10" t="str">
        <f>'1'!E34</f>
        <v>F</v>
      </c>
      <c r="E34" s="10">
        <f>'1'!F34</f>
        <v>5</v>
      </c>
      <c r="F34" s="10">
        <f>'1'!G34</f>
        <v>2</v>
      </c>
    </row>
    <row r="35" spans="1:6" x14ac:dyDescent="0.35">
      <c r="A35" s="10">
        <f>'1'!A35</f>
        <v>1</v>
      </c>
      <c r="B35" s="10">
        <f>'1'!B35</f>
        <v>34</v>
      </c>
      <c r="C35" s="10" t="str">
        <f>'1'!D35</f>
        <v xml:space="preserve">woodland benefit generation may entail significant  time lags </v>
      </c>
      <c r="D35" s="10" t="str">
        <f>'1'!E35</f>
        <v>A</v>
      </c>
      <c r="E35" s="10">
        <f>'1'!F35</f>
        <v>1</v>
      </c>
      <c r="F35" s="10">
        <f>'1'!G35</f>
        <v>8</v>
      </c>
    </row>
    <row r="36" spans="1:6" x14ac:dyDescent="0.35">
      <c r="A36" s="10">
        <f>'1'!A36</f>
        <v>1</v>
      </c>
      <c r="B36" s="10">
        <f>'1'!B36</f>
        <v>35</v>
      </c>
      <c r="C36" s="10" t="str">
        <f>'1'!D36</f>
        <v>woodland benefit  vary by stand age and landscape history.</v>
      </c>
      <c r="D36" s="10" t="str">
        <f>'1'!E36</f>
        <v xml:space="preserve">B </v>
      </c>
      <c r="E36" s="10">
        <f>'1'!F36</f>
        <v>0</v>
      </c>
      <c r="F36" s="10">
        <f>'1'!G36</f>
        <v>4</v>
      </c>
    </row>
    <row r="37" spans="1:6" x14ac:dyDescent="0.35">
      <c r="A37" s="10">
        <f>'1'!A37</f>
        <v>1</v>
      </c>
      <c r="B37" s="10">
        <f>'1'!B37</f>
        <v>36</v>
      </c>
      <c r="C37" s="10" t="str">
        <f>'1'!D37</f>
        <v xml:space="preserve">Employment opportunities of native woodlands less familiar/valued than productive woodlands. </v>
      </c>
      <c r="D37" s="10" t="str">
        <f>'1'!E37</f>
        <v>A</v>
      </c>
      <c r="E37" s="10">
        <f>'1'!F37</f>
        <v>1</v>
      </c>
      <c r="F37" s="10">
        <f>'1'!G37</f>
        <v>7</v>
      </c>
    </row>
    <row r="38" spans="1:6" x14ac:dyDescent="0.35">
      <c r="A38" s="10">
        <f>'1'!A38</f>
        <v>1</v>
      </c>
      <c r="B38" s="10">
        <f>'1'!B38</f>
        <v>37</v>
      </c>
      <c r="C38" s="10" t="str">
        <f>'1'!D38</f>
        <v xml:space="preserve">Social and Environmental returns are sought more than economic returns in small scale projects. </v>
      </c>
      <c r="D38" s="10" t="str">
        <f>'1'!E38</f>
        <v>A</v>
      </c>
      <c r="E38" s="10">
        <f>'1'!F38</f>
        <v>1</v>
      </c>
      <c r="F38" s="10">
        <f>'1'!G38</f>
        <v>8</v>
      </c>
    </row>
    <row r="39" spans="1:6" x14ac:dyDescent="0.35">
      <c r="A39" s="10">
        <f>'1'!A39</f>
        <v>1</v>
      </c>
      <c r="B39" s="10">
        <f>'1'!B39</f>
        <v>38</v>
      </c>
      <c r="C39" s="10" t="str">
        <f>'1'!D39</f>
        <v>An absence of evaluation studies is symptomatic of ecological  restoration research, which tends to overlook links between ecological restoration, society and policy</v>
      </c>
      <c r="D39" s="10" t="str">
        <f>'1'!E39</f>
        <v>C</v>
      </c>
      <c r="E39" s="10">
        <f>'1'!F39</f>
        <v>1</v>
      </c>
      <c r="F39" s="10">
        <f>'1'!G39</f>
        <v>2</v>
      </c>
    </row>
    <row r="40" spans="1:6" x14ac:dyDescent="0.35">
      <c r="A40" s="10">
        <f>'2'!A2</f>
        <v>2</v>
      </c>
      <c r="B40" s="10">
        <f>'2'!B2</f>
        <v>1</v>
      </c>
      <c r="C40" s="10" t="str">
        <f>'2'!D2</f>
        <v>success of ecological restoration: how much of the previous ecosystem function and its resilience against stresses and environmental changes could be achieved ?</v>
      </c>
      <c r="D40" s="10" t="str">
        <f>'2'!E2</f>
        <v>C</v>
      </c>
      <c r="E40" s="10">
        <f>'2'!F2</f>
        <v>1</v>
      </c>
      <c r="F40" s="10">
        <f>'2'!G2</f>
        <v>3</v>
      </c>
    </row>
    <row r="41" spans="1:6" x14ac:dyDescent="0.35">
      <c r="A41" s="10">
        <f>'2'!A3</f>
        <v>2</v>
      </c>
      <c r="B41" s="10">
        <f>'2'!B3</f>
        <v>2</v>
      </c>
      <c r="C41" s="10" t="str">
        <f>'2'!D3</f>
        <v>Coral reefs and seagrass were among the most   expensive ecosystems to restore.</v>
      </c>
      <c r="D41" s="10" t="str">
        <f>'2'!E3</f>
        <v>A</v>
      </c>
      <c r="E41" s="10">
        <f>'2'!F3</f>
        <v>3</v>
      </c>
      <c r="F41" s="10">
        <f>'2'!G3</f>
        <v>1</v>
      </c>
    </row>
    <row r="42" spans="1:6" x14ac:dyDescent="0.35">
      <c r="A42" s="10">
        <f>'2'!A4</f>
        <v>2</v>
      </c>
      <c r="B42" s="10">
        <f>'2'!B4</f>
        <v>3</v>
      </c>
      <c r="C42" s="10" t="str">
        <f>'2'!D4</f>
        <v>restoration costs were significantly (up to 30   times) cheaper in countries with developing economies. Community- or volunteer-based   marine restoration projects usually have lower costs.</v>
      </c>
      <c r="D42" s="10" t="str">
        <f>'2'!E4</f>
        <v>A</v>
      </c>
      <c r="E42" s="10">
        <f>'2'!F4</f>
        <v>3</v>
      </c>
      <c r="F42" s="10">
        <f>'2'!G4</f>
        <v>6</v>
      </c>
    </row>
    <row r="43" spans="1:6" x14ac:dyDescent="0.35">
      <c r="A43" s="10">
        <f>'2'!A5</f>
        <v>2</v>
      </c>
      <c r="B43" s="10">
        <f>'2'!B5</f>
        <v>4</v>
      </c>
      <c r="C43" s="10" t="str">
        <f>'2'!D5</f>
        <v xml:space="preserve"> economies of scale did not occur </v>
      </c>
      <c r="D43" s="10" t="str">
        <f>'2'!E5</f>
        <v>A</v>
      </c>
      <c r="E43" s="10">
        <f>'2'!F5</f>
        <v>3</v>
      </c>
      <c r="F43" s="10">
        <f>'2'!G5</f>
        <v>4</v>
      </c>
    </row>
    <row r="44" spans="1:6" x14ac:dyDescent="0.35">
      <c r="A44" s="10">
        <f>'2'!A6</f>
        <v>2</v>
      </c>
      <c r="B44" s="10">
        <f>'2'!B6</f>
        <v>5</v>
      </c>
      <c r="C44" s="10" t="str">
        <f>'2'!D6</f>
        <v xml:space="preserve">success depsends on  the ecosystem, site selection, and techniques applied rather than on money spent. </v>
      </c>
      <c r="D44" s="10" t="str">
        <f>'2'!E6</f>
        <v>A</v>
      </c>
      <c r="E44" s="10">
        <f>'2'!F6</f>
        <v>3</v>
      </c>
      <c r="F44" s="10">
        <f>'2'!G6</f>
        <v>2</v>
      </c>
    </row>
    <row r="45" spans="1:6" x14ac:dyDescent="0.35">
      <c r="A45" s="10">
        <f>'2'!A7</f>
        <v>2</v>
      </c>
      <c r="B45" s="10">
        <f>'2'!B7</f>
        <v>6</v>
      </c>
      <c r="C45" s="10" t="str">
        <f>'2'!D7</f>
        <v xml:space="preserve">restoration successtypically reported in  terms of item-based success, (e.g., survival of planted transplants) which is not adequate to represent overall project feasibility where success criteria are linked to  the recovery of ecosystem function and services </v>
      </c>
      <c r="D45" s="10" t="str">
        <f>'2'!E7</f>
        <v>C</v>
      </c>
      <c r="E45" s="10">
        <f>'2'!F7</f>
        <v>1</v>
      </c>
      <c r="F45" s="10">
        <f>'2'!G7</f>
        <v>3</v>
      </c>
    </row>
    <row r="46" spans="1:6" x14ac:dyDescent="0.35">
      <c r="A46" s="10">
        <f>'3'!A2</f>
        <v>3</v>
      </c>
      <c r="B46" s="10">
        <f>'3'!B2</f>
        <v>1</v>
      </c>
      <c r="C46" s="10" t="str">
        <f>'3'!D2</f>
        <v xml:space="preserve"> public perception of risk is low - coastal protection investments influence popularity</v>
      </c>
      <c r="D46" s="10" t="str">
        <f>'3'!E2</f>
        <v>D</v>
      </c>
      <c r="E46" s="10">
        <f>'3'!F2</f>
        <v>0</v>
      </c>
      <c r="F46" s="10">
        <f>'3'!G2</f>
        <v>1</v>
      </c>
    </row>
    <row r="47" spans="1:6" x14ac:dyDescent="0.35">
      <c r="A47" s="10">
        <f>'3'!A3</f>
        <v>3</v>
      </c>
      <c r="B47" s="10">
        <f>'3'!B3</f>
        <v>2</v>
      </c>
      <c r="C47" s="10" t="str">
        <f>'3'!D3</f>
        <v xml:space="preserve"> reduction national public budgets for coastal adaptation investments resulting from “hollowing-out” </v>
      </c>
      <c r="D47" s="10" t="str">
        <f>'3'!E3</f>
        <v>A</v>
      </c>
      <c r="E47" s="10">
        <f>'3'!F3</f>
        <v>1</v>
      </c>
      <c r="F47" s="10">
        <f>'3'!G3</f>
        <v>3</v>
      </c>
    </row>
    <row r="48" spans="1:6" x14ac:dyDescent="0.35">
      <c r="A48" s="10">
        <f>'3'!A4</f>
        <v>3</v>
      </c>
      <c r="B48" s="10">
        <f>'3'!B4</f>
        <v>3</v>
      </c>
      <c r="C48" s="10" t="str">
        <f>'3'!D4</f>
        <v xml:space="preserve">cost of project preparation are high (in large scale adaptation projects) - </v>
      </c>
      <c r="D48" s="10" t="str">
        <f>'3'!E4</f>
        <v>A</v>
      </c>
      <c r="E48" s="10">
        <f>'3'!F4</f>
        <v>3</v>
      </c>
      <c r="F48" s="10">
        <f>'3'!G4</f>
        <v>1</v>
      </c>
    </row>
    <row r="49" spans="1:6" x14ac:dyDescent="0.35">
      <c r="A49" s="10">
        <f>'3'!A5</f>
        <v>3</v>
      </c>
      <c r="B49" s="10">
        <f>'3'!B5</f>
        <v>4</v>
      </c>
      <c r="C49" s="10" t="str">
        <f>'3'!D5</f>
        <v>public criticism if large sums of public money are spent for a project that is not eventually implemented</v>
      </c>
      <c r="D49" s="10" t="str">
        <f>'3'!E5</f>
        <v>D</v>
      </c>
      <c r="E49" s="10">
        <f>'3'!F5</f>
        <v>0</v>
      </c>
      <c r="F49" s="10">
        <f>'3'!G5</f>
        <v>1</v>
      </c>
    </row>
    <row r="50" spans="1:6" x14ac:dyDescent="0.35">
      <c r="A50" s="10">
        <f>'3'!A6</f>
        <v>3</v>
      </c>
      <c r="B50" s="10">
        <f>'3'!B6</f>
        <v>5</v>
      </c>
      <c r="C50" s="10" t="str">
        <f>'3'!D6</f>
        <v xml:space="preserve"> opportunity costs - in developing countries even more prominent barrier due to very attractive benefit–cost ratios of the health or education sectors</v>
      </c>
      <c r="D50" s="10" t="str">
        <f>'3'!E6</f>
        <v>F</v>
      </c>
      <c r="E50" s="10">
        <f>'3'!F6</f>
        <v>5</v>
      </c>
      <c r="F50" s="10">
        <f>'3'!G6</f>
        <v>1</v>
      </c>
    </row>
    <row r="51" spans="1:6" x14ac:dyDescent="0.35">
      <c r="A51" s="10">
        <f>'3'!A7</f>
        <v>3</v>
      </c>
      <c r="B51" s="10">
        <f>'3'!B7</f>
        <v>6</v>
      </c>
      <c r="C51" s="10" t="str">
        <f>'3'!D7</f>
        <v xml:space="preserve">conflicting interest among different government levels </v>
      </c>
      <c r="D51" s="10" t="str">
        <f>'3'!E7</f>
        <v>F</v>
      </c>
      <c r="E51" s="10">
        <f>'3'!F7</f>
        <v>2</v>
      </c>
      <c r="F51" s="10">
        <f>'3'!G7</f>
        <v>1</v>
      </c>
    </row>
    <row r="52" spans="1:6" x14ac:dyDescent="0.35">
      <c r="A52" s="10">
        <f>'3'!A8</f>
        <v>3</v>
      </c>
      <c r="B52" s="10">
        <f>'3'!B8</f>
        <v>7</v>
      </c>
      <c r="C52" s="10" t="str">
        <f>'3'!D8</f>
        <v>localized nature of coastal adaptation public goods gives rise to conflicts of interests between public actors in federal systems</v>
      </c>
      <c r="D52" s="10" t="str">
        <f>'3'!E8</f>
        <v>F</v>
      </c>
      <c r="E52" s="10">
        <f>'3'!F8</f>
        <v>3</v>
      </c>
      <c r="F52" s="10">
        <f>'3'!G8</f>
        <v>1</v>
      </c>
    </row>
    <row r="53" spans="1:6" x14ac:dyDescent="0.35">
      <c r="A53" s="10">
        <f>'3'!A9</f>
        <v>3</v>
      </c>
      <c r="B53" s="10">
        <f>'3'!B9</f>
        <v>8</v>
      </c>
      <c r="C53" s="10" t="str">
        <f>'3'!D9</f>
        <v>Public good characteristics  - not efficiently supplied by private actors</v>
      </c>
      <c r="D53" s="10" t="str">
        <f>'3'!E9</f>
        <v>F</v>
      </c>
      <c r="E53" s="10">
        <f>'3'!F9</f>
        <v>3</v>
      </c>
      <c r="F53" s="10">
        <f>'3'!G9</f>
        <v>1</v>
      </c>
    </row>
    <row r="54" spans="1:6" x14ac:dyDescent="0.35">
      <c r="A54" s="10">
        <f>'3'!A10</f>
        <v>3</v>
      </c>
      <c r="B54" s="10">
        <f>'3'!B10</f>
        <v>9</v>
      </c>
      <c r="C54" s="10" t="str">
        <f>'3'!D10</f>
        <v>When such coastal investment decisions are taken by public actors, incentives arise for private actors to engage in rent-seeking behavior to influence these decisions</v>
      </c>
      <c r="D54" s="10" t="str">
        <f>'3'!E10</f>
        <v>F</v>
      </c>
      <c r="E54" s="10">
        <f>'3'!F10</f>
        <v>3</v>
      </c>
      <c r="F54" s="10">
        <f>'3'!G10</f>
        <v>2</v>
      </c>
    </row>
    <row r="55" spans="1:6" x14ac:dyDescent="0.35">
      <c r="A55" s="10">
        <f>'3'!A11</f>
        <v>3</v>
      </c>
      <c r="B55" s="10">
        <f>'3'!B11</f>
        <v>10</v>
      </c>
      <c r="C55" s="10" t="str">
        <f>'3'!D11</f>
        <v>constitutional responsibilities - public actor is responsible</v>
      </c>
      <c r="D55" s="10" t="str">
        <f>'3'!E11</f>
        <v>F</v>
      </c>
      <c r="E55" s="10">
        <f>'3'!F11</f>
        <v>3</v>
      </c>
      <c r="F55" s="10">
        <f>'3'!G11</f>
        <v>2</v>
      </c>
    </row>
    <row r="56" spans="1:6" x14ac:dyDescent="0.35">
      <c r="A56" s="10">
        <f>'3'!A12</f>
        <v>3</v>
      </c>
      <c r="B56" s="10">
        <f>'3'!B12</f>
        <v>11</v>
      </c>
      <c r="C56" s="10" t="str">
        <f>'3'!D12</f>
        <v>awareness of risks posed by sea-level rise is low, flood risk reduc- tion benefits may not be reflected in land or real estate markets, making direct revenue generation difficult</v>
      </c>
      <c r="D56" s="10" t="str">
        <f>'3'!E12</f>
        <v>A</v>
      </c>
      <c r="E56" s="10">
        <f>'3'!F12</f>
        <v>1</v>
      </c>
      <c r="F56" s="10">
        <f>'3'!G12</f>
        <v>8</v>
      </c>
    </row>
    <row r="57" spans="1:6" x14ac:dyDescent="0.35">
      <c r="A57" s="10">
        <f>'4'!A2</f>
        <v>4</v>
      </c>
      <c r="B57" s="10">
        <f>'4'!B2</f>
        <v>1</v>
      </c>
      <c r="C57" s="10" t="str">
        <f>'4'!D2</f>
        <v>lack of public's awareness of benefits of eco-aesthetics</v>
      </c>
      <c r="D57" s="10" t="str">
        <f>'4'!E2</f>
        <v>D</v>
      </c>
      <c r="E57" s="10">
        <f>'4'!F2</f>
        <v>0</v>
      </c>
      <c r="F57" s="10">
        <f>'4'!G2</f>
        <v>3</v>
      </c>
    </row>
    <row r="58" spans="1:6" x14ac:dyDescent="0.35">
      <c r="A58" s="10">
        <f>'4'!A3</f>
        <v>4</v>
      </c>
      <c r="B58" s="10">
        <f>'4'!B3</f>
        <v>2</v>
      </c>
      <c r="C58" s="10" t="str">
        <f>'4'!D3</f>
        <v>Aesthetic preferences not uniform (over cultures)</v>
      </c>
      <c r="D58" s="10" t="str">
        <f>'4'!E3</f>
        <v>B</v>
      </c>
      <c r="E58" s="10">
        <f>'4'!F3</f>
        <v>0</v>
      </c>
      <c r="F58" s="10">
        <f>'4'!G3</f>
        <v>1</v>
      </c>
    </row>
    <row r="59" spans="1:6" x14ac:dyDescent="0.35">
      <c r="A59" s="10">
        <f>'4'!A4</f>
        <v>4</v>
      </c>
      <c r="B59" s="10">
        <f>'4'!B4</f>
        <v>3</v>
      </c>
      <c r="C59" s="10" t="str">
        <f>'4'!D4</f>
        <v>Aesthetic value of landscape not alligned with ecological values</v>
      </c>
      <c r="D59" s="10" t="str">
        <f>'4'!E4</f>
        <v>B</v>
      </c>
      <c r="E59" s="10">
        <f>'4'!F4</f>
        <v>0</v>
      </c>
      <c r="F59" s="10">
        <f>'4'!G4</f>
        <v>1</v>
      </c>
    </row>
    <row r="60" spans="1:6" x14ac:dyDescent="0.35">
      <c r="A60" s="10">
        <f>'4'!A5</f>
        <v>4</v>
      </c>
      <c r="B60" s="10">
        <f>'4'!B5</f>
        <v>4</v>
      </c>
      <c r="C60" s="10" t="str">
        <f>'4'!D5</f>
        <v xml:space="preserve">additional' implementation and maintenance costs (no strong business case) </v>
      </c>
      <c r="D60" s="10" t="str">
        <f>'4'!E5</f>
        <v>B</v>
      </c>
      <c r="E60" s="10">
        <f>'4'!F5</f>
        <v>0</v>
      </c>
      <c r="F60" s="10">
        <f>'4'!G5</f>
        <v>1</v>
      </c>
    </row>
    <row r="61" spans="1:6" x14ac:dyDescent="0.35">
      <c r="A61" s="10">
        <f>'4'!A6</f>
        <v>4</v>
      </c>
      <c r="B61" s="10">
        <f>'4'!B6</f>
        <v>5</v>
      </c>
      <c r="C61" s="10" t="str">
        <f>'4'!D6</f>
        <v xml:space="preserve">funding gap as an opportunity to push collaboration </v>
      </c>
      <c r="D61" s="10" t="str">
        <f>'4'!E6</f>
        <v>A</v>
      </c>
      <c r="E61" s="10">
        <f>'4'!F6</f>
        <v>1</v>
      </c>
      <c r="F61" s="10">
        <f>'4'!G6</f>
        <v>1</v>
      </c>
    </row>
    <row r="62" spans="1:6" x14ac:dyDescent="0.35">
      <c r="A62" s="10">
        <f>'4'!A7</f>
        <v>4</v>
      </c>
      <c r="B62" s="10">
        <f>'4'!B7</f>
        <v>6</v>
      </c>
      <c r="C62" s="10" t="str">
        <f>'4'!D7</f>
        <v xml:space="preserve">Land acquisition is a difficult, time consuming, expensive process </v>
      </c>
      <c r="D62" s="10" t="str">
        <f>'4'!E7</f>
        <v>A</v>
      </c>
      <c r="E62" s="10">
        <f>'4'!F7</f>
        <v>3</v>
      </c>
      <c r="F62" s="10">
        <f>'4'!G7</f>
        <v>3</v>
      </c>
    </row>
    <row r="63" spans="1:6" x14ac:dyDescent="0.35">
      <c r="A63" s="10">
        <f>'4'!A8</f>
        <v>4</v>
      </c>
      <c r="B63" s="10">
        <f>'4'!B8</f>
        <v>7</v>
      </c>
      <c r="C63" s="10" t="str">
        <f>'4'!D8</f>
        <v xml:space="preserve">Risk of litigations related to land ownership </v>
      </c>
      <c r="D63" s="10" t="str">
        <f>'4'!E8</f>
        <v>A</v>
      </c>
      <c r="E63" s="10">
        <f>'4'!F8</f>
        <v>3</v>
      </c>
      <c r="F63" s="10">
        <f>'4'!G8</f>
        <v>3</v>
      </c>
    </row>
    <row r="64" spans="1:6" x14ac:dyDescent="0.35">
      <c r="A64" s="10">
        <f>'4'!A9</f>
        <v>4</v>
      </c>
      <c r="B64" s="10">
        <f>'4'!B9</f>
        <v>8</v>
      </c>
      <c r="C64" s="10" t="str">
        <f>'4'!D9</f>
        <v xml:space="preserve">Uniform aesthetic preferences </v>
      </c>
      <c r="D64" s="10" t="str">
        <f>'4'!E9</f>
        <v>B</v>
      </c>
      <c r="E64" s="10">
        <f>'4'!F9</f>
        <v>0</v>
      </c>
      <c r="F64" s="10">
        <f>'4'!G9</f>
        <v>1</v>
      </c>
    </row>
    <row r="65" spans="1:6" x14ac:dyDescent="0.35">
      <c r="A65" s="10">
        <f>'4'!A10</f>
        <v>4</v>
      </c>
      <c r="B65" s="10">
        <f>'4'!B10</f>
        <v>9</v>
      </c>
      <c r="C65" s="10" t="str">
        <f>'4'!D10</f>
        <v xml:space="preserve">High opportunity costs of public resources </v>
      </c>
      <c r="D65" s="10" t="str">
        <f>'4'!E10</f>
        <v>F</v>
      </c>
      <c r="E65" s="10">
        <f>'4'!F10</f>
        <v>5</v>
      </c>
      <c r="F65" s="10">
        <f>'4'!G10</f>
        <v>1</v>
      </c>
    </row>
    <row r="66" spans="1:6" x14ac:dyDescent="0.35">
      <c r="A66" s="10">
        <f>'5'!A2</f>
        <v>5</v>
      </c>
      <c r="B66" s="10">
        <f>'5'!B2</f>
        <v>1</v>
      </c>
      <c r="C66" s="10" t="str">
        <f>'5'!D2</f>
        <v>Slow speed in development of design guidelines</v>
      </c>
      <c r="D66" s="10" t="str">
        <f>'5'!E2</f>
        <v>F</v>
      </c>
      <c r="E66" s="10">
        <f>'5'!F2</f>
        <v>2</v>
      </c>
      <c r="F66" s="10">
        <f>'5'!G2</f>
        <v>3</v>
      </c>
    </row>
    <row r="67" spans="1:6" x14ac:dyDescent="0.35">
      <c r="A67" s="10">
        <f>'5'!A3</f>
        <v>5</v>
      </c>
      <c r="B67" s="10">
        <f>'5'!B3</f>
        <v>2</v>
      </c>
      <c r="C67" s="10" t="str">
        <f>'5'!D3</f>
        <v>Lack of space within the city for further implementation of GI</v>
      </c>
      <c r="D67" s="10" t="str">
        <f>'5'!E3</f>
        <v>F</v>
      </c>
      <c r="E67" s="10">
        <f>'5'!F3</f>
        <v>5</v>
      </c>
      <c r="F67" s="10">
        <f>'5'!G3</f>
        <v>2</v>
      </c>
    </row>
    <row r="68" spans="1:6" x14ac:dyDescent="0.35">
      <c r="A68" s="10">
        <f>'5'!A4</f>
        <v>5</v>
      </c>
      <c r="B68" s="10">
        <f>'5'!B4</f>
        <v>3</v>
      </c>
      <c r="C68" s="10" t="str">
        <f>'5'!D4</f>
        <v>high installation and maintenance costs</v>
      </c>
      <c r="D68" s="10" t="str">
        <f>'5'!E4</f>
        <v>A</v>
      </c>
      <c r="E68" s="10">
        <f>'5'!F4</f>
        <v>3</v>
      </c>
      <c r="F68" s="10">
        <f>'5'!G4</f>
        <v>3</v>
      </c>
    </row>
    <row r="69" spans="1:6" x14ac:dyDescent="0.35">
      <c r="A69" s="10">
        <f>'5'!A5</f>
        <v>5</v>
      </c>
      <c r="B69" s="10">
        <f>'5'!B5</f>
        <v>4</v>
      </c>
      <c r="C69" s="10" t="str">
        <f>'5'!D5</f>
        <v>Uncertainty of Gi in water management capacity</v>
      </c>
      <c r="D69" s="10" t="str">
        <f>'5'!E5</f>
        <v>C</v>
      </c>
      <c r="E69" s="10">
        <f>'5'!F5</f>
        <v>1</v>
      </c>
      <c r="F69" s="10">
        <f>'5'!G5</f>
        <v>1</v>
      </c>
    </row>
    <row r="70" spans="1:6" x14ac:dyDescent="0.35">
      <c r="A70" s="10">
        <f>'5'!A6</f>
        <v>5</v>
      </c>
      <c r="B70" s="10">
        <f>'5'!B6</f>
        <v>5</v>
      </c>
      <c r="C70" s="10" t="str">
        <f>'5'!D6</f>
        <v>Difficult and lack of human resources to coordinate and convince stakeholders</v>
      </c>
      <c r="D70" s="10" t="str">
        <f>'5'!E6</f>
        <v>C</v>
      </c>
      <c r="E70" s="10">
        <f>'5'!F6</f>
        <v>3</v>
      </c>
      <c r="F70" s="10">
        <f>'5'!G6</f>
        <v>2</v>
      </c>
    </row>
    <row r="71" spans="1:6" x14ac:dyDescent="0.35">
      <c r="A71" s="10">
        <f>'5'!A7</f>
        <v>5</v>
      </c>
      <c r="B71" s="10">
        <f>'5'!B7</f>
        <v>6</v>
      </c>
      <c r="C71" s="10" t="str">
        <f>'5'!D7</f>
        <v xml:space="preserve">difficult to apply new solutions from research and pilot project due to limitation of the existing legislations. </v>
      </c>
      <c r="D71" s="10" t="str">
        <f>'5'!E7</f>
        <v>F</v>
      </c>
      <c r="E71" s="10">
        <f>'5'!F7</f>
        <v>2</v>
      </c>
      <c r="F71" s="10">
        <f>'5'!G7</f>
        <v>2</v>
      </c>
    </row>
    <row r="72" spans="1:6" x14ac:dyDescent="0.35">
      <c r="A72" s="10">
        <f>'5'!A8</f>
        <v>5</v>
      </c>
      <c r="B72" s="10">
        <f>'5'!B8</f>
        <v>7</v>
      </c>
      <c r="C72" s="10" t="str">
        <f>'5'!D8</f>
        <v>Difficult to account non-monetary benefit of green solutions</v>
      </c>
      <c r="D72" s="10" t="str">
        <f>'5'!E8</f>
        <v>B</v>
      </c>
      <c r="E72" s="10">
        <f>'5'!F8</f>
        <v>0</v>
      </c>
      <c r="F72" s="10">
        <f>'5'!G8</f>
        <v>1</v>
      </c>
    </row>
    <row r="73" spans="1:6" x14ac:dyDescent="0.35">
      <c r="A73" s="10">
        <f>'5'!A9</f>
        <v>5</v>
      </c>
      <c r="B73" s="10">
        <f>'5'!B9</f>
        <v>8</v>
      </c>
      <c r="C73" s="10" t="str">
        <f>'5'!D9</f>
        <v>Difficult to establish multi- disciplinary partnerships</v>
      </c>
      <c r="D73" s="10" t="str">
        <f>'5'!E9</f>
        <v>F</v>
      </c>
      <c r="E73" s="10">
        <f>'5'!F9</f>
        <v>1</v>
      </c>
      <c r="F73" s="10">
        <f>'5'!G9</f>
        <v>2</v>
      </c>
    </row>
    <row r="74" spans="1:6" x14ac:dyDescent="0.35">
      <c r="A74" s="10">
        <f>'5'!A10</f>
        <v>5</v>
      </c>
      <c r="B74" s="10">
        <f>'5'!B10</f>
        <v>9</v>
      </c>
      <c r="C74" s="10" t="str">
        <f>'5'!D10</f>
        <v>negative opinion on non-conventional water.</v>
      </c>
      <c r="D74" s="10" t="str">
        <f>'5'!E10</f>
        <v>D</v>
      </c>
      <c r="E74" s="10">
        <f>'5'!F10</f>
        <v>0</v>
      </c>
      <c r="F74" s="10">
        <f>'5'!G10</f>
        <v>5</v>
      </c>
    </row>
    <row r="75" spans="1:6" x14ac:dyDescent="0.35">
      <c r="A75" s="10">
        <f>'5'!A11</f>
        <v>5</v>
      </c>
      <c r="B75" s="10">
        <f>'5'!B11</f>
        <v>10</v>
      </c>
      <c r="C75" s="10" t="str">
        <f>'5'!D11</f>
        <v>Implementation of GI conflicts with existing infrastructure with space constraint</v>
      </c>
      <c r="D75" s="10" t="str">
        <f>'5'!E11</f>
        <v>F</v>
      </c>
      <c r="E75" s="10">
        <f>'5'!F11</f>
        <v>5</v>
      </c>
      <c r="F75" s="10">
        <f>'5'!G11</f>
        <v>2</v>
      </c>
    </row>
    <row r="76" spans="1:6" x14ac:dyDescent="0.35">
      <c r="A76" s="10">
        <f>'5'!A12</f>
        <v>5</v>
      </c>
      <c r="B76" s="10">
        <f>'5'!B12</f>
        <v>11</v>
      </c>
      <c r="C76" s="10" t="str">
        <f>'5'!D12</f>
        <v>Challenges of the logistics for implementation of the city-wide GI plan for SWM</v>
      </c>
      <c r="D76" s="10" t="str">
        <f>'5'!E12</f>
        <v>F</v>
      </c>
      <c r="E76" s="10">
        <f>'5'!F12</f>
        <v>1</v>
      </c>
      <c r="F76" s="10">
        <f>'5'!G12</f>
        <v>1</v>
      </c>
    </row>
    <row r="77" spans="1:6" x14ac:dyDescent="0.35">
      <c r="A77" s="10">
        <f>'5'!A13</f>
        <v>5</v>
      </c>
      <c r="B77" s="10">
        <f>'5'!B13</f>
        <v>12</v>
      </c>
      <c r="C77" s="10" t="str">
        <f>'5'!D13</f>
        <v>lack of capacity for outreaching to home-owners.</v>
      </c>
      <c r="D77" s="10" t="str">
        <f>'5'!E13</f>
        <v>C</v>
      </c>
      <c r="E77" s="10">
        <f>'5'!F13</f>
        <v>3</v>
      </c>
      <c r="F77" s="10">
        <f>'5'!G13</f>
        <v>2</v>
      </c>
    </row>
    <row r="78" spans="1:6" x14ac:dyDescent="0.35">
      <c r="A78" s="10">
        <f>'5'!A14</f>
        <v>5</v>
      </c>
      <c r="B78" s="10">
        <f>'5'!B14</f>
        <v>13</v>
      </c>
      <c r="C78" s="10" t="str">
        <f>'5'!D14</f>
        <v>High cost for GI in small properties</v>
      </c>
      <c r="D78" s="10" t="str">
        <f>'5'!E14</f>
        <v>A</v>
      </c>
      <c r="E78" s="10">
        <f>'5'!F14</f>
        <v>3</v>
      </c>
      <c r="F78" s="10">
        <f>'5'!G14</f>
        <v>1</v>
      </c>
    </row>
    <row r="79" spans="1:6" x14ac:dyDescent="0.35">
      <c r="A79" s="10">
        <f>'5'!A15</f>
        <v>5</v>
      </c>
      <c r="B79" s="10">
        <f>'5'!B15</f>
        <v>14</v>
      </c>
      <c r="C79" s="10" t="str">
        <f>'5'!D15</f>
        <v xml:space="preserve">Lack of construction and maintenance experiences and incentives for GI practice. </v>
      </c>
      <c r="D79" s="10" t="str">
        <f>'5'!E15</f>
        <v>C</v>
      </c>
      <c r="E79" s="10">
        <f>'5'!F15</f>
        <v>3</v>
      </c>
      <c r="F79" s="10">
        <f>'5'!G15</f>
        <v>2</v>
      </c>
    </row>
    <row r="80" spans="1:6" x14ac:dyDescent="0.35">
      <c r="A80" s="10">
        <f>'5'!A16</f>
        <v>5</v>
      </c>
      <c r="B80" s="10">
        <f>'5'!B16</f>
        <v>15</v>
      </c>
      <c r="C80" s="10" t="str">
        <f>'5'!D16</f>
        <v>Difficult to implement low-lying areas for SWM due to high level and saline groundwater</v>
      </c>
      <c r="D80" s="10" t="str">
        <f>'5'!E16</f>
        <v>C</v>
      </c>
      <c r="E80" s="10">
        <f>'5'!F16</f>
        <v>2</v>
      </c>
      <c r="F80" s="10">
        <f>'5'!G16</f>
        <v>1</v>
      </c>
    </row>
    <row r="81" spans="1:6" x14ac:dyDescent="0.35">
      <c r="A81" s="10">
        <f>'5'!A17</f>
        <v>5</v>
      </c>
      <c r="B81" s="10">
        <f>'5'!B17</f>
        <v>16</v>
      </c>
      <c r="C81" s="10" t="str">
        <f>'5'!D17</f>
        <v>High cost and low feasibility of GI-based SWM elements due to the short rain season and lack of supporting products.</v>
      </c>
      <c r="D81" s="10" t="str">
        <f>'5'!E17</f>
        <v>A</v>
      </c>
      <c r="E81" s="10">
        <f>'5'!F17</f>
        <v>3</v>
      </c>
      <c r="F81" s="10">
        <f>'5'!G17</f>
        <v>1</v>
      </c>
    </row>
    <row r="82" spans="1:6" x14ac:dyDescent="0.35">
      <c r="A82" s="10">
        <f>'6'!A2</f>
        <v>6</v>
      </c>
      <c r="B82" s="10">
        <f>'6'!B2</f>
        <v>1</v>
      </c>
      <c r="C82" s="10" t="str">
        <f>'6'!D2</f>
        <v xml:space="preserve">Downside of unsustainable tourism - (Emissions and energy use) </v>
      </c>
      <c r="D82" s="10" t="str">
        <f>'6'!E2</f>
        <v>B</v>
      </c>
      <c r="E82" s="10">
        <f>'6'!F2</f>
        <v>0</v>
      </c>
      <c r="F82" s="10">
        <f>'6'!G2</f>
        <v>4</v>
      </c>
    </row>
    <row r="83" spans="1:6" x14ac:dyDescent="0.35">
      <c r="A83" s="10">
        <f>'6'!A3</f>
        <v>6</v>
      </c>
      <c r="B83" s="10">
        <f>'6'!B3</f>
        <v>2</v>
      </c>
      <c r="C83" s="10" t="str">
        <f>'6'!D3</f>
        <v xml:space="preserve">Downside of tourism - (water consumption) </v>
      </c>
      <c r="D83" s="10" t="str">
        <f>'6'!E3</f>
        <v>B</v>
      </c>
      <c r="E83" s="10">
        <f>'6'!F3</f>
        <v>0</v>
      </c>
      <c r="F83" s="10">
        <f>'6'!G3</f>
        <v>4</v>
      </c>
    </row>
    <row r="84" spans="1:6" x14ac:dyDescent="0.35">
      <c r="A84" s="10">
        <f>'6'!A4</f>
        <v>6</v>
      </c>
      <c r="B84" s="10">
        <f>'6'!B4</f>
        <v>3</v>
      </c>
      <c r="C84" s="10" t="str">
        <f>'6'!D4</f>
        <v xml:space="preserve">Downside of tourism - (pollution) </v>
      </c>
      <c r="D84" s="10" t="str">
        <f>'6'!E4</f>
        <v>B</v>
      </c>
      <c r="E84" s="10">
        <f>'6'!F4</f>
        <v>0</v>
      </c>
      <c r="F84" s="10">
        <f>'6'!G4</f>
        <v>4</v>
      </c>
    </row>
    <row r="85" spans="1:6" x14ac:dyDescent="0.35">
      <c r="A85" s="10">
        <f>'6'!A5</f>
        <v>6</v>
      </c>
      <c r="B85" s="10">
        <f>'6'!B5</f>
        <v>4</v>
      </c>
      <c r="C85" s="10" t="str">
        <f>'6'!D5</f>
        <v xml:space="preserve">Downside of tourism - (water consumption) </v>
      </c>
      <c r="D85" s="10" t="str">
        <f>'6'!E5</f>
        <v>B</v>
      </c>
      <c r="E85" s="10">
        <f>'6'!F5</f>
        <v>0</v>
      </c>
      <c r="F85" s="10">
        <f>'6'!G5</f>
        <v>4</v>
      </c>
    </row>
    <row r="86" spans="1:6" x14ac:dyDescent="0.35">
      <c r="A86" s="10">
        <f>'6'!A6</f>
        <v>6</v>
      </c>
      <c r="B86" s="10">
        <f>'6'!B6</f>
        <v>5</v>
      </c>
      <c r="C86" s="10" t="str">
        <f>'6'!D6</f>
        <v xml:space="preserve">Downside of tourism - over exploitation </v>
      </c>
      <c r="D86" s="10" t="str">
        <f>'6'!E6</f>
        <v>B</v>
      </c>
      <c r="E86" s="10">
        <f>'6'!F6</f>
        <v>0</v>
      </c>
      <c r="F86" s="10">
        <f>'6'!G6</f>
        <v>4</v>
      </c>
    </row>
    <row r="87" spans="1:6" x14ac:dyDescent="0.35">
      <c r="A87" s="10">
        <f>'7'!A2</f>
        <v>7</v>
      </c>
      <c r="B87" s="10">
        <f>'7'!B2</f>
        <v>1</v>
      </c>
      <c r="C87" s="10" t="str">
        <f>'7'!D2</f>
        <v>Other uses of space prevail over use as green areas</v>
      </c>
      <c r="D87" s="10" t="str">
        <f>'7'!E2</f>
        <v>F</v>
      </c>
      <c r="E87" s="10">
        <f>'7'!F2</f>
        <v>5</v>
      </c>
      <c r="F87" s="10">
        <f>'7'!G2</f>
        <v>2</v>
      </c>
    </row>
    <row r="88" spans="1:6" x14ac:dyDescent="0.35">
      <c r="A88" s="10">
        <f>'7'!A3</f>
        <v>7</v>
      </c>
      <c r="B88" s="10">
        <f>'7'!B3</f>
        <v>2</v>
      </c>
      <c r="C88" s="10" t="str">
        <f>'7'!D3</f>
        <v>Space available is inadequate to accomodate for green infratructure</v>
      </c>
      <c r="D88" s="10" t="str">
        <f>'7'!E3</f>
        <v>F</v>
      </c>
      <c r="E88" s="10">
        <f>'7'!F3</f>
        <v>5</v>
      </c>
      <c r="F88" s="10">
        <f>'7'!G3</f>
        <v>2</v>
      </c>
    </row>
    <row r="89" spans="1:6" x14ac:dyDescent="0.35">
      <c r="A89" s="10">
        <f>'7'!A4</f>
        <v>7</v>
      </c>
      <c r="B89" s="10">
        <f>'7'!B4</f>
        <v>3</v>
      </c>
      <c r="C89" s="10" t="str">
        <f>'7'!D4</f>
        <v>Larger green areas located near one another are more effective than single investments scattered</v>
      </c>
      <c r="D89" s="10" t="str">
        <f>'7'!E4</f>
        <v>F</v>
      </c>
      <c r="E89" s="10">
        <f>'7'!F4</f>
        <v>5</v>
      </c>
      <c r="F89" s="10">
        <f>'7'!G4</f>
        <v>2</v>
      </c>
    </row>
    <row r="90" spans="1:6" x14ac:dyDescent="0.35">
      <c r="A90" s="10">
        <f>'7'!A5</f>
        <v>7</v>
      </c>
      <c r="B90" s="10">
        <f>'7'!B5</f>
        <v>4</v>
      </c>
      <c r="C90" s="10" t="str">
        <f>'7'!D5</f>
        <v>Unattractive risk-return profile due to relatively high initial construction costs, the need to maintain them, and dependency on sufficient social awareness</v>
      </c>
      <c r="D90" s="10" t="str">
        <f>'7'!E5</f>
        <v>A</v>
      </c>
      <c r="E90" s="10">
        <f>'7'!F5</f>
        <v>2</v>
      </c>
      <c r="F90" s="10">
        <f>'7'!G5</f>
        <v>4</v>
      </c>
    </row>
    <row r="91" spans="1:6" x14ac:dyDescent="0.35">
      <c r="A91" s="10">
        <f>'7'!A6</f>
        <v>7</v>
      </c>
      <c r="B91" s="10">
        <f>'7'!B6</f>
        <v>5</v>
      </c>
      <c r="C91" s="10" t="str">
        <f>'7'!D6</f>
        <v>Measurable benefits important to trigger interests</v>
      </c>
      <c r="D91" s="10" t="str">
        <f>'7'!E6</f>
        <v>A</v>
      </c>
      <c r="E91" s="10">
        <f>'7'!F6</f>
        <v>2</v>
      </c>
      <c r="F91" s="10">
        <f>'7'!G6</f>
        <v>4</v>
      </c>
    </row>
    <row r="92" spans="1:6" x14ac:dyDescent="0.35">
      <c r="A92" s="10">
        <f>'7'!A7</f>
        <v>7</v>
      </c>
      <c r="B92" s="10">
        <f>'7'!B7</f>
        <v>6</v>
      </c>
      <c r="C92" s="10" t="str">
        <f>'7'!D7</f>
        <v>Societal positive attitude leads to willingness to pay for 'green certificates'</v>
      </c>
      <c r="D92" s="10" t="str">
        <f>'7'!E7</f>
        <v>A</v>
      </c>
      <c r="E92" s="10">
        <f>'7'!F7</f>
        <v>1</v>
      </c>
      <c r="F92" s="10">
        <f>'7'!G7</f>
        <v>8</v>
      </c>
    </row>
    <row r="93" spans="1:6" x14ac:dyDescent="0.35">
      <c r="A93" s="10">
        <f>'7'!A8</f>
        <v>7</v>
      </c>
      <c r="B93" s="10">
        <f>'7'!B8</f>
        <v>7</v>
      </c>
      <c r="C93" s="10" t="str">
        <f>'7'!D8</f>
        <v>Planning tools (such as green point system) required for feasibility of regulatory schemes and supporting decisionmaking</v>
      </c>
      <c r="D93" s="10" t="str">
        <f>'7'!E8</f>
        <v>C</v>
      </c>
      <c r="E93" s="10">
        <f>'7'!F8</f>
        <v>3</v>
      </c>
      <c r="F93" s="10">
        <f>'7'!G8</f>
        <v>1</v>
      </c>
    </row>
    <row r="94" spans="1:6" x14ac:dyDescent="0.35">
      <c r="A94" s="10">
        <f>'7'!A9</f>
        <v>7</v>
      </c>
      <c r="B94" s="10">
        <f>'7'!B9</f>
        <v>8</v>
      </c>
      <c r="C94" s="10" t="str">
        <f>'7'!D9</f>
        <v xml:space="preserve">"background" tools needed to improve risk-return profile </v>
      </c>
      <c r="D94" s="10" t="str">
        <f>'7'!E9</f>
        <v>A</v>
      </c>
      <c r="E94" s="10">
        <f>'7'!F9</f>
        <v>2</v>
      </c>
      <c r="F94" s="10">
        <f>'7'!G9</f>
        <v>4</v>
      </c>
    </row>
    <row r="95" spans="1:6" x14ac:dyDescent="0.35">
      <c r="A95" s="10">
        <f>'7'!A10</f>
        <v>7</v>
      </c>
      <c r="B95" s="10">
        <f>'7'!B10</f>
        <v>9</v>
      </c>
      <c r="C95" s="10" t="str">
        <f>'7'!D10</f>
        <v xml:space="preserve">Research into the effectiveness of policy/financial instruments as input for governance design </v>
      </c>
      <c r="D95" s="10" t="str">
        <f>'7'!E10</f>
        <v>C</v>
      </c>
      <c r="E95" s="10">
        <f>'7'!F10</f>
        <v>2</v>
      </c>
      <c r="F95" s="10">
        <f>'7'!G10</f>
        <v>2</v>
      </c>
    </row>
    <row r="96" spans="1:6" x14ac:dyDescent="0.35">
      <c r="A96" s="10">
        <f>'7'!A11</f>
        <v>7</v>
      </c>
      <c r="B96" s="10">
        <f>'7'!B11</f>
        <v>10</v>
      </c>
      <c r="C96" s="10" t="str">
        <f>'7'!D11</f>
        <v>attitude towards green solutions driven by social awarness of benefits is key influencer of adoption rate</v>
      </c>
      <c r="D96" s="10" t="str">
        <f>'7'!E11</f>
        <v>D</v>
      </c>
      <c r="E96" s="10">
        <f>'7'!F11</f>
        <v>0</v>
      </c>
      <c r="F96" s="10">
        <f>'7'!G11</f>
        <v>3</v>
      </c>
    </row>
    <row r="97" spans="1:6" x14ac:dyDescent="0.35">
      <c r="A97" s="10">
        <f>'7'!A12</f>
        <v>7</v>
      </c>
      <c r="B97" s="10">
        <f>'7'!B12</f>
        <v>11</v>
      </c>
      <c r="C97" s="10" t="str">
        <f>'7'!D12</f>
        <v xml:space="preserve"> sceptical attitude of investors to constructing green roofs resulting from lack of technical (construction) knowledge and lack of understansing of multiple benefits </v>
      </c>
      <c r="D97" s="10" t="str">
        <f>'7'!E12</f>
        <v>A</v>
      </c>
      <c r="E97" s="10">
        <f>'7'!F12</f>
        <v>2</v>
      </c>
      <c r="F97" s="10">
        <f>'7'!G12</f>
        <v>5</v>
      </c>
    </row>
    <row r="98" spans="1:6" x14ac:dyDescent="0.35">
      <c r="A98" s="10">
        <f>'7'!A13</f>
        <v>7</v>
      </c>
      <c r="B98" s="10">
        <f>'7'!B13</f>
        <v>12</v>
      </c>
      <c r="C98" s="10" t="str">
        <f>'7'!D13</f>
        <v xml:space="preserve">negative experiences - news about poorly constructed green roofs - enhances scpeticism </v>
      </c>
      <c r="D98" s="10" t="str">
        <f>'7'!E13</f>
        <v>D</v>
      </c>
      <c r="E98" s="10">
        <f>'7'!F13</f>
        <v>0</v>
      </c>
      <c r="F98" s="10">
        <f>'7'!G13</f>
        <v>5</v>
      </c>
    </row>
    <row r="99" spans="1:6" x14ac:dyDescent="0.35">
      <c r="A99" s="10">
        <f>'7'!A14</f>
        <v>7</v>
      </c>
      <c r="B99" s="10">
        <f>'7'!B14</f>
        <v>13</v>
      </c>
      <c r="C99" s="10" t="str">
        <f>'7'!D14</f>
        <v>complex procedures for obtaining building permits</v>
      </c>
      <c r="D99" s="10" t="str">
        <f>'7'!E14</f>
        <v>F</v>
      </c>
      <c r="E99" s="10">
        <f>'7'!F14</f>
        <v>2</v>
      </c>
      <c r="F99" s="10">
        <f>'7'!G14</f>
        <v>2</v>
      </c>
    </row>
    <row r="100" spans="1:6" x14ac:dyDescent="0.35">
      <c r="A100" s="10">
        <f>'7'!A15</f>
        <v>7</v>
      </c>
      <c r="B100" s="10">
        <f>'7'!B15</f>
        <v>14</v>
      </c>
      <c r="C100" s="10" t="str">
        <f>'7'!D15</f>
        <v xml:space="preserve"> low return on investment through fees or tax cuts, after 20–30 years, not an attractive offer for investors</v>
      </c>
      <c r="D100" s="10" t="str">
        <f>'7'!E15</f>
        <v>A</v>
      </c>
      <c r="E100" s="10">
        <f>'7'!F15</f>
        <v>2</v>
      </c>
      <c r="F100" s="10">
        <f>'7'!G15</f>
        <v>4</v>
      </c>
    </row>
    <row r="101" spans="1:6" x14ac:dyDescent="0.35">
      <c r="A101" s="10">
        <f>'7'!A16</f>
        <v>7</v>
      </c>
      <c r="B101" s="10">
        <f>'7'!B16</f>
        <v>15</v>
      </c>
      <c r="C101" s="10" t="str">
        <f>'7'!D16</f>
        <v>lack of strategy and vision by leaders, executives and administrators</v>
      </c>
      <c r="D101" s="10" t="str">
        <f>'7'!E16</f>
        <v>E</v>
      </c>
      <c r="E101" s="10">
        <f>'7'!F16</f>
        <v>0</v>
      </c>
      <c r="F101" s="10">
        <f>'7'!G16</f>
        <v>5</v>
      </c>
    </row>
    <row r="102" spans="1:6" x14ac:dyDescent="0.35">
      <c r="A102" s="10">
        <f>'7'!A17</f>
        <v>7</v>
      </c>
      <c r="B102" s="10">
        <f>'7'!B17</f>
        <v>16</v>
      </c>
      <c r="C102" s="10" t="str">
        <f>'7'!D17</f>
        <v xml:space="preserve"> excessively strict requirements for recieving co-financing or tax allowance makes it less attractive</v>
      </c>
      <c r="D102" s="10" t="str">
        <f>'7'!E17</f>
        <v>A</v>
      </c>
      <c r="E102" s="10">
        <f>'7'!F17</f>
        <v>1</v>
      </c>
      <c r="F102" s="10">
        <f>'7'!G17</f>
        <v>10</v>
      </c>
    </row>
    <row r="103" spans="1:6" x14ac:dyDescent="0.35">
      <c r="A103" s="10">
        <f>'7'!A18</f>
        <v>7</v>
      </c>
      <c r="B103" s="10">
        <f>'7'!B18</f>
        <v>17</v>
      </c>
      <c r="C103" s="10" t="str">
        <f>'7'!D18</f>
        <v>public procurement procedures not accomodating for green infrastructure</v>
      </c>
      <c r="D103" s="10" t="str">
        <f>'7'!E18</f>
        <v>F</v>
      </c>
      <c r="E103" s="10">
        <f>'7'!F18</f>
        <v>2</v>
      </c>
      <c r="F103" s="10">
        <f>'7'!G18</f>
        <v>4</v>
      </c>
    </row>
    <row r="104" spans="1:6" x14ac:dyDescent="0.35">
      <c r="A104" s="10">
        <f>'7'!A19</f>
        <v>7</v>
      </c>
      <c r="B104" s="10">
        <f>'7'!B19</f>
        <v>18</v>
      </c>
      <c r="C104" s="10" t="str">
        <f>'7'!D19</f>
        <v xml:space="preserve"> monitoring systems to measure success are also usually weak</v>
      </c>
      <c r="D104" s="10" t="str">
        <f>'7'!E19</f>
        <v>C</v>
      </c>
      <c r="E104" s="10">
        <f>'7'!F19</f>
        <v>3</v>
      </c>
      <c r="F104" s="10">
        <f>'7'!G19</f>
        <v>1</v>
      </c>
    </row>
    <row r="105" spans="1:6" x14ac:dyDescent="0.35">
      <c r="A105" s="10">
        <f>'7'!A20</f>
        <v>7</v>
      </c>
      <c r="B105" s="10">
        <f>'7'!B20</f>
        <v>19</v>
      </c>
      <c r="C105" s="10" t="str">
        <f>'7'!D20</f>
        <v>Lack of funding for regular maintenance of green spaces</v>
      </c>
      <c r="D105" s="10" t="str">
        <f>'7'!E20</f>
        <v>A</v>
      </c>
      <c r="E105" s="10">
        <f>'7'!F20</f>
        <v>1</v>
      </c>
      <c r="F105" s="10">
        <f>'7'!G20</f>
        <v>1</v>
      </c>
    </row>
    <row r="106" spans="1:6" x14ac:dyDescent="0.35">
      <c r="A106" s="10">
        <f>'7'!A21</f>
        <v>7</v>
      </c>
      <c r="B106" s="10">
        <f>'7'!B21</f>
        <v>20</v>
      </c>
      <c r="C106" s="10" t="str">
        <f>'7'!D21</f>
        <v xml:space="preserve">Multi-faceted approach needed - combinations of (non)financial incentives - for designing constructing and maintaining green roofs. </v>
      </c>
      <c r="D106" s="10" t="str">
        <f>'7'!E21</f>
        <v>A</v>
      </c>
      <c r="E106" s="10">
        <f>'7'!F21</f>
        <v>1</v>
      </c>
      <c r="F106" s="10">
        <f>'7'!G21</f>
        <v>2</v>
      </c>
    </row>
    <row r="107" spans="1:6" x14ac:dyDescent="0.35">
      <c r="A107" s="10">
        <f>'8'!A2</f>
        <v>8</v>
      </c>
      <c r="B107" s="10">
        <f>'8'!B2</f>
        <v>1</v>
      </c>
      <c r="C107" s="10" t="str">
        <f>'8'!D2</f>
        <v xml:space="preserve"> limited research is available on the economic costs and benefits evaluation of NBS against hard engineering structure when implemented  for building resilience to HMHs</v>
      </c>
      <c r="D107" s="10" t="str">
        <f>'8'!E2</f>
        <v>B</v>
      </c>
      <c r="E107" s="10">
        <f>'8'!F2</f>
        <v>0</v>
      </c>
      <c r="F107" s="10">
        <f>'8'!G2</f>
        <v>4</v>
      </c>
    </row>
    <row r="108" spans="1:6" x14ac:dyDescent="0.35">
      <c r="A108" s="10">
        <f>'8'!A3</f>
        <v>8</v>
      </c>
      <c r="B108" s="10">
        <f>'8'!B3</f>
        <v>2</v>
      </c>
      <c r="C108" s="10" t="str">
        <f>'8'!D3</f>
        <v>effectiveness of NBS are dependent on the location, architecture, typology, green  species and environmental conditions, as well as interrelated non-linear systems</v>
      </c>
      <c r="D108" s="10" t="str">
        <f>'8'!E3</f>
        <v>C</v>
      </c>
      <c r="E108" s="10">
        <f>'8'!F3</f>
        <v>1</v>
      </c>
      <c r="F108" s="10">
        <f>'8'!G3</f>
        <v>2</v>
      </c>
    </row>
    <row r="109" spans="1:6" x14ac:dyDescent="0.35">
      <c r="A109" s="10">
        <f>'8'!A4</f>
        <v>8</v>
      </c>
      <c r="B109" s="10">
        <f>'8'!B4</f>
        <v>3</v>
      </c>
      <c r="C109" s="10" t="str">
        <f>'8'!D4</f>
        <v xml:space="preserve"> many databases and platforms but these ave gaps:  (1) availability of high spatial and temporal resolution datasets; (2) lack of homogeneity in datasets; and (3) unavailability of data  in easy-to-use digital format; and (4) limited accessibility of datasets  owing to factors such as data policy and service responsiveness to make  all these sources interoperable (5)  a number of others have systematically collected  data focusing on specific hazards but failing to deal with all natural  hazards</v>
      </c>
      <c r="D109" s="10" t="str">
        <f>'8'!E4</f>
        <v>C</v>
      </c>
      <c r="E109" s="10">
        <f>'8'!F4</f>
        <v>2</v>
      </c>
      <c r="F109" s="10">
        <f>'8'!G4</f>
        <v>1</v>
      </c>
    </row>
    <row r="110" spans="1:6" x14ac:dyDescent="0.35">
      <c r="A110" s="10">
        <f>'8'!A5</f>
        <v>8</v>
      </c>
      <c r="B110" s="10">
        <f>'8'!B5</f>
        <v>4</v>
      </c>
      <c r="C110" s="10" t="str">
        <f>'8'!D5</f>
        <v>esearch needs include the development of NBS catalogue that contains  harmonised and comprehensive database and metadata models for  NBS</v>
      </c>
      <c r="D110" s="10" t="str">
        <f>'8'!E5</f>
        <v>C</v>
      </c>
      <c r="E110" s="10">
        <f>'8'!F5</f>
        <v>2</v>
      </c>
      <c r="F110" s="10">
        <f>'8'!G5</f>
        <v>1</v>
      </c>
    </row>
    <row r="111" spans="1:6" x14ac:dyDescent="0.35">
      <c r="A111" s="10">
        <f>'8'!A6</f>
        <v>8</v>
      </c>
      <c r="B111" s="10">
        <f>'8'!B6</f>
        <v>5</v>
      </c>
      <c r="C111" s="10" t="str">
        <f>'8'!D6</f>
        <v>types of NBS adopted  to tackle each HMHs needs a logical approach to distinguish the appropriate solutions while avoiding undesirable and economically damaging aspects of the selected approach</v>
      </c>
      <c r="D111" s="10" t="str">
        <f>'8'!E6</f>
        <v>C</v>
      </c>
      <c r="E111" s="10">
        <f>'8'!F6</f>
        <v>2</v>
      </c>
      <c r="F111" s="10">
        <f>'8'!G6</f>
        <v>4</v>
      </c>
    </row>
    <row r="112" spans="1:6" x14ac:dyDescent="0.35">
      <c r="A112" s="10">
        <f>'8'!A7</f>
        <v>8</v>
      </c>
      <c r="B112" s="10">
        <f>'8'!B7</f>
        <v>6</v>
      </c>
      <c r="C112" s="10" t="str">
        <f>'8'!D7</f>
        <v>central challenge in the  concept and characterization of NBS, what is standard and what is  considered as NBS. For instance, are artificially modified biota or  bioengineering categorised as NBS</v>
      </c>
      <c r="D112" s="10" t="str">
        <f>'8'!E7</f>
        <v>C</v>
      </c>
      <c r="E112" s="10">
        <f>'8'!F7</f>
        <v>2</v>
      </c>
      <c r="F112" s="10">
        <f>'8'!G7</f>
        <v>1</v>
      </c>
    </row>
    <row r="113" spans="1:6" x14ac:dyDescent="0.35">
      <c r="A113" s="10">
        <f>'8'!A8</f>
        <v>8</v>
      </c>
      <c r="B113" s="10">
        <f>'8'!B8</f>
        <v>7</v>
      </c>
      <c r="C113" s="10" t="str">
        <f>'8'!D8</f>
        <v>five types of information  are crucial; namely, hydro-meteorological inventory data, geo information, triggering factors (Section 3), vulnerable objects to HMRs  and NBS inventory data</v>
      </c>
      <c r="D113" s="10" t="str">
        <f>'8'!E8</f>
        <v>C</v>
      </c>
      <c r="E113" s="10">
        <f>'8'!F8</f>
        <v>2</v>
      </c>
      <c r="F113" s="10">
        <f>'8'!G8</f>
        <v>2</v>
      </c>
    </row>
    <row r="114" spans="1:6" x14ac:dyDescent="0.35">
      <c r="A114" s="10">
        <f>'8'!A9</f>
        <v>8</v>
      </c>
      <c r="B114" s="10">
        <f>'8'!B9</f>
        <v>8</v>
      </c>
      <c r="C114" s="10" t="str">
        <f>'8'!D9</f>
        <v>Gaps in current knowledge and potential barriers such as lack of onsite monitoring, social and political barriers  hamper the wider uptake of NBS</v>
      </c>
      <c r="D114" s="10" t="str">
        <f>'8'!E9</f>
        <v>C</v>
      </c>
      <c r="E114" s="10">
        <f>'8'!F9</f>
        <v>1</v>
      </c>
      <c r="F114" s="10">
        <f>'8'!G9</f>
        <v>2</v>
      </c>
    </row>
    <row r="115" spans="1:6" x14ac:dyDescent="0.35">
      <c r="A115" s="10">
        <f>'8'!A10</f>
        <v>8</v>
      </c>
      <c r="B115" s="10">
        <f>'8'!B10</f>
        <v>9</v>
      </c>
      <c r="C115" s="10" t="str">
        <f>'8'!D10</f>
        <v xml:space="preserve"> social and political barriers  hamper the wider uptake of NBS</v>
      </c>
      <c r="D115" s="10" t="str">
        <f>'8'!E10</f>
        <v>E</v>
      </c>
      <c r="E115" s="10">
        <f>'8'!F10</f>
        <v>0</v>
      </c>
      <c r="F115" s="10">
        <f>'8'!G10</f>
        <v>1</v>
      </c>
    </row>
    <row r="116" spans="1:6" x14ac:dyDescent="0.35">
      <c r="A116" s="10">
        <f>'8'!A11</f>
        <v>8</v>
      </c>
      <c r="B116" s="10">
        <f>'8'!B11</f>
        <v>10</v>
      </c>
      <c r="C116" s="10" t="str">
        <f>'8'!D11</f>
        <v>interdisciplinary and collaborative research amongst different policy  areas, stakeholders and many other sectors is required</v>
      </c>
      <c r="D116" s="10" t="str">
        <f>'8'!E11</f>
        <v>C</v>
      </c>
      <c r="E116" s="10">
        <f>'8'!F11</f>
        <v>2</v>
      </c>
      <c r="F116" s="10">
        <f>'8'!G11</f>
        <v>3</v>
      </c>
    </row>
    <row r="117" spans="1:6" x14ac:dyDescent="0.35">
      <c r="A117" s="10">
        <f>'8'!A12</f>
        <v>8</v>
      </c>
      <c r="B117" s="10">
        <f>'8'!B12</f>
        <v>11</v>
      </c>
      <c r="C117" s="10" t="str">
        <f>'8'!D12</f>
        <v xml:space="preserve"> hybrid approach  that combines blue, green and grey approach as the most effective  way of tackling HMHs</v>
      </c>
      <c r="D117" s="10" t="str">
        <f>'8'!E12</f>
        <v>C</v>
      </c>
      <c r="E117" s="10">
        <f>'8'!F12</f>
        <v>2</v>
      </c>
      <c r="F117" s="10">
        <f>'8'!G12</f>
        <v>2</v>
      </c>
    </row>
    <row r="118" spans="1:6" x14ac:dyDescent="0.35">
      <c r="A118" s="10">
        <f>'8'!A13</f>
        <v>8</v>
      </c>
      <c r="B118" s="10">
        <f>'8'!B13</f>
        <v>12</v>
      </c>
      <c r="C118" s="10" t="str">
        <f>'8'!D13</f>
        <v xml:space="preserve">difficult to observe and assess the efficiency of  interferences </v>
      </c>
      <c r="D118" s="10" t="str">
        <f>'8'!E13</f>
        <v>B</v>
      </c>
      <c r="E118" s="10">
        <f>'8'!F13</f>
        <v>0</v>
      </c>
      <c r="F118" s="10">
        <f>'8'!G13</f>
        <v>1</v>
      </c>
    </row>
    <row r="119" spans="1:6" x14ac:dyDescent="0.35">
      <c r="A119" s="10">
        <f>'9'!A2</f>
        <v>9</v>
      </c>
      <c r="B119" s="10">
        <f>'9'!B2</f>
        <v>1</v>
      </c>
      <c r="C119" s="10" t="str">
        <f>'9'!D2</f>
        <v xml:space="preserve">Different valuation methods (replacement value vs service value) </v>
      </c>
      <c r="D119" s="10" t="str">
        <f>'9'!E2</f>
        <v>B</v>
      </c>
      <c r="E119" s="10">
        <f>'9'!F2</f>
        <v>0</v>
      </c>
      <c r="F119" s="10">
        <f>'9'!G2</f>
        <v>2</v>
      </c>
    </row>
    <row r="120" spans="1:6" x14ac:dyDescent="0.35">
      <c r="A120" s="10">
        <f>'9'!A3</f>
        <v>9</v>
      </c>
      <c r="B120" s="10">
        <f>'9'!B3</f>
        <v>2</v>
      </c>
      <c r="C120" s="10" t="str">
        <f>'9'!D3</f>
        <v xml:space="preserve">Natural components (trees) not considered assets (US) financial accounting rules and standards </v>
      </c>
      <c r="D120" s="10" t="str">
        <f>'9'!E3</f>
        <v>B</v>
      </c>
      <c r="E120" s="10">
        <f>'9'!F3</f>
        <v>0</v>
      </c>
      <c r="F120" s="10">
        <f>'9'!G3</f>
        <v>4</v>
      </c>
    </row>
    <row r="121" spans="1:6" x14ac:dyDescent="0.35">
      <c r="A121" s="10">
        <f>'9'!A4</f>
        <v>9</v>
      </c>
      <c r="B121" s="10">
        <f>'9'!B4</f>
        <v>3</v>
      </c>
      <c r="C121" s="10" t="str">
        <f>'9'!D4</f>
        <v xml:space="preserve">selling multiple ESS at the cost of the ecological value </v>
      </c>
      <c r="D121" s="10" t="str">
        <f>'9'!E4</f>
        <v>A</v>
      </c>
      <c r="E121" s="10">
        <f>'9'!F4</f>
        <v>1</v>
      </c>
      <c r="F121" s="10">
        <f>'9'!G4</f>
        <v>10</v>
      </c>
    </row>
    <row r="122" spans="1:6" x14ac:dyDescent="0.35">
      <c r="A122" s="10">
        <f>'9'!A5</f>
        <v>9</v>
      </c>
      <c r="B122" s="10">
        <f>'9'!B5</f>
        <v>4</v>
      </c>
      <c r="C122" s="10" t="str">
        <f>'9'!D5</f>
        <v xml:space="preserve">Unauthorized expenditures - public silo's - mandate for department specific services. </v>
      </c>
      <c r="D122" s="10" t="str">
        <f>'9'!E5</f>
        <v>F</v>
      </c>
      <c r="E122" s="10">
        <f>'9'!F5</f>
        <v>2</v>
      </c>
      <c r="F122" s="10">
        <f>'9'!G5</f>
        <v>1</v>
      </c>
    </row>
    <row r="123" spans="1:6" x14ac:dyDescent="0.35">
      <c r="A123" s="10">
        <f>'9'!A6</f>
        <v>9</v>
      </c>
      <c r="B123" s="10">
        <f>'9'!B6</f>
        <v>5</v>
      </c>
      <c r="C123" s="10" t="str">
        <f>'9'!D6</f>
        <v xml:space="preserve">increase transparency on justifying expenses beyond primary objective/mission </v>
      </c>
      <c r="D123" s="10" t="str">
        <f>'9'!E6</f>
        <v>F</v>
      </c>
      <c r="E123" s="10">
        <f>'9'!F6</f>
        <v>1</v>
      </c>
      <c r="F123" s="10">
        <f>'9'!G6</f>
        <v>1</v>
      </c>
    </row>
    <row r="124" spans="1:6" x14ac:dyDescent="0.35">
      <c r="A124" s="10">
        <f>'9'!A7</f>
        <v>9</v>
      </c>
      <c r="B124" s="10">
        <f>'9'!B7</f>
        <v>6</v>
      </c>
      <c r="C124" s="10" t="str">
        <f>'9'!D7</f>
        <v xml:space="preserve">challenging to integrate knowledge systems (procedures) within different institutions </v>
      </c>
      <c r="D124" s="10" t="str">
        <f>'9'!E7</f>
        <v>F</v>
      </c>
      <c r="E124" s="10">
        <f>'9'!F7</f>
        <v>1</v>
      </c>
      <c r="F124" s="10">
        <f>'9'!G7</f>
        <v>1</v>
      </c>
    </row>
    <row r="125" spans="1:6" x14ac:dyDescent="0.35">
      <c r="A125" s="10">
        <f>'9'!A8</f>
        <v>9</v>
      </c>
      <c r="B125" s="10">
        <f>'9'!B8</f>
        <v>7</v>
      </c>
      <c r="C125" s="10" t="str">
        <f>'9'!D8</f>
        <v xml:space="preserve">Financial asset management standards  prohibit mainstreaming of GI </v>
      </c>
      <c r="D125" s="10" t="str">
        <f>'9'!E8</f>
        <v>F</v>
      </c>
      <c r="E125" s="10">
        <f>'9'!F8</f>
        <v>2</v>
      </c>
      <c r="F125" s="10">
        <f>'9'!G8</f>
        <v>5</v>
      </c>
    </row>
    <row r="126" spans="1:6" x14ac:dyDescent="0.35">
      <c r="A126" s="10">
        <f>'9'!A9</f>
        <v>9</v>
      </c>
      <c r="B126" s="10">
        <f>'9'!B9</f>
        <v>8</v>
      </c>
      <c r="C126" s="10" t="str">
        <f>'9'!D9</f>
        <v xml:space="preserve">Natural components (trees) not considered assets (US) financial accounting rules and standards </v>
      </c>
      <c r="D126" s="10" t="str">
        <f>'9'!E9</f>
        <v>F</v>
      </c>
      <c r="E126" s="10">
        <f>'9'!F9</f>
        <v>2</v>
      </c>
      <c r="F126" s="10">
        <f>'9'!G9</f>
        <v>5</v>
      </c>
    </row>
    <row r="127" spans="1:6" x14ac:dyDescent="0.35">
      <c r="A127" s="10">
        <f>'9'!A10</f>
        <v>9</v>
      </c>
      <c r="B127" s="10">
        <f>'9'!B10</f>
        <v>9</v>
      </c>
      <c r="C127" s="10" t="str">
        <f>'9'!D10</f>
        <v xml:space="preserve">conceptually difficult to include the value of nature on accounting ledgers (as an asset) </v>
      </c>
      <c r="D127" s="10" t="str">
        <f>'9'!E10</f>
        <v>F</v>
      </c>
      <c r="E127" s="10">
        <f>'9'!F10</f>
        <v>2</v>
      </c>
      <c r="F127" s="10">
        <f>'9'!G10</f>
        <v>5</v>
      </c>
    </row>
    <row r="128" spans="1:6" x14ac:dyDescent="0.35">
      <c r="A128" s="10">
        <f>'9'!A11</f>
        <v>9</v>
      </c>
      <c r="B128" s="10">
        <f>'9'!B11</f>
        <v>10</v>
      </c>
      <c r="C128" s="10" t="str">
        <f>'9'!D11</f>
        <v xml:space="preserve"> nature as a service provider similar to grey infra not yet embraced</v>
      </c>
      <c r="D128" s="10" t="str">
        <f>'9'!E11</f>
        <v>F</v>
      </c>
      <c r="E128" s="10">
        <f>'9'!F11</f>
        <v>2</v>
      </c>
      <c r="F128" s="10">
        <f>'9'!G11</f>
        <v>5</v>
      </c>
    </row>
    <row r="129" spans="1:6" x14ac:dyDescent="0.35">
      <c r="A129" s="10">
        <f>'9'!A12</f>
        <v>9</v>
      </c>
      <c r="B129" s="10">
        <f>'9'!B12</f>
        <v>11</v>
      </c>
      <c r="C129" s="10" t="str">
        <f>'9'!D12</f>
        <v>Epistemological mismatch between ecological and accounting systems - financial system does not (fully) accomodate for ecological values</v>
      </c>
      <c r="D129" s="10" t="str">
        <f>'9'!E12</f>
        <v>F</v>
      </c>
      <c r="E129" s="10">
        <f>'9'!F12</f>
        <v>2</v>
      </c>
      <c r="F129" s="10">
        <f>'9'!G12</f>
        <v>5</v>
      </c>
    </row>
    <row r="130" spans="1:6" x14ac:dyDescent="0.35">
      <c r="A130" s="10">
        <f>'9'!A13</f>
        <v>9</v>
      </c>
      <c r="B130" s="10">
        <f>'9'!B13</f>
        <v>12</v>
      </c>
      <c r="C130" s="10" t="str">
        <f>'9'!D13</f>
        <v xml:space="preserve">Uncertainty in performance of measures </v>
      </c>
      <c r="D130" s="10" t="str">
        <f>'9'!E13</f>
        <v>B</v>
      </c>
      <c r="E130" s="10">
        <f>'9'!F13</f>
        <v>0</v>
      </c>
      <c r="F130" s="10">
        <f>'9'!G13</f>
        <v>3</v>
      </c>
    </row>
    <row r="131" spans="1:6" x14ac:dyDescent="0.35">
      <c r="A131" s="10">
        <f>'9'!A14</f>
        <v>9</v>
      </c>
      <c r="B131" s="10">
        <f>'9'!B14</f>
        <v>13</v>
      </c>
      <c r="C131" s="10" t="str">
        <f>'9'!D14</f>
        <v xml:space="preserve">Unauthorized expenditures - Greening seen as 'luxury' not neccessity </v>
      </c>
      <c r="D131" s="10" t="str">
        <f>'9'!E14</f>
        <v>F</v>
      </c>
      <c r="E131" s="10">
        <f>'9'!F14</f>
        <v>1</v>
      </c>
      <c r="F131" s="10">
        <f>'9'!G14</f>
        <v>1</v>
      </c>
    </row>
    <row r="132" spans="1:6" x14ac:dyDescent="0.35">
      <c r="A132" s="10">
        <f>'9'!A15</f>
        <v>9</v>
      </c>
      <c r="B132" s="10">
        <f>'9'!B15</f>
        <v>14</v>
      </c>
      <c r="C132" s="10" t="str">
        <f>'9'!D15</f>
        <v>Valueing nature is difficult</v>
      </c>
      <c r="D132" s="10" t="str">
        <f>'9'!E15</f>
        <v>B</v>
      </c>
      <c r="E132" s="10">
        <f>'9'!F15</f>
        <v>0</v>
      </c>
      <c r="F132" s="10">
        <f>'9'!G15</f>
        <v>1</v>
      </c>
    </row>
    <row r="133" spans="1:6" x14ac:dyDescent="0.35">
      <c r="A133" s="10">
        <f>'9'!A16</f>
        <v>9</v>
      </c>
      <c r="B133" s="10">
        <f>'9'!B16</f>
        <v>15</v>
      </c>
      <c r="C133" s="10" t="str">
        <f>'9'!D16</f>
        <v>Actual valuation of nature is difficult</v>
      </c>
      <c r="D133" s="10" t="str">
        <f>'9'!E16</f>
        <v>B</v>
      </c>
      <c r="E133" s="10">
        <f>'9'!F16</f>
        <v>0</v>
      </c>
      <c r="F133" s="10">
        <f>'9'!G16</f>
        <v>1</v>
      </c>
    </row>
    <row r="134" spans="1:6" x14ac:dyDescent="0.35">
      <c r="A134" s="10">
        <f>'10'!A2</f>
        <v>10</v>
      </c>
      <c r="B134" s="10">
        <f>'10'!B2</f>
        <v>1</v>
      </c>
      <c r="C134" s="10" t="str">
        <f>'10'!D2</f>
        <v>Perceived benefits have to  consider social and ecological amenities including biodiversity, recreation spaces, urban heat reduction, and healthier ecosystems, but these  are difficult to quantify.</v>
      </c>
      <c r="D134" s="10" t="str">
        <f>'10'!E2</f>
        <v>B</v>
      </c>
      <c r="E134" s="10">
        <f>'10'!F2</f>
        <v>0</v>
      </c>
      <c r="F134" s="10">
        <f>'10'!G2</f>
        <v>1</v>
      </c>
    </row>
    <row r="135" spans="1:6" x14ac:dyDescent="0.35">
      <c r="A135" s="10">
        <f>'10'!A3</f>
        <v>10</v>
      </c>
      <c r="B135" s="10">
        <f>'10'!B3</f>
        <v>2</v>
      </c>
      <c r="C135" s="10" t="str">
        <f>'10'!D3</f>
        <v>Research  on cost-benefit analysis of such projects is still limited, so the cost and  benefit of Sponge City projects is difficult to compare.</v>
      </c>
      <c r="D135" s="10" t="str">
        <f>'10'!E3</f>
        <v>B</v>
      </c>
      <c r="E135" s="10">
        <f>'10'!F3</f>
        <v>0</v>
      </c>
      <c r="F135" s="10">
        <f>'10'!G3</f>
        <v>1</v>
      </c>
    </row>
    <row r="136" spans="1:6" x14ac:dyDescent="0.35">
      <c r="A136" s="10">
        <f>'10'!A4</f>
        <v>10</v>
      </c>
      <c r="B136" s="10">
        <f>'10'!B4</f>
        <v>3</v>
      </c>
      <c r="C136" s="10" t="str">
        <f>'10'!D4</f>
        <v>more research is required on the financial viability of Sponge City projects</v>
      </c>
      <c r="D136" s="10" t="str">
        <f>'10'!E4</f>
        <v>C</v>
      </c>
      <c r="E136" s="10">
        <f>'10'!F4</f>
        <v>1</v>
      </c>
      <c r="F136" s="10">
        <f>'10'!G4</f>
        <v>1</v>
      </c>
    </row>
    <row r="137" spans="1:6" x14ac:dyDescent="0.35">
      <c r="A137" s="10">
        <f>'10'!A5</f>
        <v>10</v>
      </c>
      <c r="B137" s="10">
        <f>'10'!B5</f>
        <v>4</v>
      </c>
      <c r="C137" s="10" t="str">
        <f>'10'!D5</f>
        <v xml:space="preserve"> availability of information on public perceptions and willingness to pay for  this is still limited.</v>
      </c>
      <c r="D137" s="10" t="str">
        <f>'10'!E5</f>
        <v>B</v>
      </c>
      <c r="E137" s="10">
        <f>'10'!F5</f>
        <v>0</v>
      </c>
      <c r="F137" s="10">
        <f>'10'!G5</f>
        <v>4</v>
      </c>
    </row>
    <row r="138" spans="1:6" x14ac:dyDescent="0.35">
      <c r="A138" s="10">
        <f>'10'!A6</f>
        <v>10</v>
      </c>
      <c r="B138" s="10">
        <f>'10'!B6</f>
        <v>5</v>
      </c>
      <c r="C138" s="10" t="str">
        <f>'10'!D6</f>
        <v>assessment of costeffectiveness of urban sponge projects encounters many obstacles due  to the unknown maintenance and monitoring costs, and in calculating,  the life cycle benefits related to social and ecological amenities</v>
      </c>
      <c r="D138" s="10" t="str">
        <f>'10'!E6</f>
        <v>B</v>
      </c>
      <c r="E138" s="10">
        <f>'10'!F6</f>
        <v>0</v>
      </c>
      <c r="F138" s="10">
        <f>'10'!G6</f>
        <v>1</v>
      </c>
    </row>
    <row r="139" spans="1:6" x14ac:dyDescent="0.35">
      <c r="A139" s="10">
        <f>'10'!A7</f>
        <v>10</v>
      </c>
      <c r="B139" s="10">
        <f>'10'!B7</f>
        <v>6</v>
      </c>
      <c r="C139" s="10" t="str">
        <f>'10'!D7</f>
        <v>improving public attitudes and perceptions of the Sponge City meet obstacles because the concept is still a very new one</v>
      </c>
      <c r="D139" s="10" t="str">
        <f>'10'!E7</f>
        <v>C</v>
      </c>
      <c r="E139" s="10">
        <f>'10'!F7</f>
        <v>1</v>
      </c>
      <c r="F139" s="10">
        <f>'10'!G7</f>
        <v>1</v>
      </c>
    </row>
    <row r="140" spans="1:6" x14ac:dyDescent="0.35">
      <c r="A140" s="10">
        <f>'10'!A8</f>
        <v>10</v>
      </c>
      <c r="B140" s="10">
        <f>'10'!B8</f>
        <v>7</v>
      </c>
      <c r="C140" s="10" t="str">
        <f>'10'!D8</f>
        <v xml:space="preserve"> technological discrepancies between developed and developing countries</v>
      </c>
      <c r="D140" s="10" t="str">
        <f>'10'!E8</f>
        <v>C</v>
      </c>
      <c r="E140" s="10">
        <f>'10'!F8</f>
        <v>3</v>
      </c>
      <c r="F140" s="10">
        <f>'10'!G8</f>
        <v>2</v>
      </c>
    </row>
    <row r="141" spans="1:6" x14ac:dyDescent="0.35">
      <c r="A141" s="10">
        <f>'10'!A9</f>
        <v>10</v>
      </c>
      <c r="B141" s="10">
        <f>'10'!B9</f>
        <v>8</v>
      </c>
      <c r="C141" s="10" t="str">
        <f>'10'!D9</f>
        <v>Central government subsidies are  inadequate due to the high and long-term funding requirement for construction</v>
      </c>
      <c r="D141" s="10" t="str">
        <f>'10'!E9</f>
        <v>A</v>
      </c>
      <c r="E141" s="10">
        <f>'10'!F9</f>
        <v>1</v>
      </c>
      <c r="F141" s="10">
        <f>'10'!G9</f>
        <v>1</v>
      </c>
    </row>
    <row r="142" spans="1:6" x14ac:dyDescent="0.35">
      <c r="A142" s="10">
        <f>'10'!A10</f>
        <v>10</v>
      </c>
      <c r="B142" s="10">
        <f>'10'!B10</f>
        <v>9</v>
      </c>
      <c r="C142" s="10" t="str">
        <f>'10'!D10</f>
        <v xml:space="preserve"> subsidies are  inadequate due to the high and long-term funding requirement for construction - policy-makers have to recognize that in the long-term, the  public-private partnership (PPP) strategy is the best way to make the  Sponge City viable</v>
      </c>
      <c r="D142" s="10" t="str">
        <f>'10'!E10</f>
        <v>F</v>
      </c>
      <c r="E142" s="10">
        <f>'10'!F10</f>
        <v>3</v>
      </c>
      <c r="F142" s="10">
        <f>'10'!G10</f>
        <v>3</v>
      </c>
    </row>
    <row r="143" spans="1:6" x14ac:dyDescent="0.35">
      <c r="A143" s="10">
        <f>'10'!A11</f>
        <v>10</v>
      </c>
      <c r="B143" s="10">
        <f>'10'!B11</f>
        <v>10</v>
      </c>
      <c r="C143" s="10" t="str">
        <f>'10'!D11</f>
        <v>private sector  would not invest in a Sponge City project due to higher costs not  being matched by higher revenues</v>
      </c>
      <c r="D143" s="10" t="str">
        <f>'10'!E11</f>
        <v>A</v>
      </c>
      <c r="E143" s="10">
        <f>'10'!F11</f>
        <v>2</v>
      </c>
      <c r="F143" s="10">
        <f>'10'!G11</f>
        <v>4</v>
      </c>
    </row>
    <row r="144" spans="1:6" x14ac:dyDescent="0.35">
      <c r="A144" s="10">
        <f>'10'!A12</f>
        <v>10</v>
      </c>
      <c r="B144" s="10">
        <f>'10'!B12</f>
        <v>11</v>
      </c>
      <c r="C144" s="10" t="str">
        <f>'10'!D12</f>
        <v xml:space="preserve"> implementation at catchment scale requires substantial investment.</v>
      </c>
      <c r="D144" s="10" t="str">
        <f>'10'!E12</f>
        <v>A</v>
      </c>
      <c r="E144" s="10">
        <f>'10'!F12</f>
        <v>3</v>
      </c>
      <c r="F144" s="10">
        <f>'10'!G12</f>
        <v>1</v>
      </c>
    </row>
    <row r="145" spans="1:6" x14ac:dyDescent="0.35">
      <c r="A145" s="10">
        <f>'10'!A13</f>
        <v>10</v>
      </c>
      <c r="B145" s="10">
        <f>'10'!B13</f>
        <v>12</v>
      </c>
      <c r="C145" s="10" t="str">
        <f>'10'!D13</f>
        <v xml:space="preserve"> Implementation require a systematic process of monitoring,  evaluation and management</v>
      </c>
      <c r="D145" s="10" t="str">
        <f>'10'!E13</f>
        <v>F</v>
      </c>
      <c r="E145" s="10">
        <f>'10'!F13</f>
        <v>1</v>
      </c>
      <c r="F145" s="10">
        <f>'10'!G13</f>
        <v>1</v>
      </c>
    </row>
    <row r="146" spans="1:6" x14ac:dyDescent="0.35">
      <c r="A146" s="10">
        <f>'10'!A14</f>
        <v>10</v>
      </c>
      <c r="B146" s="10">
        <f>'10'!B14</f>
        <v>13</v>
      </c>
      <c r="C146" s="10" t="str">
        <f>'10'!D14</f>
        <v xml:space="preserve">management hierarchy of  the Sponge City is classified as a shared responsibility between central  government and local government </v>
      </c>
      <c r="D146" s="10" t="str">
        <f>'10'!E14</f>
        <v>F</v>
      </c>
      <c r="E146" s="10">
        <f>'10'!F14</f>
        <v>1</v>
      </c>
      <c r="F146" s="10">
        <f>'10'!G14</f>
        <v>1</v>
      </c>
    </row>
    <row r="147" spans="1:6" x14ac:dyDescent="0.35">
      <c r="A147" s="10">
        <f>'10'!A15</f>
        <v>10</v>
      </c>
      <c r="B147" s="10">
        <f>'10'!B15</f>
        <v>14</v>
      </c>
      <c r="C147" s="10" t="str">
        <f>'10'!D15</f>
        <v>All cities in China are expected to take part in  the Sponge City program</v>
      </c>
      <c r="D147" s="10" t="str">
        <f>'10'!E15</f>
        <v>F</v>
      </c>
      <c r="E147" s="10">
        <f>'10'!F15</f>
        <v>2</v>
      </c>
      <c r="F147" s="10">
        <f>'10'!G15</f>
        <v>2</v>
      </c>
    </row>
    <row r="148" spans="1:6" x14ac:dyDescent="0.35">
      <c r="A148" s="10">
        <f>'10'!A16</f>
        <v>10</v>
      </c>
      <c r="B148" s="10">
        <f>'10'!B16</f>
        <v>15</v>
      </c>
      <c r="C148" s="10" t="str">
        <f>'10'!D16</f>
        <v>published technical guideline for Sponge City implementation</v>
      </c>
      <c r="D148" s="10" t="str">
        <f>'10'!E16</f>
        <v>F</v>
      </c>
      <c r="E148" s="10">
        <f>'10'!F16</f>
        <v>2</v>
      </c>
      <c r="F148" s="10">
        <f>'10'!G16</f>
        <v>3</v>
      </c>
    </row>
    <row r="149" spans="1:6" x14ac:dyDescent="0.35">
      <c r="A149" s="10">
        <f>'10'!A17</f>
        <v>10</v>
      </c>
      <c r="B149" s="10">
        <f>'10'!B17</f>
        <v>16</v>
      </c>
      <c r="C149" s="10" t="str">
        <f>'10'!D17</f>
        <v>implementation requires not only appropriate acceptance of technologies but also strong management systems and governance capabilities</v>
      </c>
      <c r="D149" s="10" t="str">
        <f>'10'!E17</f>
        <v>C</v>
      </c>
      <c r="E149" s="10">
        <f>'10'!F17</f>
        <v>2</v>
      </c>
      <c r="F149" s="10">
        <f>'10'!G17</f>
        <v>2</v>
      </c>
    </row>
    <row r="150" spans="1:6" x14ac:dyDescent="0.35">
      <c r="A150" s="10">
        <f>'10'!A18</f>
        <v>10</v>
      </c>
      <c r="B150" s="10">
        <f>'10'!B18</f>
        <v>17</v>
      </c>
      <c r="C150" s="10" t="str">
        <f>'10'!D18</f>
        <v>appropriate legal framework or agency body  that can ensure sharing of benefits between sectors will help cooperation and involvement of inter-agencies</v>
      </c>
      <c r="D150" s="10" t="str">
        <f>'10'!E18</f>
        <v>A</v>
      </c>
      <c r="E150" s="10">
        <f>'10'!F18</f>
        <v>1</v>
      </c>
      <c r="F150" s="10">
        <f>'10'!G18</f>
        <v>8</v>
      </c>
    </row>
    <row r="151" spans="1:6" x14ac:dyDescent="0.35">
      <c r="A151" s="10">
        <f>'10'!A19</f>
        <v>10</v>
      </c>
      <c r="B151" s="10">
        <f>'10'!B19</f>
        <v>18</v>
      </c>
      <c r="C151" s="10" t="str">
        <f>'10'!D19</f>
        <v>Achieving public participation,  people's willingness to invest, and having the education, training and  information dissemination methods to support regions should be  discussed with a broad array of public groups ranging from political  leaders to everyday citizens</v>
      </c>
      <c r="D151" s="10" t="str">
        <f>'10'!E19</f>
        <v>D</v>
      </c>
      <c r="E151" s="10">
        <f>'10'!F19</f>
        <v>0</v>
      </c>
      <c r="F151" s="10">
        <f>'10'!G19</f>
        <v>3</v>
      </c>
    </row>
    <row r="152" spans="1:6" x14ac:dyDescent="0.35">
      <c r="A152" s="10">
        <f>'11'!A2</f>
        <v>11</v>
      </c>
      <c r="B152" s="10">
        <f>'11'!B2</f>
        <v>1</v>
      </c>
      <c r="C152" s="10" t="str">
        <f>'11'!D2</f>
        <v xml:space="preserve">complex interactions (synergies and trade-offs) between the watershed and ESS </v>
      </c>
      <c r="D152" s="10" t="str">
        <f>'11'!E2</f>
        <v>C</v>
      </c>
      <c r="E152" s="10">
        <f>'11'!F2</f>
        <v>1</v>
      </c>
      <c r="F152" s="10">
        <f>'11'!G2</f>
        <v>1</v>
      </c>
    </row>
    <row r="153" spans="1:6" x14ac:dyDescent="0.35">
      <c r="A153" s="10">
        <f>'11'!A3</f>
        <v>11</v>
      </c>
      <c r="B153" s="10">
        <f>'11'!B3</f>
        <v>2</v>
      </c>
      <c r="C153" s="10" t="str">
        <f>'11'!D3</f>
        <v>Effects of vegetation types are different depending on the scale analysed</v>
      </c>
      <c r="D153" s="10" t="str">
        <f>'11'!E3</f>
        <v>C</v>
      </c>
      <c r="E153" s="10">
        <f>'11'!F3</f>
        <v>1</v>
      </c>
      <c r="F153" s="10">
        <f>'11'!G3</f>
        <v>1</v>
      </c>
    </row>
    <row r="154" spans="1:6" x14ac:dyDescent="0.35">
      <c r="A154" s="10">
        <f>'11'!A4</f>
        <v>11</v>
      </c>
      <c r="B154" s="10">
        <f>'11'!B4</f>
        <v>3</v>
      </c>
      <c r="C154" s="10" t="str">
        <f>'11'!D4</f>
        <v xml:space="preserve"> water-related payment schemes lack appropriate monitoring of  environmental performance</v>
      </c>
      <c r="D154" s="10" t="str">
        <f>'11'!E4</f>
        <v>A</v>
      </c>
      <c r="E154" s="10">
        <f>'11'!F4</f>
        <v>1</v>
      </c>
      <c r="F154" s="10">
        <f>'11'!G4</f>
        <v>1</v>
      </c>
    </row>
    <row r="155" spans="1:6" x14ac:dyDescent="0.35">
      <c r="A155" s="10">
        <f>'11'!A5</f>
        <v>11</v>
      </c>
      <c r="B155" s="10">
        <f>'11'!B5</f>
        <v>4</v>
      </c>
      <c r="C155" s="10" t="str">
        <f>'11'!D5</f>
        <v>Complexity of ecohydrological processes in forest ecosystems due to large number of driving factors at multiple scales</v>
      </c>
      <c r="D155" s="10" t="str">
        <f>'11'!E5</f>
        <v>C</v>
      </c>
      <c r="E155" s="10">
        <f>'11'!F5</f>
        <v>1</v>
      </c>
      <c r="F155" s="10">
        <f>'11'!G5</f>
        <v>1</v>
      </c>
    </row>
    <row r="156" spans="1:6" x14ac:dyDescent="0.35">
      <c r="A156" s="10">
        <f>'11'!A6</f>
        <v>11</v>
      </c>
      <c r="B156" s="10">
        <f>'11'!B6</f>
        <v>5</v>
      </c>
      <c r="C156" s="10" t="str">
        <f>'11'!D6</f>
        <v xml:space="preserve"> scientific findings related to ecohydrological processes have not always reached the policy domain</v>
      </c>
      <c r="D156" s="10" t="str">
        <f>'11'!E6</f>
        <v>D</v>
      </c>
      <c r="E156" s="10">
        <f>'11'!F6</f>
        <v>0</v>
      </c>
      <c r="F156" s="10">
        <f>'11'!G6</f>
        <v>4</v>
      </c>
    </row>
    <row r="157" spans="1:6" x14ac:dyDescent="0.35">
      <c r="A157" s="10">
        <f>'11'!A7</f>
        <v>11</v>
      </c>
      <c r="B157" s="10">
        <f>'11'!B7</f>
        <v>6</v>
      </c>
      <c r="C157" s="10" t="str">
        <f>'11'!D7</f>
        <v xml:space="preserve"> few decision support models qualify as integrated hydro-economic modeling approaches, balancing economic and environmental water demands</v>
      </c>
      <c r="D157" s="10" t="str">
        <f>'11'!E7</f>
        <v>C</v>
      </c>
      <c r="E157" s="10">
        <f>'11'!F7</f>
        <v>3</v>
      </c>
      <c r="F157" s="10">
        <f>'11'!G7</f>
        <v>1</v>
      </c>
    </row>
    <row r="158" spans="1:6" x14ac:dyDescent="0.35">
      <c r="A158" s="10">
        <f>'11'!A8</f>
        <v>11</v>
      </c>
      <c r="B158" s="10">
        <f>'11'!B8</f>
        <v>7</v>
      </c>
      <c r="C158" s="10" t="str">
        <f>'11'!D8</f>
        <v xml:space="preserve">Impact of intervention complex and specific to assess, with longer time horizons and uncertainties. </v>
      </c>
      <c r="D158" s="10" t="str">
        <f>'11'!E8</f>
        <v>C</v>
      </c>
      <c r="E158" s="10">
        <f>'11'!F8</f>
        <v>1</v>
      </c>
      <c r="F158" s="10">
        <f>'11'!G8</f>
        <v>1</v>
      </c>
    </row>
    <row r="159" spans="1:6" x14ac:dyDescent="0.35">
      <c r="A159" s="10">
        <f>'11'!A9</f>
        <v>11</v>
      </c>
      <c r="B159" s="10">
        <f>'11'!B9</f>
        <v>8</v>
      </c>
      <c r="C159" s="10" t="str">
        <f>'11'!D9</f>
        <v xml:space="preserve">(hollistic) impact/performance assessment requires scientific knowledge and expertise from different research fields. </v>
      </c>
      <c r="D159" s="10" t="str">
        <f>'11'!E9</f>
        <v>C</v>
      </c>
      <c r="E159" s="10">
        <f>'11'!F9</f>
        <v>2</v>
      </c>
      <c r="F159" s="10">
        <f>'11'!G9</f>
        <v>2</v>
      </c>
    </row>
    <row r="160" spans="1:6" x14ac:dyDescent="0.35">
      <c r="A160" s="10">
        <f>'11'!A10</f>
        <v>11</v>
      </c>
      <c r="B160" s="10">
        <f>'11'!B10</f>
        <v>9</v>
      </c>
      <c r="C160" s="10" t="str">
        <f>'11'!D10</f>
        <v xml:space="preserve"> Most prevalent forest models are empirical growth and yield models which struggle to capture tree growth responses to disturbances (beyond the capacity of field observations)</v>
      </c>
      <c r="D160" s="10" t="str">
        <f>'11'!E10</f>
        <v>C</v>
      </c>
      <c r="E160" s="10">
        <f>'11'!F10</f>
        <v>1</v>
      </c>
      <c r="F160" s="10">
        <f>'11'!G10</f>
        <v>3</v>
      </c>
    </row>
    <row r="161" spans="1:6" x14ac:dyDescent="0.35">
      <c r="A161" s="10">
        <f>'11'!A11</f>
        <v>11</v>
      </c>
      <c r="B161" s="10">
        <f>'11'!B11</f>
        <v>10</v>
      </c>
      <c r="C161" s="10" t="str">
        <f>'11'!D11</f>
        <v>economic (e)valuation approaches strongly focused the plot/local level - independently of water demand and supply sectors at the local, regional or even national level - no full economic welfare analysis</v>
      </c>
      <c r="D161" s="10" t="str">
        <f>'11'!E11</f>
        <v>B</v>
      </c>
      <c r="E161" s="10">
        <f>'11'!F11</f>
        <v>0</v>
      </c>
      <c r="F161" s="10">
        <f>'11'!G11</f>
        <v>1</v>
      </c>
    </row>
    <row r="162" spans="1:6" x14ac:dyDescent="0.35">
      <c r="A162" s="10">
        <f>'11'!A12</f>
        <v>11</v>
      </c>
      <c r="B162" s="10">
        <f>'11'!B12</f>
        <v>11</v>
      </c>
      <c r="C162" s="10" t="str">
        <f>'11'!D12</f>
        <v>impacts of climatic conditions on water availability/quality and potential changes in the demand for ecosystem goods and services  requires comprehensive integrated models and methods to guide policy and decision-making (not always existant).</v>
      </c>
      <c r="D162" s="10" t="str">
        <f>'11'!E12</f>
        <v>C</v>
      </c>
      <c r="E162" s="10">
        <f>'11'!F12</f>
        <v>3</v>
      </c>
      <c r="F162" s="10">
        <f>'11'!G12</f>
        <v>1</v>
      </c>
    </row>
    <row r="163" spans="1:6" x14ac:dyDescent="0.35">
      <c r="A163" s="10">
        <f>'11'!A13</f>
        <v>11</v>
      </c>
      <c r="B163" s="10">
        <f>'11'!B13</f>
        <v>12</v>
      </c>
      <c r="C163" s="10" t="str">
        <f>'11'!D13</f>
        <v xml:space="preserve"> Integreted ecohydrological and economic modelling challenged by limited availability of geo-referenced data and information, including confidentialcost and price data</v>
      </c>
      <c r="D163" s="10" t="str">
        <f>'11'!E13</f>
        <v>C</v>
      </c>
      <c r="E163" s="10">
        <f>'11'!F13</f>
        <v>1</v>
      </c>
      <c r="F163" s="10">
        <f>'11'!G13</f>
        <v>1</v>
      </c>
    </row>
    <row r="164" spans="1:6" x14ac:dyDescent="0.35">
      <c r="A164" s="10">
        <f>'11'!A14</f>
        <v>11</v>
      </c>
      <c r="B164" s="10">
        <f>'11'!B14</f>
        <v>13</v>
      </c>
      <c r="C164" s="10" t="str">
        <f>'11'!D14</f>
        <v xml:space="preserve">uncertainties and potential errors  arise when using  value transfer method  for price setting. </v>
      </c>
      <c r="D164" s="10" t="str">
        <f>'11'!E14</f>
        <v>B</v>
      </c>
      <c r="E164" s="10">
        <f>'11'!F14</f>
        <v>0</v>
      </c>
      <c r="F164" s="10">
        <f>'11'!G14</f>
        <v>2</v>
      </c>
    </row>
    <row r="165" spans="1:6" x14ac:dyDescent="0.35">
      <c r="A165" s="10">
        <f>'11'!A15</f>
        <v>11</v>
      </c>
      <c r="B165" s="10">
        <f>'11'!B15</f>
        <v>14</v>
      </c>
      <c r="C165" s="10" t="str">
        <f>'11'!D15</f>
        <v xml:space="preserve"> integration of more detailed eco-hydrological models to simulate forest and water interactions into existing multi-sectoral hydro-economic models will become increasingly important to inform decision-making, especially at larger spatial and temporal scales. </v>
      </c>
      <c r="D165" s="10" t="str">
        <f>'11'!E15</f>
        <v>C</v>
      </c>
      <c r="E165" s="10">
        <f>'11'!F15</f>
        <v>3</v>
      </c>
      <c r="F165" s="10">
        <f>'11'!G15</f>
        <v>1</v>
      </c>
    </row>
    <row r="166" spans="1:6" x14ac:dyDescent="0.35">
      <c r="A166" s="10">
        <f>'11'!A16</f>
        <v>11</v>
      </c>
      <c r="B166" s="10">
        <f>'11'!B16</f>
        <v>15</v>
      </c>
      <c r="C166" s="10" t="str">
        <f>'11'!D16</f>
        <v xml:space="preserve"> Many non-market  and  regulating services currently underexposed in existing coupled models. </v>
      </c>
      <c r="D166" s="10" t="str">
        <f>'11'!E16</f>
        <v>C</v>
      </c>
      <c r="E166" s="10">
        <f>'11'!F16</f>
        <v>3</v>
      </c>
      <c r="F166" s="10">
        <f>'11'!G16</f>
        <v>1</v>
      </c>
    </row>
    <row r="167" spans="1:6" x14ac:dyDescent="0.35">
      <c r="A167" s="10">
        <f>'11'!A17</f>
        <v>11</v>
      </c>
      <c r="B167" s="10">
        <f>'11'!B17</f>
        <v>16</v>
      </c>
      <c r="C167" s="10" t="str">
        <f>'11'!D17</f>
        <v xml:space="preserve">complex environmental-economic interactions deal with uncertainties accumulating across disciplinary domains but also at spatial and temporal scales - how to account for and quantify the accumulation of different sources of un- certainties in the integrated decision-support tools. </v>
      </c>
      <c r="D167" s="10" t="str">
        <f>'11'!E17</f>
        <v>C</v>
      </c>
      <c r="E167" s="10">
        <f>'11'!F17</f>
        <v>3</v>
      </c>
      <c r="F167" s="10">
        <f>'11'!G17</f>
        <v>1</v>
      </c>
    </row>
    <row r="168" spans="1:6" x14ac:dyDescent="0.35">
      <c r="A168" s="10">
        <f>'12'!A2</f>
        <v>12</v>
      </c>
      <c r="B168" s="10">
        <f>'12'!B2</f>
        <v>1</v>
      </c>
      <c r="C168" s="10" t="str">
        <f>'12'!D2</f>
        <v>lack of robust and  science-based evidence of the effectiveness of NBS for HMHs in current  and future climate scenarios</v>
      </c>
      <c r="D168" s="10" t="str">
        <f>'12'!E2</f>
        <v>C</v>
      </c>
      <c r="E168" s="10">
        <f>'12'!F2</f>
        <v>1</v>
      </c>
      <c r="F168" s="10">
        <f>'12'!G2</f>
        <v>1</v>
      </c>
    </row>
    <row r="169" spans="1:6" x14ac:dyDescent="0.35">
      <c r="A169" s="10">
        <f>'12'!A3</f>
        <v>12</v>
      </c>
      <c r="B169" s="10">
        <f>'12'!B3</f>
        <v>2</v>
      </c>
      <c r="C169" s="10" t="str">
        <f>'12'!D3</f>
        <v>more tangible evidence on the  economic benefits, monitoring by field measurement and key performance indicators (KPI) are needed to demonstrate the multiple benefits  NBS can provide in both short- and long-term</v>
      </c>
      <c r="D169" s="10" t="str">
        <f>'12'!E3</f>
        <v>C</v>
      </c>
      <c r="E169" s="10">
        <f>'12'!F3</f>
        <v>1</v>
      </c>
      <c r="F169" s="10">
        <f>'12'!G3</f>
        <v>3</v>
      </c>
    </row>
    <row r="170" spans="1:6" x14ac:dyDescent="0.35">
      <c r="A170" s="10">
        <f>'12'!A4</f>
        <v>12</v>
      </c>
      <c r="B170" s="10">
        <f>'12'!B4</f>
        <v>3</v>
      </c>
      <c r="C170" s="10" t="str">
        <f>'12'!D4</f>
        <v>application of NBS into practice requires a strong integration  of stakeholders from different sectors (science, policy and practice) to  set a solid evidence base</v>
      </c>
      <c r="D170" s="10" t="str">
        <f>'12'!E4</f>
        <v>F</v>
      </c>
      <c r="E170" s="10">
        <f>'12'!F4</f>
        <v>1</v>
      </c>
      <c r="F170" s="10">
        <f>'12'!G4</f>
        <v>2</v>
      </c>
    </row>
    <row r="171" spans="1:6" x14ac:dyDescent="0.35">
      <c r="A171" s="10">
        <f>'12'!A5</f>
        <v>12</v>
      </c>
      <c r="B171" s="10">
        <f>'12'!B5</f>
        <v>4</v>
      </c>
      <c r="C171" s="10" t="str">
        <f>'12'!D5</f>
        <v>Different types of knowledge that  are brought together are scientific, local and traditional knowledge to  create understanding regarding the current social-ecological system,  scenarios of the future including the knowledge and perceptions of  the risks</v>
      </c>
      <c r="D171" s="10" t="str">
        <f>'12'!E5</f>
        <v>C</v>
      </c>
      <c r="E171" s="10">
        <f>'12'!F5</f>
        <v>2</v>
      </c>
      <c r="F171" s="10">
        <f>'12'!G5</f>
        <v>2</v>
      </c>
    </row>
    <row r="172" spans="1:6" x14ac:dyDescent="0.35">
      <c r="A172" s="10">
        <f>'12'!A6</f>
        <v>12</v>
      </c>
      <c r="B172" s="10">
        <f>'12'!B6</f>
        <v>5</v>
      </c>
      <c r="C172" s="10" t="str">
        <f>'12'!D6</f>
        <v xml:space="preserve">Planning of NBS  may require a long-term (even some years) commitment in the process  which may be restricted due to resources (time and funds) and social  capabilities of the stakeholders </v>
      </c>
      <c r="D172" s="10" t="str">
        <f>'12'!E6</f>
        <v>A</v>
      </c>
      <c r="E172" s="10">
        <f>'12'!F6</f>
        <v>1</v>
      </c>
      <c r="F172" s="10">
        <f>'12'!G6</f>
        <v>2</v>
      </c>
    </row>
    <row r="173" spans="1:6" x14ac:dyDescent="0.35">
      <c r="A173" s="10">
        <f>'12'!A7</f>
        <v>12</v>
      </c>
      <c r="B173" s="10">
        <f>'12'!B7</f>
        <v>6</v>
      </c>
      <c r="C173" s="10" t="str">
        <f>'12'!D7</f>
        <v>Conflicting interests are mentioned as an issue. For example, in the case of agriculture  and forestry, where the short-term economic gains may have a conflict with the environmental goals.</v>
      </c>
      <c r="D173" s="10" t="str">
        <f>'12'!E7</f>
        <v>F</v>
      </c>
      <c r="E173" s="10">
        <f>'12'!F7</f>
        <v>5</v>
      </c>
      <c r="F173" s="10">
        <f>'12'!G7</f>
        <v>2</v>
      </c>
    </row>
    <row r="174" spans="1:6" x14ac:dyDescent="0.35">
      <c r="A174" s="10">
        <f>'12'!A8</f>
        <v>12</v>
      </c>
      <c r="B174" s="10">
        <f>'12'!B8</f>
        <v>7</v>
      </c>
      <c r="C174" s="10" t="str">
        <f>'12'!D8</f>
        <v xml:space="preserve"> implementation of NBS at any spatial scale of interest requires strong integration of numerous local, national and international policy/decision-making processes,  which is challenging to achieve within a short timescale</v>
      </c>
      <c r="D174" s="10" t="str">
        <f>'12'!E8</f>
        <v>F</v>
      </c>
      <c r="E174" s="10">
        <f>'12'!F8</f>
        <v>1</v>
      </c>
      <c r="F174" s="10">
        <f>'12'!G8</f>
        <v>2</v>
      </c>
    </row>
    <row r="175" spans="1:6" x14ac:dyDescent="0.35">
      <c r="A175" s="10">
        <f>'12'!A9</f>
        <v>12</v>
      </c>
      <c r="B175" s="10">
        <f>'12'!B9</f>
        <v>8</v>
      </c>
      <c r="C175" s="10" t="str">
        <f>'12'!D9</f>
        <v>participation can be restricted due to complexity (technological aspects requiring special expertise and understanding of the terms) or  the physical environment of the planned NBS (difficult to reach or dangerous work)</v>
      </c>
      <c r="D175" s="10" t="str">
        <f>'12'!E9</f>
        <v>C</v>
      </c>
      <c r="E175" s="10">
        <f>'12'!F9</f>
        <v>3</v>
      </c>
      <c r="F175" s="10">
        <f>'12'!G9</f>
        <v>2</v>
      </c>
    </row>
    <row r="176" spans="1:6" x14ac:dyDescent="0.35">
      <c r="A176" s="10">
        <f>'12'!A10</f>
        <v>12</v>
      </c>
      <c r="B176" s="10">
        <f>'12'!B10</f>
        <v>9</v>
      </c>
      <c r="C176" s="10" t="str">
        <f>'12'!D10</f>
        <v>fundamental tool to improve the consideration of NBS in policy-making process and practice is the engagement of citizens and organizations throughout the life cycle of NBS  projects which creates trust, ownership and stewardship among them</v>
      </c>
      <c r="D176" s="10" t="str">
        <f>'12'!E10</f>
        <v>C</v>
      </c>
      <c r="E176" s="10">
        <f>'12'!F10</f>
        <v>2</v>
      </c>
      <c r="F176" s="10">
        <f>'12'!G10</f>
        <v>2</v>
      </c>
    </row>
    <row r="177" spans="1:6" x14ac:dyDescent="0.35">
      <c r="A177" s="10">
        <f>'12'!A11</f>
        <v>12</v>
      </c>
      <c r="B177" s="10">
        <f>'12'!B11</f>
        <v>10</v>
      </c>
      <c r="C177" s="10" t="str">
        <f>'12'!D11</f>
        <v>lack of acceptance of NBS can hinder the wider uptake  of NBS in practice. As an example, gaps exist between modellers and  the public at large as models are often built with assumptions without  the direct involvement of stakeholders</v>
      </c>
      <c r="D177" s="10" t="str">
        <f>'12'!E11</f>
        <v>C</v>
      </c>
      <c r="E177" s="10">
        <f>'12'!F11</f>
        <v>2</v>
      </c>
      <c r="F177" s="10">
        <f>'12'!G11</f>
        <v>2</v>
      </c>
    </row>
    <row r="178" spans="1:6" x14ac:dyDescent="0.35">
      <c r="A178" s="10">
        <f>'12'!A12</f>
        <v>12</v>
      </c>
      <c r="B178" s="10">
        <f>'12'!B12</f>
        <v>11</v>
      </c>
      <c r="C178" s="10" t="str">
        <f>'12'!D12</f>
        <v xml:space="preserve">Trust may enable or disable a successful design and implementation of NBS. Trust acts both as a condition for and a result of cocreation. There might be trust or mistrust, due to previous projects  and collaboration or science in general </v>
      </c>
      <c r="D178" s="10" t="str">
        <f>'12'!E12</f>
        <v>D</v>
      </c>
      <c r="E178" s="10">
        <f>'12'!F12</f>
        <v>0</v>
      </c>
      <c r="F178" s="10">
        <f>'12'!G12</f>
        <v>5</v>
      </c>
    </row>
    <row r="179" spans="1:6" x14ac:dyDescent="0.35">
      <c r="A179" s="10">
        <f>'12'!A13</f>
        <v>12</v>
      </c>
      <c r="B179" s="10">
        <f>'12'!B13</f>
        <v>12</v>
      </c>
      <c r="C179" s="10" t="str">
        <f>'12'!D13</f>
        <v xml:space="preserve">European policies have played a leading role in funding and advocating the implementation of NBS </v>
      </c>
      <c r="D179" s="10" t="str">
        <f>'12'!E13</f>
        <v>A</v>
      </c>
      <c r="E179" s="10">
        <f>'12'!F13</f>
        <v>1</v>
      </c>
      <c r="F179" s="10">
        <f>'12'!G13</f>
        <v>1</v>
      </c>
    </row>
    <row r="180" spans="1:6" x14ac:dyDescent="0.35">
      <c r="A180" s="10">
        <f>'12'!A14</f>
        <v>12</v>
      </c>
      <c r="B180" s="10">
        <f>'12'!B14</f>
        <v>13</v>
      </c>
      <c r="C180" s="10" t="str">
        <f>'12'!D14</f>
        <v>preference for “fast solutions” hinders  the competitiveness of NBS against grey approaches</v>
      </c>
      <c r="D180" s="10" t="str">
        <f>'12'!E14</f>
        <v>A</v>
      </c>
      <c r="E180" s="10">
        <f>'12'!F14</f>
        <v>1</v>
      </c>
      <c r="F180" s="10">
        <f>'12'!G14</f>
        <v>1</v>
      </c>
    </row>
    <row r="181" spans="1:6" x14ac:dyDescent="0.35">
      <c r="A181" s="10">
        <f>'12'!A15</f>
        <v>12</v>
      </c>
      <c r="B181" s="10">
        <f>'12'!B15</f>
        <v>14</v>
      </c>
      <c r="C181" s="10" t="str">
        <f>'12'!D15</f>
        <v>ad-hoc tools of communication,  as well as know-how transfer mechanisms which can bridge science,  community and policy knowledge together.</v>
      </c>
      <c r="D181" s="10" t="str">
        <f>'12'!E15</f>
        <v>C</v>
      </c>
      <c r="E181" s="10">
        <f>'12'!F15</f>
        <v>2</v>
      </c>
      <c r="F181" s="10">
        <f>'12'!G15</f>
        <v>2</v>
      </c>
    </row>
    <row r="182" spans="1:6" x14ac:dyDescent="0.35">
      <c r="A182" s="10">
        <f>'12'!A16</f>
        <v>12</v>
      </c>
      <c r="B182" s="10">
        <f>'12'!B16</f>
        <v>15</v>
      </c>
      <c r="C182" s="10" t="str">
        <f>'12'!D16</f>
        <v>availability and adequacy of data, therefore, represent one of the  “hidden” challenges in the process of NBS acceptance and assessment as long as common, well-established and documented practices and  metrics of NBS evaluation and monitoring are missing</v>
      </c>
      <c r="D182" s="10" t="str">
        <f>'12'!E16</f>
        <v>C</v>
      </c>
      <c r="E182" s="10">
        <f>'12'!F16</f>
        <v>1</v>
      </c>
      <c r="F182" s="10">
        <f>'12'!G16</f>
        <v>1</v>
      </c>
    </row>
    <row r="183" spans="1:6" x14ac:dyDescent="0.35">
      <c r="A183" s="10">
        <f>'12'!A17</f>
        <v>12</v>
      </c>
      <c r="B183" s="10">
        <f>'12'!B17</f>
        <v>16</v>
      </c>
      <c r="C183" s="10" t="str">
        <f>'12'!D17</f>
        <v>To assess the efficiency and effectiveness of the  NBS, their performance in terms of socio-ecological benefits should be  monitored for compliance with the design brief.</v>
      </c>
      <c r="D183" s="10" t="str">
        <f>'12'!E17</f>
        <v>C</v>
      </c>
      <c r="E183" s="10">
        <f>'12'!F17</f>
        <v>1</v>
      </c>
      <c r="F183" s="10">
        <f>'12'!G17</f>
        <v>1</v>
      </c>
    </row>
    <row r="184" spans="1:6" x14ac:dyDescent="0.35">
      <c r="A184" s="10">
        <f>'13'!A2</f>
        <v>13</v>
      </c>
      <c r="B184" s="10">
        <f>'13'!B2</f>
        <v>1</v>
      </c>
      <c r="C184" s="10" t="str">
        <f>'13'!D2</f>
        <v>lack of knowledge/awareness  at local the local level</v>
      </c>
      <c r="D184" s="10" t="str">
        <f>'13'!E2</f>
        <v>D</v>
      </c>
      <c r="E184" s="10">
        <f>'13'!F2</f>
        <v>0</v>
      </c>
      <c r="F184" s="10">
        <f>'13'!G2</f>
        <v>3</v>
      </c>
    </row>
    <row r="185" spans="1:6" x14ac:dyDescent="0.35">
      <c r="A185" s="10">
        <f>'13'!A3</f>
        <v>13</v>
      </c>
      <c r="B185" s="10">
        <f>'13'!B3</f>
        <v>2</v>
      </c>
      <c r="C185" s="10" t="str">
        <f>'13'!D3</f>
        <v>Knowledge gaps vary between actors/stakeholders</v>
      </c>
      <c r="D185" s="10" t="str">
        <f>'13'!E3</f>
        <v>D</v>
      </c>
      <c r="E185" s="10">
        <f>'13'!F3</f>
        <v>0</v>
      </c>
      <c r="F185" s="10">
        <f>'13'!G3</f>
        <v>3</v>
      </c>
    </row>
    <row r="186" spans="1:6" x14ac:dyDescent="0.35">
      <c r="A186" s="10">
        <f>'13'!A4</f>
        <v>13</v>
      </c>
      <c r="B186" s="10">
        <f>'13'!B4</f>
        <v>3</v>
      </c>
      <c r="C186" s="10" t="str">
        <f>'13'!D4</f>
        <v xml:space="preserve">resistance to change as a result of ancestral influence </v>
      </c>
      <c r="D186" s="10" t="str">
        <f>'13'!E4</f>
        <v>D</v>
      </c>
      <c r="E186" s="10">
        <f>'13'!F4</f>
        <v>0</v>
      </c>
      <c r="F186" s="10">
        <f>'13'!G4</f>
        <v>5</v>
      </c>
    </row>
    <row r="187" spans="1:6" x14ac:dyDescent="0.35">
      <c r="A187" s="10">
        <f>'13'!A5</f>
        <v>13</v>
      </c>
      <c r="B187" s="10">
        <f>'13'!B5</f>
        <v>4</v>
      </c>
      <c r="C187" s="10" t="str">
        <f>'13'!D5</f>
        <v>spatial disconnect between upstream measure and downstream effect</v>
      </c>
      <c r="D187" s="10" t="str">
        <f>'13'!E5</f>
        <v>B</v>
      </c>
      <c r="E187" s="10">
        <f>'13'!F5</f>
        <v>0</v>
      </c>
      <c r="F187" s="10">
        <f>'13'!G5</f>
        <v>1</v>
      </c>
    </row>
    <row r="188" spans="1:6" x14ac:dyDescent="0.35">
      <c r="A188" s="10">
        <f>'13'!A6</f>
        <v>13</v>
      </c>
      <c r="B188" s="10">
        <f>'13'!B6</f>
        <v>5</v>
      </c>
      <c r="C188" s="10" t="str">
        <f>'13'!D6</f>
        <v xml:space="preserve"> land loss and a loss of income as a result of NFM implementation and lack of compensation afor this loss</v>
      </c>
      <c r="D188" s="10" t="str">
        <f>'13'!E6</f>
        <v>B</v>
      </c>
      <c r="E188" s="10">
        <f>'13'!F6</f>
        <v>0</v>
      </c>
      <c r="F188" s="10">
        <f>'13'!G6</f>
        <v>1</v>
      </c>
    </row>
    <row r="189" spans="1:6" x14ac:dyDescent="0.35">
      <c r="A189" s="10">
        <f>'13'!A7</f>
        <v>13</v>
      </c>
      <c r="B189" s="10">
        <f>'13'!B7</f>
        <v>6</v>
      </c>
      <c r="C189" s="10" t="str">
        <f>'13'!D7</f>
        <v>implementation should occur where measures have the greatest potential</v>
      </c>
      <c r="D189" s="10" t="str">
        <f>'13'!E7</f>
        <v>B</v>
      </c>
      <c r="E189" s="10">
        <f>'13'!F7</f>
        <v>0</v>
      </c>
      <c r="F189" s="10">
        <f>'13'!G7</f>
        <v>1</v>
      </c>
    </row>
    <row r="190" spans="1:6" x14ac:dyDescent="0.35">
      <c r="A190" s="10">
        <f>'13'!A8</f>
        <v>13</v>
      </c>
      <c r="B190" s="10">
        <f>'13'!B8</f>
        <v>7</v>
      </c>
      <c r="C190" s="10" t="str">
        <f>'13'!D8</f>
        <v>public per-ception of NFM may be too positive and create reliance upon it as a FRM measure</v>
      </c>
      <c r="D190" s="10" t="str">
        <f>'13'!E8</f>
        <v>B</v>
      </c>
      <c r="E190" s="10">
        <f>'13'!F8</f>
        <v>0</v>
      </c>
      <c r="F190" s="10">
        <f>'13'!G8</f>
        <v>5</v>
      </c>
    </row>
    <row r="191" spans="1:6" x14ac:dyDescent="0.35">
      <c r="A191" s="10">
        <f>'13'!A9</f>
        <v>13</v>
      </c>
      <c r="B191" s="10">
        <f>'13'!B9</f>
        <v>8</v>
      </c>
      <c r="C191" s="10" t="str">
        <f>'13'!D9</f>
        <v>previous floods reduces trust in effectiveness of measures</v>
      </c>
      <c r="D191" s="10" t="str">
        <f>'13'!E9</f>
        <v>D</v>
      </c>
      <c r="E191" s="10">
        <f>'13'!F9</f>
        <v>0</v>
      </c>
      <c r="F191" s="10">
        <f>'13'!G9</f>
        <v>5</v>
      </c>
    </row>
    <row r="192" spans="1:6" x14ac:dyDescent="0.35">
      <c r="A192" s="10">
        <f>'13'!A10</f>
        <v>13</v>
      </c>
      <c r="B192" s="10">
        <f>'13'!B10</f>
        <v>9</v>
      </c>
      <c r="C192" s="10" t="str">
        <f>'13'!D10</f>
        <v>lack of knowledge of farming practices</v>
      </c>
      <c r="D192" s="10" t="str">
        <f>'13'!E10</f>
        <v>C</v>
      </c>
      <c r="E192" s="10">
        <f>'13'!F10</f>
        <v>2</v>
      </c>
      <c r="F192" s="10">
        <f>'13'!G10</f>
        <v>1</v>
      </c>
    </row>
    <row r="193" spans="1:6" x14ac:dyDescent="0.35">
      <c r="A193" s="10">
        <f>'13'!A11</f>
        <v>13</v>
      </c>
      <c r="B193" s="10">
        <f>'13'!B11</f>
        <v>10</v>
      </c>
      <c r="C193" s="10" t="str">
        <f>'13'!D11</f>
        <v>dominant engineering background - reluctance to change to other approaches</v>
      </c>
      <c r="D193" s="10" t="str">
        <f>'13'!E11</f>
        <v>C</v>
      </c>
      <c r="E193" s="10">
        <f>'13'!F11</f>
        <v>3</v>
      </c>
      <c r="F193" s="10">
        <f>'13'!G11</f>
        <v>2</v>
      </c>
    </row>
    <row r="194" spans="1:6" x14ac:dyDescent="0.35">
      <c r="A194" s="10">
        <f>'13'!A12</f>
        <v>13</v>
      </c>
      <c r="B194" s="10">
        <f>'13'!B12</f>
        <v>11</v>
      </c>
      <c r="C194" s="10" t="str">
        <f>'13'!D12</f>
        <v>lack of funding for maintenance -  present NFM measures are not within the EA asset register, meaning that the structures cannot be included within maintenance plans</v>
      </c>
      <c r="D194" s="10" t="str">
        <f>'13'!E12</f>
        <v>A</v>
      </c>
      <c r="E194" s="10">
        <f>'13'!F12</f>
        <v>1</v>
      </c>
      <c r="F194" s="10">
        <f>'13'!G12</f>
        <v>4</v>
      </c>
    </row>
    <row r="195" spans="1:6" x14ac:dyDescent="0.35">
      <c r="A195" s="10">
        <f>'13'!A13</f>
        <v>13</v>
      </c>
      <c r="B195" s="10">
        <f>'13'!B13</f>
        <v>12</v>
      </c>
      <c r="C195" s="10" t="str">
        <f>'13'!D13</f>
        <v xml:space="preserve">projects require local ownership over longer periods of time - not always best carried out by responsible organistion. </v>
      </c>
      <c r="D195" s="10" t="str">
        <f>'13'!E13</f>
        <v>F</v>
      </c>
      <c r="E195" s="10">
        <f>'13'!F13</f>
        <v>3</v>
      </c>
      <c r="F195" s="10">
        <f>'13'!G13</f>
        <v>3</v>
      </c>
    </row>
    <row r="196" spans="1:6" x14ac:dyDescent="0.35">
      <c r="A196" s="10">
        <f>'13'!A14</f>
        <v>13</v>
      </c>
      <c r="B196" s="10">
        <f>'13'!B14</f>
        <v>13</v>
      </c>
      <c r="C196" s="10" t="str">
        <f>'13'!D14</f>
        <v>NGOs should be more involved as they have more flexibility with their objectives and can bring in external financial support.</v>
      </c>
      <c r="D196" s="10" t="str">
        <f>'13'!E14</f>
        <v>F</v>
      </c>
      <c r="E196" s="10">
        <f>'13'!F14</f>
        <v>3</v>
      </c>
      <c r="F196" s="10">
        <f>'13'!G14</f>
        <v>3</v>
      </c>
    </row>
    <row r="197" spans="1:6" x14ac:dyDescent="0.35">
      <c r="A197" s="10">
        <f>'13'!A15</f>
        <v>13</v>
      </c>
      <c r="B197" s="10">
        <f>'13'!B15</f>
        <v>14</v>
      </c>
      <c r="C197" s="10" t="str">
        <f>'13'!D15</f>
        <v>Transboundary catchment challenges, between national or administrative boundaries</v>
      </c>
      <c r="D197" s="10" t="str">
        <f>'13'!E15</f>
        <v>F</v>
      </c>
      <c r="E197" s="10">
        <f>'13'!F15</f>
        <v>1</v>
      </c>
      <c r="F197" s="10">
        <f>'13'!G15</f>
        <v>1</v>
      </c>
    </row>
    <row r="198" spans="1:6" x14ac:dyDescent="0.35">
      <c r="A198" s="10">
        <f>'13'!A16</f>
        <v>13</v>
      </c>
      <c r="B198" s="10">
        <f>'13'!B16</f>
        <v>15</v>
      </c>
      <c r="C198" s="10" t="str">
        <f>'13'!D16</f>
        <v>if NFM was to be used, better planning should take place within the downstream settlement to prevent development in at-risk areas</v>
      </c>
      <c r="D198" s="10" t="str">
        <f>'13'!E16</f>
        <v>F</v>
      </c>
      <c r="E198" s="10">
        <f>'13'!F16</f>
        <v>1</v>
      </c>
      <c r="F198" s="10">
        <f>'13'!G16</f>
        <v>1</v>
      </c>
    </row>
    <row r="199" spans="1:6" x14ac:dyDescent="0.35">
      <c r="A199" s="10">
        <f>'13'!A17</f>
        <v>13</v>
      </c>
      <c r="B199" s="10">
        <f>'13'!B17</f>
        <v>16</v>
      </c>
      <c r="C199" s="10" t="str">
        <f>'13'!D17</f>
        <v>policy requires a cost–benefit ratio  as well as the number of properties that will have a lower flood risk as a result of FRM. Can not be doen without evidence.</v>
      </c>
      <c r="D199" s="10" t="str">
        <f>'13'!E17</f>
        <v>F</v>
      </c>
      <c r="E199" s="10">
        <f>'13'!F17</f>
        <v>2</v>
      </c>
      <c r="F199" s="10">
        <f>'13'!G17</f>
        <v>1</v>
      </c>
    </row>
    <row r="200" spans="1:6" x14ac:dyDescent="0.35">
      <c r="A200" s="10">
        <f>'13'!A18</f>
        <v>13</v>
      </c>
      <c r="B200" s="10">
        <f>'13'!B18</f>
        <v>17</v>
      </c>
      <c r="C200" s="10" t="str">
        <f>'13'!D18</f>
        <v>NFM benefits such as flood risk reduction and eco- system services are complex to calculate and are often not tan- gible,</v>
      </c>
      <c r="D200" s="10" t="str">
        <f>'13'!E18</f>
        <v>B</v>
      </c>
      <c r="E200" s="10">
        <f>'13'!F18</f>
        <v>0</v>
      </c>
      <c r="F200" s="10">
        <f>'13'!G18</f>
        <v>1</v>
      </c>
    </row>
    <row r="201" spans="1:6" x14ac:dyDescent="0.35">
      <c r="A201" s="10">
        <f>'13'!A19</f>
        <v>13</v>
      </c>
      <c r="B201" s="10">
        <f>'13'!B19</f>
        <v>18</v>
      </c>
      <c r="C201" s="10" t="str">
        <f>'13'!D19</f>
        <v xml:space="preserve"> structural measures allow for flood risk reduction to be calculated through standard hydrological and hydraulic modelling approaches and therefor more likely to receive funding when compared to NbS</v>
      </c>
      <c r="D201" s="10" t="str">
        <f>'13'!E19</f>
        <v>F</v>
      </c>
      <c r="E201" s="10">
        <f>'13'!F19</f>
        <v>4</v>
      </c>
      <c r="F201" s="10">
        <f>'13'!G19</f>
        <v>1</v>
      </c>
    </row>
    <row r="202" spans="1:6" x14ac:dyDescent="0.35">
      <c r="A202" s="10">
        <f>'13'!A20</f>
        <v>13</v>
      </c>
      <c r="B202" s="10">
        <f>'13'!B20</f>
        <v>19</v>
      </c>
      <c r="C202" s="10" t="str">
        <f>'13'!D20</f>
        <v>greater scientific evidence needed for uptake</v>
      </c>
      <c r="D202" s="10" t="str">
        <f>'13'!E20</f>
        <v>C</v>
      </c>
      <c r="E202" s="10">
        <f>'13'!F20</f>
        <v>1</v>
      </c>
      <c r="F202" s="10">
        <f>'13'!G20</f>
        <v>1</v>
      </c>
    </row>
    <row r="203" spans="1:6" x14ac:dyDescent="0.35">
      <c r="A203" s="10">
        <f>'13'!A21</f>
        <v>13</v>
      </c>
      <c r="B203" s="10">
        <f>'13'!B21</f>
        <v>20</v>
      </c>
      <c r="C203" s="10" t="str">
        <f>'13'!D21</f>
        <v>lack of funding for capital works &amp; lack of funding for monitoring and maintenance of current projects</v>
      </c>
      <c r="D203" s="10" t="str">
        <f>'13'!E21</f>
        <v>A</v>
      </c>
      <c r="E203" s="10">
        <f>'13'!F21</f>
        <v>1</v>
      </c>
      <c r="F203" s="10">
        <f>'13'!G21</f>
        <v>1</v>
      </c>
    </row>
    <row r="204" spans="1:6" x14ac:dyDescent="0.35">
      <c r="A204" s="10">
        <f>'13'!A22</f>
        <v>13</v>
      </c>
      <c r="B204" s="10">
        <f>'13'!B22</f>
        <v>21</v>
      </c>
      <c r="C204" s="10" t="str">
        <f>'13'!D22</f>
        <v>existing policies supporting nbs</v>
      </c>
      <c r="D204" s="10" t="str">
        <f>'13'!E22</f>
        <v>F</v>
      </c>
      <c r="E204" s="10">
        <f>'13'!F22</f>
        <v>2</v>
      </c>
      <c r="F204" s="10">
        <f>'13'!G22</f>
        <v>2</v>
      </c>
    </row>
    <row r="205" spans="1:6" x14ac:dyDescent="0.35">
      <c r="A205" s="10">
        <f>'13'!A23</f>
        <v>13</v>
      </c>
      <c r="B205" s="10">
        <f>'13'!B23</f>
        <v>22</v>
      </c>
      <c r="C205" s="10" t="str">
        <f>'13'!D23</f>
        <v xml:space="preserve">topography / infratsructure limiting the spatial opportunity for intervention </v>
      </c>
      <c r="D205" s="10" t="str">
        <f>'13'!E23</f>
        <v>F</v>
      </c>
      <c r="E205" s="10">
        <f>'13'!F23</f>
        <v>5</v>
      </c>
      <c r="F205" s="10">
        <f>'13'!G23</f>
        <v>2</v>
      </c>
    </row>
    <row r="206" spans="1:6" x14ac:dyDescent="0.35">
      <c r="A206" s="10">
        <f>'14'!A2</f>
        <v>14</v>
      </c>
      <c r="B206" s="10">
        <f>'14'!B2</f>
        <v>1</v>
      </c>
      <c r="C206" s="10" t="str">
        <f>'14'!D2</f>
        <v xml:space="preserve">Actual vs perceived effects on  performance of restoration/sustainable land  management practices - need communication and education  and rural advisory services. 
</v>
      </c>
      <c r="D206" s="10" t="str">
        <f>'14'!E2</f>
        <v>B</v>
      </c>
      <c r="E206" s="10">
        <f>'14'!F2</f>
        <v>0</v>
      </c>
      <c r="F206" s="10">
        <f>'14'!G2</f>
        <v>5</v>
      </c>
    </row>
    <row r="207" spans="1:6" x14ac:dyDescent="0.35">
      <c r="A207" s="10">
        <f>'14'!A3</f>
        <v>14</v>
      </c>
      <c r="B207" s="10">
        <f>'14'!B3</f>
        <v>2</v>
      </c>
      <c r="C207" s="10" t="str">
        <f>'14'!D3</f>
        <v xml:space="preserve">Traditions, practices -  need for communication and engagement with stakeholders
</v>
      </c>
      <c r="D207" s="10" t="str">
        <f>'14'!E3</f>
        <v>B</v>
      </c>
      <c r="E207" s="10">
        <f>'14'!F3</f>
        <v>0</v>
      </c>
      <c r="F207" s="10">
        <f>'14'!G3</f>
        <v>1</v>
      </c>
    </row>
    <row r="208" spans="1:6" x14ac:dyDescent="0.35">
      <c r="A208" s="10">
        <f>'14'!A4</f>
        <v>14</v>
      </c>
      <c r="B208" s="10">
        <f>'14'!B4</f>
        <v>4</v>
      </c>
      <c r="C208" s="10" t="str">
        <f>'14'!D4</f>
        <v>Costs of adoption</v>
      </c>
      <c r="D208" s="10" t="str">
        <f>'14'!E4</f>
        <v>A</v>
      </c>
      <c r="E208" s="10">
        <f>'14'!F4</f>
        <v>3</v>
      </c>
      <c r="F208" s="10">
        <f>'14'!G4</f>
        <v>1</v>
      </c>
    </row>
    <row r="209" spans="1:6" x14ac:dyDescent="0.35">
      <c r="A209" s="10">
        <f>'14'!A5</f>
        <v>14</v>
      </c>
      <c r="B209" s="10">
        <f>'14'!B5</f>
        <v>5</v>
      </c>
      <c r="C209" s="10" t="str">
        <f>'14'!D5</f>
        <v>lack of access  to credit</v>
      </c>
      <c r="D209" s="10" t="str">
        <f>'14'!E5</f>
        <v>A</v>
      </c>
      <c r="E209" s="10">
        <f>'14'!F5</f>
        <v>2</v>
      </c>
      <c r="F209" s="10">
        <f>'14'!G5</f>
        <v>1</v>
      </c>
    </row>
    <row r="210" spans="1:6" x14ac:dyDescent="0.35">
      <c r="A210" s="10">
        <f>'14'!A6</f>
        <v>14</v>
      </c>
      <c r="B210" s="10">
        <f>'14'!B6</f>
        <v>6</v>
      </c>
      <c r="C210" s="10" t="str">
        <f>'14'!D6</f>
        <v>need for investment support</v>
      </c>
      <c r="D210" s="10" t="str">
        <f>'14'!E6</f>
        <v>A</v>
      </c>
      <c r="E210" s="10">
        <f>'14'!F6</f>
        <v>2</v>
      </c>
      <c r="F210" s="10">
        <f>'14'!G6</f>
        <v>7</v>
      </c>
    </row>
    <row r="211" spans="1:6" x14ac:dyDescent="0.35">
      <c r="A211" s="10">
        <f>'14'!A7</f>
        <v>14</v>
      </c>
      <c r="B211" s="10">
        <f>'14'!B7</f>
        <v>7</v>
      </c>
      <c r="C211" s="10" t="str">
        <f>'14'!D7</f>
        <v xml:space="preserve">Transaction costs - need for simplifying regulations
</v>
      </c>
      <c r="D211" s="10" t="str">
        <f>'14'!E7</f>
        <v>A</v>
      </c>
      <c r="E211" s="10">
        <f>'14'!F7</f>
        <v>3</v>
      </c>
      <c r="F211" s="10">
        <f>'14'!G7</f>
        <v>3</v>
      </c>
    </row>
    <row r="212" spans="1:6" x14ac:dyDescent="0.35">
      <c r="A212" s="10">
        <f>'14'!A8</f>
        <v>14</v>
      </c>
      <c r="B212" s="10">
        <f>'14'!B8</f>
        <v>8</v>
      </c>
      <c r="C212" s="10" t="str">
        <f>'14'!D8</f>
        <v>Perverse subsidies</v>
      </c>
      <c r="D212" s="10" t="str">
        <f>'14'!E8</f>
        <v>F</v>
      </c>
      <c r="E212" s="10">
        <f>'14'!F8</f>
        <v>5</v>
      </c>
      <c r="F212" s="10">
        <f>'14'!G8</f>
        <v>3</v>
      </c>
    </row>
    <row r="213" spans="1:6" x14ac:dyDescent="0.35">
      <c r="A213" s="10">
        <f>'14'!A9</f>
        <v>14</v>
      </c>
      <c r="B213" s="10">
        <f>'14'!B9</f>
        <v>9</v>
      </c>
      <c r="C213" s="10" t="str">
        <f>'14'!D9</f>
        <v xml:space="preserve">Diverse lobby groups
</v>
      </c>
      <c r="D213" s="10" t="str">
        <f>'14'!E9</f>
        <v>F</v>
      </c>
      <c r="E213" s="10">
        <f>'14'!F9</f>
        <v>3</v>
      </c>
      <c r="F213" s="10">
        <f>'14'!G9</f>
        <v>2</v>
      </c>
    </row>
    <row r="214" spans="1:6" x14ac:dyDescent="0.35">
      <c r="A214" s="10">
        <f>'14'!A10</f>
        <v>14</v>
      </c>
      <c r="B214" s="10">
        <f>'14'!B10</f>
        <v>10</v>
      </c>
      <c r="C214" s="10" t="str">
        <f>'14'!D10</f>
        <v>Lack of adequate spatial planning</v>
      </c>
      <c r="D214" s="10" t="str">
        <f>'14'!E10</f>
        <v>F</v>
      </c>
      <c r="E214" s="10">
        <f>'14'!F10</f>
        <v>5</v>
      </c>
      <c r="F214" s="10">
        <f>'14'!G10</f>
        <v>2</v>
      </c>
    </row>
    <row r="215" spans="1:6" x14ac:dyDescent="0.35">
      <c r="A215" s="10">
        <f>'14'!A11</f>
        <v>14</v>
      </c>
      <c r="B215" s="10">
        <f>'14'!B11</f>
        <v>11</v>
      </c>
      <c r="C215" s="10" t="str">
        <f>'14'!D11</f>
        <v xml:space="preserve">Uncertain land tenure - need for appropriate regulations and engagement with stakeholders
</v>
      </c>
      <c r="D215" s="10" t="str">
        <f>'14'!E11</f>
        <v>F</v>
      </c>
      <c r="E215" s="10">
        <f>'14'!F11</f>
        <v>2</v>
      </c>
      <c r="F215" s="10">
        <f>'14'!G11</f>
        <v>2</v>
      </c>
    </row>
    <row r="216" spans="1:6" x14ac:dyDescent="0.35">
      <c r="A216" s="10">
        <f>'14'!A12</f>
        <v>14</v>
      </c>
      <c r="B216" s="10">
        <f>'14'!B12</f>
        <v>12</v>
      </c>
      <c r="C216" s="10" t="str">
        <f>'14'!D12</f>
        <v xml:space="preserve">Lack of political incentives
</v>
      </c>
      <c r="D216" s="10" t="str">
        <f>'14'!E12</f>
        <v>E</v>
      </c>
      <c r="E216" s="10">
        <f>'14'!F12</f>
        <v>0</v>
      </c>
      <c r="F216" s="10">
        <f>'14'!G12</f>
        <v>1</v>
      </c>
    </row>
    <row r="217" spans="1:6" x14ac:dyDescent="0.35">
      <c r="A217" s="10">
        <f>'14'!A13</f>
        <v>14</v>
      </c>
      <c r="B217" s="10">
        <f>'14'!B13</f>
        <v>13</v>
      </c>
      <c r="C217" s="10" t="str">
        <f>'14'!D13</f>
        <v xml:space="preserve">Actual and perceived financial benefits differ and requires need ofr communication </v>
      </c>
      <c r="D217" s="10" t="str">
        <f>'14'!E13</f>
        <v>B</v>
      </c>
      <c r="E217" s="10">
        <f>'14'!F13</f>
        <v>0</v>
      </c>
      <c r="F217" s="10">
        <f>'14'!G13</f>
        <v>5</v>
      </c>
    </row>
    <row r="218" spans="1:6" x14ac:dyDescent="0.35">
      <c r="A218" s="10">
        <f>'14'!A14</f>
        <v>14</v>
      </c>
      <c r="B218" s="10">
        <f>'14'!B14</f>
        <v>14</v>
      </c>
      <c r="C218" s="10" t="str">
        <f>'14'!D14</f>
        <v xml:space="preserve">Lack of access to input and  output markets - need for transportation infrastructure, labeling, and financial incentives </v>
      </c>
      <c r="D218" s="10" t="str">
        <f>'14'!E14</f>
        <v>A</v>
      </c>
      <c r="E218" s="10">
        <f>'14'!F14</f>
        <v>1</v>
      </c>
      <c r="F218" s="10">
        <f>'14'!G14</f>
        <v>11</v>
      </c>
    </row>
    <row r="219" spans="1:6" x14ac:dyDescent="0.35">
      <c r="A219" s="10">
        <f>'15'!A2</f>
        <v>15</v>
      </c>
      <c r="B219" s="10">
        <f>'15'!B2</f>
        <v>1</v>
      </c>
      <c r="C219" s="10" t="str">
        <f>'15'!D2</f>
        <v xml:space="preserve">ecomarketing might offset part of environmental benefits due to increased consumption </v>
      </c>
      <c r="D219" s="10" t="str">
        <f>'15'!E2</f>
        <v>B</v>
      </c>
      <c r="E219" s="10">
        <f>'15'!F2</f>
        <v>0</v>
      </c>
      <c r="F219" s="10">
        <f>'15'!G2</f>
        <v>4</v>
      </c>
    </row>
    <row r="220" spans="1:6" x14ac:dyDescent="0.35">
      <c r="A220" s="10">
        <f>'15'!A3</f>
        <v>15</v>
      </c>
      <c r="B220" s="10">
        <f>'15'!B3</f>
        <v>2</v>
      </c>
      <c r="C220" s="10" t="str">
        <f>'15'!D3</f>
        <v>To safeguard against such “greenwashing,”  certification of products or corporations which facilitate FLR  could be used, such as the B-corporation certification presented  in our review.</v>
      </c>
      <c r="D220" s="10" t="str">
        <f>'15'!E3</f>
        <v>A</v>
      </c>
      <c r="E220" s="10">
        <f>'15'!F3</f>
        <v>1</v>
      </c>
      <c r="F220" s="10">
        <f>'15'!G3</f>
        <v>10</v>
      </c>
    </row>
    <row r="221" spans="1:6" x14ac:dyDescent="0.35">
      <c r="A221" s="10">
        <f>'15'!A4</f>
        <v>15</v>
      </c>
      <c r="B221" s="10">
        <f>'15'!B4</f>
        <v>3</v>
      </c>
      <c r="C221" s="10" t="str">
        <f>'15'!D4</f>
        <v xml:space="preserve">awareness around the merits of natural regeneration  </v>
      </c>
      <c r="D221" s="10" t="str">
        <f>'15'!E4</f>
        <v>D</v>
      </c>
      <c r="E221" s="10">
        <f>'15'!F4</f>
        <v>0</v>
      </c>
      <c r="F221" s="10">
        <f>'15'!G4</f>
        <v>3</v>
      </c>
    </row>
    <row r="222" spans="1:6" x14ac:dyDescent="0.35">
      <c r="A222" s="10">
        <f>'15'!A5</f>
        <v>15</v>
      </c>
      <c r="B222" s="10">
        <f>'15'!B5</f>
        <v>4</v>
      </c>
      <c r="C222" s="10" t="str">
        <f>'15'!D5</f>
        <v>Awareness of diversity of intervention types can leverage more funding</v>
      </c>
      <c r="D222" s="10" t="str">
        <f>'15'!E5</f>
        <v>A</v>
      </c>
      <c r="E222" s="10">
        <f>'15'!F5</f>
        <v>1</v>
      </c>
      <c r="F222" s="10">
        <f>'15'!G5</f>
        <v>7</v>
      </c>
    </row>
    <row r="223" spans="1:6" x14ac:dyDescent="0.35">
      <c r="A223" s="10">
        <f>'15'!A6</f>
        <v>15</v>
      </c>
      <c r="B223" s="10">
        <f>'15'!B6</f>
        <v>5</v>
      </c>
      <c r="C223" s="10" t="str">
        <f>'15'!D6</f>
        <v>The funding mechanism behind a restoration project is  likely to influence the type of intervention that is promoted.</v>
      </c>
      <c r="D223" s="10" t="str">
        <f>'15'!E6</f>
        <v>A</v>
      </c>
      <c r="E223" s="10">
        <f>'15'!F6</f>
        <v>1</v>
      </c>
      <c r="F223" s="10">
        <f>'15'!G6</f>
        <v>10</v>
      </c>
    </row>
    <row r="224" spans="1:6" x14ac:dyDescent="0.35">
      <c r="A224" s="10">
        <f>'15'!A7</f>
        <v>15</v>
      </c>
      <c r="B224" s="10">
        <f>'15'!B7</f>
        <v>6</v>
      </c>
      <c r="C224" s="10" t="str">
        <f>'15'!D7</f>
        <v xml:space="preserve">funders favor interventions that  do not align with what is ecologically, environmentally, and  socially optimal </v>
      </c>
      <c r="D224" s="10" t="str">
        <f>'15'!E7</f>
        <v>A</v>
      </c>
      <c r="E224" s="10">
        <f>'15'!F7</f>
        <v>1</v>
      </c>
      <c r="F224" s="10">
        <f>'15'!G7</f>
        <v>10</v>
      </c>
    </row>
    <row r="225" spans="1:6" x14ac:dyDescent="0.35">
      <c r="A225" s="10">
        <f>'15'!A8</f>
        <v>15</v>
      </c>
      <c r="B225" s="10">
        <f>'15'!B8</f>
        <v>7</v>
      </c>
      <c r="C225" s="10" t="str">
        <f>'15'!D8</f>
        <v>make sure on-the-ground context is understood before a  restoration project is executed</v>
      </c>
      <c r="D225" s="10" t="str">
        <f>'15'!E8</f>
        <v>C</v>
      </c>
      <c r="E225" s="10">
        <f>'15'!F8</f>
        <v>2</v>
      </c>
      <c r="F225" s="10">
        <f>'15'!G8</f>
        <v>2</v>
      </c>
    </row>
    <row r="226" spans="1:6" x14ac:dyDescent="0.35">
      <c r="A226" s="10">
        <f>'15'!A9</f>
        <v>15</v>
      </c>
      <c r="B226" s="10">
        <f>'15'!B9</f>
        <v>8</v>
      </c>
      <c r="C226" s="10" t="str">
        <f>'15'!D9</f>
        <v xml:space="preserve">the role of maintenance in succes of intervention… </v>
      </c>
      <c r="D226" s="10" t="str">
        <f>'15'!E9</f>
        <v>A</v>
      </c>
      <c r="E226" s="10">
        <f>'15'!F9</f>
        <v>1</v>
      </c>
      <c r="F226" s="10">
        <f>'15'!G9</f>
        <v>2</v>
      </c>
    </row>
    <row r="227" spans="1:6" x14ac:dyDescent="0.35">
      <c r="A227" s="10">
        <f>'16'!A2</f>
        <v>16</v>
      </c>
      <c r="B227" s="10">
        <f>'16'!B2</f>
        <v>1</v>
      </c>
      <c r="C227" s="10" t="str">
        <f>'16'!D2</f>
        <v>Migrations of people to urban areas leads to abandoned, previously cultivated and inhabited lands, is opportunity for  restoration</v>
      </c>
      <c r="D227" s="10" t="str">
        <f>'16'!E2</f>
        <v>F</v>
      </c>
      <c r="E227" s="10">
        <f>'16'!F2</f>
        <v>5</v>
      </c>
      <c r="F227" s="10">
        <f>'16'!G2</f>
        <v>2</v>
      </c>
    </row>
    <row r="228" spans="1:6" x14ac:dyDescent="0.35">
      <c r="A228" s="10">
        <f>'16'!A3</f>
        <v>16</v>
      </c>
      <c r="B228" s="10">
        <f>'16'!B3</f>
        <v>2</v>
      </c>
      <c r="C228" s="10" t="str">
        <f>'16'!D3</f>
        <v xml:space="preserve"> Motivations to restore damaged ecosystem are multiple</v>
      </c>
      <c r="D228" s="10" t="str">
        <f>'16'!E3</f>
        <v>D</v>
      </c>
      <c r="E228" s="10">
        <f>'16'!F3</f>
        <v>0</v>
      </c>
      <c r="F228" s="10">
        <f>'16'!G3</f>
        <v>3</v>
      </c>
    </row>
    <row r="229" spans="1:6" x14ac:dyDescent="0.35">
      <c r="A229" s="10">
        <f>'16'!A4</f>
        <v>16</v>
      </c>
      <c r="B229" s="10">
        <f>'16'!B4</f>
        <v>3</v>
      </c>
      <c r="C229" s="10" t="str">
        <f>'16'!D4</f>
        <v>Tropical mountain restoration research reveals strong geographical and research nodes.</v>
      </c>
      <c r="D229" s="10" t="str">
        <f>'16'!E4</f>
        <v>C</v>
      </c>
      <c r="E229" s="10">
        <f>'16'!F4</f>
        <v>1</v>
      </c>
      <c r="F229" s="10">
        <f>'16'!G4</f>
        <v>1</v>
      </c>
    </row>
    <row r="230" spans="1:6" x14ac:dyDescent="0.35">
      <c r="A230" s="10">
        <f>'16'!A5</f>
        <v>16</v>
      </c>
      <c r="B230" s="10">
        <f>'16'!B5</f>
        <v>4</v>
      </c>
      <c r="C230" s="10" t="str">
        <f>'16'!D5</f>
        <v>Strong focus on montane and cloud forests.</v>
      </c>
      <c r="D230" s="10" t="str">
        <f>'16'!E5</f>
        <v>C</v>
      </c>
      <c r="E230" s="10">
        <f>'16'!F5</f>
        <v>1</v>
      </c>
      <c r="F230" s="10">
        <f>'16'!G5</f>
        <v>1</v>
      </c>
    </row>
    <row r="231" spans="1:6" x14ac:dyDescent="0.35">
      <c r="A231" s="10">
        <f>'16'!A6</f>
        <v>16</v>
      </c>
      <c r="B231" s="10">
        <f>'16'!B6</f>
        <v>5</v>
      </c>
      <c r="C231" s="10" t="str">
        <f>'16'!D6</f>
        <v>Bias towards short temporal and small spatial study scales.</v>
      </c>
      <c r="D231" s="10" t="str">
        <f>'16'!E6</f>
        <v>C</v>
      </c>
      <c r="E231" s="10">
        <f>'16'!F6</f>
        <v>1</v>
      </c>
      <c r="F231" s="10">
        <f>'16'!G6</f>
        <v>1</v>
      </c>
    </row>
    <row r="232" spans="1:6" x14ac:dyDescent="0.35">
      <c r="A232" s="10">
        <f>'16'!A7</f>
        <v>16</v>
      </c>
      <c r="B232" s="10">
        <f>'16'!B7</f>
        <v>6</v>
      </c>
      <c r="C232" s="10" t="str">
        <f>'16'!D7</f>
        <v>Dominance of ecological goals and metrics.</v>
      </c>
      <c r="D232" s="10" t="str">
        <f>'16'!E7</f>
        <v>C</v>
      </c>
      <c r="E232" s="10">
        <f>'16'!F7</f>
        <v>1</v>
      </c>
      <c r="F232" s="10">
        <f>'16'!G7</f>
        <v>3</v>
      </c>
    </row>
    <row r="233" spans="1:6" x14ac:dyDescent="0.35">
      <c r="A233" s="10">
        <f>'16'!A8</f>
        <v>16</v>
      </c>
      <c r="B233" s="10">
        <f>'16'!B8</f>
        <v>7</v>
      </c>
      <c r="C233" s="10" t="str">
        <f>'16'!D8</f>
        <v xml:space="preserve"> Initial degradation is however site-specific and result in intricate ecological effects </v>
      </c>
      <c r="D233" s="10" t="str">
        <f>'16'!E8</f>
        <v>B</v>
      </c>
      <c r="E233" s="10">
        <f>'16'!F8</f>
        <v>0</v>
      </c>
      <c r="F233" s="10">
        <f>'16'!G8</f>
        <v>4</v>
      </c>
    </row>
    <row r="234" spans="1:6" x14ac:dyDescent="0.35">
      <c r="A234" s="10">
        <f>'16'!A9</f>
        <v>16</v>
      </c>
      <c r="B234" s="10">
        <f>'16'!B9</f>
        <v>8</v>
      </c>
      <c r="C234" s="10" t="str">
        <f>'16'!D9</f>
        <v xml:space="preserve"> knowledge of tropical mountain grassland restoration seems to be at an early stage compared to tropical mountain forest restoration</v>
      </c>
      <c r="D234" s="10" t="str">
        <f>'16'!E9</f>
        <v>C</v>
      </c>
      <c r="E234" s="10">
        <f>'16'!F9</f>
        <v>1</v>
      </c>
      <c r="F234" s="10">
        <f>'16'!G9</f>
        <v>1</v>
      </c>
    </row>
    <row r="235" spans="1:6" x14ac:dyDescent="0.35">
      <c r="A235" s="10">
        <f>'16'!A10</f>
        <v>16</v>
      </c>
      <c r="B235" s="10">
        <f>'16'!B10</f>
        <v>9</v>
      </c>
      <c r="C235" s="10" t="str">
        <f>'16'!D10</f>
        <v xml:space="preserve">  top promoting factors for restoration success were facilitation and vegetation composition and structure that promotes plant establishment and growth</v>
      </c>
      <c r="D235" s="10" t="str">
        <f>'16'!E10</f>
        <v>C</v>
      </c>
      <c r="E235" s="10">
        <f>'16'!F10</f>
        <v>3</v>
      </c>
      <c r="F235" s="10">
        <f>'16'!G10</f>
        <v>1</v>
      </c>
    </row>
    <row r="236" spans="1:6" x14ac:dyDescent="0.35">
      <c r="A236" s="10">
        <f>'16'!A11</f>
        <v>16</v>
      </c>
      <c r="B236" s="10">
        <f>'16'!B11</f>
        <v>10</v>
      </c>
      <c r="C236" s="10" t="str">
        <f>'16'!D11</f>
        <v>variables related to removing disturbance, such as eradication of invasive  promote success</v>
      </c>
      <c r="D236" s="10" t="str">
        <f>'16'!E11</f>
        <v>C</v>
      </c>
      <c r="E236" s="10">
        <f>'16'!F11</f>
        <v>2</v>
      </c>
      <c r="F236" s="10">
        <f>'16'!G11</f>
        <v>1</v>
      </c>
    </row>
    <row r="237" spans="1:6" x14ac:dyDescent="0.35">
      <c r="A237" s="10">
        <f>'16'!A12</f>
        <v>16</v>
      </c>
      <c r="B237" s="10">
        <f>'16'!B12</f>
        <v>11</v>
      </c>
      <c r="C237" s="10" t="str">
        <f>'16'!D12</f>
        <v xml:space="preserve"> Climate-related limitations such as habitat and recruitment constraints are already a prevalent limiting factor</v>
      </c>
      <c r="D237" s="10" t="str">
        <f>'16'!E12</f>
        <v>F</v>
      </c>
      <c r="E237" s="10">
        <f>'16'!F12</f>
        <v>5</v>
      </c>
      <c r="F237" s="10">
        <f>'16'!G12</f>
        <v>2</v>
      </c>
    </row>
    <row r="238" spans="1:6" x14ac:dyDescent="0.35">
      <c r="A238" s="10">
        <f>'16'!A13</f>
        <v>16</v>
      </c>
      <c r="B238" s="10">
        <f>'16'!B13</f>
        <v>12</v>
      </c>
      <c r="C238" s="10" t="str">
        <f>'16'!D13</f>
        <v xml:space="preserve"> research on large-scale restoration will be needed to scale up mountain restoration to a landscape level</v>
      </c>
      <c r="D238" s="10" t="str">
        <f>'16'!E13</f>
        <v>C</v>
      </c>
      <c r="E238" s="10">
        <f>'16'!F13</f>
        <v>1</v>
      </c>
      <c r="F238" s="10">
        <f>'16'!G13</f>
        <v>1</v>
      </c>
    </row>
    <row r="239" spans="1:6" x14ac:dyDescent="0.35">
      <c r="A239" s="10">
        <f>'16'!A14</f>
        <v>16</v>
      </c>
      <c r="B239" s="10">
        <f>'16'!B14</f>
        <v>13</v>
      </c>
      <c r="C239" s="10" t="str">
        <f>'16'!D14</f>
        <v xml:space="preserve"> Studies on the social dimensions of restoration in tropical mountains are still scarce</v>
      </c>
      <c r="D239" s="10" t="str">
        <f>'16'!E14</f>
        <v>C</v>
      </c>
      <c r="E239" s="10">
        <f>'16'!F14</f>
        <v>1</v>
      </c>
      <c r="F239" s="10">
        <f>'16'!G14</f>
        <v>1</v>
      </c>
    </row>
    <row r="240" spans="1:6" x14ac:dyDescent="0.35">
      <c r="A240" s="10">
        <f>'16'!A15</f>
        <v>16</v>
      </c>
      <c r="B240" s="10">
        <f>'16'!B15</f>
        <v>14</v>
      </c>
      <c r="C240" s="10" t="str">
        <f>'16'!D15</f>
        <v xml:space="preserve"> Monitoring efforts are a key</v>
      </c>
      <c r="D240" s="10" t="str">
        <f>'16'!E15</f>
        <v>C</v>
      </c>
      <c r="E240" s="10">
        <f>'16'!F15</f>
        <v>1</v>
      </c>
      <c r="F240" s="10">
        <f>'16'!G15</f>
        <v>2</v>
      </c>
    </row>
    <row r="241" spans="1:6" x14ac:dyDescent="0.35">
      <c r="A241" s="10">
        <f>'16'!A16</f>
        <v>16</v>
      </c>
      <c r="B241" s="10">
        <f>'16'!B16</f>
        <v>15</v>
      </c>
      <c r="C241" s="10" t="str">
        <f>'16'!D16</f>
        <v xml:space="preserve">  tailor restoration interventions to a dynamic future</v>
      </c>
      <c r="D241" s="10" t="str">
        <f>'16'!E16</f>
        <v>C</v>
      </c>
      <c r="E241" s="10">
        <f>'16'!F16</f>
        <v>1</v>
      </c>
      <c r="F241" s="10">
        <f>'16'!G16</f>
        <v>1</v>
      </c>
    </row>
    <row r="242" spans="1:6" x14ac:dyDescent="0.35">
      <c r="A242" s="10">
        <f>'16'!A17</f>
        <v>16</v>
      </c>
      <c r="B242" s="10">
        <f>'16'!B17</f>
        <v>16</v>
      </c>
      <c r="C242" s="10" t="str">
        <f>'16'!D17</f>
        <v xml:space="preserve">  calls for a better inclusion of these underrepresented systems in future research</v>
      </c>
      <c r="D242" s="10" t="str">
        <f>'16'!E17</f>
        <v>C</v>
      </c>
      <c r="E242" s="10">
        <f>'16'!F17</f>
        <v>1</v>
      </c>
      <c r="F242" s="10">
        <f>'16'!G17</f>
        <v>1</v>
      </c>
    </row>
    <row r="243" spans="1:6" x14ac:dyDescent="0.35">
      <c r="A243" s="10">
        <f>'17'!A2</f>
        <v>17</v>
      </c>
      <c r="B243" s="10">
        <f>'17'!B2</f>
        <v>1</v>
      </c>
      <c r="C243" s="10" t="str">
        <f>'17'!D2</f>
        <v xml:space="preserve">Lack of evaluation, monitoring, and documentation
</v>
      </c>
      <c r="D243" s="10" t="str">
        <f>'17'!E2</f>
        <v>C</v>
      </c>
      <c r="E243" s="10">
        <f>'17'!F2</f>
        <v>1</v>
      </c>
      <c r="F243" s="10">
        <f>'17'!G2</f>
        <v>2</v>
      </c>
    </row>
    <row r="244" spans="1:6" x14ac:dyDescent="0.35">
      <c r="A244" s="10">
        <f>'17'!A3</f>
        <v>17</v>
      </c>
      <c r="B244" s="10">
        <f>'17'!B3</f>
        <v>2</v>
      </c>
      <c r="C244" s="10" t="str">
        <f>'17'!D3</f>
        <v xml:space="preserve">Lack of relevant ecological knowledge and experience
</v>
      </c>
      <c r="D244" s="10" t="str">
        <f>'17'!E3</f>
        <v>C</v>
      </c>
      <c r="E244" s="10">
        <f>'17'!F3</f>
        <v>2</v>
      </c>
      <c r="F244" s="10">
        <f>'17'!G3</f>
        <v>1</v>
      </c>
    </row>
    <row r="245" spans="1:6" x14ac:dyDescent="0.35">
      <c r="A245" s="10">
        <f>'17'!A4</f>
        <v>17</v>
      </c>
      <c r="B245" s="10">
        <f>'17'!B4</f>
        <v>3</v>
      </c>
      <c r="C245" s="10" t="str">
        <f>'17'!D4</f>
        <v xml:space="preserve">Lack of knowledge about soils
</v>
      </c>
      <c r="D245" s="10" t="str">
        <f>'17'!E4</f>
        <v>C</v>
      </c>
      <c r="E245" s="10">
        <f>'17'!F4</f>
        <v>2</v>
      </c>
      <c r="F245" s="10">
        <f>'17'!G4</f>
        <v>1</v>
      </c>
    </row>
    <row r="246" spans="1:6" x14ac:dyDescent="0.35">
      <c r="A246" s="10">
        <f>'17'!A5</f>
        <v>17</v>
      </c>
      <c r="B246" s="10">
        <f>'17'!B5</f>
        <v>4</v>
      </c>
      <c r="C246" s="10" t="str">
        <f>'17'!D5</f>
        <v>Lack of effective knowledge exchange</v>
      </c>
      <c r="D246" s="10" t="str">
        <f>'17'!E5</f>
        <v>C</v>
      </c>
      <c r="E246" s="10">
        <f>'17'!F5</f>
        <v>3</v>
      </c>
      <c r="F246" s="10">
        <f>'17'!G5</f>
        <v>2</v>
      </c>
    </row>
    <row r="247" spans="1:6" x14ac:dyDescent="0.35">
      <c r="A247" s="10">
        <f>'17'!A6</f>
        <v>17</v>
      </c>
      <c r="B247" s="10">
        <f>'17'!B6</f>
        <v>5</v>
      </c>
      <c r="C247" s="10" t="str">
        <f>'17'!D6</f>
        <v xml:space="preserve">Lack of skilled professionals to perform restoration
</v>
      </c>
      <c r="D247" s="10" t="str">
        <f>'17'!E6</f>
        <v>C</v>
      </c>
      <c r="E247" s="10">
        <f>'17'!F6</f>
        <v>3</v>
      </c>
      <c r="F247" s="10">
        <f>'17'!G6</f>
        <v>2</v>
      </c>
    </row>
    <row r="248" spans="1:6" x14ac:dyDescent="0.35">
      <c r="A248" s="10">
        <f>'17'!A7</f>
        <v>17</v>
      </c>
      <c r="B248" s="10">
        <f>'17'!B7</f>
        <v>6</v>
      </c>
      <c r="C248" s="10" t="str">
        <f>'17'!D7</f>
        <v>Low political priority for restoration</v>
      </c>
      <c r="D248" s="10" t="str">
        <f>'17'!E7</f>
        <v>E</v>
      </c>
      <c r="E248" s="10">
        <f>'17'!F7</f>
        <v>0</v>
      </c>
      <c r="F248" s="10">
        <f>'17'!G7</f>
        <v>1</v>
      </c>
    </row>
    <row r="249" spans="1:6" x14ac:dyDescent="0.35">
      <c r="A249" s="10">
        <f>'17'!A8</f>
        <v>17</v>
      </c>
      <c r="B249" s="10">
        <f>'17'!B8</f>
        <v>7</v>
      </c>
      <c r="C249" s="10" t="str">
        <f>'17'!D8</f>
        <v>Lack of motivation in decision-makers to incorporate innovation</v>
      </c>
      <c r="D249" s="10" t="str">
        <f>'17'!E8</f>
        <v>E</v>
      </c>
      <c r="E249" s="10">
        <f>'17'!F8</f>
        <v>0</v>
      </c>
      <c r="F249" s="10">
        <f>'17'!G8</f>
        <v>2</v>
      </c>
    </row>
    <row r="250" spans="1:6" x14ac:dyDescent="0.35">
      <c r="A250" s="10">
        <f>'17'!A9</f>
        <v>17</v>
      </c>
      <c r="B250" s="10">
        <f>'17'!B9</f>
        <v>8</v>
      </c>
      <c r="C250" s="10" t="str">
        <f>'17'!D9</f>
        <v>Insufficient funding</v>
      </c>
      <c r="D250" s="10" t="str">
        <f>'17'!E9</f>
        <v>A</v>
      </c>
      <c r="E250" s="10">
        <f>'17'!F9</f>
        <v>1</v>
      </c>
      <c r="F250" s="10">
        <f>'17'!G9</f>
        <v>1</v>
      </c>
    </row>
    <row r="251" spans="1:6" x14ac:dyDescent="0.35">
      <c r="A251" s="10">
        <f>'17'!A10</f>
        <v>17</v>
      </c>
      <c r="B251" s="10">
        <f>'17'!B10</f>
        <v>9</v>
      </c>
      <c r="C251" s="10" t="str">
        <f>'17'!D10</f>
        <v xml:space="preserve">Lack of involvement of the private sector
</v>
      </c>
      <c r="D251" s="10" t="str">
        <f>'17'!E10</f>
        <v>F</v>
      </c>
      <c r="E251" s="10">
        <f>'17'!F10</f>
        <v>3</v>
      </c>
      <c r="F251" s="10">
        <f>'17'!G10</f>
        <v>1</v>
      </c>
    </row>
    <row r="252" spans="1:6" x14ac:dyDescent="0.35">
      <c r="A252" s="10">
        <f>'17'!A11</f>
        <v>17</v>
      </c>
      <c r="B252" s="10">
        <f>'17'!B11</f>
        <v>10</v>
      </c>
      <c r="C252" s="10" t="str">
        <f>'17'!D11</f>
        <v>Lack of appropriate compensation and financial returns on restoration</v>
      </c>
      <c r="D252" s="10" t="str">
        <f>'17'!E11</f>
        <v>A</v>
      </c>
      <c r="E252" s="10">
        <f>'17'!F11</f>
        <v>1</v>
      </c>
      <c r="F252" s="10">
        <f>'17'!G11</f>
        <v>8</v>
      </c>
    </row>
    <row r="253" spans="1:6" x14ac:dyDescent="0.35">
      <c r="A253" s="10">
        <f>'17'!A12</f>
        <v>17</v>
      </c>
      <c r="B253" s="10">
        <f>'17'!B12</f>
        <v>11</v>
      </c>
      <c r="C253" s="10" t="str">
        <f>'17'!D12</f>
        <v>Harmful subsidies favoring degradation</v>
      </c>
      <c r="D253" s="10" t="str">
        <f>'17'!E12</f>
        <v>F</v>
      </c>
      <c r="E253" s="10">
        <f>'17'!F12</f>
        <v>5</v>
      </c>
      <c r="F253" s="10">
        <f>'17'!G12</f>
        <v>3</v>
      </c>
    </row>
    <row r="254" spans="1:6" x14ac:dyDescent="0.35">
      <c r="A254" s="10">
        <f>'17'!A13</f>
        <v>17</v>
      </c>
      <c r="B254" s="10">
        <f>'17'!B13</f>
        <v>12</v>
      </c>
      <c r="C254" s="10" t="str">
        <f>'17'!D13</f>
        <v>Conflicting interests of different stakeholders</v>
      </c>
      <c r="D254" s="10" t="str">
        <f>'17'!E13</f>
        <v>F</v>
      </c>
      <c r="E254" s="10">
        <f>'17'!F13</f>
        <v>1</v>
      </c>
      <c r="F254" s="10">
        <f>'17'!G13</f>
        <v>1</v>
      </c>
    </row>
    <row r="255" spans="1:6" x14ac:dyDescent="0.35">
      <c r="A255" s="10">
        <f>'17'!A14</f>
        <v>17</v>
      </c>
      <c r="B255" s="10">
        <f>'17'!B14</f>
        <v>13</v>
      </c>
      <c r="C255" s="10" t="str">
        <f>'17'!D14</f>
        <v xml:space="preserve">Conflicts between restoration goals, e.g. biodiversity, climate change  mitigation, nutrient retention
</v>
      </c>
      <c r="D255" s="10" t="str">
        <f>'17'!E14</f>
        <v>F</v>
      </c>
      <c r="E255" s="10">
        <f>'17'!F14</f>
        <v>1</v>
      </c>
      <c r="F255" s="10">
        <f>'17'!G14</f>
        <v>1</v>
      </c>
    </row>
    <row r="256" spans="1:6" x14ac:dyDescent="0.35">
      <c r="A256" s="10">
        <f>'17'!A15</f>
        <v>17</v>
      </c>
      <c r="B256" s="10">
        <f>'17'!B15</f>
        <v>14</v>
      </c>
      <c r="C256" s="10" t="str">
        <f>'17'!D15</f>
        <v xml:space="preserve">Lack of collaboration between different stakeholders
</v>
      </c>
      <c r="D256" s="10" t="str">
        <f>'17'!E15</f>
        <v>F</v>
      </c>
      <c r="E256" s="10">
        <f>'17'!F15</f>
        <v>1</v>
      </c>
      <c r="F256" s="10">
        <f>'17'!G15</f>
        <v>2</v>
      </c>
    </row>
    <row r="257" spans="1:6" x14ac:dyDescent="0.35">
      <c r="A257" s="10">
        <f>'17'!A16</f>
        <v>17</v>
      </c>
      <c r="B257" s="10">
        <f>'17'!B16</f>
        <v>15</v>
      </c>
      <c r="C257" s="10" t="str">
        <f>'17'!D16</f>
        <v>Lack of understanding and collaboration across different aspects of  restoration, e.g., ecology, engineering, social sciences, etc.</v>
      </c>
      <c r="D257" s="10" t="str">
        <f>'17'!E16</f>
        <v>C</v>
      </c>
      <c r="E257" s="10">
        <f>'17'!F16</f>
        <v>2</v>
      </c>
      <c r="F257" s="10">
        <f>'17'!G16</f>
        <v>2</v>
      </c>
    </row>
    <row r="258" spans="1:6" x14ac:dyDescent="0.35">
      <c r="A258" s="10">
        <f>'17'!A17</f>
        <v>17</v>
      </c>
      <c r="B258" s="10">
        <f>'17'!B17</f>
        <v>16</v>
      </c>
      <c r="C258" s="10" t="str">
        <f>'17'!D17</f>
        <v>Difficulty in obtaining legal or property rights over the area to implement  restoration</v>
      </c>
      <c r="D258" s="10" t="str">
        <f>'17'!E17</f>
        <v>F</v>
      </c>
      <c r="E258" s="10">
        <f>'17'!F17</f>
        <v>5</v>
      </c>
      <c r="F258" s="10">
        <f>'17'!G17</f>
        <v>2</v>
      </c>
    </row>
    <row r="259" spans="1:6" x14ac:dyDescent="0.35">
      <c r="A259" s="10">
        <f>'17'!A18</f>
        <v>17</v>
      </c>
      <c r="B259" s="10">
        <f>'17'!B18</f>
        <v>17</v>
      </c>
      <c r="C259" s="10" t="str">
        <f>'17'!D18</f>
        <v xml:space="preserve">Lack of quality plant material (including lack of suitable species and genotypes)
</v>
      </c>
      <c r="D259" s="10" t="str">
        <f>'17'!E18</f>
        <v>C</v>
      </c>
      <c r="E259" s="10">
        <f>'17'!F18</f>
        <v>3</v>
      </c>
      <c r="F259" s="10">
        <f>'17'!G18</f>
        <v>1</v>
      </c>
    </row>
    <row r="260" spans="1:6" x14ac:dyDescent="0.35">
      <c r="A260" s="10">
        <f>'17'!A19</f>
        <v>17</v>
      </c>
      <c r="B260" s="10">
        <f>'17'!B19</f>
        <v>18</v>
      </c>
      <c r="C260" s="10" t="str">
        <f>'17'!D19</f>
        <v>Lack of integrated land use planning</v>
      </c>
      <c r="D260" s="10" t="str">
        <f>'17'!E19</f>
        <v>F</v>
      </c>
      <c r="E260" s="10">
        <f>'17'!F19</f>
        <v>1</v>
      </c>
      <c r="F260" s="10">
        <f>'17'!G19</f>
        <v>1</v>
      </c>
    </row>
    <row r="261" spans="1:6" x14ac:dyDescent="0.35">
      <c r="A261" s="10">
        <f>'17'!A20</f>
        <v>17</v>
      </c>
      <c r="B261" s="10">
        <f>'17'!B20</f>
        <v>19</v>
      </c>
      <c r="C261" s="10" t="str">
        <f>'17'!D20</f>
        <v>Lack of coordination between decision-makers in different domains and  administrative departments</v>
      </c>
      <c r="D261" s="10" t="str">
        <f>'17'!E20</f>
        <v>F</v>
      </c>
      <c r="E261" s="10">
        <f>'17'!F20</f>
        <v>1</v>
      </c>
      <c r="F261" s="10">
        <f>'17'!G20</f>
        <v>1</v>
      </c>
    </row>
    <row r="262" spans="1:6" x14ac:dyDescent="0.35">
      <c r="A262" s="10">
        <f>'17'!A21</f>
        <v>17</v>
      </c>
      <c r="B262" s="10">
        <f>'17'!B21</f>
        <v>20</v>
      </c>
      <c r="C262" s="10" t="str">
        <f>'17'!D21</f>
        <v>Inadequate implementation of current policies</v>
      </c>
      <c r="D262" s="10" t="str">
        <f>'17'!E21</f>
        <v>F</v>
      </c>
      <c r="E262" s="10">
        <f>'17'!F21</f>
        <v>2</v>
      </c>
      <c r="F262" s="10">
        <f>'17'!G21</f>
        <v>2</v>
      </c>
    </row>
    <row r="263" spans="1:6" x14ac:dyDescent="0.35">
      <c r="A263" s="10">
        <f>'17'!A22</f>
        <v>17</v>
      </c>
      <c r="B263" s="10">
        <f>'17'!B22</f>
        <v>21</v>
      </c>
      <c r="C263" s="10" t="str">
        <f>'17'!D22</f>
        <v xml:space="preserve">Unrealistic or unclear project goals
</v>
      </c>
      <c r="D263" s="10" t="str">
        <f>'17'!E22</f>
        <v>F</v>
      </c>
      <c r="E263" s="10">
        <f>'17'!F22</f>
        <v>2</v>
      </c>
      <c r="F263" s="10">
        <f>'17'!G22</f>
        <v>2</v>
      </c>
    </row>
    <row r="264" spans="1:6" x14ac:dyDescent="0.35">
      <c r="A264" s="10">
        <f>'17'!A23</f>
        <v>17</v>
      </c>
      <c r="B264" s="10">
        <f>'17'!B23</f>
        <v>22</v>
      </c>
      <c r="C264" s="10" t="str">
        <f>'17'!D23</f>
        <v>Lack of standards against which progress can be measured</v>
      </c>
      <c r="D264" s="10" t="str">
        <f>'17'!E23</f>
        <v>F</v>
      </c>
      <c r="E264" s="10">
        <f>'17'!F23</f>
        <v>2</v>
      </c>
      <c r="F264" s="10">
        <f>'17'!G23</f>
        <v>2</v>
      </c>
    </row>
    <row r="265" spans="1:6" x14ac:dyDescent="0.35">
      <c r="A265" s="10">
        <f>'17'!A24</f>
        <v>17</v>
      </c>
      <c r="B265" s="10">
        <f>'17'!B24</f>
        <v>23</v>
      </c>
      <c r="C265" s="10" t="str">
        <f>'17'!D24</f>
        <v xml:space="preserve">Complexity of the legal framework
</v>
      </c>
      <c r="D265" s="10" t="str">
        <f>'17'!E24</f>
        <v>F</v>
      </c>
      <c r="E265" s="10">
        <f>'17'!F24</f>
        <v>2</v>
      </c>
      <c r="F265" s="10">
        <f>'17'!G24</f>
        <v>2</v>
      </c>
    </row>
    <row r="266" spans="1:6" x14ac:dyDescent="0.35">
      <c r="A266" s="10">
        <f>'17'!A25</f>
        <v>17</v>
      </c>
      <c r="B266" s="10">
        <f>'17'!B25</f>
        <v>24</v>
      </c>
      <c r="C266" s="10" t="str">
        <f>'17'!D25</f>
        <v xml:space="preserve">Unsuitable policies and lack of enabling policy instruments
</v>
      </c>
      <c r="D266" s="10" t="str">
        <f>'17'!E25</f>
        <v>F</v>
      </c>
      <c r="E266" s="10">
        <f>'17'!F25</f>
        <v>2</v>
      </c>
      <c r="F266" s="10">
        <f>'17'!G25</f>
        <v>2</v>
      </c>
    </row>
    <row r="267" spans="1:6" x14ac:dyDescent="0.35">
      <c r="A267" s="10">
        <f>'17'!A26</f>
        <v>17</v>
      </c>
      <c r="B267" s="10">
        <f>'17'!B26</f>
        <v>25</v>
      </c>
      <c r="C267" s="10" t="str">
        <f>'17'!D26</f>
        <v>Constraints due to biotic challenges, e.g. concerning species dispersal rates, interspecific interactions, etc.</v>
      </c>
      <c r="D267" s="10" t="str">
        <f>'17'!E26</f>
        <v>C</v>
      </c>
      <c r="E267" s="10">
        <f>'17'!F26</f>
        <v>3</v>
      </c>
      <c r="F267" s="10">
        <f>'17'!G26</f>
        <v>1</v>
      </c>
    </row>
    <row r="268" spans="1:6" x14ac:dyDescent="0.35">
      <c r="A268" s="10">
        <f>'17'!A27</f>
        <v>17</v>
      </c>
      <c r="B268" s="10">
        <f>'17'!B27</f>
        <v>26</v>
      </c>
      <c r="C268" s="10" t="str">
        <f>'17'!D27</f>
        <v xml:space="preserve">Lack of societal awareness and engagement
</v>
      </c>
      <c r="D268" s="10" t="str">
        <f>'17'!E27</f>
        <v>D</v>
      </c>
      <c r="E268" s="10">
        <f>'17'!F27</f>
        <v>0</v>
      </c>
      <c r="F268" s="10">
        <f>'17'!G27</f>
        <v>1</v>
      </c>
    </row>
    <row r="269" spans="1:6" x14ac:dyDescent="0.35">
      <c r="A269" s="10">
        <f>'17'!A28</f>
        <v>17</v>
      </c>
      <c r="B269" s="10">
        <f>'17'!B28</f>
        <v>27</v>
      </c>
      <c r="C269" s="10" t="str">
        <f>'17'!D28</f>
        <v xml:space="preserve">Perceived complexity of implementing restoration
</v>
      </c>
      <c r="D269" s="10" t="str">
        <f>'17'!E28</f>
        <v>D</v>
      </c>
      <c r="E269" s="10">
        <f>'17'!F28</f>
        <v>0</v>
      </c>
      <c r="F269" s="10">
        <f>'17'!G28</f>
        <v>5</v>
      </c>
    </row>
    <row r="270" spans="1:6" x14ac:dyDescent="0.35">
      <c r="A270" s="10">
        <f>'17'!A29</f>
        <v>17</v>
      </c>
      <c r="B270" s="10">
        <f>'17'!B29</f>
        <v>28</v>
      </c>
      <c r="C270" s="10" t="str">
        <f>'17'!D29</f>
        <v xml:space="preserve">Constraints due to abiotic characteristics of the area, e.g. climate,  topography, water availability
</v>
      </c>
      <c r="D270" s="10" t="str">
        <f>'17'!E29</f>
        <v>C</v>
      </c>
      <c r="E270" s="10">
        <f>'17'!F29</f>
        <v>3</v>
      </c>
      <c r="F270" s="10">
        <f>'17'!G29</f>
        <v>1</v>
      </c>
    </row>
    <row r="271" spans="1:6" x14ac:dyDescent="0.35">
      <c r="A271" s="10">
        <f>'17'!A30</f>
        <v>17</v>
      </c>
      <c r="B271" s="10">
        <f>'17'!B30</f>
        <v>29</v>
      </c>
      <c r="C271" s="10" t="str">
        <f>'17'!D30</f>
        <v xml:space="preserve">Lack of sense of identity, attachment to the landscape
</v>
      </c>
      <c r="D271" s="10" t="str">
        <f>'17'!E30</f>
        <v>B</v>
      </c>
      <c r="E271" s="10">
        <f>'17'!F30</f>
        <v>1</v>
      </c>
      <c r="F271" s="10">
        <f>'17'!G30</f>
        <v>1</v>
      </c>
    </row>
    <row r="272" spans="1:6" x14ac:dyDescent="0.35">
      <c r="A272" s="10">
        <f>'17'!A31</f>
        <v>17</v>
      </c>
      <c r="B272" s="10">
        <f>'17'!B31</f>
        <v>30</v>
      </c>
      <c r="C272" s="10" t="str">
        <f>'17'!D31</f>
        <v xml:space="preserve">Lack of suitable technology
</v>
      </c>
      <c r="D272" s="10" t="str">
        <f>'17'!E31</f>
        <v>C</v>
      </c>
      <c r="E272" s="10">
        <f>'17'!F31</f>
        <v>3</v>
      </c>
      <c r="F272" s="10">
        <f>'17'!G31</f>
        <v>1</v>
      </c>
    </row>
    <row r="273" spans="1:6" x14ac:dyDescent="0.35">
      <c r="A273" s="10">
        <f>'18'!A2</f>
        <v>18</v>
      </c>
      <c r="B273" s="10">
        <f>'18'!B2</f>
        <v>1</v>
      </c>
      <c r="C273" s="10" t="str">
        <f>'18'!D2</f>
        <v>Environmental awareness results in higher willingness to pay  and changing demand</v>
      </c>
      <c r="D273" s="10" t="str">
        <f>'18'!E2</f>
        <v>D</v>
      </c>
      <c r="E273" s="10">
        <f>'18'!F2</f>
        <v>0</v>
      </c>
      <c r="F273" s="10">
        <f>'18'!G2</f>
        <v>1</v>
      </c>
    </row>
    <row r="274" spans="1:6" x14ac:dyDescent="0.35">
      <c r="A274" s="10">
        <f>'18'!A3</f>
        <v>18</v>
      </c>
      <c r="B274" s="10">
        <f>'18'!B3</f>
        <v>2</v>
      </c>
      <c r="C274" s="10" t="str">
        <f>'18'!D3</f>
        <v>drivers of demand for NBS are the climate and biodiversity crises</v>
      </c>
      <c r="D274" s="10" t="str">
        <f>'18'!E3</f>
        <v>D</v>
      </c>
      <c r="E274" s="10">
        <f>'18'!F3</f>
        <v>0</v>
      </c>
      <c r="F274" s="10">
        <f>'18'!G3</f>
        <v>1</v>
      </c>
    </row>
    <row r="275" spans="1:6" x14ac:dyDescent="0.35">
      <c r="A275" s="10">
        <f>'18'!A4</f>
        <v>18</v>
      </c>
      <c r="B275" s="10">
        <f>'18'!B4</f>
        <v>3</v>
      </c>
      <c r="C275" s="10" t="str">
        <f>'18'!D4</f>
        <v>Uncertainty as regards the technical performance and cost-effectiveness  of NBS as well as their resilience to climate change</v>
      </c>
      <c r="D275" s="10" t="str">
        <f>'18'!E4</f>
        <v>B</v>
      </c>
      <c r="E275" s="10">
        <f>'18'!F4</f>
        <v>0</v>
      </c>
      <c r="F275" s="10">
        <f>'18'!G4</f>
        <v>3</v>
      </c>
    </row>
    <row r="276" spans="1:6" x14ac:dyDescent="0.35">
      <c r="A276" s="10">
        <f>'18'!A5</f>
        <v>18</v>
      </c>
      <c r="B276" s="10">
        <f>'18'!B5</f>
        <v>4</v>
      </c>
      <c r="C276" s="10" t="str">
        <f>'18'!D5</f>
        <v>NBS resilience to  climate change is uncertain</v>
      </c>
      <c r="D276" s="10" t="str">
        <f>'18'!E5</f>
        <v>B</v>
      </c>
      <c r="E276" s="10">
        <f>'18'!F5</f>
        <v>0</v>
      </c>
      <c r="F276" s="10">
        <f>'18'!G5</f>
        <v>3</v>
      </c>
    </row>
    <row r="277" spans="1:6" x14ac:dyDescent="0.35">
      <c r="A277" s="10">
        <f>'18'!A6</f>
        <v>18</v>
      </c>
      <c r="B277" s="10">
        <f>'18'!B6</f>
        <v>5</v>
      </c>
      <c r="C277" s="10" t="str">
        <f>'18'!D6</f>
        <v>Capacity gaps relating to measuring NBS impact (enabler and barrier)</v>
      </c>
      <c r="D277" s="10" t="str">
        <f>'18'!E6</f>
        <v>C</v>
      </c>
      <c r="E277" s="10">
        <f>'18'!F6</f>
        <v>3</v>
      </c>
      <c r="F277" s="10">
        <f>'18'!G6</f>
        <v>1</v>
      </c>
    </row>
    <row r="278" spans="1:6" x14ac:dyDescent="0.35">
      <c r="A278" s="10">
        <f>'18'!A7</f>
        <v>18</v>
      </c>
      <c r="B278" s="10">
        <f>'18'!B7</f>
        <v>6</v>
      </c>
      <c r="C278" s="10" t="str">
        <f>'18'!D7</f>
        <v>lack of evidence of the effectiveness  of NBS in combating climate change and biodiversity loss</v>
      </c>
      <c r="D278" s="10" t="str">
        <f>'18'!E7</f>
        <v>C</v>
      </c>
      <c r="E278" s="10">
        <f>'18'!F7</f>
        <v>1</v>
      </c>
      <c r="F278" s="10">
        <f>'18'!G7</f>
        <v>1</v>
      </c>
    </row>
    <row r="279" spans="1:6" x14ac:dyDescent="0.35">
      <c r="A279" s="10">
        <f>'18'!A8</f>
        <v>18</v>
      </c>
      <c r="B279" s="10">
        <f>'18'!B8</f>
        <v>7</v>
      </c>
      <c r="C279" s="10" t="str">
        <f>'18'!D8</f>
        <v xml:space="preserve">technical trainings meeting practical needs. </v>
      </c>
      <c r="D279" s="10" t="str">
        <f>'18'!E8</f>
        <v>C</v>
      </c>
      <c r="E279" s="10">
        <f>'18'!F8</f>
        <v>3</v>
      </c>
      <c r="F279" s="10">
        <f>'18'!G8</f>
        <v>3</v>
      </c>
    </row>
    <row r="280" spans="1:6" x14ac:dyDescent="0.35">
      <c r="A280" s="10">
        <f>'18'!A9</f>
        <v>18</v>
      </c>
      <c r="B280" s="10">
        <f>'18'!B9</f>
        <v>8</v>
      </c>
      <c r="C280" s="10" t="str">
        <f>'18'!D9</f>
        <v xml:space="preserve">education on sustainability in business schools - </v>
      </c>
      <c r="D280" s="10" t="str">
        <f>'18'!E9</f>
        <v>D</v>
      </c>
      <c r="E280" s="10">
        <f>'18'!F9</f>
        <v>0</v>
      </c>
      <c r="F280" s="10">
        <f>'18'!G9</f>
        <v>3</v>
      </c>
    </row>
    <row r="281" spans="1:6" x14ac:dyDescent="0.35">
      <c r="A281" s="10">
        <f>'18'!A10</f>
        <v>18</v>
      </c>
      <c r="B281" s="10">
        <f>'18'!B10</f>
        <v>9</v>
      </c>
      <c r="C281" s="10" t="str">
        <f>'18'!D10</f>
        <v>lack of awareness and understanding of  the cost structure of NBS, the multi-functional benefits of NBS and the difficulties measuring effectiveness</v>
      </c>
      <c r="D281" s="10" t="str">
        <f>'18'!E10</f>
        <v>C</v>
      </c>
      <c r="E281" s="10">
        <f>'18'!F10</f>
        <v>3</v>
      </c>
      <c r="F281" s="10">
        <f>'18'!G10</f>
        <v>4</v>
      </c>
    </row>
    <row r="282" spans="1:6" x14ac:dyDescent="0.35">
      <c r="A282" s="10">
        <f>'18'!A11</f>
        <v>18</v>
      </c>
      <c r="B282" s="10">
        <f>'18'!B11</f>
        <v>10</v>
      </c>
      <c r="C282" s="10" t="str">
        <f>'18'!D11</f>
        <v>corporations lacked the knowledge to compare the impacts  from tree planting with more complex but potentially more impactful solutions such as  rewilding</v>
      </c>
      <c r="D282" s="10" t="str">
        <f>'18'!E11</f>
        <v>A</v>
      </c>
      <c r="E282" s="10">
        <f>'18'!F11</f>
        <v>1</v>
      </c>
      <c r="F282" s="10">
        <f>'18'!G11</f>
        <v>7</v>
      </c>
    </row>
    <row r="283" spans="1:6" x14ac:dyDescent="0.35">
      <c r="A283" s="10">
        <f>'18'!A12</f>
        <v>18</v>
      </c>
      <c r="B283" s="10">
        <f>'18'!B12</f>
        <v>11</v>
      </c>
      <c r="C283" s="10" t="str">
        <f>'18'!D12</f>
        <v xml:space="preserve">long-term nature of nbs not alligned with short ter, electoral cycles and gment planning cycles </v>
      </c>
      <c r="D283" s="10" t="str">
        <f>'18'!E12</f>
        <v>E</v>
      </c>
      <c r="E283" s="10">
        <f>'18'!F12</f>
        <v>0</v>
      </c>
      <c r="F283" s="10">
        <f>'18'!G12</f>
        <v>3</v>
      </c>
    </row>
    <row r="284" spans="1:6" x14ac:dyDescent="0.35">
      <c r="A284" s="10">
        <f>'18'!A13</f>
        <v>18</v>
      </c>
      <c r="B284" s="10">
        <f>'18'!B13</f>
        <v>12</v>
      </c>
      <c r="C284" s="10" t="str">
        <f>'18'!D13</f>
        <v>sources of private funding  for start-up capital, certification and capacity building are limited</v>
      </c>
      <c r="D284" s="10" t="str">
        <f>'18'!E13</f>
        <v>A</v>
      </c>
      <c r="E284" s="10">
        <f>'18'!F13</f>
        <v>1</v>
      </c>
      <c r="F284" s="10">
        <f>'18'!G13</f>
        <v>1</v>
      </c>
    </row>
    <row r="285" spans="1:6" x14ac:dyDescent="0.35">
      <c r="A285" s="10">
        <f>'18'!A14</f>
        <v>18</v>
      </c>
      <c r="B285" s="10">
        <f>'18'!B14</f>
        <v>13</v>
      </c>
      <c r="C285" s="10" t="str">
        <f>'18'!D14</f>
        <v>availability of funding instruments such as grants and subsidies  was recognised as an enabler</v>
      </c>
      <c r="D285" s="10" t="str">
        <f>'18'!E14</f>
        <v>A</v>
      </c>
      <c r="E285" s="10">
        <f>'18'!F14</f>
        <v>1</v>
      </c>
      <c r="F285" s="10">
        <f>'18'!G14</f>
        <v>1</v>
      </c>
    </row>
    <row r="286" spans="1:6" x14ac:dyDescent="0.35">
      <c r="A286" s="10">
        <f>'18'!A15</f>
        <v>18</v>
      </c>
      <c r="B286" s="10">
        <f>'18'!B15</f>
        <v>14</v>
      </c>
      <c r="C286" s="10" t="str">
        <f>'18'!D15</f>
        <v>longer timeframe required for return  on investment in NBS does not correspond well with short-term political cycles</v>
      </c>
      <c r="D286" s="10" t="str">
        <f>'18'!E15</f>
        <v>A</v>
      </c>
      <c r="E286" s="10">
        <f>'18'!F15</f>
        <v>1</v>
      </c>
      <c r="F286" s="10">
        <f>'18'!G15</f>
        <v>2</v>
      </c>
    </row>
    <row r="287" spans="1:6" x14ac:dyDescent="0.35">
      <c r="A287" s="10">
        <f>'18'!A16</f>
        <v>18</v>
      </c>
      <c r="B287" s="10">
        <f>'18'!B16</f>
        <v>15</v>
      </c>
      <c r="C287" s="10" t="str">
        <f>'18'!D16</f>
        <v>Lack of funding/support in the public and private sector for novel NBS approaches</v>
      </c>
      <c r="D287" s="10" t="str">
        <f>'18'!E16</f>
        <v>A</v>
      </c>
      <c r="E287" s="10">
        <f>'18'!F16</f>
        <v>1</v>
      </c>
      <c r="F287" s="10">
        <f>'18'!G16</f>
        <v>6</v>
      </c>
    </row>
    <row r="288" spans="1:6" x14ac:dyDescent="0.35">
      <c r="A288" s="10">
        <f>'18'!A17</f>
        <v>18</v>
      </c>
      <c r="B288" s="10">
        <f>'18'!B17</f>
        <v>16</v>
      </c>
      <c r="C288" s="10" t="str">
        <f>'18'!D17</f>
        <v>uncertainty in business ecosystem service related revenue resulting from climate change and declining natural resources</v>
      </c>
      <c r="D288" s="10" t="str">
        <f>'18'!E17</f>
        <v>A</v>
      </c>
      <c r="E288" s="10">
        <f>'18'!F17</f>
        <v>1</v>
      </c>
      <c r="F288" s="10">
        <f>'18'!G17</f>
        <v>8</v>
      </c>
    </row>
    <row r="289" spans="1:6" x14ac:dyDescent="0.35">
      <c r="A289" s="10">
        <f>'18'!A18</f>
        <v>18</v>
      </c>
      <c r="B289" s="10">
        <f>'18'!B18</f>
        <v>17</v>
      </c>
      <c r="C289" s="10" t="str">
        <f>'18'!D18</f>
        <v>Reputational value</v>
      </c>
      <c r="D289" s="10" t="str">
        <f>'18'!E18</f>
        <v>A</v>
      </c>
      <c r="E289" s="10">
        <f>'18'!F18</f>
        <v>1</v>
      </c>
      <c r="F289" s="10">
        <f>'18'!G18</f>
        <v>9</v>
      </c>
    </row>
    <row r="290" spans="1:6" x14ac:dyDescent="0.35">
      <c r="A290" s="10">
        <f>'18'!A19</f>
        <v>18</v>
      </c>
      <c r="B290" s="10">
        <f>'18'!B19</f>
        <v>18</v>
      </c>
      <c r="C290" s="10" t="str">
        <f>'18'!D19</f>
        <v>public funding as a source of revenu for eneterprises - enabler and risky</v>
      </c>
      <c r="D290" s="10" t="str">
        <f>'18'!E19</f>
        <v>A</v>
      </c>
      <c r="E290" s="10">
        <f>'18'!F19</f>
        <v>1</v>
      </c>
      <c r="F290" s="10">
        <f>'18'!G19</f>
        <v>10</v>
      </c>
    </row>
    <row r="291" spans="1:6" x14ac:dyDescent="0.35">
      <c r="A291" s="10">
        <f>'18'!A20</f>
        <v>18</v>
      </c>
      <c r="B291" s="10">
        <f>'18'!B20</f>
        <v>19</v>
      </c>
      <c r="C291" s="10" t="str">
        <f>'18'!D20</f>
        <v>Industry networks for market development (enabler)</v>
      </c>
      <c r="D291" s="10" t="str">
        <f>'18'!E20</f>
        <v>A</v>
      </c>
      <c r="E291" s="10">
        <f>'18'!F20</f>
        <v>1</v>
      </c>
      <c r="F291" s="10">
        <f>'18'!G20</f>
        <v>11</v>
      </c>
    </row>
    <row r="292" spans="1:6" x14ac:dyDescent="0.35">
      <c r="A292" s="10">
        <f>'18'!A21</f>
        <v>18</v>
      </c>
      <c r="B292" s="10">
        <f>'18'!B21</f>
        <v>20</v>
      </c>
      <c r="C292" s="10" t="str">
        <f>'18'!D21</f>
        <v>Social enterprise networks identified as  helpful</v>
      </c>
      <c r="D292" s="10" t="str">
        <f>'18'!E21</f>
        <v>A</v>
      </c>
      <c r="E292" s="10">
        <f>'18'!F21</f>
        <v>1</v>
      </c>
      <c r="F292" s="10">
        <f>'18'!G21</f>
        <v>11</v>
      </c>
    </row>
    <row r="293" spans="1:6" x14ac:dyDescent="0.35">
      <c r="A293" s="10">
        <f>'18'!A22</f>
        <v>18</v>
      </c>
      <c r="B293" s="10">
        <f>'18'!B22</f>
        <v>21</v>
      </c>
      <c r="C293" s="10" t="str">
        <f>'18'!D22</f>
        <v>lack of private  sector investment due to  lack of credible performance data in comparison with ‘grey alternatives leading to high risk profiles</v>
      </c>
      <c r="D293" s="10" t="str">
        <f>'18'!E22</f>
        <v>A</v>
      </c>
      <c r="E293" s="10">
        <f>'18'!F22</f>
        <v>2</v>
      </c>
      <c r="F293" s="10">
        <f>'18'!G22</f>
        <v>5</v>
      </c>
    </row>
    <row r="294" spans="1:6" x14ac:dyDescent="0.35">
      <c r="A294" s="10">
        <f>'18'!A23</f>
        <v>18</v>
      </c>
      <c r="B294" s="10">
        <f>'18'!B23</f>
        <v>22</v>
      </c>
      <c r="C294" s="10" t="str">
        <f>'18'!D23</f>
        <v>Inadequate financing resulting from over reliance on public sector funding</v>
      </c>
      <c r="D294" s="10" t="str">
        <f>'18'!E23</f>
        <v>A</v>
      </c>
      <c r="E294" s="10">
        <f>'18'!F23</f>
        <v>2</v>
      </c>
      <c r="F294" s="10">
        <f>'18'!G23</f>
        <v>4</v>
      </c>
    </row>
    <row r="295" spans="1:6" x14ac:dyDescent="0.35">
      <c r="A295" s="10">
        <f>'18'!A24</f>
        <v>18</v>
      </c>
      <c r="B295" s="10">
        <f>'18'!B24</f>
        <v>23</v>
      </c>
      <c r="C295" s="10" t="str">
        <f>'18'!D24</f>
        <v>Inadequate financing resulting from  competing priorities for land use</v>
      </c>
      <c r="D295" s="10" t="str">
        <f>'18'!E24</f>
        <v>F</v>
      </c>
      <c r="E295" s="10">
        <f>'18'!F24</f>
        <v>5</v>
      </c>
      <c r="F295" s="10">
        <f>'18'!G24</f>
        <v>2</v>
      </c>
    </row>
    <row r="296" spans="1:6" x14ac:dyDescent="0.35">
      <c r="A296" s="10">
        <f>'18'!A25</f>
        <v>18</v>
      </c>
      <c r="B296" s="10">
        <f>'18'!B25</f>
        <v>24</v>
      </c>
      <c r="C296" s="10" t="str">
        <f>'18'!D25</f>
        <v xml:space="preserve"> lack of financing of NBS rather than a lack of financing for nature-based enterprises</v>
      </c>
      <c r="D296" s="10" t="str">
        <f>'18'!E25</f>
        <v>A</v>
      </c>
      <c r="E296" s="10">
        <f>'18'!F25</f>
        <v>2</v>
      </c>
      <c r="F296" s="10">
        <f>'18'!G25</f>
        <v>3</v>
      </c>
    </row>
    <row r="297" spans="1:6" x14ac:dyDescent="0.35">
      <c r="A297" s="10">
        <f>'18'!A26</f>
        <v>18</v>
      </c>
      <c r="B297" s="10">
        <f>'18'!B26</f>
        <v>25</v>
      </c>
      <c r="C297" s="10" t="str">
        <f>'18'!D26</f>
        <v>NBEs reported difficulties in financing but primarily due to their small size or a lack of  market awareness</v>
      </c>
      <c r="D297" s="10" t="str">
        <f>'18'!E26</f>
        <v>A</v>
      </c>
      <c r="E297" s="10">
        <f>'18'!F26</f>
        <v>2</v>
      </c>
      <c r="F297" s="10">
        <f>'18'!G26</f>
        <v>2</v>
      </c>
    </row>
    <row r="298" spans="1:6" x14ac:dyDescent="0.35">
      <c r="A298" s="10">
        <f>'18'!A27</f>
        <v>18</v>
      </c>
      <c r="B298" s="10">
        <f>'18'!B27</f>
        <v>26</v>
      </c>
      <c r="C298" s="10" t="str">
        <f>'18'!D27</f>
        <v>NBE wariness of financial institutions - banks simply would not understand their business / getting into debt given the project-by-project nature of their sector</v>
      </c>
      <c r="D298" s="10" t="str">
        <f>'18'!E27</f>
        <v>A</v>
      </c>
      <c r="E298" s="10">
        <f>'18'!F27</f>
        <v>2</v>
      </c>
      <c r="F298" s="10">
        <f>'18'!G27</f>
        <v>2</v>
      </c>
    </row>
    <row r="299" spans="1:6" x14ac:dyDescent="0.35">
      <c r="A299" s="10">
        <f>'18'!A28</f>
        <v>18</v>
      </c>
      <c r="B299" s="10">
        <f>'18'!B28</f>
        <v>27</v>
      </c>
      <c r="C299" s="10" t="str">
        <f>'18'!D28</f>
        <v>NBE preferring to rely on other ‘cheaper’ sources  of financing—such as impact investors or concessional financing</v>
      </c>
      <c r="D299" s="10" t="str">
        <f>'18'!E28</f>
        <v>A</v>
      </c>
      <c r="E299" s="10">
        <f>'18'!F28</f>
        <v>2</v>
      </c>
      <c r="F299" s="10">
        <f>'18'!G28</f>
        <v>2</v>
      </c>
    </row>
    <row r="300" spans="1:6" x14ac:dyDescent="0.35">
      <c r="A300" s="10">
        <f>'18'!A29</f>
        <v>18</v>
      </c>
      <c r="B300" s="10">
        <f>'18'!B29</f>
        <v>28</v>
      </c>
      <c r="C300" s="10" t="str">
        <f>'18'!D29</f>
        <v xml:space="preserve">Due dilligence process - measuring impact is difficult / higher transaction costs </v>
      </c>
      <c r="D300" s="10" t="str">
        <f>'18'!E29</f>
        <v>A</v>
      </c>
      <c r="E300" s="10">
        <f>'18'!F29</f>
        <v>3</v>
      </c>
      <c r="F300" s="10">
        <f>'18'!G29</f>
        <v>3</v>
      </c>
    </row>
    <row r="301" spans="1:6" x14ac:dyDescent="0.35">
      <c r="A301" s="10">
        <f>'18'!A30</f>
        <v>18</v>
      </c>
      <c r="B301" s="10">
        <f>'18'!B30</f>
        <v>29</v>
      </c>
      <c r="C301" s="10" t="str">
        <f>'18'!D30</f>
        <v xml:space="preserve"> cover the long-term costs of maintaining NBS</v>
      </c>
      <c r="D301" s="10" t="str">
        <f>'18'!E30</f>
        <v>A</v>
      </c>
      <c r="E301" s="10">
        <f>'18'!F30</f>
        <v>3</v>
      </c>
      <c r="F301" s="10">
        <f>'18'!G30</f>
        <v>4</v>
      </c>
    </row>
    <row r="302" spans="1:6" x14ac:dyDescent="0.35">
      <c r="A302" s="10">
        <f>'18'!A31</f>
        <v>18</v>
      </c>
      <c r="B302" s="10">
        <f>'18'!B31</f>
        <v>30</v>
      </c>
      <c r="C302" s="10" t="str">
        <f>'18'!D31</f>
        <v>lack  of understanding of the cost structure of an NBS and the need to plan for long-term  maintenance costs</v>
      </c>
      <c r="D302" s="10" t="str">
        <f>'18'!E31</f>
        <v>A</v>
      </c>
      <c r="E302" s="10">
        <f>'18'!F31</f>
        <v>3</v>
      </c>
      <c r="F302" s="10">
        <f>'18'!G31</f>
        <v>4</v>
      </c>
    </row>
    <row r="303" spans="1:6" x14ac:dyDescent="0.35">
      <c r="A303" s="10">
        <f>'18'!A32</f>
        <v>18</v>
      </c>
      <c r="B303" s="10">
        <f>'18'!B32</f>
        <v>31</v>
      </c>
      <c r="C303" s="10" t="str">
        <f>'18'!D32</f>
        <v>Lack of incentives  or conflicting incentives can hamper uptake</v>
      </c>
      <c r="D303" s="10" t="str">
        <f>'18'!E32</f>
        <v>F</v>
      </c>
      <c r="E303" s="10">
        <f>'18'!F32</f>
        <v>1</v>
      </c>
      <c r="F303" s="10">
        <f>'18'!G32</f>
        <v>2</v>
      </c>
    </row>
    <row r="304" spans="1:6" x14ac:dyDescent="0.35">
      <c r="A304" s="10">
        <f>'18'!A33</f>
        <v>18</v>
      </c>
      <c r="B304" s="10">
        <f>'18'!B33</f>
        <v>32</v>
      </c>
      <c r="C304" s="10" t="str">
        <f>'18'!D33</f>
        <v xml:space="preserve">high levels of bureaucracy in public  procurement - difficult for SME's </v>
      </c>
      <c r="D304" s="10" t="str">
        <f>'18'!E33</f>
        <v>F</v>
      </c>
      <c r="E304" s="10">
        <f>'18'!F33</f>
        <v>2</v>
      </c>
      <c r="F304" s="10">
        <f>'18'!G33</f>
        <v>4</v>
      </c>
    </row>
    <row r="305" spans="1:6" x14ac:dyDescent="0.35">
      <c r="A305" s="10">
        <f>'18'!A34</f>
        <v>18</v>
      </c>
      <c r="B305" s="10">
        <f>'18'!B34</f>
        <v>33</v>
      </c>
      <c r="C305" s="10" t="str">
        <f>'18'!D34</f>
        <v>Public procurement policy decisions clearly affect market potential</v>
      </c>
      <c r="D305" s="10" t="str">
        <f>'18'!E34</f>
        <v>F</v>
      </c>
      <c r="E305" s="10">
        <f>'18'!F34</f>
        <v>2</v>
      </c>
      <c r="F305" s="10">
        <f>'18'!G34</f>
        <v>4</v>
      </c>
    </row>
    <row r="306" spans="1:6" x14ac:dyDescent="0.35">
      <c r="A306" s="10">
        <f>'18'!A35</f>
        <v>18</v>
      </c>
      <c r="B306" s="10">
        <f>'18'!B35</f>
        <v>34</v>
      </c>
      <c r="C306" s="10" t="str">
        <f>'18'!D35</f>
        <v xml:space="preserve"> reluctance to bid for public  contracts expressing a preference for private sector contracts due to faster decision making  timeframes and less bureaucracy</v>
      </c>
      <c r="D306" s="10" t="str">
        <f>'18'!E35</f>
        <v>F</v>
      </c>
      <c r="E306" s="10">
        <f>'18'!F35</f>
        <v>2</v>
      </c>
      <c r="F306" s="10">
        <f>'18'!G35</f>
        <v>4</v>
      </c>
    </row>
    <row r="307" spans="1:6" x14ac:dyDescent="0.35">
      <c r="A307" s="10">
        <f>'18'!A36</f>
        <v>18</v>
      </c>
      <c r="B307" s="10">
        <f>'18'!B36</f>
        <v>35</v>
      </c>
      <c r="C307" s="10" t="str">
        <f>'18'!D36</f>
        <v>lack of competition  for public tenders</v>
      </c>
      <c r="D307" s="10" t="str">
        <f>'18'!E36</f>
        <v>F</v>
      </c>
      <c r="E307" s="10">
        <f>'18'!F36</f>
        <v>2</v>
      </c>
      <c r="F307" s="10">
        <f>'18'!G36</f>
        <v>4</v>
      </c>
    </row>
    <row r="308" spans="1:6" x14ac:dyDescent="0.35">
      <c r="A308" s="10">
        <f>'18'!A37</f>
        <v>18</v>
      </c>
      <c r="B308" s="10">
        <f>'18'!B37</f>
        <v>36</v>
      </c>
      <c r="C308" s="10" t="str">
        <f>'18'!D37</f>
        <v>complexity of governance - requires consensusbuilding among multiple stakeholders</v>
      </c>
      <c r="D308" s="10" t="str">
        <f>'18'!E37</f>
        <v>F</v>
      </c>
      <c r="E308" s="10">
        <f>'18'!F37</f>
        <v>3</v>
      </c>
      <c r="F308" s="10">
        <f>'18'!G37</f>
        <v>3</v>
      </c>
    </row>
    <row r="309" spans="1:6" x14ac:dyDescent="0.35">
      <c r="A309" s="10">
        <f>'18'!A38</f>
        <v>18</v>
      </c>
      <c r="B309" s="10">
        <f>'18'!B38</f>
        <v>37</v>
      </c>
      <c r="C309" s="10" t="str">
        <f>'18'!D38</f>
        <v>Co-production of NBS with the local  community and entrepreneurs is seen as critical to achieve equitable distribution</v>
      </c>
      <c r="D309" s="10" t="str">
        <f>'18'!E38</f>
        <v>F</v>
      </c>
      <c r="E309" s="10">
        <f>'18'!F38</f>
        <v>1</v>
      </c>
      <c r="F309" s="10">
        <f>'18'!G38</f>
        <v>2</v>
      </c>
    </row>
    <row r="310" spans="1:6" x14ac:dyDescent="0.35">
      <c r="A310" s="10">
        <f>'18'!A39</f>
        <v>18</v>
      </c>
      <c r="B310" s="10">
        <f>'18'!B39</f>
        <v>38</v>
      </c>
      <c r="C310" s="10" t="str">
        <f>'18'!D39</f>
        <v>lack of skilled suppliers can hamper uptake</v>
      </c>
      <c r="D310" s="10" t="str">
        <f>'18'!E39</f>
        <v>C</v>
      </c>
      <c r="E310" s="10">
        <f>'18'!F39</f>
        <v>3</v>
      </c>
      <c r="F310" s="10">
        <f>'18'!G39</f>
        <v>2</v>
      </c>
    </row>
    <row r="311" spans="1:6" x14ac:dyDescent="0.35">
      <c r="A311" s="10">
        <f>'18'!A40</f>
        <v>18</v>
      </c>
      <c r="B311" s="10">
        <f>'18'!B40</f>
        <v>39</v>
      </c>
      <c r="C311" s="10" t="str">
        <f>'18'!D40</f>
        <v>public procurement procedures are not designed  for nature-based solutions which require considerable pre-delivery services related to  stakeholder engagement and post-delivery services such as monitoring and stewardship</v>
      </c>
      <c r="D311" s="10" t="str">
        <f>'18'!E40</f>
        <v>F</v>
      </c>
      <c r="E311" s="10">
        <f>'18'!F40</f>
        <v>2</v>
      </c>
      <c r="F311" s="10">
        <f>'18'!G40</f>
        <v>4</v>
      </c>
    </row>
    <row r="312" spans="1:6" x14ac:dyDescent="0.35">
      <c r="A312" s="10">
        <f>'18'!A41</f>
        <v>18</v>
      </c>
      <c r="B312" s="10">
        <f>'18'!B41</f>
        <v>40</v>
      </c>
      <c r="C312" s="10" t="str">
        <f>'18'!D41</f>
        <v xml:space="preserve">collaborative governance not alligned with traditional forms of administration </v>
      </c>
      <c r="D312" s="10" t="str">
        <f>'18'!E41</f>
        <v>F</v>
      </c>
      <c r="E312" s="10">
        <f>'18'!F41</f>
        <v>1</v>
      </c>
      <c r="F312" s="10">
        <f>'18'!G41</f>
        <v>2</v>
      </c>
    </row>
    <row r="313" spans="1:6" x14ac:dyDescent="0.35">
      <c r="A313" s="10">
        <f>'18'!A42</f>
        <v>18</v>
      </c>
      <c r="B313" s="10">
        <f>'18'!B42</f>
        <v>41</v>
      </c>
      <c r="C313" s="10" t="str">
        <f>'18'!D42</f>
        <v>NBS planning (financing, business models,  governance) is often considered as an integral part of urban planning taking into account  local needs, optimal locations and scale to ensure optimal and equitable distribution of  benefits</v>
      </c>
      <c r="D313" s="10" t="str">
        <f>'18'!E42</f>
        <v>F</v>
      </c>
      <c r="E313" s="10">
        <f>'18'!F42</f>
        <v>1</v>
      </c>
      <c r="F313" s="10">
        <f>'18'!G42</f>
        <v>2</v>
      </c>
    </row>
    <row r="314" spans="1:6" x14ac:dyDescent="0.35">
      <c r="A314" s="10">
        <f>'18'!A43</f>
        <v>18</v>
      </c>
      <c r="B314" s="10">
        <f>'18'!B43</f>
        <v>42</v>
      </c>
      <c r="C314" s="10" t="str">
        <f>'18'!D43</f>
        <v>knowledge brokers/intermediaries have emerged as enabler</v>
      </c>
      <c r="D314" s="10" t="str">
        <f>'18'!E43</f>
        <v>C</v>
      </c>
      <c r="E314" s="10">
        <f>'18'!F43</f>
        <v>2</v>
      </c>
      <c r="F314" s="10">
        <f>'18'!G43</f>
        <v>3</v>
      </c>
    </row>
    <row r="315" spans="1:6" x14ac:dyDescent="0.35">
      <c r="A315" s="10">
        <f>'18'!A44</f>
        <v>18</v>
      </c>
      <c r="B315" s="10">
        <f>'18'!B44</f>
        <v>43</v>
      </c>
      <c r="C315" s="10" t="str">
        <f>'18'!D44</f>
        <v xml:space="preserve"> Public policy and regulations—on both EU and national  levels—could be an important driver for business by setting the goals and frameworks for  sustainability criteria (e.g. biodiversitydamage compensation ) </v>
      </c>
      <c r="D315" s="10" t="str">
        <f>'18'!E44</f>
        <v>F</v>
      </c>
      <c r="E315" s="10">
        <f>'18'!F44</f>
        <v>2</v>
      </c>
      <c r="F315" s="10">
        <f>'18'!G44</f>
        <v>2</v>
      </c>
    </row>
    <row r="316" spans="1:6" x14ac:dyDescent="0.35">
      <c r="A316" s="10">
        <f>'18'!A45</f>
        <v>18</v>
      </c>
      <c r="B316" s="10">
        <f>'18'!B45</f>
        <v>44</v>
      </c>
      <c r="C316" s="10" t="str">
        <f>'18'!D45</f>
        <v>lack of private sector regulation and inconsistent policies on NBS</v>
      </c>
      <c r="D316" s="10" t="str">
        <f>'18'!E45</f>
        <v>F</v>
      </c>
      <c r="E316" s="10">
        <f>'18'!F45</f>
        <v>2</v>
      </c>
      <c r="F316" s="10">
        <f>'18'!G45</f>
        <v>2</v>
      </c>
    </row>
    <row r="317" spans="1:6" x14ac:dyDescent="0.35">
      <c r="A317" s="10">
        <f>'18'!A46</f>
        <v>18</v>
      </c>
      <c r="B317" s="10">
        <f>'18'!B46</f>
        <v>45</v>
      </c>
      <c r="C317" s="10" t="str">
        <f>'18'!D46</f>
        <v>need for  industry standards to be developed as NBS market grows</v>
      </c>
      <c r="D317" s="10" t="str">
        <f>'18'!E46</f>
        <v>F</v>
      </c>
      <c r="E317" s="10">
        <f>'18'!F46</f>
        <v>2</v>
      </c>
      <c r="F317" s="10">
        <f>'18'!G46</f>
        <v>3</v>
      </c>
    </row>
    <row r="318" spans="1:6" x14ac:dyDescent="0.35">
      <c r="A318" s="10">
        <f>'18'!A47</f>
        <v>18</v>
      </c>
      <c r="B318" s="10">
        <f>'18'!B47</f>
        <v>46</v>
      </c>
      <c r="C318" s="10" t="str">
        <f>'18'!D47</f>
        <v xml:space="preserve">Complex to develop industry standards for NBS </v>
      </c>
      <c r="D318" s="10" t="str">
        <f>'18'!E47</f>
        <v>F</v>
      </c>
      <c r="E318" s="10">
        <f>'18'!F47</f>
        <v>2</v>
      </c>
      <c r="F318" s="10">
        <f>'18'!G47</f>
        <v>3</v>
      </c>
    </row>
    <row r="319" spans="1:6" x14ac:dyDescent="0.35">
      <c r="A319" s="10">
        <f>'18'!A48</f>
        <v>18</v>
      </c>
      <c r="B319" s="10">
        <f>'18'!B48</f>
        <v>47</v>
      </c>
      <c r="C319" s="10" t="str">
        <f>'18'!D48</f>
        <v xml:space="preserve">Need for awareness of industry standards and nbs principles among buyers of NBS </v>
      </c>
      <c r="D319" s="10" t="str">
        <f>'18'!E48</f>
        <v>F</v>
      </c>
      <c r="E319" s="10">
        <f>'18'!F48</f>
        <v>2</v>
      </c>
      <c r="F319" s="10">
        <f>'18'!G48</f>
        <v>3</v>
      </c>
    </row>
    <row r="320" spans="1:6" x14ac:dyDescent="0.35">
      <c r="A320" s="10">
        <f>'18'!A49</f>
        <v>18</v>
      </c>
      <c r="B320" s="10">
        <f>'18'!B49</f>
        <v>48</v>
      </c>
      <c r="C320" s="10" t="str">
        <f>'18'!D49</f>
        <v>public procurement criteria tend to be too narrowly focused on financial criteria and  do not adequately take into account the multiple benefits</v>
      </c>
      <c r="D320" s="10" t="str">
        <f>'18'!E49</f>
        <v>F</v>
      </c>
      <c r="E320" s="10">
        <f>'18'!F49</f>
        <v>2</v>
      </c>
      <c r="F320" s="10">
        <f>'18'!G49</f>
        <v>4</v>
      </c>
    </row>
    <row r="321" spans="1:6" x14ac:dyDescent="0.35">
      <c r="A321" s="10">
        <f>'18'!A50</f>
        <v>18</v>
      </c>
      <c r="B321" s="10">
        <f>'18'!B50</f>
        <v>49</v>
      </c>
      <c r="C321" s="10" t="str">
        <f>'18'!D50</f>
        <v xml:space="preserve"> lack of focus on environmental criteria in  public/private procurement policies</v>
      </c>
      <c r="D321" s="10" t="str">
        <f>'18'!E50</f>
        <v>F</v>
      </c>
      <c r="E321" s="10">
        <f>'18'!F50</f>
        <v>2</v>
      </c>
      <c r="F321" s="10">
        <f>'18'!G50</f>
        <v>4</v>
      </c>
    </row>
    <row r="322" spans="1:6" x14ac:dyDescent="0.35">
      <c r="A322" s="10">
        <f>'18'!A51</f>
        <v>18</v>
      </c>
      <c r="B322" s="10">
        <f>'18'!B51</f>
        <v>50</v>
      </c>
      <c r="C322" s="10" t="str">
        <f>'18'!D51</f>
        <v>conventional indicators of economic success</v>
      </c>
      <c r="D322" s="10" t="str">
        <f>'18'!E51</f>
        <v>F</v>
      </c>
      <c r="E322" s="10">
        <f>'18'!F51</f>
        <v>2</v>
      </c>
      <c r="F322" s="10">
        <f>'18'!G51</f>
        <v>4</v>
      </c>
    </row>
    <row r="323" spans="1:6" x14ac:dyDescent="0.35">
      <c r="A323" s="10">
        <f>'18'!A52</f>
        <v>18</v>
      </c>
      <c r="B323" s="10">
        <f>'18'!B52</f>
        <v>51</v>
      </c>
      <c r="C323" s="10" t="str">
        <f>'18'!D52</f>
        <v>risk aversion  to innovative solutions - reluctance of the public sector to commit to large-scale, longer-term investments</v>
      </c>
      <c r="D323" s="10" t="str">
        <f>'18'!E52</f>
        <v>F</v>
      </c>
      <c r="E323" s="10">
        <f>'18'!F52</f>
        <v>4</v>
      </c>
      <c r="F323" s="10">
        <f>'18'!G52</f>
        <v>2</v>
      </c>
    </row>
    <row r="324" spans="1:6" x14ac:dyDescent="0.35">
      <c r="A324" s="10">
        <f>'18'!A53</f>
        <v>18</v>
      </c>
      <c r="B324" s="10">
        <f>'18'!B53</f>
        <v>52</v>
      </c>
      <c r="C324" s="10" t="str">
        <f>'18'!D53</f>
        <v>scale is  often needed from the outset to achieve impact but public sector tends to roll out smaller pilots and gradually scale up</v>
      </c>
      <c r="D324" s="10" t="str">
        <f>'18'!E53</f>
        <v>F</v>
      </c>
      <c r="E324" s="10">
        <f>'18'!F53</f>
        <v>4</v>
      </c>
      <c r="F324" s="10">
        <f>'18'!G53</f>
        <v>2</v>
      </c>
    </row>
    <row r="325" spans="1:6" x14ac:dyDescent="0.35">
      <c r="A325" s="10">
        <f>'18'!A54</f>
        <v>18</v>
      </c>
      <c r="B325" s="10">
        <f>'18'!B54</f>
        <v>53</v>
      </c>
      <c r="C325" s="10" t="str">
        <f>'18'!D54</f>
        <v xml:space="preserve"> lack of alignment on success criteria with business  support structures prioritising economic performance indicators such as revenue or job  creation over environmental or social impact</v>
      </c>
      <c r="D325" s="10" t="str">
        <f>'18'!E54</f>
        <v>A</v>
      </c>
      <c r="E325" s="10">
        <f>'18'!F54</f>
        <v>1</v>
      </c>
      <c r="F325" s="10">
        <f>'18'!G54</f>
        <v>5</v>
      </c>
    </row>
    <row r="326" spans="1:6" x14ac:dyDescent="0.35">
      <c r="A326" s="10">
        <f>'18'!A55</f>
        <v>18</v>
      </c>
      <c r="B326" s="10">
        <f>'18'!B55</f>
        <v>54</v>
      </c>
      <c r="C326" s="10" t="str">
        <f>'18'!D55</f>
        <v>challenging markets for new products and services</v>
      </c>
      <c r="D326" s="10" t="str">
        <f>'18'!E55</f>
        <v>A</v>
      </c>
      <c r="E326" s="10">
        <f>'18'!F55</f>
        <v>1</v>
      </c>
      <c r="F326" s="10">
        <f>'18'!G55</f>
        <v>11</v>
      </c>
    </row>
    <row r="327" spans="1:6" x14ac:dyDescent="0.35">
      <c r="A327" s="10">
        <f>'18'!A56</f>
        <v>18</v>
      </c>
      <c r="B327" s="10">
        <f>'18'!B56</f>
        <v>55</v>
      </c>
      <c r="C327" s="10" t="str">
        <f>'18'!D56</f>
        <v xml:space="preserve">Investor confidence - lack off evidence base / no track record </v>
      </c>
      <c r="D327" s="10" t="str">
        <f>'18'!E56</f>
        <v>A</v>
      </c>
      <c r="E327" s="10">
        <f>'18'!F56</f>
        <v>2</v>
      </c>
      <c r="F327" s="10">
        <f>'18'!G56</f>
        <v>5</v>
      </c>
    </row>
    <row r="328" spans="1:6" x14ac:dyDescent="0.35">
      <c r="A328" s="10">
        <f>'18'!A57</f>
        <v>18</v>
      </c>
      <c r="B328" s="10">
        <f>'18'!B57</f>
        <v>56</v>
      </c>
      <c r="C328" s="10" t="str">
        <f>'18'!D57</f>
        <v xml:space="preserve">support from society/local communities = essential for new enetrepreneurs </v>
      </c>
      <c r="D328" s="10" t="str">
        <f>'18'!E57</f>
        <v>A</v>
      </c>
      <c r="E328" s="10">
        <f>'18'!F57</f>
        <v>1</v>
      </c>
      <c r="F328" s="10">
        <f>'18'!G57</f>
        <v>11</v>
      </c>
    </row>
    <row r="329" spans="1:6" x14ac:dyDescent="0.35">
      <c r="A329" s="10">
        <f>'18'!A58</f>
        <v>18</v>
      </c>
      <c r="B329" s="10">
        <f>'18'!B58</f>
        <v>57</v>
      </c>
      <c r="C329" s="10" t="str">
        <f>'18'!D58</f>
        <v xml:space="preserve">Presence of infrastructure (Enabling condition for business/enterprises) </v>
      </c>
      <c r="D329" s="10" t="str">
        <f>'18'!E58</f>
        <v>A</v>
      </c>
      <c r="E329" s="10">
        <f>'18'!F58</f>
        <v>1</v>
      </c>
      <c r="F329" s="10">
        <f>'18'!G58</f>
        <v>11</v>
      </c>
    </row>
    <row r="330" spans="1:6" x14ac:dyDescent="0.35">
      <c r="A330" s="10">
        <f>'18'!A59</f>
        <v>18</v>
      </c>
      <c r="B330" s="10">
        <f>'18'!B59</f>
        <v>58</v>
      </c>
      <c r="C330" s="10" t="str">
        <f>'18'!D59</f>
        <v xml:space="preserve">measuring impact and valuation  of outcomes for business/enterprise </v>
      </c>
      <c r="D330" s="10" t="str">
        <f>'18'!E59</f>
        <v>A</v>
      </c>
      <c r="E330" s="10">
        <f>'18'!F59</f>
        <v>1</v>
      </c>
      <c r="F330" s="10">
        <f>'18'!G59</f>
        <v>8</v>
      </c>
    </row>
    <row r="331" spans="1:6" x14ac:dyDescent="0.35">
      <c r="A331" s="10">
        <f>'18'!A60</f>
        <v>18</v>
      </c>
      <c r="B331" s="10">
        <f>'18'!B60</f>
        <v>59</v>
      </c>
      <c r="C331" s="10" t="str">
        <f>'18'!D60</f>
        <v>policy commitments not always resulting into action and investment due to lack of urgency, competition, silos</v>
      </c>
      <c r="D331" s="10" t="str">
        <f>'18'!E60</f>
        <v>F</v>
      </c>
      <c r="E331" s="10">
        <f>'18'!F60</f>
        <v>2</v>
      </c>
      <c r="F331" s="10">
        <f>'18'!G60</f>
        <v>2</v>
      </c>
    </row>
    <row r="332" spans="1:6" x14ac:dyDescent="0.35">
      <c r="A332" s="10">
        <f>'18'!A61</f>
        <v>18</v>
      </c>
      <c r="B332" s="10">
        <f>'18'!B61</f>
        <v>60</v>
      </c>
      <c r="C332" s="10" t="str">
        <f>'18'!D61</f>
        <v>difficult to use public procurement to implement nbs projects</v>
      </c>
      <c r="D332" s="10" t="str">
        <f>'18'!E61</f>
        <v>F</v>
      </c>
      <c r="E332" s="10">
        <f>'18'!F61</f>
        <v>2</v>
      </c>
      <c r="F332" s="10">
        <f>'18'!G61</f>
        <v>4</v>
      </c>
    </row>
    <row r="333" spans="1:6" x14ac:dyDescent="0.35">
      <c r="A333" s="10">
        <f>'18'!A62</f>
        <v>18</v>
      </c>
      <c r="B333" s="10">
        <f>'18'!B62</f>
        <v>61</v>
      </c>
      <c r="C333" s="10" t="str">
        <f>'18'!D62</f>
        <v xml:space="preserve">lack of specific regulation for a particular sector or fragmented/inconsistent regulation for  NBS </v>
      </c>
      <c r="D333" s="10" t="str">
        <f>'18'!E62</f>
        <v>F</v>
      </c>
      <c r="E333" s="10">
        <f>'18'!F62</f>
        <v>2</v>
      </c>
      <c r="F333" s="10">
        <f>'18'!G62</f>
        <v>3</v>
      </c>
    </row>
    <row r="334" spans="1:6" x14ac:dyDescent="0.35">
      <c r="A334" s="10">
        <f>'18'!A63</f>
        <v>18</v>
      </c>
      <c r="B334" s="10">
        <f>'18'!B63</f>
        <v>62</v>
      </c>
      <c r="C334" s="10" t="str">
        <f>'18'!D63</f>
        <v>NBE's report increase in enquiries  from corporates in nbs but level  of awareness seems quite superficial and low conversion rate from enquiries  to sales.</v>
      </c>
      <c r="D334" s="10" t="str">
        <f>'18'!E63</f>
        <v>A</v>
      </c>
      <c r="E334" s="10">
        <f>'18'!F63</f>
        <v>1</v>
      </c>
      <c r="F334" s="10">
        <f>'18'!G63</f>
        <v>7</v>
      </c>
    </row>
    <row r="335" spans="1:6" x14ac:dyDescent="0.35">
      <c r="A335" s="10">
        <f>'18'!A64</f>
        <v>18</v>
      </c>
      <c r="B335" s="10">
        <f>'18'!B64</f>
        <v>63</v>
      </c>
      <c r="C335" s="10" t="str">
        <f>'18'!D64</f>
        <v xml:space="preserve"> Levels of environmental awareness among the general public were more often identified as an enabler than a barrier by NBEs</v>
      </c>
      <c r="D335" s="10" t="str">
        <f>'18'!E64</f>
        <v>A</v>
      </c>
      <c r="E335" s="10">
        <f>'18'!F64</f>
        <v>1</v>
      </c>
      <c r="F335" s="10">
        <f>'18'!G64</f>
        <v>11</v>
      </c>
    </row>
    <row r="336" spans="1:6" x14ac:dyDescent="0.35">
      <c r="A336" s="10">
        <f>'18'!A65</f>
        <v>18</v>
      </c>
      <c r="B336" s="10">
        <f>'18'!B65</f>
        <v>64</v>
      </c>
      <c r="C336" s="10" t="str">
        <f>'18'!D65</f>
        <v>a lack of formal scientific research measuring the impacts of NBS and therefore a lack  of knowledge about effectiveness of NBS</v>
      </c>
      <c r="D336" s="10" t="str">
        <f>'18'!E65</f>
        <v>C</v>
      </c>
      <c r="E336" s="10">
        <f>'18'!F65</f>
        <v>1</v>
      </c>
      <c r="F336" s="10">
        <f>'18'!G65</f>
        <v>1</v>
      </c>
    </row>
    <row r="337" spans="1:6" x14ac:dyDescent="0.35">
      <c r="A337" s="10">
        <f>'18'!A66</f>
        <v>18</v>
      </c>
      <c r="B337" s="10">
        <f>'18'!B66</f>
        <v>65</v>
      </c>
      <c r="C337" s="10" t="str">
        <f>'18'!D66</f>
        <v>challenging to build a business case for NBS  relying on  anecdotal, informal evidence rather than scientific data</v>
      </c>
      <c r="D337" s="10" t="str">
        <f>'18'!E66</f>
        <v>C</v>
      </c>
      <c r="E337" s="10">
        <f>'18'!F66</f>
        <v>1</v>
      </c>
      <c r="F337" s="10">
        <f>'18'!G66</f>
        <v>1</v>
      </c>
    </row>
    <row r="338" spans="1:6" x14ac:dyDescent="0.35">
      <c r="A338" s="10">
        <f>'19'!A2</f>
        <v>19</v>
      </c>
      <c r="B338" s="10">
        <f>'19'!B2</f>
        <v>1</v>
      </c>
      <c r="C338" s="10" t="str">
        <f>'19'!D2</f>
        <v>allign with local (ecological) knowledge and cultural values</v>
      </c>
      <c r="D338" s="10" t="str">
        <f>'19'!E2</f>
        <v>C</v>
      </c>
      <c r="E338" s="10">
        <f>'19'!F2</f>
        <v>2</v>
      </c>
      <c r="F338" s="10">
        <f>'19'!G2</f>
        <v>2</v>
      </c>
    </row>
    <row r="339" spans="1:6" x14ac:dyDescent="0.35">
      <c r="A339" s="10">
        <f>'19'!A3</f>
        <v>19</v>
      </c>
      <c r="B339" s="10">
        <f>'19'!B3</f>
        <v>2</v>
      </c>
      <c r="C339" s="10" t="str">
        <f>'19'!D3</f>
        <v>integrating blue carbon into nationally determined contributions (NDC) requires mapping and quantifying location and abundance of BC habitats and amounts</v>
      </c>
      <c r="D339" s="10" t="str">
        <f>'19'!E3</f>
        <v>C</v>
      </c>
      <c r="E339" s="10">
        <f>'19'!F3</f>
        <v>2</v>
      </c>
      <c r="F339" s="10">
        <f>'19'!G3</f>
        <v>2</v>
      </c>
    </row>
    <row r="340" spans="1:6" x14ac:dyDescent="0.35">
      <c r="A340" s="10">
        <f>'19'!A4</f>
        <v>19</v>
      </c>
      <c r="B340" s="10">
        <f>'19'!B4</f>
        <v>3</v>
      </c>
      <c r="C340" s="10" t="str">
        <f>'19'!D4</f>
        <v>allignment of blue carbon ecosystem management with local knowledge and values</v>
      </c>
      <c r="D340" s="10" t="str">
        <f>'19'!E4</f>
        <v>C</v>
      </c>
      <c r="E340" s="10">
        <f>'19'!F4</f>
        <v>2</v>
      </c>
      <c r="F340" s="10">
        <f>'19'!G4</f>
        <v>2</v>
      </c>
    </row>
    <row r="341" spans="1:6" x14ac:dyDescent="0.35">
      <c r="A341" s="10">
        <f>'19'!A5</f>
        <v>19</v>
      </c>
      <c r="B341" s="10">
        <f>'19'!B5</f>
        <v>4</v>
      </c>
      <c r="C341" s="10" t="str">
        <f>'19'!D5</f>
        <v xml:space="preserve">lack of understanding by policymakers of how socio-ecological  resilience can be integrated into current environmental  governance frameworks leads to underutilization of existing environmental laws </v>
      </c>
      <c r="D341" s="10" t="str">
        <f>'19'!E5</f>
        <v>C</v>
      </c>
      <c r="E341" s="10">
        <f>'19'!F5</f>
        <v>3</v>
      </c>
      <c r="F341" s="10">
        <f>'19'!G5</f>
        <v>2</v>
      </c>
    </row>
    <row r="342" spans="1:6" x14ac:dyDescent="0.35">
      <c r="A342" s="10">
        <f>'19'!A6</f>
        <v>19</v>
      </c>
      <c r="B342" s="10">
        <f>'19'!B6</f>
        <v>5</v>
      </c>
      <c r="C342" s="10" t="str">
        <f>'19'!D6</f>
        <v>mobilize finance(private &amp; public) in allignment with preserving national sovereignity/social and cultural values in market valuations, and not increasing debt burdens</v>
      </c>
      <c r="D342" s="10" t="str">
        <f>'19'!E6</f>
        <v>A</v>
      </c>
      <c r="E342" s="10">
        <f>'19'!F6</f>
        <v>4</v>
      </c>
      <c r="F342" s="10">
        <f>'19'!G6</f>
        <v>3</v>
      </c>
    </row>
    <row r="343" spans="1:6" x14ac:dyDescent="0.35">
      <c r="A343" s="10">
        <f>'19'!A7</f>
        <v>19</v>
      </c>
      <c r="B343" s="10">
        <f>'19'!B7</f>
        <v>6</v>
      </c>
      <c r="C343" s="10" t="str">
        <f>'19'!D7</f>
        <v>public finance form developed to developing countries has fallen short of what is needed/promissed</v>
      </c>
      <c r="D343" s="10" t="str">
        <f>'19'!E7</f>
        <v>A</v>
      </c>
      <c r="E343" s="10">
        <f>'19'!F7</f>
        <v>4</v>
      </c>
      <c r="F343" s="10">
        <f>'19'!G7</f>
        <v>1</v>
      </c>
    </row>
    <row r="344" spans="1:6" x14ac:dyDescent="0.35">
      <c r="A344" s="10">
        <f>'19'!A8</f>
        <v>19</v>
      </c>
      <c r="B344" s="10">
        <f>'19'!B8</f>
        <v>7</v>
      </c>
      <c r="C344" s="10" t="str">
        <f>'19'!D8</f>
        <v>type or souce of financing not specified in paris agreement</v>
      </c>
      <c r="D344" s="10" t="str">
        <f>'19'!E8</f>
        <v>A</v>
      </c>
      <c r="E344" s="10">
        <f>'19'!F8</f>
        <v>4</v>
      </c>
      <c r="F344" s="10">
        <f>'19'!G8</f>
        <v>2</v>
      </c>
    </row>
    <row r="345" spans="1:6" x14ac:dyDescent="0.35">
      <c r="A345" s="10">
        <f>'19'!A9</f>
        <v>19</v>
      </c>
      <c r="B345" s="10">
        <f>'19'!B9</f>
        <v>8</v>
      </c>
      <c r="C345" s="10" t="str">
        <f>'19'!D9</f>
        <v>no agreed methodology for tracking climate finance - makes it difficult to hold developed countries accountable to meet their obligations</v>
      </c>
      <c r="D345" s="10" t="str">
        <f>'19'!E9</f>
        <v>A</v>
      </c>
      <c r="E345" s="10">
        <f>'19'!F9</f>
        <v>4</v>
      </c>
      <c r="F345" s="10">
        <f>'19'!G9</f>
        <v>2</v>
      </c>
    </row>
    <row r="346" spans="1:6" x14ac:dyDescent="0.35">
      <c r="A346" s="10">
        <f>'19'!A10</f>
        <v>19</v>
      </c>
      <c r="B346" s="10">
        <f>'19'!B10</f>
        <v>9</v>
      </c>
      <c r="C346" s="10" t="str">
        <f>'19'!D10</f>
        <v>allignement of specific strategies (eg. Blue carbon) with laws, policies, community needs and co-governance structures</v>
      </c>
      <c r="D346" s="10" t="str">
        <f>'19'!E10</f>
        <v>F</v>
      </c>
      <c r="E346" s="10">
        <f>'19'!F10</f>
        <v>3</v>
      </c>
      <c r="F346" s="10">
        <f>'19'!G10</f>
        <v>3</v>
      </c>
    </row>
    <row r="347" spans="1:6" x14ac:dyDescent="0.35">
      <c r="A347" s="10">
        <f>'19'!A11</f>
        <v>19</v>
      </c>
      <c r="B347" s="10">
        <f>'19'!B11</f>
        <v>10</v>
      </c>
      <c r="C347" s="10" t="str">
        <f>'19'!D11</f>
        <v>Existing law and policy boundaries can be  synthesized toward identifying areas that provide flexibility for  the inclusion of blue carbon science into policy</v>
      </c>
      <c r="D347" s="10" t="str">
        <f>'19'!E11</f>
        <v>F</v>
      </c>
      <c r="E347" s="10">
        <f>'19'!F11</f>
        <v>2</v>
      </c>
      <c r="F347" s="10">
        <f>'19'!G11</f>
        <v>2</v>
      </c>
    </row>
    <row r="348" spans="1:6" x14ac:dyDescent="0.35">
      <c r="A348" s="10">
        <f>'19'!A12</f>
        <v>19</v>
      </c>
      <c r="B348" s="10">
        <f>'19'!B12</f>
        <v>11</v>
      </c>
      <c r="C348" s="10" t="str">
        <f>'19'!D12</f>
        <v xml:space="preserve"> laws and policies could center further on the  rights of the communities disproportionately more vulnerable to  major disturbances</v>
      </c>
      <c r="D348" s="10" t="str">
        <f>'19'!E12</f>
        <v>F</v>
      </c>
      <c r="E348" s="10">
        <f>'19'!F12</f>
        <v>2</v>
      </c>
      <c r="F348" s="10">
        <f>'19'!G12</f>
        <v>2</v>
      </c>
    </row>
    <row r="349" spans="1:6" x14ac:dyDescent="0.35">
      <c r="A349" s="10">
        <f>'19'!A13</f>
        <v>19</v>
      </c>
      <c r="B349" s="10">
        <f>'19'!B13</f>
        <v>12</v>
      </c>
      <c r="C349" s="10" t="str">
        <f>'19'!D13</f>
        <v xml:space="preserve">laws and policies for the uptake of blue carbon require further allignment with community-defined needs. </v>
      </c>
      <c r="D349" s="10" t="str">
        <f>'19'!E13</f>
        <v>F</v>
      </c>
      <c r="E349" s="10">
        <f>'19'!F13</f>
        <v>2</v>
      </c>
      <c r="F349" s="10">
        <f>'19'!G13</f>
        <v>2</v>
      </c>
    </row>
    <row r="350" spans="1:6" x14ac:dyDescent="0.35">
      <c r="A350" s="10">
        <f>'19'!A14</f>
        <v>19</v>
      </c>
      <c r="B350" s="10">
        <f>'19'!B14</f>
        <v>13</v>
      </c>
      <c r="C350" s="10" t="str">
        <f>'19'!D14</f>
        <v>public  and private sector climate-just financing should acknowledge  the legacy of colonialism</v>
      </c>
      <c r="D350" s="10" t="str">
        <f>'19'!E14</f>
        <v>A</v>
      </c>
      <c r="E350" s="10">
        <f>'19'!F14</f>
        <v>4</v>
      </c>
      <c r="F350" s="10">
        <f>'19'!G14</f>
        <v>3</v>
      </c>
    </row>
    <row r="351" spans="1:6" x14ac:dyDescent="0.35">
      <c r="A351" s="10">
        <f>'19'!A15</f>
        <v>19</v>
      </c>
      <c r="B351" s="10">
        <f>'19'!B15</f>
        <v>14</v>
      </c>
      <c r="C351" s="10" t="str">
        <f>'19'!D15</f>
        <v>price of carbon too low (climate finance context) leaving funding gap for ecosystgem conservation</v>
      </c>
      <c r="D351" s="10" t="str">
        <f>'19'!E15</f>
        <v>A</v>
      </c>
      <c r="E351" s="10">
        <f>'19'!F15</f>
        <v>4</v>
      </c>
      <c r="F351" s="10">
        <f>'19'!G15</f>
        <v>3</v>
      </c>
    </row>
    <row r="352" spans="1:6" x14ac:dyDescent="0.35">
      <c r="A352" s="10">
        <f>'19'!A16</f>
        <v>19</v>
      </c>
      <c r="B352" s="10">
        <f>'19'!B16</f>
        <v>15</v>
      </c>
      <c r="C352" s="10" t="str">
        <f>'19'!D16</f>
        <v xml:space="preserve">resistance to commodification and sale of ESS </v>
      </c>
      <c r="D352" s="10" t="str">
        <f>'19'!E16</f>
        <v>A</v>
      </c>
      <c r="E352" s="10">
        <f>'19'!F16</f>
        <v>4</v>
      </c>
      <c r="F352" s="10">
        <f>'19'!G16</f>
        <v>3</v>
      </c>
    </row>
    <row r="353" spans="1:6" x14ac:dyDescent="0.35">
      <c r="A353" s="10">
        <f>'20'!A2</f>
        <v>20</v>
      </c>
      <c r="B353" s="10">
        <f>'20'!B2</f>
        <v>1</v>
      </c>
      <c r="C353" s="10" t="str">
        <f>'20'!D2</f>
        <v>NBS often represent local public goods - benefiting some citizen groups more than others - impacting election success of public actors</v>
      </c>
      <c r="D353" s="10" t="str">
        <f>'20'!E2</f>
        <v>E</v>
      </c>
      <c r="E353" s="10">
        <f>'20'!F2</f>
        <v>0</v>
      </c>
      <c r="F353" s="10">
        <f>'20'!G2</f>
        <v>1</v>
      </c>
    </row>
    <row r="354" spans="1:6" x14ac:dyDescent="0.35">
      <c r="A354" s="10">
        <f>'20'!A3</f>
        <v>20</v>
      </c>
      <c r="B354" s="10">
        <f>'20'!B3</f>
        <v>2</v>
      </c>
      <c r="C354" s="10" t="str">
        <f>'20'!D3</f>
        <v>limited municipal spending autonomy and lack of fiscal transfers to a local level, leading to municipal budget constraints and low NBS public investment level</v>
      </c>
      <c r="D354" s="10" t="str">
        <f>'20'!E3</f>
        <v>A</v>
      </c>
      <c r="E354" s="10">
        <f>'20'!F3</f>
        <v>1</v>
      </c>
      <c r="F354" s="10">
        <f>'20'!G3</f>
        <v>2</v>
      </c>
    </row>
    <row r="355" spans="1:6" x14ac:dyDescent="0.35">
      <c r="A355" s="10">
        <f>'20'!A4</f>
        <v>20</v>
      </c>
      <c r="B355" s="10">
        <f>'20'!B4</f>
        <v>3</v>
      </c>
      <c r="C355" s="10" t="str">
        <f>'20'!D4</f>
        <v xml:space="preserve"> Lack of entry of large, traditional players may slow the scaling up</v>
      </c>
      <c r="D355" s="10" t="str">
        <f>'20'!E4</f>
        <v>A</v>
      </c>
      <c r="E355" s="10">
        <f>'20'!F4</f>
        <v>2</v>
      </c>
      <c r="F355" s="10">
        <f>'20'!G4</f>
        <v>1</v>
      </c>
    </row>
    <row r="356" spans="1:6" x14ac:dyDescent="0.35">
      <c r="A356" s="10">
        <f>'20'!A5</f>
        <v>20</v>
      </c>
      <c r="B356" s="10">
        <f>'20'!B5</f>
        <v>4</v>
      </c>
      <c r="C356" s="10" t="str">
        <f>'20'!D5</f>
        <v xml:space="preserve"> multiple benefits that are generated by NBS make it difficult to finance, as all need to be considered to show the ‘superiority’ of the NBS as an intervention as opposed to other (grey) infrastructure investments</v>
      </c>
      <c r="D356" s="10" t="str">
        <f>'20'!E5</f>
        <v>A</v>
      </c>
      <c r="E356" s="10">
        <f>'20'!F5</f>
        <v>2</v>
      </c>
      <c r="F356" s="10">
        <f>'20'!G5</f>
        <v>4</v>
      </c>
    </row>
    <row r="357" spans="1:6" x14ac:dyDescent="0.35">
      <c r="A357" s="10">
        <f>'20'!A6</f>
        <v>20</v>
      </c>
      <c r="B357" s="10">
        <f>'20'!B6</f>
        <v>5</v>
      </c>
      <c r="C357" s="10" t="str">
        <f>'20'!D6</f>
        <v>urban regeneration projects are often perceived by private investors as high risk due to a lack of information about the underlying value of assets</v>
      </c>
      <c r="D357" s="10" t="str">
        <f>'20'!E6</f>
        <v>A</v>
      </c>
      <c r="E357" s="10">
        <f>'20'!F6</f>
        <v>2</v>
      </c>
      <c r="F357" s="10">
        <f>'20'!G6</f>
        <v>4</v>
      </c>
    </row>
    <row r="358" spans="1:6" x14ac:dyDescent="0.35">
      <c r="A358" s="10">
        <f>'20'!A7</f>
        <v>20</v>
      </c>
      <c r="B358" s="10">
        <f>'20'!B7</f>
        <v>6</v>
      </c>
      <c r="C358" s="10" t="str">
        <f>'20'!D7</f>
        <v xml:space="preserve">profit making acticvities prioritized (by government and private porject developers) favouring real estate devlopment over infrastructure </v>
      </c>
      <c r="D358" s="10" t="str">
        <f>'20'!E7</f>
        <v>F</v>
      </c>
      <c r="E358" s="10">
        <f>'20'!F7</f>
        <v>5</v>
      </c>
      <c r="F358" s="10">
        <f>'20'!G7</f>
        <v>1</v>
      </c>
    </row>
    <row r="359" spans="1:6" x14ac:dyDescent="0.35">
      <c r="A359" s="10">
        <f>'20'!A8</f>
        <v>20</v>
      </c>
      <c r="B359" s="10">
        <f>'20'!B8</f>
        <v>7</v>
      </c>
      <c r="C359" s="10" t="str">
        <f>'20'!D8</f>
        <v xml:space="preserve"> departments within a local governments often have a singular societal objective, which by itself ren- ders NBS an unattractive investment option</v>
      </c>
      <c r="D359" s="10" t="str">
        <f>'20'!E8</f>
        <v>F</v>
      </c>
      <c r="E359" s="10">
        <f>'20'!F8</f>
        <v>1</v>
      </c>
      <c r="F359" s="10">
        <f>'20'!G8</f>
        <v>1</v>
      </c>
    </row>
    <row r="360" spans="1:6" x14ac:dyDescent="0.35">
      <c r="A360" s="10">
        <f>'20'!A9</f>
        <v>20</v>
      </c>
      <c r="B360" s="10">
        <f>'20'!B9</f>
        <v>8</v>
      </c>
      <c r="C360" s="10" t="str">
        <f>'20'!D9</f>
        <v>private bodies have a higher incentive to provide standard solutions at reliable profits than to present innovative solutions.</v>
      </c>
      <c r="D360" s="10" t="str">
        <f>'20'!E9</f>
        <v>A</v>
      </c>
      <c r="E360" s="10">
        <f>'20'!F9</f>
        <v>1</v>
      </c>
      <c r="F360" s="10">
        <f>'20'!G9</f>
        <v>6</v>
      </c>
    </row>
    <row r="361" spans="1:6" x14ac:dyDescent="0.35">
      <c r="A361" s="10">
        <f>'20'!A10</f>
        <v>20</v>
      </c>
      <c r="B361" s="10">
        <f>'20'!B10</f>
        <v>9</v>
      </c>
      <c r="C361" s="10" t="str">
        <f>'20'!D10</f>
        <v>private actor involvement tends to be motivated by effeciency - faster and better delivery of such public services</v>
      </c>
      <c r="D361" s="10" t="str">
        <f>'20'!E10</f>
        <v>A</v>
      </c>
      <c r="E361" s="10">
        <f>'20'!F10</f>
        <v>1</v>
      </c>
      <c r="F361" s="10">
        <f>'20'!G10</f>
        <v>6</v>
      </c>
    </row>
    <row r="362" spans="1:6" x14ac:dyDescent="0.35">
      <c r="A362" s="10">
        <f>'20'!A11</f>
        <v>20</v>
      </c>
      <c r="B362" s="10">
        <f>'20'!B11</f>
        <v>10</v>
      </c>
      <c r="C362" s="10" t="str">
        <f>'20'!D11</f>
        <v>private actor involvement can allow for different mechanisms - levying user charges would create better incentives between providers and consumers</v>
      </c>
      <c r="D362" s="10" t="str">
        <f>'20'!E11</f>
        <v>F</v>
      </c>
      <c r="E362" s="10">
        <f>'20'!F11</f>
        <v>3</v>
      </c>
      <c r="F362" s="10">
        <f>'20'!G11</f>
        <v>3</v>
      </c>
    </row>
    <row r="363" spans="1:6" x14ac:dyDescent="0.35">
      <c r="A363" s="10">
        <f>'20'!A12</f>
        <v>20</v>
      </c>
      <c r="B363" s="10">
        <f>'20'!B12</f>
        <v>11</v>
      </c>
      <c r="C363" s="10" t="str">
        <f>'20'!D12</f>
        <v>private actor involvement allows for better risk sharing of long-term, illiquid infrastructure investments</v>
      </c>
      <c r="D363" s="10" t="str">
        <f>'20'!E12</f>
        <v>F</v>
      </c>
      <c r="E363" s="10">
        <f>'20'!F12</f>
        <v>3</v>
      </c>
      <c r="F363" s="10">
        <f>'20'!G12</f>
        <v>3</v>
      </c>
    </row>
    <row r="364" spans="1:6" x14ac:dyDescent="0.35">
      <c r="A364" s="10">
        <f>'20'!A13</f>
        <v>20</v>
      </c>
      <c r="B364" s="10">
        <f>'20'!B13</f>
        <v>12</v>
      </c>
      <c r="C364" s="10" t="str">
        <f>'20'!D13</f>
        <v>privatization of public infrastructure could lead to higher costs for citizens</v>
      </c>
      <c r="D364" s="10" t="str">
        <f>'20'!E13</f>
        <v>A</v>
      </c>
      <c r="E364" s="10">
        <f>'20'!F13</f>
        <v>1</v>
      </c>
      <c r="F364" s="10">
        <f>'20'!G13</f>
        <v>10</v>
      </c>
    </row>
    <row r="365" spans="1:6" x14ac:dyDescent="0.35">
      <c r="A365" s="10">
        <f>'20'!A14</f>
        <v>20</v>
      </c>
      <c r="B365" s="10">
        <f>'20'!B14</f>
        <v>13</v>
      </c>
      <c r="C365" s="10" t="str">
        <f>'20'!D14</f>
        <v xml:space="preserve"> dominant valuation and accounting methodologies inable to value and account for benefits created by NBS interventions</v>
      </c>
      <c r="D365" s="10" t="str">
        <f>'20'!E14</f>
        <v>F</v>
      </c>
      <c r="E365" s="10">
        <f>'20'!F14</f>
        <v>2</v>
      </c>
      <c r="F365" s="10">
        <f>'20'!G14</f>
        <v>1</v>
      </c>
    </row>
    <row r="366" spans="1:6" x14ac:dyDescent="0.35">
      <c r="A366" s="10">
        <f>'20'!A15</f>
        <v>20</v>
      </c>
      <c r="B366" s="10">
        <f>'20'!B15</f>
        <v>14</v>
      </c>
      <c r="C366" s="10" t="str">
        <f>'20'!D15</f>
        <v xml:space="preserve"> discounting of future values implies that the long-term benefit is often not weighted strongly in current financing decisions, which leads to economic, sus- tainability and ethical considerations</v>
      </c>
      <c r="D366" s="10" t="str">
        <f>'20'!E15</f>
        <v>F</v>
      </c>
      <c r="E366" s="10">
        <f>'20'!F15</f>
        <v>2</v>
      </c>
      <c r="F366" s="10">
        <f>'20'!G15</f>
        <v>1</v>
      </c>
    </row>
    <row r="367" spans="1:6" x14ac:dyDescent="0.35">
      <c r="A367" s="10">
        <f>'20'!A16</f>
        <v>20</v>
      </c>
      <c r="B367" s="10">
        <f>'20'!B16</f>
        <v>15</v>
      </c>
      <c r="C367" s="10" t="str">
        <f>'20'!D16</f>
        <v xml:space="preserve"> ‘new public management’, where the government takes a step back to outsource to, or partner with, private entities - expectation of more efficient and innovative delivery modes of public services</v>
      </c>
      <c r="D367" s="10" t="str">
        <f>'20'!E16</f>
        <v>F</v>
      </c>
      <c r="E367" s="10">
        <f>'20'!F16</f>
        <v>3</v>
      </c>
      <c r="F367" s="10">
        <f>'20'!G16</f>
        <v>3</v>
      </c>
    </row>
    <row r="368" spans="1:6" x14ac:dyDescent="0.35">
      <c r="A368" s="10">
        <f>'20'!A17</f>
        <v>20</v>
      </c>
      <c r="B368" s="10">
        <f>'20'!B17</f>
        <v>16</v>
      </c>
      <c r="C368" s="10" t="str">
        <f>'20'!D17</f>
        <v>volatile rental markets in regenation areas create insecurity regarding ex- pected profits.</v>
      </c>
      <c r="D368" s="10" t="str">
        <f>'20'!E17</f>
        <v>A</v>
      </c>
      <c r="E368" s="10">
        <f>'20'!F17</f>
        <v>1</v>
      </c>
      <c r="F368" s="10">
        <f>'20'!G17</f>
        <v>11</v>
      </c>
    </row>
    <row r="369" spans="1:6" x14ac:dyDescent="0.35">
      <c r="A369" s="10">
        <f>'20'!A18</f>
        <v>20</v>
      </c>
      <c r="B369" s="10">
        <f>'20'!B18</f>
        <v>17</v>
      </c>
      <c r="C369" s="10" t="str">
        <f>'20'!D18</f>
        <v>difficulty of translating NBS benefits into monetary units leading to underinvestment in and overexploitation of natural resources</v>
      </c>
      <c r="D369" s="10" t="str">
        <f>'20'!E18</f>
        <v>A</v>
      </c>
      <c r="E369" s="10">
        <f>'20'!F18</f>
        <v>1</v>
      </c>
      <c r="F369" s="10">
        <f>'20'!G18</f>
        <v>8</v>
      </c>
    </row>
    <row r="370" spans="1:6" x14ac:dyDescent="0.35">
      <c r="A370" s="10">
        <f>'20'!A19</f>
        <v>20</v>
      </c>
      <c r="B370" s="10">
        <f>'20'!B19</f>
        <v>18</v>
      </c>
      <c r="C370" s="10" t="str">
        <f>'20'!D19</f>
        <v xml:space="preserve">creating better reporting and accounting frameworks may lead to reinforces business as usual </v>
      </c>
      <c r="D370" s="10" t="str">
        <f>'20'!E19</f>
        <v>A</v>
      </c>
      <c r="E370" s="10">
        <f>'20'!F19</f>
        <v>1</v>
      </c>
      <c r="F370" s="10">
        <f>'20'!G19</f>
        <v>4</v>
      </c>
    </row>
    <row r="371" spans="1:6" x14ac:dyDescent="0.35">
      <c r="A371" s="10">
        <f>'20'!A20</f>
        <v>20</v>
      </c>
      <c r="B371" s="10">
        <f>'20'!B20</f>
        <v>19</v>
      </c>
      <c r="C371" s="10" t="str">
        <f>'20'!D20</f>
        <v xml:space="preserve">Resistance to alternative investment strategies of traditional financial players (such as pension funds) </v>
      </c>
      <c r="D371" s="10" t="str">
        <f>'20'!E20</f>
        <v>A</v>
      </c>
      <c r="E371" s="10">
        <f>'20'!F20</f>
        <v>2</v>
      </c>
      <c r="F371" s="10">
        <f>'20'!G20</f>
        <v>6</v>
      </c>
    </row>
    <row r="372" spans="1:6" x14ac:dyDescent="0.35">
      <c r="A372" s="10">
        <f>'21'!A2</f>
        <v>21</v>
      </c>
      <c r="B372" s="10">
        <f>'21'!B2</f>
        <v>1</v>
      </c>
      <c r="C372" s="10" t="str">
        <f>'21'!D2</f>
        <v>limited awareness of the relevance of urban NBS for several policy goals</v>
      </c>
      <c r="D372" s="10" t="str">
        <f>'21'!E2</f>
        <v>D</v>
      </c>
      <c r="E372" s="10">
        <f>'21'!F2</f>
        <v>0</v>
      </c>
      <c r="F372" s="10">
        <f>'21'!G2</f>
        <v>3</v>
      </c>
    </row>
    <row r="373" spans="1:6" x14ac:dyDescent="0.35">
      <c r="A373" s="10">
        <f>'21'!A3</f>
        <v>21</v>
      </c>
      <c r="B373" s="10">
        <f>'21'!B3</f>
        <v>2</v>
      </c>
      <c r="C373" s="10" t="str">
        <f>'21'!D3</f>
        <v xml:space="preserve"> lack of knowledge and   knowledge exchange on urban NBS   performance</v>
      </c>
      <c r="D373" s="10" t="str">
        <f>'21'!E3</f>
        <v>C</v>
      </c>
      <c r="E373" s="10">
        <f>'21'!F3</f>
        <v>1</v>
      </c>
      <c r="F373" s="10">
        <f>'21'!G3</f>
        <v>1</v>
      </c>
    </row>
    <row r="374" spans="1:6" x14ac:dyDescent="0.35">
      <c r="A374" s="10">
        <f>'21'!A4</f>
        <v>21</v>
      </c>
      <c r="B374" s="10">
        <f>'21'!B4</f>
        <v>3</v>
      </c>
      <c r="C374" s="10" t="str">
        <f>'21'!D4</f>
        <v xml:space="preserve"> lack of public funding and municipal capacity.</v>
      </c>
      <c r="D374" s="10" t="str">
        <f>'21'!E4</f>
        <v>A</v>
      </c>
      <c r="E374" s="10">
        <f>'21'!F4</f>
        <v>1</v>
      </c>
      <c r="F374" s="10">
        <f>'21'!G4</f>
        <v>1</v>
      </c>
    </row>
    <row r="375" spans="1:6" x14ac:dyDescent="0.35">
      <c r="A375" s="10">
        <f>'21'!A5</f>
        <v>21</v>
      </c>
      <c r="B375" s="10">
        <f>'21'!B5</f>
        <v>4</v>
      </c>
      <c r="C375" s="10" t="str">
        <f>'21'!D5</f>
        <v>funding   and access to resources is often identified as an important enabler of   sustainability transitions</v>
      </c>
      <c r="D375" s="10" t="str">
        <f>'21'!E5</f>
        <v>A</v>
      </c>
      <c r="E375" s="10">
        <f>'21'!F5</f>
        <v>1</v>
      </c>
      <c r="F375" s="10">
        <f>'21'!G5</f>
        <v>1</v>
      </c>
    </row>
    <row r="376" spans="1:6" x14ac:dyDescent="0.35">
      <c r="A376" s="10">
        <f>'21'!A6</f>
        <v>21</v>
      </c>
      <c r="B376" s="10">
        <f>'21'!B6</f>
        <v>5</v>
      </c>
      <c r="C376" s="10" t="str">
        <f>'21'!D6</f>
        <v xml:space="preserve"> NBS implementation, maintenance, and   mainstreaming often suffer from a lack of   public funding and municipal capacity.</v>
      </c>
      <c r="D376" s="10" t="str">
        <f>'21'!E6</f>
        <v>A</v>
      </c>
      <c r="E376" s="10">
        <f>'21'!F6</f>
        <v>1</v>
      </c>
      <c r="F376" s="10">
        <f>'21'!G6</f>
        <v>1</v>
      </c>
    </row>
    <row r="377" spans="1:6" x14ac:dyDescent="0.35">
      <c r="A377" s="10">
        <f>'21'!A7</f>
        <v>21</v>
      </c>
      <c r="B377" s="10">
        <f>'21'!B7</f>
        <v>6</v>
      </c>
      <c r="C377" s="10" t="str">
        <f>'21'!D7</f>
        <v>sceptical about costs, performance, and profitable business models of NBS and are therefore less willing to engage or invest.</v>
      </c>
      <c r="D377" s="10" t="str">
        <f>'21'!E7</f>
        <v>A</v>
      </c>
      <c r="E377" s="10">
        <f>'21'!F7</f>
        <v>2</v>
      </c>
      <c r="F377" s="10">
        <f>'21'!G7</f>
        <v>5</v>
      </c>
    </row>
    <row r="378" spans="1:6" x14ac:dyDescent="0.35">
      <c r="A378" s="10">
        <f>'21'!A8</f>
        <v>21</v>
      </c>
      <c r="B378" s="10">
        <f>'21'!B8</f>
        <v>7</v>
      </c>
      <c r="C378" s="10" t="str">
        <f>'21'!D8</f>
        <v xml:space="preserve">financial system as a separate functional domain with its own selection environment,   actors, practices, rules and routines . Mainstream selection processes in the financial sector, such as risk assessment   methodologies, can prevent the break-through of innovations </v>
      </c>
      <c r="D378" s="10" t="str">
        <f>'21'!E8</f>
        <v>A</v>
      </c>
      <c r="E378" s="10">
        <f>'21'!F8</f>
        <v>2</v>
      </c>
      <c r="F378" s="10">
        <f>'21'!G8</f>
        <v>6</v>
      </c>
    </row>
    <row r="379" spans="1:6" x14ac:dyDescent="0.35">
      <c r="A379" s="10">
        <f>'21'!A9</f>
        <v>21</v>
      </c>
      <c r="B379" s="10">
        <f>'21'!B9</f>
        <v>8</v>
      </c>
      <c r="C379" s="10" t="str">
        <f>'21'!D9</f>
        <v xml:space="preserve">competition  over land use in dense urban environment with other functions innovations  </v>
      </c>
      <c r="D379" s="10" t="str">
        <f>'21'!E9</f>
        <v>F</v>
      </c>
      <c r="E379" s="10">
        <f>'21'!F9</f>
        <v>5</v>
      </c>
      <c r="F379" s="10">
        <f>'21'!G9</f>
        <v>2</v>
      </c>
    </row>
    <row r="380" spans="1:6" x14ac:dyDescent="0.35">
      <c r="A380" s="10">
        <f>'21'!A10</f>
        <v>21</v>
      </c>
      <c r="B380" s="10">
        <f>'21'!B10</f>
        <v>9</v>
      </c>
      <c r="C380" s="10" t="str">
        <f>'21'!D10</f>
        <v>Competition over urban space NBS may compete with other urban   functions and sustainability innovations   over land use in dense urban   environments.</v>
      </c>
      <c r="D380" s="10" t="str">
        <f>'21'!E10</f>
        <v>F</v>
      </c>
      <c r="E380" s="10">
        <f>'21'!F10</f>
        <v>5</v>
      </c>
      <c r="F380" s="10">
        <f>'21'!G10</f>
        <v>2</v>
      </c>
    </row>
    <row r="381" spans="1:6" x14ac:dyDescent="0.35">
      <c r="A381" s="10">
        <f>'21'!A11</f>
        <v>21</v>
      </c>
      <c r="B381" s="10">
        <f>'21'!B11</f>
        <v>10</v>
      </c>
      <c r="C381" s="10" t="str">
        <f>'21'!D11</f>
        <v>joint action needed to invest in and develop NBS as the deliver multiple benefits simultaneously and tend to cross organisational and jurisdictional boundaries</v>
      </c>
      <c r="D381" s="10" t="str">
        <f>'21'!E11</f>
        <v>F</v>
      </c>
      <c r="E381" s="10">
        <f>'21'!F11</f>
        <v>1</v>
      </c>
      <c r="F381" s="10">
        <f>'21'!G11</f>
        <v>1</v>
      </c>
    </row>
    <row r="382" spans="1:6" x14ac:dyDescent="0.35">
      <c r="A382" s="10">
        <f>'21'!A12</f>
        <v>21</v>
      </c>
      <c r="B382" s="10">
        <f>'21'!B12</f>
        <v>11</v>
      </c>
      <c r="C382" s="10" t="str">
        <f>'21'!D12</f>
        <v xml:space="preserve">necessary citizen engagement to align NBS to environmental, physical and social context is insufficient </v>
      </c>
      <c r="D382" s="10" t="str">
        <f>'21'!E12</f>
        <v>C</v>
      </c>
      <c r="E382" s="10">
        <f>'21'!F12</f>
        <v>2</v>
      </c>
      <c r="F382" s="10">
        <f>'21'!G12</f>
        <v>2</v>
      </c>
    </row>
    <row r="383" spans="1:6" x14ac:dyDescent="0.35">
      <c r="A383" s="10">
        <f>'21'!A13</f>
        <v>21</v>
      </c>
      <c r="B383" s="10">
        <f>'21'!B13</f>
        <v>13</v>
      </c>
      <c r="C383" s="10" t="str">
        <f>'21'!D13</f>
        <v>NBS deliver multiple benefits   simultaneously and tend to cross   organisational and jurisdictional   boundaries. The joint action needed to   invest in and develop NBS is considered   challenging and/or lacking.</v>
      </c>
      <c r="D383" s="10" t="str">
        <f>'21'!E13</f>
        <v>F</v>
      </c>
      <c r="E383" s="10">
        <f>'21'!F13</f>
        <v>1</v>
      </c>
      <c r="F383" s="10">
        <f>'21'!G13</f>
        <v>1</v>
      </c>
    </row>
    <row r="384" spans="1:6" x14ac:dyDescent="0.35">
      <c r="A384" s="10">
        <f>'21'!A14</f>
        <v>21</v>
      </c>
      <c r="B384" s="10">
        <f>'21'!B14</f>
        <v>14</v>
      </c>
      <c r="C384" s="10" t="str">
        <f>'21'!D14</f>
        <v xml:space="preserve"> trust in ‘engineering’ practices -  exacerbated stakeholder silos, it   promoted the development of codes, standards, and knowledge paradigms eschewing ‘soft’ NBS benefits and performance, and it incentivised innovation in engineering-heavy technologies</v>
      </c>
      <c r="D384" s="10" t="str">
        <f>'21'!E14</f>
        <v>F</v>
      </c>
      <c r="E384" s="10">
        <f>'21'!F14</f>
        <v>4</v>
      </c>
      <c r="F384" s="10">
        <f>'21'!G14</f>
        <v>1</v>
      </c>
    </row>
    <row r="385" spans="1:6" x14ac:dyDescent="0.35">
      <c r="A385" s="10">
        <f>'21'!A15</f>
        <v>21</v>
      </c>
      <c r="B385" s="10">
        <f>'21'!B15</f>
        <v>15</v>
      </c>
      <c r="C385" s="10" t="str">
        <f>'21'!D15</f>
        <v xml:space="preserve"> There is limited awareness of the   relevance of urban NBS for several policy   goals</v>
      </c>
      <c r="D385" s="10" t="str">
        <f>'21'!E15</f>
        <v>D</v>
      </c>
      <c r="E385" s="10">
        <f>'21'!F15</f>
        <v>0</v>
      </c>
      <c r="F385" s="10">
        <f>'21'!G15</f>
        <v>3</v>
      </c>
    </row>
    <row r="386" spans="1:6" x14ac:dyDescent="0.35">
      <c r="A386" s="10">
        <f>'21'!A16</f>
        <v>21</v>
      </c>
      <c r="B386" s="10">
        <f>'21'!B16</f>
        <v>16</v>
      </c>
      <c r="C386" s="10" t="str">
        <f>'21'!D16</f>
        <v>Actors in the urban development sector   are sceptical about costs, performance,   and profitable business models of NBS   and are therefore less willing to engage or   invest</v>
      </c>
      <c r="D386" s="10" t="str">
        <f>'21'!E16</f>
        <v>A</v>
      </c>
      <c r="E386" s="10">
        <f>'21'!F16</f>
        <v>2</v>
      </c>
      <c r="F386" s="10">
        <f>'21'!G16</f>
        <v>5</v>
      </c>
    </row>
    <row r="387" spans="1:6" x14ac:dyDescent="0.35">
      <c r="A387" s="10">
        <f>'21'!A17</f>
        <v>21</v>
      </c>
      <c r="B387" s="10">
        <f>'21'!B17</f>
        <v>17</v>
      </c>
      <c r="C387" s="10" t="str">
        <f>'21'!D17</f>
        <v>Insufficient policy development,   implementation and enforcement   oriented at NBS   NBS policy development, enforcement,   and monitoring are sometimes   insufficient and/or challenging.</v>
      </c>
      <c r="D387" s="10" t="str">
        <f>'21'!E17</f>
        <v>F</v>
      </c>
      <c r="E387" s="10">
        <f>'21'!F17</f>
        <v>2</v>
      </c>
      <c r="F387" s="10">
        <f>'21'!G17</f>
        <v>2</v>
      </c>
    </row>
    <row r="388" spans="1:6" x14ac:dyDescent="0.35">
      <c r="A388" s="10">
        <f>'22'!A2</f>
        <v>22</v>
      </c>
      <c r="B388" s="10">
        <f>'22'!B2</f>
        <v>1</v>
      </c>
      <c r="C388" s="10" t="str">
        <f>'22'!D2</f>
        <v>people  prioritize other issues such as terrorism, health or the economy over biodiversity</v>
      </c>
      <c r="D388" s="10" t="str">
        <f>'22'!E2</f>
        <v>D</v>
      </c>
      <c r="E388" s="10">
        <f>'22'!F2</f>
        <v>0</v>
      </c>
      <c r="F388" s="10">
        <f>'22'!G2</f>
        <v>1</v>
      </c>
    </row>
    <row r="389" spans="1:6" x14ac:dyDescent="0.35">
      <c r="A389" s="10">
        <f>'22'!A3</f>
        <v>22</v>
      </c>
      <c r="B389" s="10">
        <f>'22'!B3</f>
        <v>2</v>
      </c>
      <c r="C389" s="10" t="str">
        <f>'22'!D3</f>
        <v xml:space="preserve">fear of nature related to uncertainty/unknown </v>
      </c>
      <c r="D389" s="10" t="str">
        <f>'22'!E3</f>
        <v>D</v>
      </c>
      <c r="E389" s="10">
        <f>'22'!F3</f>
        <v>0</v>
      </c>
      <c r="F389" s="10">
        <f>'22'!G3</f>
        <v>5</v>
      </c>
    </row>
    <row r="390" spans="1:6" x14ac:dyDescent="0.35">
      <c r="A390" s="10">
        <f>'22'!A4</f>
        <v>22</v>
      </c>
      <c r="B390" s="10">
        <f>'22'!B4</f>
        <v>3</v>
      </c>
      <c r="C390" s="10" t="str">
        <f>'22'!D4</f>
        <v xml:space="preserve"> fear of nature related to ecosystem disservices</v>
      </c>
      <c r="D390" s="10" t="str">
        <f>'22'!E4</f>
        <v>D</v>
      </c>
      <c r="E390" s="10">
        <f>'22'!F4</f>
        <v>0</v>
      </c>
      <c r="F390" s="10">
        <f>'22'!G4</f>
        <v>5</v>
      </c>
    </row>
    <row r="391" spans="1:6" x14ac:dyDescent="0.35">
      <c r="A391" s="10">
        <f>'22'!A5</f>
        <v>22</v>
      </c>
      <c r="B391" s="10">
        <f>'22'!B5</f>
        <v>4</v>
      </c>
      <c r="C391" s="10" t="str">
        <f>'22'!D5</f>
        <v>It is difficult to evaluate the gains resulting from NBS, especially when taking into account all the costs and benefits, and not just the targeted problem</v>
      </c>
      <c r="D391" s="10" t="str">
        <f>'22'!E5</f>
        <v>B</v>
      </c>
      <c r="E391" s="10">
        <f>'22'!F5</f>
        <v>0</v>
      </c>
      <c r="F391" s="10">
        <f>'22'!G5</f>
        <v>1</v>
      </c>
    </row>
    <row r="392" spans="1:6" x14ac:dyDescent="0.35">
      <c r="A392" s="10">
        <f>'22'!A6</f>
        <v>22</v>
      </c>
      <c r="B392" s="10">
        <f>'22'!B6</f>
        <v>5</v>
      </c>
      <c r="C392" s="10" t="str">
        <f>'22'!D6</f>
        <v>lack of political will</v>
      </c>
      <c r="D392" s="10" t="str">
        <f>'22'!E6</f>
        <v>E</v>
      </c>
      <c r="E392" s="10">
        <f>'22'!F6</f>
        <v>0</v>
      </c>
      <c r="F392" s="10">
        <f>'22'!G6</f>
        <v>1</v>
      </c>
    </row>
    <row r="393" spans="1:6" x14ac:dyDescent="0.35">
      <c r="A393" s="10">
        <f>'22'!A7</f>
        <v>22</v>
      </c>
      <c r="B393" s="10">
        <f>'22'!B7</f>
        <v>6</v>
      </c>
      <c r="C393" s="10" t="str">
        <f>'22'!D7</f>
        <v xml:space="preserve">changing administration - officials in favor or against can quickly change. </v>
      </c>
      <c r="D393" s="10" t="str">
        <f>'22'!E7</f>
        <v>E</v>
      </c>
      <c r="E393" s="10">
        <f>'22'!F7</f>
        <v>0</v>
      </c>
      <c r="F393" s="10">
        <f>'22'!G7</f>
        <v>3</v>
      </c>
    </row>
    <row r="394" spans="1:6" x14ac:dyDescent="0.35">
      <c r="A394" s="10">
        <f>'22'!A8</f>
        <v>22</v>
      </c>
      <c r="B394" s="10">
        <f>'22'!B8</f>
        <v>7</v>
      </c>
      <c r="C394" s="10" t="str">
        <f>'22'!D8</f>
        <v xml:space="preserve"> the lack of dedicated funding for NBS implementation in cities</v>
      </c>
      <c r="D394" s="10" t="str">
        <f>'22'!E8</f>
        <v>A</v>
      </c>
      <c r="E394" s="10">
        <f>'22'!F8</f>
        <v>1</v>
      </c>
      <c r="F394" s="10">
        <f>'22'!G8</f>
        <v>1</v>
      </c>
    </row>
    <row r="395" spans="1:6" x14ac:dyDescent="0.35">
      <c r="A395" s="10">
        <f>'22'!A9</f>
        <v>22</v>
      </c>
      <c r="B395" s="10">
        <f>'22'!B9</f>
        <v>8</v>
      </c>
      <c r="C395" s="10" t="str">
        <f>'22'!D9</f>
        <v>hard to obtain a quick return on investment</v>
      </c>
      <c r="D395" s="10" t="str">
        <f>'22'!E9</f>
        <v>A</v>
      </c>
      <c r="E395" s="10">
        <f>'22'!F9</f>
        <v>2</v>
      </c>
      <c r="F395" s="10">
        <f>'22'!G9</f>
        <v>4</v>
      </c>
    </row>
    <row r="396" spans="1:6" x14ac:dyDescent="0.35">
      <c r="A396" s="10">
        <f>'22'!A10</f>
        <v>22</v>
      </c>
      <c r="B396" s="10">
        <f>'22'!B10</f>
        <v>9</v>
      </c>
      <c r="C396" s="10" t="str">
        <f>'22'!D10</f>
        <v xml:space="preserve">uncertainty about the cost of NBS and dont want long term responsibility </v>
      </c>
      <c r="D396" s="10" t="str">
        <f>'22'!E10</f>
        <v>A</v>
      </c>
      <c r="E396" s="10">
        <f>'22'!F10</f>
        <v>3</v>
      </c>
      <c r="F396" s="10">
        <f>'22'!G10</f>
        <v>2</v>
      </c>
    </row>
    <row r="397" spans="1:6" x14ac:dyDescent="0.35">
      <c r="A397" s="10">
        <f>'22'!A11</f>
        <v>22</v>
      </c>
      <c r="B397" s="10">
        <f>'22'!B11</f>
        <v>10</v>
      </c>
      <c r="C397" s="10" t="str">
        <f>'22'!D11</f>
        <v xml:space="preserve">within 'nature' agencies biodiversity is not prioritized over climate adaptation and renewebal energy </v>
      </c>
      <c r="D397" s="10" t="str">
        <f>'22'!E11</f>
        <v>F</v>
      </c>
      <c r="E397" s="10">
        <f>'22'!F11</f>
        <v>1</v>
      </c>
      <c r="F397" s="10">
        <f>'22'!G11</f>
        <v>1</v>
      </c>
    </row>
    <row r="398" spans="1:6" x14ac:dyDescent="0.35">
      <c r="A398" s="10">
        <f>'22'!A12</f>
        <v>22</v>
      </c>
      <c r="B398" s="10">
        <f>'22'!B12</f>
        <v>11</v>
      </c>
      <c r="C398" s="10" t="str">
        <f>'22'!D12</f>
        <v xml:space="preserve">scarcity and high prices of land - competition </v>
      </c>
      <c r="D398" s="10" t="str">
        <f>'22'!E12</f>
        <v>F</v>
      </c>
      <c r="E398" s="10">
        <f>'22'!F12</f>
        <v>5</v>
      </c>
      <c r="F398" s="10">
        <f>'22'!G12</f>
        <v>2</v>
      </c>
    </row>
    <row r="399" spans="1:6" x14ac:dyDescent="0.35">
      <c r="A399" s="10">
        <f>'22'!A13</f>
        <v>22</v>
      </c>
      <c r="B399" s="10">
        <f>'22'!B13</f>
        <v>12</v>
      </c>
      <c r="C399" s="10" t="str">
        <f>'22'!D13</f>
        <v xml:space="preserve">NBS requires continuous maintenance and monitoring required - who will do this and  who will fund this? </v>
      </c>
      <c r="D399" s="10" t="str">
        <f>'22'!E13</f>
        <v>F</v>
      </c>
      <c r="E399" s="10">
        <f>'22'!F13</f>
        <v>3</v>
      </c>
      <c r="F399" s="10">
        <f>'22'!G13</f>
        <v>3</v>
      </c>
    </row>
    <row r="400" spans="1:6" x14ac:dyDescent="0.35">
      <c r="A400" s="10">
        <f>'22'!A14</f>
        <v>22</v>
      </c>
      <c r="B400" s="10">
        <f>'22'!B14</f>
        <v>13</v>
      </c>
      <c r="C400" s="10" t="str">
        <f>'22'!D14</f>
        <v xml:space="preserve">Regulations / planning processes do not provide space for alternative nbs solutions </v>
      </c>
      <c r="D400" s="10" t="str">
        <f>'22'!E14</f>
        <v>F</v>
      </c>
      <c r="E400" s="10">
        <f>'22'!F14</f>
        <v>2</v>
      </c>
      <c r="F400" s="10">
        <f>'22'!G14</f>
        <v>2</v>
      </c>
    </row>
    <row r="401" spans="1:6" x14ac:dyDescent="0.35">
      <c r="A401" s="10">
        <f>'22'!A15</f>
        <v>22</v>
      </c>
      <c r="B401" s="10">
        <f>'22'!B15</f>
        <v>14</v>
      </c>
      <c r="C401" s="10" t="str">
        <f>'22'!D15</f>
        <v>lack of concrete proof on returns ( specifically also on long-term impacts of nbs) makes it difficult to mobilize stakeholders</v>
      </c>
      <c r="D401" s="10" t="str">
        <f>'22'!E15</f>
        <v>C</v>
      </c>
      <c r="E401" s="10">
        <f>'22'!F15</f>
        <v>1</v>
      </c>
      <c r="F401" s="10">
        <f>'22'!G15</f>
        <v>1</v>
      </c>
    </row>
    <row r="402" spans="1:6" x14ac:dyDescent="0.35">
      <c r="A402" s="10">
        <f>'22'!A16</f>
        <v>22</v>
      </c>
      <c r="B402" s="10">
        <f>'22'!B16</f>
        <v>15</v>
      </c>
      <c r="C402" s="10" t="str">
        <f>'22'!D16</f>
        <v>ecological aspect of certain projects can be oversold and overused by the NBS concept term</v>
      </c>
      <c r="D402" s="10" t="str">
        <f>'22'!E16</f>
        <v>C</v>
      </c>
      <c r="E402" s="10">
        <f>'22'!F16</f>
        <v>1</v>
      </c>
      <c r="F402" s="10">
        <f>'22'!G16</f>
        <v>1</v>
      </c>
    </row>
    <row r="403" spans="1:6" x14ac:dyDescent="0.35">
      <c r="A403" s="10">
        <f>'22'!A17</f>
        <v>22</v>
      </c>
      <c r="B403" s="10">
        <f>'22'!B17</f>
        <v>16</v>
      </c>
      <c r="C403" s="10" t="str">
        <f>'22'!D17</f>
        <v xml:space="preserve"> fear ofusing nature versus grey infrastructure - we don't find them reliale</v>
      </c>
      <c r="D403" s="10" t="str">
        <f>'22'!E17</f>
        <v>F</v>
      </c>
      <c r="E403" s="10">
        <f>'22'!F17</f>
        <v>4</v>
      </c>
      <c r="F403" s="10">
        <f>'22'!G17</f>
        <v>2</v>
      </c>
    </row>
    <row r="404" spans="1:6" x14ac:dyDescent="0.35">
      <c r="A404" s="10">
        <f>'23'!A2</f>
        <v>23</v>
      </c>
      <c r="B404" s="10">
        <f>'23'!B2</f>
        <v>1</v>
      </c>
      <c r="C404" s="10" t="str">
        <f>'23'!D2</f>
        <v>challenging to assessing how proposed interventions (or non-intervention) are likely to affect the diverse social and cultural values, uses and  benefits for those groups that associate with the Reef</v>
      </c>
      <c r="D404" s="10" t="str">
        <f>'23'!E2</f>
        <v>B</v>
      </c>
      <c r="E404" s="10">
        <f>'23'!F2</f>
        <v>0</v>
      </c>
      <c r="F404" s="10">
        <f>'23'!G2</f>
        <v>1</v>
      </c>
    </row>
    <row r="405" spans="1:6" x14ac:dyDescent="0.35">
      <c r="A405" s="10">
        <f>'23'!A3</f>
        <v>23</v>
      </c>
      <c r="B405" s="10">
        <f>'23'!B3</f>
        <v>2</v>
      </c>
      <c r="C405" s="10" t="str">
        <f>'23'!D3</f>
        <v>demonstrating that active restoration can play a  meaningful role in improving reef condition through supporting resilience and increasing  adaptation when other, less interventionist, management strategies have not worked</v>
      </c>
      <c r="D405" s="10" t="str">
        <f>'23'!E3</f>
        <v>C</v>
      </c>
      <c r="E405" s="10">
        <f>'23'!F3</f>
        <v>1</v>
      </c>
      <c r="F405" s="10">
        <f>'23'!G3</f>
        <v>1</v>
      </c>
    </row>
    <row r="406" spans="1:6" x14ac:dyDescent="0.35">
      <c r="A406" s="10">
        <f>'23'!A4</f>
        <v>23</v>
      </c>
      <c r="B406" s="10">
        <f>'23'!B4</f>
        <v>3</v>
      </c>
      <c r="C406" s="10" t="str">
        <f>'23'!D4</f>
        <v xml:space="preserve"> insights point to some of the negative social implications of damaged ecosystems and also encourage the consideration of social benefits (i.e. psychological, collective and cultural) that are possible through restoring coral reef ecosystems -  calls in the restoration ecology literature for a better understanding of (and capacity to  measure) the social benefits of restoration projects</v>
      </c>
      <c r="D406" s="10" t="str">
        <f>'23'!E4</f>
        <v>C</v>
      </c>
      <c r="E406" s="10">
        <f>'23'!F4</f>
        <v>1</v>
      </c>
      <c r="F406" s="10">
        <f>'23'!G4</f>
        <v>2</v>
      </c>
    </row>
    <row r="407" spans="1:6" x14ac:dyDescent="0.35">
      <c r="A407" s="10">
        <f>'23'!A5</f>
        <v>23</v>
      </c>
      <c r="B407" s="10">
        <f>'23'!B5</f>
        <v>4</v>
      </c>
      <c r="C407" s="10" t="str">
        <f>'23'!D5</f>
        <v>It has  been reported, that translating local activity and outcomes into broader strategic  management impacts for marine ecosystems can be problematic.</v>
      </c>
      <c r="D407" s="10" t="str">
        <f>'23'!E5</f>
        <v>C</v>
      </c>
      <c r="E407" s="10">
        <f>'23'!F5</f>
        <v>2</v>
      </c>
      <c r="F407" s="10">
        <f>'23'!G5</f>
        <v>2</v>
      </c>
    </row>
    <row r="408" spans="1:6" x14ac:dyDescent="0.35">
      <c r="A408" s="10">
        <f>'23'!A6</f>
        <v>23</v>
      </c>
      <c r="B408" s="10">
        <f>'23'!B6</f>
        <v>5</v>
      </c>
      <c r="C408" s="10" t="str">
        <f>'23'!D6</f>
        <v>understanding social acceptance, assessing likely impacts on diverse values, and designing  appropriate engagement processes are important. They are normatively important because  there are democratic, moral and ethical obligations to involve people in decisions and actions  that may affect their livelihoods or future well-being. They are also instrumentally important  in that good participation or co-design can lead to enhanced performance of the planned  environmental intervention through better tailoring to local conditions, the use of local and  traditional knowledge and reduced stakeholder conflict</v>
      </c>
      <c r="D408" s="10" t="str">
        <f>'23'!E6</f>
        <v>C</v>
      </c>
      <c r="E408" s="10">
        <f>'23'!F6</f>
        <v>2</v>
      </c>
      <c r="F408" s="10">
        <f>'23'!G6</f>
        <v>3</v>
      </c>
    </row>
    <row r="409" spans="1:6" x14ac:dyDescent="0.35">
      <c r="A409" s="10">
        <f>'23'!A7</f>
        <v>23</v>
      </c>
      <c r="B409" s="10">
        <f>'23'!B7</f>
        <v>6</v>
      </c>
      <c r="C409" s="10" t="str">
        <f>'23'!D7</f>
        <v>coral restoration and adaptation interventions do not take away the need for urgent reductions in greenhouse gas emissions.</v>
      </c>
      <c r="D409" s="10" t="str">
        <f>'23'!E7</f>
        <v>F</v>
      </c>
      <c r="E409" s="10">
        <f>'23'!F7</f>
        <v>1</v>
      </c>
      <c r="F409" s="10">
        <f>'23'!G7</f>
        <v>1</v>
      </c>
    </row>
    <row r="410" spans="1:6" x14ac:dyDescent="0.35">
      <c r="A410" s="10">
        <f>'23'!A8</f>
        <v>23</v>
      </c>
      <c r="B410" s="10">
        <f>'23'!B8</f>
        <v>7</v>
      </c>
      <c r="C410" s="10" t="str">
        <f>'23'!D8</f>
        <v xml:space="preserve"> citizen-science practice can provide community voice and influence in  decisions about managing long-term ‘landscape-level’ environmental changes  and may  contribute to a social licence for marine conservation research and intervention. </v>
      </c>
      <c r="D410" s="10" t="str">
        <f>'23'!E8</f>
        <v>F</v>
      </c>
      <c r="E410" s="10">
        <f>'23'!F8</f>
        <v>1</v>
      </c>
      <c r="F410" s="10">
        <f>'23'!G8</f>
        <v>2</v>
      </c>
    </row>
    <row r="411" spans="1:6" x14ac:dyDescent="0.35">
      <c r="A411" s="10">
        <f>'23'!A9</f>
        <v>23</v>
      </c>
      <c r="B411" s="10">
        <f>'23'!B9</f>
        <v>8</v>
      </c>
      <c r="C411" s="10" t="str">
        <f>'23'!D9</f>
        <v>need to develop appropriate and meaningful ways to engage different groups and interests in the design, deployment  and evaluation of proposed interventions or technologies over time</v>
      </c>
      <c r="D411" s="10" t="str">
        <f>'23'!E9</f>
        <v>C</v>
      </c>
      <c r="E411" s="10">
        <f>'23'!F9</f>
        <v>2</v>
      </c>
      <c r="F411" s="10">
        <f>'23'!G9</f>
        <v>3</v>
      </c>
    </row>
    <row r="412" spans="1:6" x14ac:dyDescent="0.35">
      <c r="A412" s="10">
        <f>'23'!A10</f>
        <v>23</v>
      </c>
      <c r="B412" s="10">
        <f>'23'!B10</f>
        <v>9</v>
      </c>
      <c r="C412" s="10" t="str">
        <f>'23'!D10</f>
        <v xml:space="preserve"> scientific conflicts and debates over the “facts”; social and governance  challenges; epistemic challenges, and ontological conflicts</v>
      </c>
      <c r="D412" s="10" t="str">
        <f>'23'!E10</f>
        <v>C</v>
      </c>
      <c r="E412" s="10">
        <f>'23'!F10</f>
        <v>3</v>
      </c>
      <c r="F412" s="10">
        <f>'23'!G10</f>
        <v>2</v>
      </c>
    </row>
    <row r="413" spans="1:6" x14ac:dyDescent="0.35">
      <c r="A413" s="10">
        <f>'23'!A11</f>
        <v>23</v>
      </c>
      <c r="B413" s="10">
        <f>'23'!B11</f>
        <v>10</v>
      </c>
      <c r="C413" s="10" t="str">
        <f>'23'!D11</f>
        <v>required shift from research and development to implementation - requires research partnerships that span beyond the coral research space to include Traditional  Owners, engineers, social scientists, modellers, economists, infrastructure development  experts, and project managers.</v>
      </c>
      <c r="D413" s="10" t="str">
        <f>'23'!E11</f>
        <v>F</v>
      </c>
      <c r="E413" s="10">
        <f>'23'!F11</f>
        <v>3</v>
      </c>
      <c r="F413" s="10">
        <f>'23'!G11</f>
        <v>3</v>
      </c>
    </row>
    <row r="414" spans="1:6" x14ac:dyDescent="0.35">
      <c r="A414" s="10">
        <f>'23'!A12</f>
        <v>23</v>
      </c>
      <c r="B414" s="10">
        <f>'23'!B12</f>
        <v>11</v>
      </c>
      <c r="C414" s="10" t="str">
        <f>'23'!D12</f>
        <v xml:space="preserve">Reef Restoration and Adaptation Program (RRAP) - feasibility study - funded by government </v>
      </c>
      <c r="D414" s="10" t="str">
        <f>'23'!E12</f>
        <v>A</v>
      </c>
      <c r="E414" s="10">
        <f>'23'!F12</f>
        <v>1</v>
      </c>
      <c r="F414" s="10">
        <f>'23'!G12</f>
        <v>1</v>
      </c>
    </row>
    <row r="415" spans="1:6" x14ac:dyDescent="0.35">
      <c r="A415" s="10">
        <f>'23'!A13</f>
        <v>23</v>
      </c>
      <c r="B415" s="10">
        <f>'23'!B13</f>
        <v>12</v>
      </c>
      <c r="C415" s="10" t="str">
        <f>'23'!D13</f>
        <v>shift in the use of coral restoration --&gt; away from assessing the feasibility and efficacy of individual  techniques, towards developing a holistic approach that includes coordinated and practical  solutions with specific objectives linked to long-term outcomes in a changing climate. In Australia, this shift is greatly facilitated by large investments through the RRAP Program</v>
      </c>
      <c r="D415" s="10" t="str">
        <f>'23'!E13</f>
        <v>F</v>
      </c>
      <c r="E415" s="10">
        <f>'23'!F13</f>
        <v>1</v>
      </c>
      <c r="F415" s="10">
        <f>'23'!G13</f>
        <v>1</v>
      </c>
    </row>
    <row r="416" spans="1:6" x14ac:dyDescent="0.35">
      <c r="A416" s="10">
        <f>'23'!A14</f>
        <v>23</v>
      </c>
      <c r="B416" s="10">
        <f>'23'!B14</f>
        <v>13</v>
      </c>
      <c r="C416" s="10" t="str">
        <f>'23'!D14</f>
        <v xml:space="preserve">politically and socially contested proposals such as large-scale restoration and adaptation of the GBR, lead to a number of complex social and institutional considerations - understanding the social acceptability </v>
      </c>
      <c r="D416" s="10" t="str">
        <f>'23'!E14</f>
        <v>B</v>
      </c>
      <c r="E416" s="10">
        <f>'23'!F14</f>
        <v>0</v>
      </c>
      <c r="F416" s="10">
        <f>'23'!G14</f>
        <v>1</v>
      </c>
    </row>
    <row r="417" spans="1:6" x14ac:dyDescent="0.35">
      <c r="A417" s="10">
        <f>'24'!A2</f>
        <v>24</v>
      </c>
      <c r="B417" s="10">
        <f>'24'!B2</f>
        <v>1</v>
      </c>
      <c r="C417" s="10" t="str">
        <f>'24'!D2</f>
        <v>uncertainty and  complexity of proving NFM effectiveness</v>
      </c>
      <c r="D417" s="10" t="str">
        <f>'24'!E2</f>
        <v>C</v>
      </c>
      <c r="E417" s="10">
        <f>'24'!F2</f>
        <v>1</v>
      </c>
      <c r="F417" s="10">
        <f>'24'!G2</f>
        <v>1</v>
      </c>
    </row>
    <row r="418" spans="1:6" x14ac:dyDescent="0.35">
      <c r="A418" s="10">
        <f>'24'!A3</f>
        <v>24</v>
      </c>
      <c r="B418" s="10">
        <f>'24'!B3</f>
        <v>2</v>
      </c>
      <c r="C418" s="10" t="str">
        <f>'24'!D3</f>
        <v>structures often need to be significantly larger than many think initially,  and dense networks of RAFs are needed for any impact to be apparent at the scale of even  a small catchment</v>
      </c>
      <c r="D418" s="10" t="str">
        <f>'24'!E3</f>
        <v>C</v>
      </c>
      <c r="E418" s="10">
        <f>'24'!F3</f>
        <v>1</v>
      </c>
      <c r="F418" s="10">
        <f>'24'!G3</f>
        <v>1</v>
      </c>
    </row>
    <row r="419" spans="1:6" x14ac:dyDescent="0.35">
      <c r="A419" s="10">
        <f>'24'!A4</f>
        <v>24</v>
      </c>
      <c r="B419" s="10">
        <f>'24'!B4</f>
        <v>3</v>
      </c>
      <c r="C419" s="10" t="str">
        <f>'24'!D4</f>
        <v>critical mass of features is needed to address flood risk</v>
      </c>
      <c r="D419" s="10" t="str">
        <f>'24'!E4</f>
        <v>C</v>
      </c>
      <c r="E419" s="10">
        <f>'24'!F4</f>
        <v>1</v>
      </c>
      <c r="F419" s="10">
        <f>'24'!G4</f>
        <v>1</v>
      </c>
    </row>
    <row r="420" spans="1:6" x14ac:dyDescent="0.35">
      <c r="A420" s="10">
        <f>'24'!A5</f>
        <v>24</v>
      </c>
      <c r="B420" s="10">
        <f>'24'!B5</f>
        <v>4</v>
      </c>
      <c r="C420" s="10" t="str">
        <f>'24'!D5</f>
        <v>There are few studies, other than at the local scale, where confidence is gained that a  network of RAFs can reduce flood risk.</v>
      </c>
      <c r="D420" s="10" t="str">
        <f>'24'!E5</f>
        <v>C</v>
      </c>
      <c r="E420" s="10">
        <f>'24'!F5</f>
        <v>1</v>
      </c>
      <c r="F420" s="10">
        <f>'24'!G5</f>
        <v>1</v>
      </c>
    </row>
    <row r="421" spans="1:6" x14ac:dyDescent="0.35">
      <c r="A421" s="10">
        <f>'24'!A6</f>
        <v>24</v>
      </c>
      <c r="B421" s="10">
        <f>'24'!B6</f>
        <v>5</v>
      </c>
      <c r="C421" s="10" t="str">
        <f>'24'!D6</f>
        <v>better understanding of both the hydraulic functioning  (especially leakiness dynamics) of RAFs and the nature of groundwater interactions -  can only be done, for example, by using a combination of controlled experiments at the  laboratory scale and detailed forensic analysis of flow and water levels for a range of in  situ RAFs</v>
      </c>
      <c r="D421" s="10" t="str">
        <f>'24'!E6</f>
        <v>C</v>
      </c>
      <c r="E421" s="10">
        <f>'24'!F6</f>
        <v>2</v>
      </c>
      <c r="F421" s="10">
        <f>'24'!G6</f>
        <v>1</v>
      </c>
    </row>
    <row r="422" spans="1:6" x14ac:dyDescent="0.35">
      <c r="A422" s="10">
        <f>'24'!A7</f>
        <v>24</v>
      </c>
      <c r="B422" s="10">
        <f>'24'!B7</f>
        <v>6</v>
      </c>
      <c r="C422" s="10" t="str">
        <f>'24'!D7</f>
        <v>whilst we have modelling capability, the uncertainty is still too great</v>
      </c>
      <c r="D422" s="10" t="str">
        <f>'24'!E7</f>
        <v>B</v>
      </c>
      <c r="E422" s="10">
        <f>'24'!F7</f>
        <v>0</v>
      </c>
      <c r="F422" s="10">
        <f>'24'!G7</f>
        <v>3</v>
      </c>
    </row>
    <row r="423" spans="1:6" x14ac:dyDescent="0.35">
      <c r="A423" s="10">
        <f>'24'!A8</f>
        <v>24</v>
      </c>
      <c r="B423" s="10">
        <f>'24'!B8</f>
        <v>7</v>
      </c>
      <c r="C423" s="10" t="str">
        <f>'24'!D8</f>
        <v>intervention should fit into both natural and farmed landscapes  without causing great loss of land or food production and RAFs should not inundate land  for long durations</v>
      </c>
      <c r="D423" s="10" t="str">
        <f>'24'!E8</f>
        <v>F</v>
      </c>
      <c r="E423" s="10">
        <f>'24'!F8</f>
        <v>5</v>
      </c>
      <c r="F423" s="10">
        <f>'24'!G8</f>
        <v>2</v>
      </c>
    </row>
    <row r="424" spans="1:6" x14ac:dyDescent="0.35">
      <c r="A424" s="10">
        <f>'24'!A9</f>
        <v>24</v>
      </c>
      <c r="B424" s="10">
        <f>'24'!B9</f>
        <v>8</v>
      </c>
      <c r="C424" s="10" t="str">
        <f>'24'!D9</f>
        <v>Uptake of RAFs will depend on imaginative payments, which will require extensive  consultation, demonstration activities and policy-making, all of which can act as a barrier  to uptake</v>
      </c>
      <c r="D424" s="10" t="str">
        <f>'24'!E9</f>
        <v>A</v>
      </c>
      <c r="E424" s="10">
        <f>'24'!F9</f>
        <v>1</v>
      </c>
      <c r="F424" s="10">
        <f>'24'!G9</f>
        <v>10</v>
      </c>
    </row>
    <row r="425" spans="1:6" x14ac:dyDescent="0.35">
      <c r="A425" s="10">
        <f>'24'!A10</f>
        <v>24</v>
      </c>
      <c r="B425" s="10">
        <f>'24'!B10</f>
        <v>9</v>
      </c>
      <c r="C425" s="10" t="str">
        <f>'24'!D10</f>
        <v xml:space="preserve"> communication tools  can play a significant role in promoting  stakeholder engagement and uptake</v>
      </c>
      <c r="D425" s="10" t="str">
        <f>'24'!E10</f>
        <v>C</v>
      </c>
      <c r="E425" s="10">
        <f>'24'!F10</f>
        <v>2</v>
      </c>
      <c r="F425" s="10">
        <f>'24'!G10</f>
        <v>3</v>
      </c>
    </row>
    <row r="426" spans="1:6" x14ac:dyDescent="0.35">
      <c r="A426" s="10">
        <f>'24'!A11</f>
        <v>24</v>
      </c>
      <c r="B426" s="10">
        <f>'24'!B11</f>
        <v>10</v>
      </c>
      <c r="C426" s="10" t="str">
        <f>'24'!D11</f>
        <v>scaling up RAFs (and NFM generally) to the larger catchment   scale needs more research. Better models and empirical evidence are needed</v>
      </c>
      <c r="D426" s="10" t="str">
        <f>'24'!E11</f>
        <v>C</v>
      </c>
      <c r="E426" s="10">
        <f>'24'!F11</f>
        <v>1</v>
      </c>
      <c r="F426" s="10">
        <f>'24'!G11</f>
        <v>1</v>
      </c>
    </row>
    <row r="427" spans="1:6" x14ac:dyDescent="0.35">
      <c r="A427" s="10">
        <f>'25'!A2</f>
        <v>25</v>
      </c>
      <c r="B427" s="10">
        <f>'25'!B2</f>
        <v>1</v>
      </c>
      <c r="C427" s="10" t="str">
        <f>'25'!D2</f>
        <v xml:space="preserve">Effect can be limited in one place and very positive in another  </v>
      </c>
      <c r="D427" s="10" t="str">
        <f>'25'!E2</f>
        <v>B</v>
      </c>
      <c r="E427" s="10">
        <f>'25'!F2</f>
        <v>0</v>
      </c>
      <c r="F427" s="10">
        <f>'25'!G2</f>
        <v>1</v>
      </c>
    </row>
    <row r="428" spans="1:6" x14ac:dyDescent="0.35">
      <c r="A428" s="10">
        <f>'25'!A3</f>
        <v>25</v>
      </c>
      <c r="B428" s="10">
        <f>'25'!B3</f>
        <v>2</v>
      </c>
      <c r="C428" s="10" t="str">
        <f>'25'!D3</f>
        <v>difficulties to calculate the value for compensation  for upstream-downstream effects of measures</v>
      </c>
      <c r="D428" s="10" t="str">
        <f>'25'!E3</f>
        <v>B</v>
      </c>
      <c r="E428" s="10">
        <f>'25'!F3</f>
        <v>0</v>
      </c>
      <c r="F428" s="10">
        <f>'25'!G3</f>
        <v>1</v>
      </c>
    </row>
    <row r="429" spans="1:6" x14ac:dyDescent="0.35">
      <c r="A429" s="10">
        <f>'25'!A4</f>
        <v>25</v>
      </c>
      <c r="B429" s="10">
        <f>'25'!B4</f>
        <v>3</v>
      </c>
      <c r="C429" s="10" t="str">
        <f>'25'!D4</f>
        <v xml:space="preserve"> variability of the effects of NBS across spatial and temporal scales</v>
      </c>
      <c r="D429" s="10" t="str">
        <f>'25'!E4</f>
        <v>C</v>
      </c>
      <c r="E429" s="10">
        <f>'25'!F4</f>
        <v>1</v>
      </c>
      <c r="F429" s="10">
        <f>'25'!G4</f>
        <v>2</v>
      </c>
    </row>
    <row r="430" spans="1:6" x14ac:dyDescent="0.35">
      <c r="A430" s="10">
        <f>'25'!A5</f>
        <v>25</v>
      </c>
      <c r="B430" s="10">
        <f>'25'!B5</f>
        <v>4</v>
      </c>
      <c r="C430" s="10" t="str">
        <f>'25'!D5</f>
        <v xml:space="preserve">lack of a common understanding basic on - objective - what are good soil properties </v>
      </c>
      <c r="D430" s="10" t="str">
        <f>'25'!E5</f>
        <v>C</v>
      </c>
      <c r="E430" s="10">
        <f>'25'!F5</f>
        <v>1</v>
      </c>
      <c r="F430" s="10">
        <f>'25'!G5</f>
        <v>3</v>
      </c>
    </row>
    <row r="431" spans="1:6" x14ac:dyDescent="0.35">
      <c r="A431" s="10">
        <f>'25'!A6</f>
        <v>25</v>
      </c>
      <c r="B431" s="10">
        <f>'25'!B6</f>
        <v>5</v>
      </c>
      <c r="C431" s="10" t="str">
        <f>'25'!D6</f>
        <v xml:space="preserve">epistemic lock-ins resulting from maintaining historical practices may undermine trust in new approaches (even if positive effect can be proven) </v>
      </c>
      <c r="D431" s="10" t="str">
        <f>'25'!E6</f>
        <v>C</v>
      </c>
      <c r="E431" s="10">
        <f>'25'!F6</f>
        <v>3</v>
      </c>
      <c r="F431" s="10">
        <f>'25'!G6</f>
        <v>2</v>
      </c>
    </row>
    <row r="432" spans="1:6" x14ac:dyDescent="0.35">
      <c r="A432" s="10">
        <f>'25'!A7</f>
        <v>25</v>
      </c>
      <c r="B432" s="10">
        <f>'25'!B7</f>
        <v>6</v>
      </c>
      <c r="C432" s="10" t="str">
        <f>'25'!D7</f>
        <v>generally low willingness to implement nbs due to their costs, strengthened by financial flood recovery schemes that do not support adaptive measures</v>
      </c>
      <c r="D432" s="10" t="str">
        <f>'25'!E7</f>
        <v>A</v>
      </c>
      <c r="E432" s="10">
        <f>'25'!F7</f>
        <v>3</v>
      </c>
      <c r="F432" s="10">
        <f>'25'!G7</f>
        <v>1</v>
      </c>
    </row>
    <row r="433" spans="1:6" x14ac:dyDescent="0.35">
      <c r="A433" s="10">
        <f>'25'!A8</f>
        <v>25</v>
      </c>
      <c r="B433" s="10">
        <f>'25'!B8</f>
        <v>7</v>
      </c>
      <c r="C433" s="10" t="str">
        <f>'25'!D8</f>
        <v>NBS may necessitate certain management practices</v>
      </c>
      <c r="D433" s="10" t="str">
        <f>'25'!E8</f>
        <v>F</v>
      </c>
      <c r="E433" s="10">
        <f>'25'!F8</f>
        <v>1</v>
      </c>
      <c r="F433" s="10">
        <f>'25'!G8</f>
        <v>2</v>
      </c>
    </row>
    <row r="434" spans="1:6" x14ac:dyDescent="0.35">
      <c r="A434" s="10">
        <f>'25'!A9</f>
        <v>25</v>
      </c>
      <c r="B434" s="10">
        <f>'25'!B9</f>
        <v>8</v>
      </c>
      <c r="C434" s="10" t="str">
        <f>'25'!D9</f>
        <v>coordination is most challenging   where many public and private ownershipmodels, administrative bodies,  and initiatives interact a</v>
      </c>
      <c r="D434" s="10" t="str">
        <f>'25'!E9</f>
        <v>F</v>
      </c>
      <c r="E434" s="10">
        <f>'25'!F9</f>
        <v>1</v>
      </c>
      <c r="F434" s="10">
        <f>'25'!G9</f>
        <v>2</v>
      </c>
    </row>
    <row r="435" spans="1:6" x14ac:dyDescent="0.35">
      <c r="A435" s="10">
        <f>'25'!A10</f>
        <v>25</v>
      </c>
      <c r="B435" s="10">
        <f>'25'!B10</f>
        <v>9</v>
      </c>
      <c r="C435" s="10" t="str">
        <f>'25'!D10</f>
        <v xml:space="preserve">level of trust/confidence can vary among stakeholders making coordination difficult. </v>
      </c>
      <c r="D435" s="10" t="str">
        <f>'25'!E10</f>
        <v>C</v>
      </c>
      <c r="E435" s="10">
        <f>'25'!F10</f>
        <v>3</v>
      </c>
      <c r="F435" s="10">
        <f>'25'!G10</f>
        <v>2</v>
      </c>
    </row>
    <row r="436" spans="1:6" x14ac:dyDescent="0.35">
      <c r="A436" s="10">
        <f>'25'!A11</f>
        <v>25</v>
      </c>
      <c r="B436" s="10">
        <f>'25'!B11</f>
        <v>10</v>
      </c>
      <c r="C436" s="10" t="str">
        <f>'25'!D11</f>
        <v xml:space="preserve"> limited availability of private-owned land leads to fragmented individual interventions</v>
      </c>
      <c r="D436" s="10" t="str">
        <f>'25'!E11</f>
        <v>F</v>
      </c>
      <c r="E436" s="10">
        <f>'25'!F11</f>
        <v>5</v>
      </c>
      <c r="F436" s="10">
        <f>'25'!G11</f>
        <v>2</v>
      </c>
    </row>
    <row r="437" spans="1:6" x14ac:dyDescent="0.35">
      <c r="A437" s="10">
        <f>'25'!A12</f>
        <v>25</v>
      </c>
      <c r="B437" s="10">
        <f>'25'!B12</f>
        <v>11</v>
      </c>
      <c r="C437" s="10" t="str">
        <f>'25'!D12</f>
        <v>difficulty in acquiring the land</v>
      </c>
      <c r="D437" s="10" t="str">
        <f>'25'!E12</f>
        <v>F</v>
      </c>
      <c r="E437" s="10">
        <f>'25'!F12</f>
        <v>5</v>
      </c>
      <c r="F437" s="10">
        <f>'25'!G12</f>
        <v>2</v>
      </c>
    </row>
    <row r="438" spans="1:6" x14ac:dyDescent="0.35">
      <c r="A438" s="10">
        <f>'25'!A13</f>
        <v>25</v>
      </c>
      <c r="B438" s="10">
        <f>'25'!B13</f>
        <v>12</v>
      </c>
      <c r="C438" s="10" t="str">
        <f>'25'!D13</f>
        <v>availability of land to implement measures is limited leading to exploring hybrid solutions</v>
      </c>
      <c r="D438" s="10" t="str">
        <f>'25'!E13</f>
        <v>F</v>
      </c>
      <c r="E438" s="10">
        <f>'25'!F13</f>
        <v>5</v>
      </c>
      <c r="F438" s="10">
        <f>'25'!G13</f>
        <v>2</v>
      </c>
    </row>
    <row r="439" spans="1:6" x14ac:dyDescent="0.35">
      <c r="A439" s="10">
        <f>'25'!A14</f>
        <v>25</v>
      </c>
      <c r="B439" s="10">
        <f>'25'!B14</f>
        <v>13</v>
      </c>
      <c r="C439" s="10" t="str">
        <f>'25'!D14</f>
        <v>lack of distribution of responsibilities to design, incentivize, and implement NBS</v>
      </c>
      <c r="D439" s="10" t="str">
        <f>'25'!E14</f>
        <v>F</v>
      </c>
      <c r="E439" s="10">
        <f>'25'!F14</f>
        <v>1</v>
      </c>
      <c r="F439" s="10">
        <f>'25'!G14</f>
        <v>1</v>
      </c>
    </row>
    <row r="440" spans="1:6" x14ac:dyDescent="0.35">
      <c r="A440" s="10">
        <f>'25'!A15</f>
        <v>25</v>
      </c>
      <c r="B440" s="10">
        <f>'25'!B15</f>
        <v>14</v>
      </c>
      <c r="C440" s="10" t="str">
        <f>'25'!D15</f>
        <v>ability to prove the positive effects of NBS is a legal requirement</v>
      </c>
      <c r="D440" s="10" t="str">
        <f>'25'!E15</f>
        <v>F</v>
      </c>
      <c r="E440" s="10">
        <f>'25'!F15</f>
        <v>2</v>
      </c>
      <c r="F440" s="10">
        <f>'25'!G15</f>
        <v>1</v>
      </c>
    </row>
    <row r="441" spans="1:6" x14ac:dyDescent="0.35">
      <c r="A441" s="10">
        <f>'25'!A16</f>
        <v>25</v>
      </c>
      <c r="B441" s="10">
        <f>'25'!B16</f>
        <v>15</v>
      </c>
      <c r="C441" s="10" t="str">
        <f>'25'!D16</f>
        <v xml:space="preserve"> legislation requires  all new individual housing developments to implement rainfall infiltration measures ( homeowners are motivated by cost savings) </v>
      </c>
      <c r="D441" s="10" t="str">
        <f>'25'!E16</f>
        <v>F</v>
      </c>
      <c r="E441" s="10">
        <f>'25'!F16</f>
        <v>2</v>
      </c>
      <c r="F441" s="10">
        <f>'25'!G16</f>
        <v>3</v>
      </c>
    </row>
    <row r="442" spans="1:6" x14ac:dyDescent="0.35">
      <c r="A442" s="10">
        <f>'25'!A17</f>
        <v>25</v>
      </c>
      <c r="B442" s="10">
        <f>'25'!B17</f>
        <v>16</v>
      </c>
      <c r="C442" s="10" t="str">
        <f>'25'!D17</f>
        <v xml:space="preserve"> lack of information on appropriate design and technical guidelines leads to lack of institutional and financial mechanisms</v>
      </c>
      <c r="D442" s="10" t="str">
        <f>'25'!E17</f>
        <v>F</v>
      </c>
      <c r="E442" s="10">
        <f>'25'!F17</f>
        <v>2</v>
      </c>
      <c r="F442" s="10">
        <f>'25'!G17</f>
        <v>3</v>
      </c>
    </row>
    <row r="443" spans="1:6" x14ac:dyDescent="0.35">
      <c r="A443" s="10">
        <f>'25'!A18</f>
        <v>25</v>
      </c>
      <c r="B443" s="10">
        <f>'25'!B18</f>
        <v>17</v>
      </c>
      <c r="C443" s="10" t="str">
        <f>'25'!D18</f>
        <v xml:space="preserve">NBS measures have rather uncertain effects at various scales and across environments - efficiency depends on many variables.. </v>
      </c>
      <c r="D443" s="10" t="str">
        <f>'25'!E18</f>
        <v>C</v>
      </c>
      <c r="E443" s="10">
        <f>'25'!F18</f>
        <v>1</v>
      </c>
      <c r="F443" s="10">
        <f>'25'!G18</f>
        <v>1</v>
      </c>
    </row>
    <row r="444" spans="1:6" x14ac:dyDescent="0.35">
      <c r="A444" s="10">
        <f>'25'!A19</f>
        <v>25</v>
      </c>
      <c r="B444" s="10">
        <f>'25'!B19</f>
        <v>18</v>
      </c>
      <c r="C444" s="10" t="str">
        <f>'25'!D19</f>
        <v>unknown extent of land that is necessary for the effective implementation of the individual NBS</v>
      </c>
      <c r="D444" s="10" t="str">
        <f>'25'!E19</f>
        <v>C</v>
      </c>
      <c r="E444" s="10">
        <f>'25'!F19</f>
        <v>2</v>
      </c>
      <c r="F444" s="10">
        <f>'25'!G19</f>
        <v>1</v>
      </c>
    </row>
    <row r="445" spans="1:6" x14ac:dyDescent="0.35">
      <c r="A445" s="10">
        <f>'25'!A20</f>
        <v>25</v>
      </c>
      <c r="B445" s="10">
        <f>'25'!B20</f>
        <v>19</v>
      </c>
      <c r="C445" s="10" t="str">
        <f>'25'!D20</f>
        <v xml:space="preserve">effects are unknown or vague, limiting land-use adjusments and limiting stakeholder trust </v>
      </c>
      <c r="D445" s="10" t="str">
        <f>'25'!E20</f>
        <v>D</v>
      </c>
      <c r="E445" s="10">
        <f>'25'!F20</f>
        <v>0</v>
      </c>
      <c r="F445" s="10">
        <f>'25'!G20</f>
        <v>5</v>
      </c>
    </row>
    <row r="446" spans="1:6" x14ac:dyDescent="0.35">
      <c r="A446" s="10">
        <f>'25'!A21</f>
        <v>25</v>
      </c>
      <c r="B446" s="10">
        <f>'25'!B21</f>
        <v>20</v>
      </c>
      <c r="C446" s="10" t="str">
        <f>'25'!D21</f>
        <v xml:space="preserve">lack of financial  and institutional  supporting mechanisms </v>
      </c>
      <c r="D446" s="10" t="str">
        <f>'25'!E21</f>
        <v>A</v>
      </c>
      <c r="E446" s="10">
        <f>'25'!F21</f>
        <v>1</v>
      </c>
      <c r="F446" s="10">
        <f>'25'!G21</f>
        <v>1</v>
      </c>
    </row>
    <row r="447" spans="1:6" x14ac:dyDescent="0.35">
      <c r="A447" s="10">
        <f>'25'!A22</f>
        <v>25</v>
      </c>
      <c r="B447" s="10">
        <f>'25'!B22</f>
        <v>21</v>
      </c>
      <c r="C447" s="10" t="str">
        <f>'25'!D22</f>
        <v xml:space="preserve">guidelines are yet missing in most countries, resulting from technical complexity and necessary considerations on costs and benefits in urban settings with high land prices </v>
      </c>
      <c r="D447" s="10" t="str">
        <f>'25'!E22</f>
        <v>F</v>
      </c>
      <c r="E447" s="10">
        <f>'25'!F22</f>
        <v>2</v>
      </c>
      <c r="F447" s="10">
        <f>'25'!G22</f>
        <v>2</v>
      </c>
    </row>
    <row r="448" spans="1:6" x14ac:dyDescent="0.35">
      <c r="A448" s="10">
        <f>'26'!A2</f>
        <v>26</v>
      </c>
      <c r="B448" s="10">
        <f>'26'!B2</f>
        <v>1</v>
      </c>
      <c r="C448" s="10" t="str">
        <f>'26'!D2</f>
        <v>Air quality does not constitute a major policy  challenge for the city</v>
      </c>
      <c r="D448" s="10" t="str">
        <f>'26'!E2</f>
        <v>E</v>
      </c>
      <c r="E448" s="10">
        <f>'26'!F2</f>
        <v>0</v>
      </c>
      <c r="F448" s="10">
        <f>'26'!G2</f>
        <v>1</v>
      </c>
    </row>
    <row r="449" spans="1:6" x14ac:dyDescent="0.35">
      <c r="A449" s="10">
        <f>'26'!A3</f>
        <v>26</v>
      </c>
      <c r="B449" s="10">
        <f>'26'!B3</f>
        <v>2</v>
      </c>
      <c r="C449" s="10" t="str">
        <f>'26'!D3</f>
        <v>civil society campaigns and awareness-raising actions are few  and far between</v>
      </c>
      <c r="D449" s="10" t="str">
        <f>'26'!E3</f>
        <v>D</v>
      </c>
      <c r="E449" s="10">
        <f>'26'!F3</f>
        <v>0</v>
      </c>
      <c r="F449" s="10">
        <f>'26'!G3</f>
        <v>4</v>
      </c>
    </row>
    <row r="450" spans="1:6" x14ac:dyDescent="0.35">
      <c r="A450" s="10">
        <f>'26'!A4</f>
        <v>26</v>
      </c>
      <c r="B450" s="10">
        <f>'26'!B4</f>
        <v>3</v>
      </c>
      <c r="C450" s="10" t="str">
        <f>'26'!D4</f>
        <v>scepticism regarding the efficacy</v>
      </c>
      <c r="D450" s="10" t="str">
        <f>'26'!E4</f>
        <v>A</v>
      </c>
      <c r="E450" s="10">
        <f>'26'!F4</f>
        <v>2</v>
      </c>
      <c r="F450" s="10">
        <f>'26'!G4</f>
        <v>5</v>
      </c>
    </row>
    <row r="451" spans="1:6" x14ac:dyDescent="0.35">
      <c r="A451" s="10">
        <f>'26'!A5</f>
        <v>26</v>
      </c>
      <c r="B451" s="10">
        <f>'26'!B5</f>
        <v>4</v>
      </c>
      <c r="C451" s="10" t="str">
        <f>'26'!D5</f>
        <v>Transitioning from grey to green practices is related to political will / government support</v>
      </c>
      <c r="D451" s="10" t="str">
        <f>'26'!E5</f>
        <v>E</v>
      </c>
      <c r="E451" s="10">
        <f>'26'!F5</f>
        <v>0</v>
      </c>
      <c r="F451" s="10">
        <f>'26'!G5</f>
        <v>1</v>
      </c>
    </row>
    <row r="452" spans="1:6" x14ac:dyDescent="0.35">
      <c r="A452" s="10">
        <f>'26'!A6</f>
        <v>26</v>
      </c>
      <c r="B452" s="10">
        <f>'26'!B6</f>
        <v>5</v>
      </c>
      <c r="C452" s="10" t="str">
        <f>'26'!D6</f>
        <v>Lack of clear financial incentives and dedicated resources</v>
      </c>
      <c r="D452" s="10" t="str">
        <f>'26'!E6</f>
        <v>A</v>
      </c>
      <c r="E452" s="10">
        <f>'26'!F6</f>
        <v>1</v>
      </c>
      <c r="F452" s="10">
        <f>'26'!G6</f>
        <v>1</v>
      </c>
    </row>
    <row r="453" spans="1:6" x14ac:dyDescent="0.35">
      <c r="A453" s="10">
        <f>'26'!A7</f>
        <v>26</v>
      </c>
      <c r="B453" s="10">
        <f>'26'!B7</f>
        <v>6</v>
      </c>
      <c r="C453" s="10" t="str">
        <f>'26'!D7</f>
        <v>lack of dedicated resources for the potentially high  up-front costs of GI investments as well as long-term maintenance costs</v>
      </c>
      <c r="D453" s="10" t="str">
        <f>'26'!E7</f>
        <v>A</v>
      </c>
      <c r="E453" s="10">
        <f>'26'!F7</f>
        <v>1</v>
      </c>
      <c r="F453" s="10">
        <f>'26'!G7</f>
        <v>1</v>
      </c>
    </row>
    <row r="454" spans="1:6" x14ac:dyDescent="0.35">
      <c r="A454" s="10">
        <f>'26'!A8</f>
        <v>26</v>
      </c>
      <c r="B454" s="10">
        <f>'26'!B8</f>
        <v>7</v>
      </c>
      <c r="C454" s="10" t="str">
        <f>'26'!D8</f>
        <v>evidencing air pollution beyond  what the city reports required costly imported equipment, which constituted an emergent  financial barrie</v>
      </c>
      <c r="D454" s="10" t="str">
        <f>'26'!E8</f>
        <v>A</v>
      </c>
      <c r="E454" s="10">
        <f>'26'!F8</f>
        <v>1</v>
      </c>
      <c r="F454" s="10">
        <f>'26'!G8</f>
        <v>1</v>
      </c>
    </row>
    <row r="455" spans="1:6" x14ac:dyDescent="0.35">
      <c r="A455" s="10">
        <f>'26'!A9</f>
        <v>26</v>
      </c>
      <c r="B455" s="10">
        <f>'26'!B9</f>
        <v>8</v>
      </c>
      <c r="C455" s="10" t="str">
        <f>'26'!D9</f>
        <v>Lack of political will manifests as prioritising other pressing issues such as poverty or  unemployment, aversion towards change, or simply not giving importance to GI as a multifunctional solution.</v>
      </c>
      <c r="D455" s="10" t="str">
        <f>'26'!E9</f>
        <v>E</v>
      </c>
      <c r="E455" s="10">
        <f>'26'!F9</f>
        <v>0</v>
      </c>
      <c r="F455" s="10">
        <f>'26'!G9</f>
        <v>1</v>
      </c>
    </row>
    <row r="456" spans="1:6" x14ac:dyDescent="0.35">
      <c r="A456" s="10">
        <f>'26'!A10</f>
        <v>26</v>
      </c>
      <c r="B456" s="10">
        <f>'26'!B10</f>
        <v>9</v>
      </c>
      <c r="C456" s="10" t="str">
        <f>'26'!D10</f>
        <v xml:space="preserve">prioritising immediate actions to solve the economic  recession </v>
      </c>
      <c r="D456" s="10" t="str">
        <f>'26'!E10</f>
        <v>E</v>
      </c>
      <c r="E456" s="10">
        <f>'26'!F10</f>
        <v>0</v>
      </c>
      <c r="F456" s="10">
        <f>'26'!G10</f>
        <v>1</v>
      </c>
    </row>
    <row r="457" spans="1:6" x14ac:dyDescent="0.35">
      <c r="A457" s="10">
        <f>'26'!A11</f>
        <v>26</v>
      </c>
      <c r="B457" s="10">
        <f>'26'!B11</f>
        <v>10</v>
      </c>
      <c r="C457" s="10" t="str">
        <f>'26'!D11</f>
        <v>multidisciplinary - entail challenges of  leadership and collaboration within and among the institutions involved. Each institution,  department, or stakeholder operates on its own terms (e.g., agenda, timeframe, and values). = sectroal silos</v>
      </c>
      <c r="D457" s="10" t="str">
        <f>'26'!E11</f>
        <v>F</v>
      </c>
      <c r="E457" s="10">
        <f>'26'!F11</f>
        <v>2</v>
      </c>
      <c r="F457" s="10">
        <f>'26'!G11</f>
        <v>1</v>
      </c>
    </row>
    <row r="458" spans="1:6" x14ac:dyDescent="0.35">
      <c r="A458" s="10">
        <f>'26'!A12</f>
        <v>26</v>
      </c>
      <c r="B458" s="10">
        <f>'26'!B12</f>
        <v>11</v>
      </c>
      <c r="C458" s="10" t="str">
        <f>'26'!D12</f>
        <v xml:space="preserve">Long-term engagement of all parties involved - Outcomes and impacts are usually measurable after a sustained period, </v>
      </c>
      <c r="D458" s="10" t="str">
        <f>'26'!E12</f>
        <v>A</v>
      </c>
      <c r="E458" s="10">
        <f>'26'!F12</f>
        <v>1</v>
      </c>
      <c r="F458" s="10">
        <f>'26'!G12</f>
        <v>2</v>
      </c>
    </row>
    <row r="459" spans="1:6" x14ac:dyDescent="0.35">
      <c r="A459" s="10">
        <f>'26'!A13</f>
        <v>26</v>
      </c>
      <c r="B459" s="10">
        <f>'26'!B13</f>
        <v>12</v>
      </c>
      <c r="C459" s="10" t="str">
        <f>'26'!D13</f>
        <v>engagement of social stakeholders in the GI planning process is often suboptimal due to funding and time limitations</v>
      </c>
      <c r="D459" s="10" t="str">
        <f>'26'!E13</f>
        <v>A</v>
      </c>
      <c r="E459" s="10">
        <f>'26'!F13</f>
        <v>1</v>
      </c>
      <c r="F459" s="10">
        <f>'26'!G13</f>
        <v>1</v>
      </c>
    </row>
    <row r="460" spans="1:6" x14ac:dyDescent="0.35">
      <c r="A460" s="10">
        <f>'26'!A14</f>
        <v>26</v>
      </c>
      <c r="B460" s="10">
        <f>'26'!B14</f>
        <v>13</v>
      </c>
      <c r="C460" s="10" t="str">
        <f>'26'!D14</f>
        <v>Poor communication among actors causes  misunderstanding of project ownership or lack of engagement, which is crucial for the  monitoring and maintenance of GI</v>
      </c>
      <c r="D460" s="10" t="str">
        <f>'26'!E14</f>
        <v>C</v>
      </c>
      <c r="E460" s="10">
        <f>'26'!F14</f>
        <v>2</v>
      </c>
      <c r="F460" s="10">
        <f>'26'!G14</f>
        <v>3</v>
      </c>
    </row>
    <row r="461" spans="1:6" x14ac:dyDescent="0.35">
      <c r="A461" s="10">
        <f>'26'!A15</f>
        <v>26</v>
      </c>
      <c r="B461" s="10">
        <f>'26'!B15</f>
        <v>14</v>
      </c>
      <c r="C461" s="10" t="str">
        <f>'26'!D15</f>
        <v>institutions may not have the capacity or expertise required - in  some geographical contexts, GI innovation has primarily remained in academia or at pilot  project level</v>
      </c>
      <c r="D461" s="10" t="str">
        <f>'26'!E15</f>
        <v>C</v>
      </c>
      <c r="E461" s="10">
        <f>'26'!F15</f>
        <v>3</v>
      </c>
      <c r="F461" s="10">
        <f>'26'!G15</f>
        <v>2</v>
      </c>
    </row>
    <row r="462" spans="1:6" x14ac:dyDescent="0.35">
      <c r="A462" s="10">
        <f>'26'!A16</f>
        <v>26</v>
      </c>
      <c r="B462" s="10">
        <f>'26'!B16</f>
        <v>15</v>
      </c>
      <c r="C462" s="10" t="str">
        <f>'26'!D16</f>
        <v>availability of suitable plants -Plant selection  relies upon scientific literature primarily generated in Europe, the US, Australia, Japan,  and China. - different species to the ones  commercially available in Buenos Aires, or they are considered a specialty in the local  market, which increases costs. - resistance to the use of species that are  not local and native to the region</v>
      </c>
      <c r="D462" s="10" t="str">
        <f>'26'!E16</f>
        <v>C</v>
      </c>
      <c r="E462" s="10">
        <f>'26'!F16</f>
        <v>3</v>
      </c>
      <c r="F462" s="10">
        <f>'26'!G16</f>
        <v>1</v>
      </c>
    </row>
    <row r="463" spans="1:6" x14ac:dyDescent="0.35">
      <c r="A463" s="10">
        <f>'26'!A17</f>
        <v>26</v>
      </c>
      <c r="B463" s="10">
        <f>'26'!B17</f>
        <v>16</v>
      </c>
      <c r="C463" s="10" t="str">
        <f>'26'!D17</f>
        <v xml:space="preserve"> Sectoral silos:  leadership and monitoring of GI projects may be hindered by an institution’s internal  governance issues or staff turnover</v>
      </c>
      <c r="D463" s="10" t="str">
        <f>'26'!E17</f>
        <v>F</v>
      </c>
      <c r="E463" s="10">
        <f>'26'!F17</f>
        <v>1</v>
      </c>
      <c r="F463" s="10">
        <f>'26'!G17</f>
        <v>1</v>
      </c>
    </row>
    <row r="464" spans="1:6" x14ac:dyDescent="0.35">
      <c r="A464" s="10">
        <f>'26'!A18</f>
        <v>26</v>
      </c>
      <c r="B464" s="10">
        <f>'26'!B18</f>
        <v>17</v>
      </c>
      <c r="C464" s="10" t="str">
        <f>'26'!D18</f>
        <v>no clear knowledge of the pathways or means for civil society to engage directly with  the government and propose GI projects expediently</v>
      </c>
      <c r="D464" s="10" t="str">
        <f>'26'!E18</f>
        <v>F</v>
      </c>
      <c r="E464" s="10">
        <f>'26'!F18</f>
        <v>1</v>
      </c>
      <c r="F464" s="10">
        <f>'26'!G18</f>
        <v>1</v>
      </c>
    </row>
    <row r="465" spans="1:6" x14ac:dyDescent="0.35">
      <c r="A465" s="10">
        <f>'26'!A19</f>
        <v>26</v>
      </c>
      <c r="B465" s="10">
        <f>'26'!B19</f>
        <v>18</v>
      </c>
      <c r="C465" s="10" t="str">
        <f>'26'!D19</f>
        <v>little guidance on the development, monitoring, and maintenance of GI - challenging to provide standards because the system is alive</v>
      </c>
      <c r="D465" s="10" t="str">
        <f>'26'!E19</f>
        <v>F</v>
      </c>
      <c r="E465" s="10">
        <f>'26'!F19</f>
        <v>2</v>
      </c>
      <c r="F465" s="10">
        <f>'26'!G19</f>
        <v>2</v>
      </c>
    </row>
    <row r="466" spans="1:6" x14ac:dyDescent="0.35">
      <c r="A466" s="10">
        <f>'26'!A20</f>
        <v>26</v>
      </c>
      <c r="B466" s="10">
        <f>'26'!B20</f>
        <v>19</v>
      </c>
      <c r="C466" s="10" t="str">
        <f>'26'!D20</f>
        <v>‘cultural heritage’ status of  certain school buildings with colonial features prohibits interventions that may change their  appearance - Planning and building  code constraints are a common barrier</v>
      </c>
      <c r="D466" s="10" t="str">
        <f>'26'!E20</f>
        <v>F</v>
      </c>
      <c r="E466" s="10">
        <f>'26'!F20</f>
        <v>1</v>
      </c>
      <c r="F466" s="10">
        <f>'26'!G20</f>
        <v>1</v>
      </c>
    </row>
    <row r="467" spans="1:6" x14ac:dyDescent="0.35">
      <c r="A467" s="10">
        <f>'26'!A21</f>
        <v>26</v>
      </c>
      <c r="B467" s="10">
        <f>'26'!B21</f>
        <v>20</v>
      </c>
      <c r="C467" s="10" t="str">
        <f>'26'!D21</f>
        <v>Past positive and negative experiences  with GI at different levels (government, private practice, residents) may create bias towards  their uptake or rejection, which is referred to as ‘path dependency’</v>
      </c>
      <c r="D467" s="10" t="str">
        <f>'26'!E21</f>
        <v>D</v>
      </c>
      <c r="E467" s="10">
        <f>'26'!F21</f>
        <v>0</v>
      </c>
      <c r="F467" s="10">
        <f>'26'!G21</f>
        <v>5</v>
      </c>
    </row>
    <row r="468" spans="1:6" x14ac:dyDescent="0.35">
      <c r="A468" s="10">
        <f>'26'!A22</f>
        <v>26</v>
      </c>
      <c r="B468" s="10">
        <f>'26'!B22</f>
        <v>21</v>
      </c>
      <c r="C468" s="10" t="str">
        <f>'26'!D22</f>
        <v xml:space="preserve"> land ownership determines the  activities that are possible in a place</v>
      </c>
      <c r="D468" s="10" t="str">
        <f>'26'!E22</f>
        <v>F</v>
      </c>
      <c r="E468" s="10">
        <f>'26'!F22</f>
        <v>5</v>
      </c>
      <c r="F468" s="10">
        <f>'26'!G22</f>
        <v>2</v>
      </c>
    </row>
    <row r="469" spans="1:6" x14ac:dyDescent="0.35">
      <c r="A469" s="10">
        <f>'26'!A23</f>
        <v>26</v>
      </c>
      <c r="B469" s="10">
        <f>'26'!B23</f>
        <v>22</v>
      </c>
      <c r="C469" s="10" t="str">
        <f>'26'!D23</f>
        <v>landscape morphology, available space, and built-up infrastructure pose technical  difficulties</v>
      </c>
      <c r="D469" s="10" t="str">
        <f>'26'!E23</f>
        <v>F</v>
      </c>
      <c r="E469" s="10">
        <f>'26'!F23</f>
        <v>5</v>
      </c>
      <c r="F469" s="10">
        <f>'26'!G23</f>
        <v>2</v>
      </c>
    </row>
    <row r="470" spans="1:6" x14ac:dyDescent="0.35">
      <c r="A470" s="10">
        <f>'26'!A24</f>
        <v>26</v>
      </c>
      <c r="B470" s="10">
        <f>'26'!B24</f>
        <v>23</v>
      </c>
      <c r="C470" s="10" t="str">
        <f>'26'!D24</f>
        <v>lack  of financial incentives</v>
      </c>
      <c r="D470" s="10" t="str">
        <f>'26'!E24</f>
        <v>A</v>
      </c>
      <c r="E470" s="10">
        <f>'26'!F24</f>
        <v>1</v>
      </c>
      <c r="F470" s="10">
        <f>'26'!G24</f>
        <v>8</v>
      </c>
    </row>
    <row r="471" spans="1:6" x14ac:dyDescent="0.35">
      <c r="A471" s="10">
        <f>'26'!A25</f>
        <v>26</v>
      </c>
      <c r="B471" s="10">
        <f>'26'!B25</f>
        <v>24</v>
      </c>
      <c r="C471" s="10" t="str">
        <f>'26'!D25</f>
        <v>development of  trust between ‘city and citizens’ and collaborative governance among local government  and other actors are important enablers</v>
      </c>
      <c r="D471" s="10" t="str">
        <f>'26'!E25</f>
        <v>F</v>
      </c>
      <c r="E471" s="10">
        <f>'26'!F25</f>
        <v>1</v>
      </c>
      <c r="F471" s="10">
        <f>'26'!G25</f>
        <v>1</v>
      </c>
    </row>
    <row r="472" spans="1:6" x14ac:dyDescent="0.35">
      <c r="A472" s="10">
        <f>'26'!A26</f>
        <v>26</v>
      </c>
      <c r="B472" s="10">
        <f>'26'!B26</f>
        <v>25</v>
      </c>
      <c r="C472" s="10" t="str">
        <f>'26'!D26</f>
        <v>lack of green policies</v>
      </c>
      <c r="D472" s="10" t="str">
        <f>'26'!E26</f>
        <v>F</v>
      </c>
      <c r="E472" s="10">
        <f>'26'!F26</f>
        <v>2</v>
      </c>
      <c r="F472" s="10">
        <f>'26'!G26</f>
        <v>2</v>
      </c>
    </row>
    <row r="473" spans="1:6" x14ac:dyDescent="0.35">
      <c r="A473" s="10">
        <f>'26'!A27</f>
        <v>26</v>
      </c>
      <c r="B473" s="10">
        <f>'26'!B27</f>
        <v>26</v>
      </c>
      <c r="C473" s="10" t="str">
        <f>'26'!D27</f>
        <v xml:space="preserve"> lack  of pre-existing NbS interventions to shape the agenda</v>
      </c>
      <c r="D473" s="10" t="str">
        <f>'26'!E27</f>
        <v>C</v>
      </c>
      <c r="E473" s="10">
        <f>'26'!F27</f>
        <v>1</v>
      </c>
      <c r="F473" s="10">
        <f>'26'!G27</f>
        <v>1</v>
      </c>
    </row>
    <row r="474" spans="1:6" x14ac:dyDescent="0.35">
      <c r="A474" s="10">
        <f>'26'!A28</f>
        <v>26</v>
      </c>
      <c r="B474" s="10">
        <f>'26'!B28</f>
        <v>27</v>
      </c>
      <c r="C474" s="10" t="str">
        <f>'26'!D28</f>
        <v>complies with local and international regulations on ‘environmental quality’ does not  consider pollution hotspots, which the public monitoring system is also unable to identify  and document</v>
      </c>
      <c r="D474" s="10" t="str">
        <f>'26'!E28</f>
        <v>D</v>
      </c>
      <c r="E474" s="10">
        <f>'26'!F28</f>
        <v>0</v>
      </c>
      <c r="F474" s="10">
        <f>'26'!G28</f>
        <v>5</v>
      </c>
    </row>
    <row r="475" spans="1:6" x14ac:dyDescent="0.35">
      <c r="A475" s="10">
        <f>'26'!A29</f>
        <v>26</v>
      </c>
      <c r="B475" s="10">
        <f>'26'!B29</f>
        <v>28</v>
      </c>
      <c r="C475" s="10" t="str">
        <f>'26'!D29</f>
        <v xml:space="preserve"> air pollution  is not sensorially evident citywide for extended periods of time, with numerous cases  of poor health symptoms</v>
      </c>
      <c r="D475" s="10" t="str">
        <f>'26'!E29</f>
        <v>D</v>
      </c>
      <c r="E475" s="10">
        <f>'26'!F29</f>
        <v>0</v>
      </c>
      <c r="F475" s="10">
        <f>'26'!G29</f>
        <v>5</v>
      </c>
    </row>
    <row r="476" spans="1:6" x14ac:dyDescent="0.35">
      <c r="A476" s="10">
        <f>'26'!A30</f>
        <v>26</v>
      </c>
      <c r="B476" s="10">
        <f>'26'!B30</f>
        <v>29</v>
      </c>
      <c r="C476" s="10" t="str">
        <f>'26'!D30</f>
        <v>process of monitoring and data collection encountered difficulties related to the lack of familiarity interventions among specialists and the need for them to adapt their techniques and research design to test the green fence’s efficacy</v>
      </c>
      <c r="D476" s="10" t="str">
        <f>'26'!E30</f>
        <v>C</v>
      </c>
      <c r="E476" s="10">
        <f>'26'!F30</f>
        <v>3</v>
      </c>
      <c r="F476" s="10">
        <f>'26'!G30</f>
        <v>2</v>
      </c>
    </row>
    <row r="477" spans="1:6" x14ac:dyDescent="0.35">
      <c r="A477" s="10">
        <f>'27'!A2</f>
        <v>27</v>
      </c>
      <c r="B477" s="10">
        <f>'27'!B2</f>
        <v>1</v>
      </c>
      <c r="C477" s="10" t="str">
        <f>'27'!D2</f>
        <v>Benefits of restoration are more uncertain than grey solutions</v>
      </c>
      <c r="D477" s="10" t="str">
        <f>'27'!E2</f>
        <v>C</v>
      </c>
      <c r="E477" s="10">
        <f>'27'!F2</f>
        <v>1</v>
      </c>
      <c r="F477" s="10">
        <f>'27'!G2</f>
        <v>1</v>
      </c>
    </row>
    <row r="478" spans="1:6" x14ac:dyDescent="0.35">
      <c r="A478" s="10">
        <f>'27'!A3</f>
        <v>27</v>
      </c>
      <c r="B478" s="10">
        <f>'27'!B3</f>
        <v>2</v>
      </c>
      <c r="C478" s="10" t="str">
        <f>'27'!D3</f>
        <v xml:space="preserve">public funding is limited </v>
      </c>
      <c r="D478" s="10" t="str">
        <f>'27'!E3</f>
        <v>A</v>
      </c>
      <c r="E478" s="10">
        <f>'27'!F3</f>
        <v>1</v>
      </c>
      <c r="F478" s="10">
        <f>'27'!G3</f>
        <v>1</v>
      </c>
    </row>
    <row r="479" spans="1:6" x14ac:dyDescent="0.35">
      <c r="A479" s="10">
        <f>'27'!A4</f>
        <v>27</v>
      </c>
      <c r="B479" s="10">
        <f>'27'!B4</f>
        <v>3</v>
      </c>
      <c r="C479" s="10" t="str">
        <f>'27'!D4</f>
        <v xml:space="preserve">private funding budgets also limited (non-commercial) </v>
      </c>
      <c r="D479" s="10" t="str">
        <f>'27'!E4</f>
        <v>A</v>
      </c>
      <c r="E479" s="10">
        <f>'27'!F4</f>
        <v>1</v>
      </c>
      <c r="F479" s="10">
        <f>'27'!G4</f>
        <v>1</v>
      </c>
    </row>
    <row r="480" spans="1:6" x14ac:dyDescent="0.35">
      <c r="A480" s="10">
        <f>'27'!A5</f>
        <v>27</v>
      </c>
      <c r="B480" s="10">
        <f>'27'!B5</f>
        <v>4</v>
      </c>
      <c r="C480" s="10" t="str">
        <f>'27'!D5</f>
        <v xml:space="preserve">high benefits cannot always be converted into cashflows (revenues)  due to public good character, dispersed distribution across multiple beneficiaries, stochastic nature. </v>
      </c>
      <c r="D480" s="10" t="str">
        <f>'27'!E5</f>
        <v>A</v>
      </c>
      <c r="E480" s="10">
        <f>'27'!F5</f>
        <v>1</v>
      </c>
      <c r="F480" s="10">
        <f>'27'!G5</f>
        <v>8</v>
      </c>
    </row>
    <row r="481" spans="1:6" x14ac:dyDescent="0.35">
      <c r="A481" s="10">
        <f>'27'!A6</f>
        <v>27</v>
      </c>
      <c r="B481" s="10">
        <f>'27'!B6</f>
        <v>5</v>
      </c>
      <c r="C481" s="10" t="str">
        <f>'27'!D6</f>
        <v xml:space="preserve">competing demands for public money </v>
      </c>
      <c r="D481" s="10" t="str">
        <f>'27'!E6</f>
        <v>F</v>
      </c>
      <c r="E481" s="10">
        <f>'27'!F6</f>
        <v>5</v>
      </c>
      <c r="F481" s="10">
        <f>'27'!G6</f>
        <v>1</v>
      </c>
    </row>
    <row r="482" spans="1:6" x14ac:dyDescent="0.35">
      <c r="A482" s="10">
        <f>'27'!A7</f>
        <v>27</v>
      </c>
      <c r="B482" s="10">
        <f>'27'!B7</f>
        <v>6</v>
      </c>
      <c r="C482" s="10" t="str">
        <f>'27'!D7</f>
        <v>Initiators of restoration projects often lack the expertise to put together business plans that are attractive to investors</v>
      </c>
      <c r="D482" s="10" t="str">
        <f>'27'!E7</f>
        <v>A</v>
      </c>
      <c r="E482" s="10">
        <f>'27'!F7</f>
        <v>2</v>
      </c>
      <c r="F482" s="10">
        <f>'27'!G7</f>
        <v>7</v>
      </c>
    </row>
    <row r="483" spans="1:6" x14ac:dyDescent="0.35">
      <c r="A483" s="10">
        <f>'27'!A8</f>
        <v>27</v>
      </c>
      <c r="B483" s="10">
        <f>'27'!B8</f>
        <v>7</v>
      </c>
      <c r="C483" s="10" t="str">
        <f>'27'!D8</f>
        <v xml:space="preserve">project appraisal methodology doesnt facilitate inclusion of NBS cobenefits, leading to favouring of grey infra projects </v>
      </c>
      <c r="D483" s="10" t="str">
        <f>'27'!E8</f>
        <v>F</v>
      </c>
      <c r="E483" s="10">
        <f>'27'!F8</f>
        <v>2</v>
      </c>
      <c r="F483" s="10">
        <f>'27'!G8</f>
        <v>1</v>
      </c>
    </row>
    <row r="484" spans="1:6" x14ac:dyDescent="0.35">
      <c r="A484" s="10">
        <f>'27'!A9</f>
        <v>27</v>
      </c>
      <c r="B484" s="10">
        <f>'27'!B9</f>
        <v>8</v>
      </c>
      <c r="C484" s="10" t="str">
        <f>'27'!D9</f>
        <v xml:space="preserve">project appraisals use discounting of future benefits, favouring projects with benefits occuring sooner, whilst NBS delivery of (all) benefits occurs over long time. </v>
      </c>
      <c r="D484" s="10" t="str">
        <f>'27'!E9</f>
        <v>F</v>
      </c>
      <c r="E484" s="10">
        <f>'27'!F9</f>
        <v>2</v>
      </c>
      <c r="F484" s="10">
        <f>'27'!G9</f>
        <v>1</v>
      </c>
    </row>
    <row r="485" spans="1:6" x14ac:dyDescent="0.35">
      <c r="A485" s="10">
        <f>'27'!A10</f>
        <v>27</v>
      </c>
      <c r="B485" s="10">
        <f>'27'!B10</f>
        <v>9</v>
      </c>
      <c r="C485" s="10" t="str">
        <f>'27'!D10</f>
        <v xml:space="preserve"> high option value of restoration seldom included in project appraisals favoring grey infrastructure solutions</v>
      </c>
      <c r="D485" s="10" t="str">
        <f>'27'!E10</f>
        <v>F</v>
      </c>
      <c r="E485" s="10">
        <f>'27'!F10</f>
        <v>2</v>
      </c>
      <c r="F485" s="10">
        <f>'27'!G10</f>
        <v>1</v>
      </c>
    </row>
    <row r="486" spans="1:6" x14ac:dyDescent="0.35">
      <c r="A486" s="10">
        <f>'28'!A2</f>
        <v>28</v>
      </c>
      <c r="B486" s="10">
        <f>'28'!B2</f>
        <v>1</v>
      </c>
      <c r="C486" s="10" t="str">
        <f>'28'!D2</f>
        <v xml:space="preserve"> Higher construction and maintenance costs than conventional pavements</v>
      </c>
      <c r="D486" s="10" t="str">
        <f>'28'!E2</f>
        <v>C</v>
      </c>
      <c r="E486" s="10">
        <f>'28'!F2</f>
        <v>3</v>
      </c>
      <c r="F486" s="10">
        <f>'28'!G2</f>
        <v>1</v>
      </c>
    </row>
    <row r="487" spans="1:6" x14ac:dyDescent="0.35">
      <c r="A487" s="10">
        <f>'28'!A3</f>
        <v>28</v>
      </c>
      <c r="B487" s="10">
        <f>'28'!B3</f>
        <v>2</v>
      </c>
      <c r="C487" s="10" t="str">
        <f>'28'!D3</f>
        <v>The quality of water stored gets deteriorated after a prolonged period of time,</v>
      </c>
      <c r="D487" s="10" t="str">
        <f>'28'!E3</f>
        <v>B</v>
      </c>
      <c r="E487" s="10">
        <f>'28'!F3</f>
        <v>0</v>
      </c>
      <c r="F487" s="10">
        <f>'28'!G3</f>
        <v>1</v>
      </c>
    </row>
    <row r="488" spans="1:6" x14ac:dyDescent="0.35">
      <c r="A488" s="10">
        <f>'28'!A4</f>
        <v>28</v>
      </c>
      <c r="B488" s="10">
        <f>'28'!B4</f>
        <v>3</v>
      </c>
      <c r="C488" s="10" t="str">
        <f>'28'!D4</f>
        <v>Require a considerable amount of space, making it unsuitable for densely populated areas</v>
      </c>
      <c r="D488" s="10" t="str">
        <f>'28'!E4</f>
        <v>F</v>
      </c>
      <c r="E488" s="10">
        <f>'28'!F4</f>
        <v>5</v>
      </c>
      <c r="F488" s="10">
        <f>'28'!G4</f>
        <v>2</v>
      </c>
    </row>
    <row r="489" spans="1:6" x14ac:dyDescent="0.35">
      <c r="A489" s="10">
        <f>'28'!A5</f>
        <v>28</v>
      </c>
      <c r="B489" s="10">
        <f>'28'!B5</f>
        <v>4</v>
      </c>
      <c r="C489" s="10" t="str">
        <f>'28'!D5</f>
        <v xml:space="preserve">safety and health concerns - May fail in case of higher pollutant loads 
</v>
      </c>
      <c r="D489" s="10" t="str">
        <f>'28'!E5</f>
        <v>B</v>
      </c>
      <c r="E489" s="10">
        <f>'28'!F5</f>
        <v>0</v>
      </c>
      <c r="F489" s="10">
        <f>'28'!G5</f>
        <v>1</v>
      </c>
    </row>
    <row r="490" spans="1:6" x14ac:dyDescent="0.35">
      <c r="A490" s="10">
        <f>'28'!A6</f>
        <v>28</v>
      </c>
      <c r="B490" s="10">
        <f>'28'!B6</f>
        <v>5</v>
      </c>
      <c r="C490" s="10" t="str">
        <f>'28'!D6</f>
        <v xml:space="preserve">demand constant inspection and removal of collected debris along with other remains from its inlet and outlet structures
</v>
      </c>
      <c r="D490" s="10" t="str">
        <f>'28'!E6</f>
        <v>A</v>
      </c>
      <c r="E490" s="10">
        <f>'28'!F6</f>
        <v>3</v>
      </c>
      <c r="F490" s="10">
        <f>'28'!G6</f>
        <v>3</v>
      </c>
    </row>
    <row r="491" spans="1:6" x14ac:dyDescent="0.35">
      <c r="A491" s="10">
        <f>'28'!A7</f>
        <v>28</v>
      </c>
      <c r="B491" s="10">
        <f>'28'!B7</f>
        <v>6</v>
      </c>
      <c r="C491" s="10" t="str">
        <f>'28'!D7</f>
        <v xml:space="preserve">Maintenance costs vary from moderate to high, Installation is expensive because of the high investment cost of labour </v>
      </c>
      <c r="D491" s="10" t="str">
        <f>'28'!E7</f>
        <v>C</v>
      </c>
      <c r="E491" s="10">
        <f>'28'!F7</f>
        <v>3</v>
      </c>
      <c r="F491" s="10">
        <f>'28'!G7</f>
        <v>3</v>
      </c>
    </row>
    <row r="492" spans="1:6" x14ac:dyDescent="0.35">
      <c r="A492" s="10">
        <f>'28'!A8</f>
        <v>28</v>
      </c>
      <c r="B492" s="10">
        <f>'28'!B8</f>
        <v>7</v>
      </c>
      <c r="C492" s="10" t="str">
        <f>'28'!D8</f>
        <v xml:space="preserve">limited research at a local level to find suitable native plants for the optimum performance of green roofs </v>
      </c>
      <c r="D492" s="10" t="str">
        <f>'28'!E8</f>
        <v>C</v>
      </c>
      <c r="E492" s="10">
        <f>'28'!F8</f>
        <v>3</v>
      </c>
      <c r="F492" s="10">
        <f>'28'!G8</f>
        <v>1</v>
      </c>
    </row>
    <row r="493" spans="1:6" x14ac:dyDescent="0.35">
      <c r="A493" s="10">
        <f>'28'!A9</f>
        <v>28</v>
      </c>
      <c r="B493" s="10">
        <f>'28'!B9</f>
        <v>8</v>
      </c>
      <c r="C493" s="10" t="str">
        <f>'28'!D9</f>
        <v>Initial high construction cost and require consistent maintenance</v>
      </c>
      <c r="D493" s="10" t="str">
        <f>'28'!E9</f>
        <v>C</v>
      </c>
      <c r="E493" s="10">
        <f>'28'!F9</f>
        <v>3</v>
      </c>
      <c r="F493" s="10">
        <f>'28'!G9</f>
        <v>1</v>
      </c>
    </row>
    <row r="494" spans="1:6" x14ac:dyDescent="0.35">
      <c r="A494" s="10">
        <f>'28'!A10</f>
        <v>28</v>
      </c>
      <c r="B494" s="10">
        <f>'28'!B10</f>
        <v>9</v>
      </c>
      <c r="C494" s="10" t="str">
        <f>'28'!D10</f>
        <v>Improper installation increases the probability of leakage and can even lead to structural failure of building</v>
      </c>
      <c r="D494" s="10" t="str">
        <f>'28'!E10</f>
        <v>C</v>
      </c>
      <c r="E494" s="10">
        <f>'28'!F10</f>
        <v>1</v>
      </c>
      <c r="F494" s="10">
        <f>'28'!G10</f>
        <v>1</v>
      </c>
    </row>
    <row r="495" spans="1:6" x14ac:dyDescent="0.35">
      <c r="A495" s="10">
        <f>'28'!A11</f>
        <v>28</v>
      </c>
      <c r="B495" s="10">
        <f>'28'!B11</f>
        <v>10</v>
      </c>
      <c r="C495" s="10" t="str">
        <f>'28'!D11</f>
        <v xml:space="preserve">Insufficient technical support ( skilled labour, knowledge on design standards, guidelines and performance) is one of the prime reasons for delayed GI implementation. </v>
      </c>
      <c r="D495" s="10" t="str">
        <f>'28'!E11</f>
        <v>C</v>
      </c>
      <c r="E495" s="10">
        <f>'28'!F11</f>
        <v>3</v>
      </c>
      <c r="F495" s="10">
        <f>'28'!G11</f>
        <v>1</v>
      </c>
    </row>
    <row r="496" spans="1:6" x14ac:dyDescent="0.35">
      <c r="A496" s="10">
        <f>'28'!A12</f>
        <v>28</v>
      </c>
      <c r="B496" s="10">
        <f>'28'!B12</f>
        <v>11</v>
      </c>
      <c r="C496" s="10" t="str">
        <f>'28'!D12</f>
        <v>available land space is scarce in densely populated areas.</v>
      </c>
      <c r="D496" s="10" t="str">
        <f>'28'!E12</f>
        <v>F</v>
      </c>
      <c r="E496" s="10">
        <f>'28'!F12</f>
        <v>5</v>
      </c>
      <c r="F496" s="10">
        <f>'28'!G12</f>
        <v>2</v>
      </c>
    </row>
    <row r="497" spans="1:6" x14ac:dyDescent="0.35">
      <c r="A497" s="10">
        <f>'28'!A13</f>
        <v>28</v>
      </c>
      <c r="B497" s="10">
        <f>'28'!B13</f>
        <v>12</v>
      </c>
      <c r="C497" s="10" t="str">
        <f>'28'!D13</f>
        <v xml:space="preserve">single GI solution cannot turn out to be effective in all places influenced by  factors such as land usage type, slope, size of the watershed, soil permeability, rainfall patterns, depth of water table and other natural characteristics </v>
      </c>
      <c r="D497" s="10" t="str">
        <f>'28'!E13</f>
        <v>B</v>
      </c>
      <c r="E497" s="10">
        <f>'28'!F13</f>
        <v>0</v>
      </c>
      <c r="F497" s="10">
        <f>'28'!G13</f>
        <v>4</v>
      </c>
    </row>
    <row r="498" spans="1:6" x14ac:dyDescent="0.35">
      <c r="A498" s="10">
        <f>'28'!A14</f>
        <v>28</v>
      </c>
      <c r="B498" s="10">
        <f>'28'!B14</f>
        <v>13</v>
      </c>
      <c r="C498" s="10" t="str">
        <f>'28'!D14</f>
        <v xml:space="preserve"> limited experimental and field data available related to performance</v>
      </c>
      <c r="D498" s="10" t="str">
        <f>'28'!E14</f>
        <v>C</v>
      </c>
      <c r="E498" s="10">
        <f>'28'!F14</f>
        <v>1</v>
      </c>
      <c r="F498" s="10">
        <f>'28'!G14</f>
        <v>1</v>
      </c>
    </row>
    <row r="499" spans="1:6" x14ac:dyDescent="0.35">
      <c r="A499" s="10">
        <f>'28'!A15</f>
        <v>28</v>
      </c>
      <c r="B499" s="10">
        <f>'28'!B15</f>
        <v>14</v>
      </c>
      <c r="C499" s="10" t="str">
        <f>'28'!D15</f>
        <v>In developing countries, the lack of topographical and hydrological data makes the designing and implementation process of reliable measures for flood-risk mitigation time-consuming.</v>
      </c>
      <c r="D499" s="10" t="str">
        <f>'28'!E15</f>
        <v>C</v>
      </c>
      <c r="E499" s="10">
        <f>'28'!F15</f>
        <v>2</v>
      </c>
      <c r="F499" s="10">
        <f>'28'!G15</f>
        <v>1</v>
      </c>
    </row>
    <row r="500" spans="1:6" x14ac:dyDescent="0.35">
      <c r="A500" s="10">
        <f>'28'!A16</f>
        <v>28</v>
      </c>
      <c r="B500" s="10">
        <f>'28'!B16</f>
        <v>15</v>
      </c>
      <c r="C500" s="10" t="str">
        <f>'28'!D16</f>
        <v xml:space="preserve">Insufficient hydrological data prevents a consistent estimation of expected flood events, whereas the absence of suitable topographical data results in defective hydraulic analysis. </v>
      </c>
      <c r="D500" s="10" t="str">
        <f>'28'!E16</f>
        <v>C</v>
      </c>
      <c r="E500" s="10">
        <f>'28'!F16</f>
        <v>2</v>
      </c>
      <c r="F500" s="10">
        <f>'28'!G16</f>
        <v>1</v>
      </c>
    </row>
    <row r="501" spans="1:6" x14ac:dyDescent="0.35">
      <c r="A501" s="10">
        <f>'28'!A17</f>
        <v>28</v>
      </c>
      <c r="B501" s="10">
        <f>'28'!B17</f>
        <v>16</v>
      </c>
      <c r="C501" s="10" t="str">
        <f>'28'!D17</f>
        <v xml:space="preserve">AHP and spatial analysis can be employed to improve flood risk management by using indicators like land use, soil texture, distance to rivers, population density, rainfall patterns etc. -this may come in handy in places that lack data to run hydraulic models, thus accelerating the simulation process of flood risk assessment maps </v>
      </c>
      <c r="D501" s="10" t="str">
        <f>'28'!E17</f>
        <v>C</v>
      </c>
      <c r="E501" s="10">
        <f>'28'!F17</f>
        <v>2</v>
      </c>
      <c r="F501" s="10">
        <f>'28'!G17</f>
        <v>1</v>
      </c>
    </row>
    <row r="502" spans="1:6" x14ac:dyDescent="0.35">
      <c r="A502" s="10">
        <f>'28'!A18</f>
        <v>28</v>
      </c>
      <c r="B502" s="10">
        <f>'28'!B18</f>
        <v>17</v>
      </c>
      <c r="C502" s="10" t="str">
        <f>'28'!D18</f>
        <v xml:space="preserve">due to lack of political and administrative will, there are no stringent laws and regulations for their application, supervision and maintenance </v>
      </c>
      <c r="D502" s="10" t="str">
        <f>'28'!E18</f>
        <v>E</v>
      </c>
      <c r="E502" s="10">
        <f>'28'!F18</f>
        <v>0</v>
      </c>
      <c r="F502" s="10">
        <f>'28'!G18</f>
        <v>1</v>
      </c>
    </row>
    <row r="503" spans="1:6" x14ac:dyDescent="0.35">
      <c r="A503" s="10">
        <f>'28'!A19</f>
        <v>28</v>
      </c>
      <c r="B503" s="10">
        <f>'28'!B19</f>
        <v>18</v>
      </c>
      <c r="C503" s="10" t="str">
        <f>'28'!D19</f>
        <v xml:space="preserve">modelling tools demand more exposure in terms of stakeholders’ participation. </v>
      </c>
      <c r="D503" s="10" t="str">
        <f>'28'!E19</f>
        <v>C</v>
      </c>
      <c r="E503" s="10">
        <f>'28'!F19</f>
        <v>2</v>
      </c>
      <c r="F503" s="10">
        <f>'28'!G19</f>
        <v>3</v>
      </c>
    </row>
    <row r="504" spans="1:6" x14ac:dyDescent="0.35">
      <c r="A504" s="10">
        <f>'28'!A20</f>
        <v>28</v>
      </c>
      <c r="B504" s="10">
        <f>'28'!B20</f>
        <v>19</v>
      </c>
      <c r="C504" s="10" t="str">
        <f>'28'!D20</f>
        <v xml:space="preserve"> absence of cooperation between the different departments, coupled with unclear responsibilities, hampering the process of execution, maintenance and supervision. </v>
      </c>
      <c r="D504" s="10" t="str">
        <f>'28'!E20</f>
        <v>F</v>
      </c>
      <c r="E504" s="10">
        <f>'28'!F20</f>
        <v>1</v>
      </c>
      <c r="F504" s="10">
        <f>'28'!G20</f>
        <v>1</v>
      </c>
    </row>
    <row r="505" spans="1:6" x14ac:dyDescent="0.35">
      <c r="A505" s="10">
        <f>'28'!A21</f>
        <v>28</v>
      </c>
      <c r="B505" s="10">
        <f>'28'!B21</f>
        <v>20</v>
      </c>
      <c r="C505" s="10" t="str">
        <f>'28'!D21</f>
        <v xml:space="preserve"> lack a framework for an effective flood risk assessment at local scales</v>
      </c>
      <c r="D505" s="10" t="str">
        <f>'28'!E21</f>
        <v>C</v>
      </c>
      <c r="E505" s="10">
        <f>'28'!F21</f>
        <v>3</v>
      </c>
      <c r="F505" s="10">
        <f>'28'!G21</f>
        <v>1</v>
      </c>
    </row>
    <row r="506" spans="1:6" x14ac:dyDescent="0.35">
      <c r="A506" s="10">
        <f>'28'!A22</f>
        <v>28</v>
      </c>
      <c r="B506" s="10">
        <f>'28'!B22</f>
        <v>21</v>
      </c>
      <c r="C506" s="10" t="str">
        <f>'28'!D22</f>
        <v xml:space="preserve"> improved understanding of the perception of flood risk, safety and risk communication methods could be immensely valuable for the present as well as future stakeholders</v>
      </c>
      <c r="D506" s="10" t="str">
        <f>'28'!E22</f>
        <v>B</v>
      </c>
      <c r="E506" s="10">
        <f>'28'!F22</f>
        <v>0</v>
      </c>
      <c r="F506" s="10">
        <f>'28'!G22</f>
        <v>4</v>
      </c>
    </row>
    <row r="507" spans="1:6" x14ac:dyDescent="0.35">
      <c r="A507" s="10">
        <f>'28'!A23</f>
        <v>28</v>
      </c>
      <c r="B507" s="10">
        <f>'28'!B23</f>
        <v>22</v>
      </c>
      <c r="C507" s="10" t="str">
        <f>'28'!D23</f>
        <v>urban planners and professionals can join in their efforts for improved and viable results</v>
      </c>
      <c r="D507" s="10" t="str">
        <f>'28'!E23</f>
        <v>F</v>
      </c>
      <c r="E507" s="10">
        <f>'28'!F23</f>
        <v>1</v>
      </c>
      <c r="F507" s="10">
        <f>'28'!G23</f>
        <v>2</v>
      </c>
    </row>
    <row r="508" spans="1:6" x14ac:dyDescent="0.35">
      <c r="A508" s="10">
        <f>'28'!A24</f>
        <v>28</v>
      </c>
      <c r="B508" s="10">
        <f>'28'!B24</f>
        <v>23</v>
      </c>
      <c r="C508" s="10" t="str">
        <f>'28'!D24</f>
        <v xml:space="preserve"> Formulating policies and technical standards concerning floodwater management pays off</v>
      </c>
      <c r="D508" s="10" t="str">
        <f>'28'!E24</f>
        <v>F</v>
      </c>
      <c r="E508" s="10">
        <f>'28'!F24</f>
        <v>2</v>
      </c>
      <c r="F508" s="10">
        <f>'28'!G24</f>
        <v>2</v>
      </c>
    </row>
    <row r="509" spans="1:6" x14ac:dyDescent="0.35">
      <c r="A509" s="10">
        <f>'28'!A25</f>
        <v>28</v>
      </c>
      <c r="B509" s="10">
        <f>'28'!B25</f>
        <v>24</v>
      </c>
      <c r="C509" s="10" t="str">
        <f>'28'!D25</f>
        <v>Evaluation of water-linked ecosystem services could be done using hydro-dynamic modelling and multi-objective optimisation both at regional levels as well as for a watershed for the purpose of municipal planning</v>
      </c>
      <c r="D509" s="10" t="str">
        <f>'28'!E25</f>
        <v>B</v>
      </c>
      <c r="E509" s="10">
        <f>'28'!F25</f>
        <v>0</v>
      </c>
      <c r="F509" s="10">
        <f>'28'!G25</f>
        <v>1</v>
      </c>
    </row>
    <row r="510" spans="1:6" x14ac:dyDescent="0.35">
      <c r="A510" s="10">
        <f>'28'!A26</f>
        <v>28</v>
      </c>
      <c r="B510" s="10">
        <f>'28'!B26</f>
        <v>25</v>
      </c>
      <c r="C510" s="10" t="str">
        <f>'28'!D26</f>
        <v>inadequate incentives</v>
      </c>
      <c r="D510" s="10" t="str">
        <f>'28'!E26</f>
        <v>A</v>
      </c>
      <c r="E510" s="10">
        <f>'28'!F26</f>
        <v>1</v>
      </c>
      <c r="F510" s="10">
        <f>'28'!G26</f>
        <v>8</v>
      </c>
    </row>
    <row r="511" spans="1:6" x14ac:dyDescent="0.35">
      <c r="A511" s="10">
        <f>'28'!A27</f>
        <v>28</v>
      </c>
      <c r="B511" s="10">
        <f>'28'!B27</f>
        <v>26</v>
      </c>
      <c r="C511" s="10" t="str">
        <f>'28'!D27</f>
        <v>limited investments</v>
      </c>
      <c r="D511" s="10" t="str">
        <f>'28'!E27</f>
        <v>A</v>
      </c>
      <c r="E511" s="10">
        <f>'28'!F27</f>
        <v>2</v>
      </c>
      <c r="F511" s="10">
        <f>'28'!G27</f>
        <v>1</v>
      </c>
    </row>
    <row r="512" spans="1:6" x14ac:dyDescent="0.35">
      <c r="A512" s="10">
        <f>'28'!A28</f>
        <v>28</v>
      </c>
      <c r="B512" s="10">
        <f>'28'!B28</f>
        <v>27</v>
      </c>
      <c r="C512" s="10" t="str">
        <f>'28'!D28</f>
        <v xml:space="preserve">construction costs, </v>
      </c>
      <c r="D512" s="10" t="str">
        <f>'28'!E28</f>
        <v>A</v>
      </c>
      <c r="E512" s="10">
        <f>'28'!F28</f>
        <v>3</v>
      </c>
      <c r="F512" s="10">
        <f>'28'!G28</f>
        <v>1</v>
      </c>
    </row>
    <row r="513" spans="1:6" x14ac:dyDescent="0.35">
      <c r="A513" s="10">
        <f>'28'!A29</f>
        <v>28</v>
      </c>
      <c r="B513" s="10">
        <f>'28'!B29</f>
        <v>28</v>
      </c>
      <c r="C513" s="10" t="str">
        <f>'28'!D29</f>
        <v>nitial price of introducing it in the landscape and maintenance costs post-construction</v>
      </c>
      <c r="D513" s="10" t="str">
        <f>'28'!E29</f>
        <v>A</v>
      </c>
      <c r="E513" s="10">
        <f>'28'!F29</f>
        <v>3</v>
      </c>
      <c r="F513" s="10">
        <f>'28'!G29</f>
        <v>3</v>
      </c>
    </row>
    <row r="514" spans="1:6" x14ac:dyDescent="0.35">
      <c r="A514" s="10">
        <f>'28'!A30</f>
        <v>28</v>
      </c>
      <c r="B514" s="10">
        <f>'28'!B30</f>
        <v>29</v>
      </c>
      <c r="C514" s="10" t="str">
        <f>'28'!D30</f>
        <v xml:space="preserve">Funding is also an obstacle in modelling the drainage systems -  Many open source and commercial software packages are presently but cost-effective open-source models offer weak technical support and commercial ones too expensive for extensive use  </v>
      </c>
      <c r="D514" s="10" t="str">
        <f>'28'!E30</f>
        <v>A</v>
      </c>
      <c r="E514" s="10">
        <f>'28'!F30</f>
        <v>1</v>
      </c>
      <c r="F514" s="10">
        <f>'28'!G30</f>
        <v>1</v>
      </c>
    </row>
    <row r="515" spans="1:6" x14ac:dyDescent="0.35">
      <c r="A515" s="10">
        <f>'28'!A31</f>
        <v>28</v>
      </c>
      <c r="B515" s="10">
        <f>'28'!B31</f>
        <v>30</v>
      </c>
      <c r="C515" s="10" t="str">
        <f>'28'!D31</f>
        <v xml:space="preserve">ecological and socio-economic attributes are often ignored aspects of flood management studies. </v>
      </c>
      <c r="D515" s="10" t="str">
        <f>'28'!E31</f>
        <v>C</v>
      </c>
      <c r="E515" s="10">
        <f>'28'!F31</f>
        <v>1</v>
      </c>
      <c r="F515" s="10">
        <f>'28'!G31</f>
        <v>1</v>
      </c>
    </row>
    <row r="516" spans="1:6" x14ac:dyDescent="0.35">
      <c r="A516" s="10">
        <f>'28'!A32</f>
        <v>28</v>
      </c>
      <c r="B516" s="10">
        <f>'28'!B32</f>
        <v>31</v>
      </c>
      <c r="C516" s="10" t="str">
        <f>'28'!D32</f>
        <v>many of the currently available modelling tools do not consider overall benefits of GI</v>
      </c>
      <c r="D516" s="10" t="str">
        <f>'28'!E32</f>
        <v>C</v>
      </c>
      <c r="E516" s="10">
        <f>'28'!F32</f>
        <v>3</v>
      </c>
      <c r="F516" s="10">
        <f>'28'!G32</f>
        <v>1</v>
      </c>
    </row>
    <row r="517" spans="1:6" x14ac:dyDescent="0.35">
      <c r="A517" s="10">
        <f>'28'!A33</f>
        <v>28</v>
      </c>
      <c r="B517" s="10">
        <f>'28'!B33</f>
        <v>32</v>
      </c>
      <c r="C517" s="10" t="str">
        <f>'28'!D33</f>
        <v xml:space="preserve">life-cycle management is repeatedly neglected but is imperative in developing adaptability to the uncertainties associated with flood risk </v>
      </c>
      <c r="D517" s="10" t="str">
        <f>'28'!E33</f>
        <v>B</v>
      </c>
      <c r="E517" s="10">
        <f>'28'!F33</f>
        <v>0</v>
      </c>
      <c r="F517" s="10">
        <f>'28'!G33</f>
        <v>4</v>
      </c>
    </row>
    <row r="518" spans="1:6" x14ac:dyDescent="0.35">
      <c r="A518" s="10">
        <f>'28'!A34</f>
        <v>28</v>
      </c>
      <c r="B518" s="10">
        <f>'28'!B34</f>
        <v>33</v>
      </c>
      <c r="C518" s="10" t="str">
        <f>'28'!D34</f>
        <v xml:space="preserve"> The emphasis is more on the physical damages caused to property, while in-depth knowledge of the vulnerability of critical infrastructure network can be of more value</v>
      </c>
      <c r="D518" s="10" t="str">
        <f>'28'!E34</f>
        <v>C</v>
      </c>
      <c r="E518" s="10">
        <f>'28'!F34</f>
        <v>1</v>
      </c>
      <c r="F518" s="10">
        <f>'28'!G34</f>
        <v>1</v>
      </c>
    </row>
    <row r="519" spans="1:6" x14ac:dyDescent="0.35">
      <c r="A519" s="10">
        <f>'28'!A35</f>
        <v>28</v>
      </c>
      <c r="B519" s="10">
        <f>'28'!B35</f>
        <v>34</v>
      </c>
      <c r="C519" s="10" t="str">
        <f>'28'!D35</f>
        <v>The process is crippled by the lack of data that either does not exist or is sensitive to be shared.</v>
      </c>
      <c r="D519" s="10" t="str">
        <f>'28'!E35</f>
        <v>C</v>
      </c>
      <c r="E519" s="10">
        <f>'28'!F35</f>
        <v>1</v>
      </c>
      <c r="F519" s="10">
        <f>'28'!G35</f>
        <v>1</v>
      </c>
    </row>
    <row r="520" spans="1:6" x14ac:dyDescent="0.35">
      <c r="A520" s="10">
        <f>'28'!A36</f>
        <v>28</v>
      </c>
      <c r="B520" s="10">
        <f>'28'!B36</f>
        <v>35</v>
      </c>
      <c r="C520" s="10" t="str">
        <f>'28'!D36</f>
        <v>The awareness of the benefits of GI is snowballing, but there is often a reluctance to pay, especially in places with low economic  status due to variances in household income, educational background and environmental awareness.</v>
      </c>
      <c r="D520" s="10" t="str">
        <f>'28'!E36</f>
        <v>D</v>
      </c>
      <c r="E520" s="10">
        <f>'28'!F36</f>
        <v>0</v>
      </c>
      <c r="F520" s="10">
        <f>'28'!G36</f>
        <v>3</v>
      </c>
    </row>
    <row r="521" spans="1:6" x14ac:dyDescent="0.35">
      <c r="A521" s="10">
        <f>'28'!A37</f>
        <v>28</v>
      </c>
      <c r="B521" s="10">
        <f>'28'!B37</f>
        <v>36</v>
      </c>
      <c r="C521" s="10" t="str">
        <f>'28'!D37</f>
        <v xml:space="preserve"> Lower levels of education can result in a limited understanding of the long-term benefits and cost savings associated with GI. Devoid of relevant knowledge and understanding, residents may not fully appreciate the worth of investing in such infrastructure.</v>
      </c>
      <c r="D521" s="10" t="str">
        <f>'28'!E37</f>
        <v>A</v>
      </c>
      <c r="E521" s="10">
        <f>'28'!F37</f>
        <v>1</v>
      </c>
      <c r="F521" s="10">
        <f>'28'!G37</f>
        <v>7</v>
      </c>
    </row>
    <row r="522" spans="1:6" x14ac:dyDescent="0.35">
      <c r="A522" s="10">
        <f>'28'!A38</f>
        <v>28</v>
      </c>
      <c r="B522" s="10">
        <f>'28'!B38</f>
        <v>37</v>
      </c>
      <c r="C522" s="10" t="str">
        <f>'28'!D38</f>
        <v xml:space="preserve"> affluent communities pay more attention to recreational activities and ensure a high quality of life (White</v>
      </c>
      <c r="D522" s="10" t="str">
        <f>'28'!E38</f>
        <v>D</v>
      </c>
      <c r="E522" s="10">
        <f>'28'!F38</f>
        <v>0</v>
      </c>
      <c r="F522" s="10">
        <f>'28'!G38</f>
        <v>3</v>
      </c>
    </row>
    <row r="523" spans="1:6" x14ac:dyDescent="0.35">
      <c r="A523" s="10">
        <f>'29'!A2</f>
        <v>29</v>
      </c>
      <c r="B523" s="10">
        <f>'29'!B2</f>
        <v>1</v>
      </c>
      <c r="C523" s="10" t="str">
        <f>'29'!D2</f>
        <v>lack of standardised evidence gathering approach to the performance of a wide range   of nature-based solutions</v>
      </c>
      <c r="D523" s="10" t="str">
        <f>'29'!E2</f>
        <v>C</v>
      </c>
      <c r="E523" s="10">
        <f>'29'!F2</f>
        <v>1</v>
      </c>
      <c r="F523" s="10">
        <f>'29'!G2</f>
        <v>2</v>
      </c>
    </row>
    <row r="524" spans="1:6" x14ac:dyDescent="0.35">
      <c r="A524" s="10">
        <f>'29'!A3</f>
        <v>29</v>
      </c>
      <c r="B524" s="10">
        <f>'29'!B3</f>
        <v>2</v>
      </c>
      <c r="C524" s="10" t="str">
        <f>'29'!D3</f>
        <v>complexity of dealing with trade-offs between ecosystem   service outcomes that can be achieved with different planning approaches and designs of nature-based solutions</v>
      </c>
      <c r="D524" s="10" t="str">
        <f>'29'!E3</f>
        <v>C</v>
      </c>
      <c r="E524" s="10">
        <f>'29'!F3</f>
        <v>2</v>
      </c>
      <c r="F524" s="10">
        <f>'29'!G3</f>
        <v>2</v>
      </c>
    </row>
    <row r="525" spans="1:6" x14ac:dyDescent="0.35">
      <c r="A525" s="10">
        <f>'29'!A4</f>
        <v>29</v>
      </c>
      <c r="B525" s="10">
        <f>'29'!B4</f>
        <v>3</v>
      </c>
      <c r="C525" s="10" t="str">
        <f>'29'!D4</f>
        <v xml:space="preserve">co-creation is not a   ‘ready-made’ and ‘easy-to-implement’ approach and past experiences   show that, if not properly designed and implemented, it can reinforce   disinterest and participation fatigue, mutual frustration, limited representation, and power imbalances </v>
      </c>
      <c r="D525" s="10" t="str">
        <f>'29'!E4</f>
        <v>C</v>
      </c>
      <c r="E525" s="10">
        <f>'29'!F4</f>
        <v>2</v>
      </c>
      <c r="F525" s="10">
        <f>'29'!G4</f>
        <v>3</v>
      </c>
    </row>
    <row r="526" spans="1:6" x14ac:dyDescent="0.35">
      <c r="A526" s="10">
        <f>'29'!A5</f>
        <v>29</v>
      </c>
      <c r="B526" s="10">
        <f>'29'!B5</f>
        <v>4</v>
      </c>
      <c r="C526" s="10" t="str">
        <f>'29'!D5</f>
        <v xml:space="preserve"> Facilitating governance for cross-sectoral, multi-scale and inclusive nature-based solutions can be a significant challenge to the ‘business as usual’ way of working within city governments   and other organisations, that are used to working in (e.g. departmental)   silos and not involving the broader public, resulting in dispersed   knowledge, resources and priorities </v>
      </c>
      <c r="D526" s="10" t="str">
        <f>'29'!E5</f>
        <v>F</v>
      </c>
      <c r="E526" s="10">
        <f>'29'!F5</f>
        <v>1</v>
      </c>
      <c r="F526" s="10">
        <f>'29'!G5</f>
        <v>2</v>
      </c>
    </row>
    <row r="527" spans="1:6" x14ac:dyDescent="0.35">
      <c r="A527" s="10">
        <f>'29'!A6</f>
        <v>29</v>
      </c>
      <c r="B527" s="10">
        <f>'29'!B6</f>
        <v>5</v>
      </c>
      <c r="C527" s="10" t="str">
        <f>'29'!D6</f>
        <v>complexity of   nature-based solutions further challenges the tendency of urban planning professionals and decision-makers to predefine problems and solutions, requiring more reflexive and adaptive approaches that allow an   open-ended and iterative process of learning-by-doing and   doing-by-learning --&gt; deemed necessary to create and trial a novel process</v>
      </c>
      <c r="D527" s="10" t="str">
        <f>'29'!E6</f>
        <v>F</v>
      </c>
      <c r="E527" s="10">
        <f>'29'!F6</f>
        <v>4</v>
      </c>
      <c r="F527" s="10">
        <f>'29'!G6</f>
        <v>3</v>
      </c>
    </row>
    <row r="528" spans="1:6" x14ac:dyDescent="0.35">
      <c r="A528" s="10">
        <f>'30'!A2</f>
        <v>30</v>
      </c>
      <c r="B528" s="10">
        <f>'30'!B2</f>
        <v>1</v>
      </c>
      <c r="C528" s="10" t="str">
        <f>'30'!D2</f>
        <v>(monetary) valuation techniques being ill equipped to account for the value of NBS</v>
      </c>
      <c r="D528" s="10" t="str">
        <f>'30'!E2</f>
        <v>B</v>
      </c>
      <c r="E528" s="10">
        <f>'30'!F2</f>
        <v>0</v>
      </c>
      <c r="F528" s="10">
        <f>'30'!G2</f>
        <v>2</v>
      </c>
    </row>
    <row r="529" spans="1:6" x14ac:dyDescent="0.35">
      <c r="A529" s="10">
        <f>'30'!A3</f>
        <v>30</v>
      </c>
      <c r="B529" s="10">
        <f>'30'!B3</f>
        <v>2</v>
      </c>
      <c r="C529" s="10" t="str">
        <f>'30'!D3</f>
        <v>dearth of   (accessible) techniques to monetize and forecast the value of NBS. private actors expect a strong evidence   base for payments, such as utility fees and developer obligations</v>
      </c>
      <c r="D529" s="10" t="str">
        <f>'30'!E3</f>
        <v>B</v>
      </c>
      <c r="E529" s="10">
        <f>'30'!F3</f>
        <v>0</v>
      </c>
      <c r="F529" s="10">
        <f>'30'!G3</f>
        <v>2</v>
      </c>
    </row>
    <row r="530" spans="1:6" x14ac:dyDescent="0.35">
      <c r="A530" s="10">
        <f>'30'!A4</f>
        <v>30</v>
      </c>
      <c r="B530" s="10">
        <f>'30'!B4</f>
        <v>3</v>
      </c>
      <c r="C530" s="10" t="str">
        <f>'30'!D4</f>
        <v>models are often informed by average cost calculations rather than   actual costs incurred, rendering cost–benefit forecasts inaccurate</v>
      </c>
      <c r="D530" s="10" t="str">
        <f>'30'!E4</f>
        <v>B</v>
      </c>
      <c r="E530" s="10">
        <f>'30'!F4</f>
        <v>0</v>
      </c>
      <c r="F530" s="10">
        <f>'30'!G4</f>
        <v>2</v>
      </c>
    </row>
    <row r="531" spans="1:6" x14ac:dyDescent="0.35">
      <c r="A531" s="10">
        <f>'30'!A5</f>
        <v>30</v>
      </c>
      <c r="B531" s="10">
        <f>'30'!B5</f>
        <v>4</v>
      </c>
      <c r="C531" s="10" t="str">
        <f>'30'!D5</f>
        <v xml:space="preserve"> lack   of efficiency in market systems</v>
      </c>
      <c r="D531" s="10" t="str">
        <f>'30'!E5</f>
        <v>F</v>
      </c>
      <c r="E531" s="10">
        <f>'30'!F5</f>
        <v>3</v>
      </c>
      <c r="F531" s="10">
        <f>'30'!G5</f>
        <v>1</v>
      </c>
    </row>
    <row r="532" spans="1:6" x14ac:dyDescent="0.35">
      <c r="A532" s="10">
        <f>'30'!A6</f>
        <v>30</v>
      </c>
      <c r="B532" s="10">
        <f>'30'!B6</f>
        <v>5</v>
      </c>
      <c r="C532" s="10" t="str">
        <f>'30'!D6</f>
        <v xml:space="preserve">lack  blended finance techniques. </v>
      </c>
      <c r="D532" s="10" t="str">
        <f>'30'!E6</f>
        <v>A</v>
      </c>
      <c r="E532" s="10">
        <f>'30'!F6</f>
        <v>1</v>
      </c>
      <c r="F532" s="10">
        <f>'30'!G6</f>
        <v>1</v>
      </c>
    </row>
    <row r="533" spans="1:6" x14ac:dyDescent="0.35">
      <c r="A533" s="10">
        <f>'30'!A7</f>
        <v>30</v>
      </c>
      <c r="B533" s="10">
        <f>'30'!B7</f>
        <v>6</v>
      </c>
      <c r="C533" s="10" t="str">
        <f>'30'!D7</f>
        <v xml:space="preserve">Pricing of NbS </v>
      </c>
      <c r="D533" s="10" t="str">
        <f>'30'!E7</f>
        <v>B</v>
      </c>
      <c r="E533" s="10">
        <f>'30'!F7</f>
        <v>0</v>
      </c>
      <c r="F533" s="10">
        <f>'30'!G7</f>
        <v>1</v>
      </c>
    </row>
    <row r="534" spans="1:6" x14ac:dyDescent="0.35">
      <c r="A534" s="10">
        <f>'30'!A8</f>
        <v>30</v>
      </c>
      <c r="B534" s="10">
        <f>'30'!B8</f>
        <v>7</v>
      </c>
      <c r="C534" s="10" t="str">
        <f>'30'!D8</f>
        <v>price volatilities</v>
      </c>
      <c r="D534" s="10" t="str">
        <f>'30'!E8</f>
        <v>A</v>
      </c>
      <c r="E534" s="10">
        <f>'30'!F8</f>
        <v>1</v>
      </c>
      <c r="F534" s="10">
        <f>'30'!G8</f>
        <v>11</v>
      </c>
    </row>
    <row r="535" spans="1:6" x14ac:dyDescent="0.35">
      <c r="A535" s="10">
        <f>'30'!A9</f>
        <v>30</v>
      </c>
      <c r="B535" s="10">
        <f>'30'!B9</f>
        <v>8</v>
      </c>
      <c r="C535" s="10" t="str">
        <f>'30'!D9</f>
        <v>prohibitively high transaction costs</v>
      </c>
      <c r="D535" s="10" t="str">
        <f>'30'!E9</f>
        <v>A</v>
      </c>
      <c r="E535" s="10">
        <f>'30'!F9</f>
        <v>3</v>
      </c>
      <c r="F535" s="10">
        <f>'30'!G9</f>
        <v>3</v>
      </c>
    </row>
    <row r="536" spans="1:6" x14ac:dyDescent="0.35">
      <c r="A536" s="10">
        <f>'30'!A10</f>
        <v>30</v>
      </c>
      <c r="B536" s="10">
        <f>'30'!B10</f>
        <v>9</v>
      </c>
      <c r="C536" s="10" t="str">
        <f>'30'!D10</f>
        <v>prohibitively high opportunity costs</v>
      </c>
      <c r="D536" s="10" t="str">
        <f>'30'!E10</f>
        <v>F</v>
      </c>
      <c r="E536" s="10">
        <f>'30'!F10</f>
        <v>5</v>
      </c>
      <c r="F536" s="10">
        <f>'30'!G10</f>
        <v>3</v>
      </c>
    </row>
    <row r="537" spans="1:6" x14ac:dyDescent="0.35">
      <c r="A537" s="10">
        <f>'30'!A11</f>
        <v>30</v>
      </c>
      <c r="B537" s="10">
        <f>'30'!B11</f>
        <v>10</v>
      </c>
      <c r="C537" s="10" t="str">
        <f>'30'!D11</f>
        <v xml:space="preserve"> local   market failures</v>
      </c>
      <c r="D537" s="10" t="str">
        <f>'30'!E11</f>
        <v>F</v>
      </c>
      <c r="E537" s="10">
        <f>'30'!F11</f>
        <v>3</v>
      </c>
      <c r="F537" s="10">
        <f>'30'!G11</f>
        <v>1</v>
      </c>
    </row>
    <row r="538" spans="1:6" x14ac:dyDescent="0.35">
      <c r="A538" s="10">
        <f>'30'!A12</f>
        <v>30</v>
      </c>
      <c r="B538" s="10">
        <f>'30'!B12</f>
        <v>11</v>
      </c>
      <c r="C538" s="10" t="str">
        <f>'30'!D12</f>
        <v>temporal barriers</v>
      </c>
      <c r="D538" s="10" t="str">
        <f>'30'!E12</f>
        <v>A</v>
      </c>
      <c r="E538" s="10">
        <f>'30'!F12</f>
        <v>1</v>
      </c>
      <c r="F538" s="10">
        <f>'30'!G12</f>
        <v>2</v>
      </c>
    </row>
    <row r="539" spans="1:6" x14ac:dyDescent="0.35">
      <c r="A539" s="10">
        <f>'30'!A13</f>
        <v>30</v>
      </c>
      <c r="B539" s="10">
        <f>'30'!B13</f>
        <v>12</v>
      </c>
      <c r="C539" s="10" t="str">
        <f>'30'!D13</f>
        <v>market opacity concerning demand and supply conditions</v>
      </c>
      <c r="D539" s="10" t="str">
        <f>'30'!E13</f>
        <v>A</v>
      </c>
      <c r="E539" s="10">
        <f>'30'!F13</f>
        <v>1</v>
      </c>
      <c r="F539" s="10">
        <f>'30'!G13</f>
        <v>11</v>
      </c>
    </row>
    <row r="540" spans="1:6" x14ac:dyDescent="0.35">
      <c r="A540" s="10">
        <f>'30'!A14</f>
        <v>30</v>
      </c>
      <c r="B540" s="10">
        <f>'30'!B14</f>
        <v>13</v>
      </c>
      <c r="C540" s="10" t="str">
        <f>'30'!D14</f>
        <v xml:space="preserve"> risk-averse political attitudes and   dominant socio-economically oriented agendas, preference remains for   existing financial instruments and proven technologies</v>
      </c>
      <c r="D540" s="10" t="str">
        <f>'30'!E14</f>
        <v>E</v>
      </c>
      <c r="E540" s="10">
        <f>'30'!F14</f>
        <v>0</v>
      </c>
      <c r="F540" s="10">
        <f>'30'!G14</f>
        <v>4</v>
      </c>
    </row>
    <row r="541" spans="1:6" x14ac:dyDescent="0.35">
      <c r="A541" s="10">
        <f>'30'!A15</f>
        <v>30</v>
      </c>
      <c r="B541" s="10">
        <f>'30'!B15</f>
        <v>14</v>
      </c>
      <c r="C541" s="10" t="str">
        <f>'30'!D15</f>
        <v xml:space="preserve"> NBS   plans often fail to materialize due to public budget shortfalls</v>
      </c>
      <c r="D541" s="10" t="str">
        <f>'30'!E15</f>
        <v>A</v>
      </c>
      <c r="E541" s="10">
        <f>'30'!F15</f>
        <v>1</v>
      </c>
      <c r="F541" s="10">
        <f>'30'!G15</f>
        <v>1</v>
      </c>
    </row>
    <row r="542" spans="1:6" x14ac:dyDescent="0.35">
      <c r="A542" s="10">
        <f>'30'!A16</f>
        <v>30</v>
      </c>
      <c r="B542" s="10">
        <f>'30'!B16</f>
        <v>15</v>
      </c>
      <c r="C542" s="10" t="str">
        <f>'30'!D16</f>
        <v xml:space="preserve">governments restrict their budget  allocation to investments related to legal obligations and political priorities, neither of which traditionally account for NBS </v>
      </c>
      <c r="D542" s="10" t="str">
        <f>'30'!E16</f>
        <v>A</v>
      </c>
      <c r="E542" s="10">
        <f>'30'!F16</f>
        <v>1</v>
      </c>
      <c r="F542" s="10">
        <f>'30'!G16</f>
        <v>5</v>
      </c>
    </row>
    <row r="543" spans="1:6" x14ac:dyDescent="0.35">
      <c r="A543" s="10">
        <f>'30'!A17</f>
        <v>30</v>
      </c>
      <c r="B543" s="10">
        <f>'30'!B17</f>
        <v>16</v>
      </c>
      <c r="C543" s="10" t="str">
        <f>'30'!D17</f>
        <v xml:space="preserve"> NBS projects generate widespread public benefits but do not produce immediate revenue streams to   support the high sunk costs they often entail</v>
      </c>
      <c r="D543" s="10" t="str">
        <f>'30'!E17</f>
        <v>A</v>
      </c>
      <c r="E543" s="10">
        <f>'30'!F17</f>
        <v>3</v>
      </c>
      <c r="F543" s="10">
        <f>'30'!G17</f>
        <v>1</v>
      </c>
    </row>
    <row r="544" spans="1:6" x14ac:dyDescent="0.35">
      <c r="A544" s="10">
        <f>'30'!A18</f>
        <v>30</v>
      </c>
      <c r="B544" s="10">
        <f>'30'!B18</f>
        <v>17</v>
      </c>
      <c r="C544" s="10" t="str">
        <f>'30'!D18</f>
        <v xml:space="preserve"> low revenue potential</v>
      </c>
      <c r="D544" s="10" t="str">
        <f>'30'!E18</f>
        <v>A</v>
      </c>
      <c r="E544" s="10">
        <f>'30'!F18</f>
        <v>1</v>
      </c>
      <c r="F544" s="10">
        <f>'30'!G18</f>
        <v>8</v>
      </c>
    </row>
    <row r="545" spans="1:6" x14ac:dyDescent="0.35">
      <c r="A545" s="10">
        <f>'30'!A19</f>
        <v>30</v>
      </c>
      <c r="B545" s="10">
        <f>'30'!B19</f>
        <v>18</v>
      </c>
      <c r="C545" s="10" t="str">
        <f>'30'!D19</f>
        <v xml:space="preserve"> susceptibility to market failures such as   freeriding</v>
      </c>
      <c r="D545" s="10" t="str">
        <f>'30'!E19</f>
        <v>F</v>
      </c>
      <c r="E545" s="10">
        <f>'30'!F19</f>
        <v>3</v>
      </c>
      <c r="F545" s="10">
        <f>'30'!G19</f>
        <v>1</v>
      </c>
    </row>
    <row r="546" spans="1:6" x14ac:dyDescent="0.35">
      <c r="A546" s="10">
        <f>'30'!A20</f>
        <v>30</v>
      </c>
      <c r="B546" s="10">
        <f>'30'!B20</f>
        <v>19</v>
      </c>
      <c r="C546" s="10" t="str">
        <f>'30'!D20</f>
        <v>Continuous austerity   policies, however, have spurred governments to restrict their budget   allocation to investments related to legal obligations and political priorities</v>
      </c>
      <c r="D546" s="10" t="str">
        <f>'30'!E20</f>
        <v>A</v>
      </c>
      <c r="E546" s="10">
        <f>'30'!F20</f>
        <v>1</v>
      </c>
      <c r="F546" s="10">
        <f>'30'!G20</f>
        <v>5</v>
      </c>
    </row>
    <row r="547" spans="1:6" x14ac:dyDescent="0.35">
      <c r="A547" s="10">
        <f>'30'!A21</f>
        <v>30</v>
      </c>
      <c r="B547" s="10">
        <f>'30'!B21</f>
        <v>20</v>
      </c>
      <c r="C547" s="10" t="str">
        <f>'30'!D21</f>
        <v>inability of public accountancy praxis to account for the economic   value of natural assets</v>
      </c>
      <c r="D547" s="10" t="str">
        <f>'30'!E21</f>
        <v>A</v>
      </c>
      <c r="E547" s="10">
        <f>'30'!F21</f>
        <v>1</v>
      </c>
      <c r="F547" s="10">
        <f>'30'!G21</f>
        <v>4</v>
      </c>
    </row>
    <row r="548" spans="1:6" x14ac:dyDescent="0.35">
      <c r="A548" s="10">
        <f>'30'!A22</f>
        <v>30</v>
      </c>
      <c r="B548" s="10">
        <f>'30'!B22</f>
        <v>21</v>
      </c>
      <c r="C548" s="10" t="str">
        <f>'30'!D22</f>
        <v xml:space="preserve"> demand for NBS-specific finance is quite low relative to the   overall demand for sustainable investment </v>
      </c>
      <c r="D548" s="10" t="str">
        <f>'30'!E22</f>
        <v>A</v>
      </c>
      <c r="E548" s="10">
        <f>'30'!F22</f>
        <v>2</v>
      </c>
      <c r="F548" s="10">
        <f>'30'!G22</f>
        <v>2</v>
      </c>
    </row>
    <row r="549" spans="1:6" x14ac:dyDescent="0.35">
      <c r="A549" s="10">
        <f>'30'!A23</f>
        <v>30</v>
      </c>
      <c r="B549" s="10">
        <f>'30'!B23</f>
        <v>22</v>
      </c>
      <c r="C549" s="10" t="str">
        <f>'30'!D23</f>
        <v xml:space="preserve">difficulties of maintaining sufficiently stable policies in political praxis hindering uptake of financial (debt) instruments </v>
      </c>
      <c r="D549" s="10" t="str">
        <f>'30'!E23</f>
        <v>E</v>
      </c>
      <c r="E549" s="10">
        <f>'30'!F23</f>
        <v>0</v>
      </c>
      <c r="F549" s="10">
        <f>'30'!G23</f>
        <v>3</v>
      </c>
    </row>
    <row r="550" spans="1:6" x14ac:dyDescent="0.35">
      <c r="A550" s="10">
        <f>'30'!A24</f>
        <v>30</v>
      </c>
      <c r="B550" s="10">
        <f>'30'!B24</f>
        <v>23</v>
      </c>
      <c r="C550" s="10" t="str">
        <f>'30'!D24</f>
        <v xml:space="preserve"> transaction costs, life-cycle costs, and   pre-financing needs</v>
      </c>
      <c r="D550" s="10" t="str">
        <f>'30'!E24</f>
        <v>A</v>
      </c>
      <c r="E550" s="10">
        <f>'30'!F24</f>
        <v>3</v>
      </c>
      <c r="F550" s="10">
        <f>'30'!G24</f>
        <v>3</v>
      </c>
    </row>
    <row r="551" spans="1:6" x14ac:dyDescent="0.35">
      <c r="A551" s="10">
        <f>'30'!A25</f>
        <v>30</v>
      </c>
      <c r="B551" s="10">
        <f>'30'!B25</f>
        <v>24</v>
      </c>
      <c r="C551" s="10" t="str">
        <f>'30'!D25</f>
        <v xml:space="preserve">additional cost   cimpact on risk–return balances </v>
      </c>
      <c r="D551" s="10" t="str">
        <f>'30'!E25</f>
        <v>A</v>
      </c>
      <c r="E551" s="10">
        <f>'30'!F25</f>
        <v>2</v>
      </c>
      <c r="F551" s="10">
        <f>'30'!G25</f>
        <v>3</v>
      </c>
    </row>
    <row r="552" spans="1:6" x14ac:dyDescent="0.35">
      <c r="A552" s="10">
        <f>'30'!A26</f>
        <v>30</v>
      </c>
      <c r="B552" s="10">
        <f>'30'!B26</f>
        <v>25</v>
      </c>
      <c r="C552" s="10" t="str">
        <f>'30'!D26</f>
        <v xml:space="preserve"> for models relying on conditional payments,   cost-effective monitoring methods are essential to verify cash flows and   limit transaction costs</v>
      </c>
      <c r="D552" s="10" t="str">
        <f>'30'!E26</f>
        <v>A</v>
      </c>
      <c r="E552" s="10">
        <f>'30'!F26</f>
        <v>3</v>
      </c>
      <c r="F552" s="10">
        <f>'30'!G26</f>
        <v>3</v>
      </c>
    </row>
    <row r="553" spans="1:6" x14ac:dyDescent="0.35">
      <c r="A553" s="10">
        <f>'30'!A27</f>
        <v>30</v>
      </c>
      <c r="B553" s="10">
        <f>'30'!B27</f>
        <v>26</v>
      </c>
      <c r="C553" s="10" t="str">
        <f>'30'!D27</f>
        <v xml:space="preserve"> land-use conditions affect the exploitation potential of land   and thus highly influence the potential opportunity costs with which AF   models must compete</v>
      </c>
      <c r="D553" s="10" t="str">
        <f>'30'!E27</f>
        <v>F</v>
      </c>
      <c r="E553" s="10">
        <f>'30'!F27</f>
        <v>5</v>
      </c>
      <c r="F553" s="10">
        <f>'30'!G27</f>
        <v>2</v>
      </c>
    </row>
    <row r="554" spans="1:6" x14ac:dyDescent="0.35">
      <c r="A554" s="10">
        <f>'30'!A28</f>
        <v>30</v>
      </c>
      <c r="B554" s="10">
        <f>'30'!B28</f>
        <v>27</v>
      </c>
      <c r="C554" s="10" t="str">
        <f>'30'!D28</f>
        <v>lack of design standards</v>
      </c>
      <c r="D554" s="10" t="str">
        <f>'30'!E28</f>
        <v>F</v>
      </c>
      <c r="E554" s="10">
        <f>'30'!F28</f>
        <v>2</v>
      </c>
      <c r="F554" s="10">
        <f>'30'!G28</f>
        <v>3</v>
      </c>
    </row>
    <row r="555" spans="1:6" x14ac:dyDescent="0.35">
      <c r="A555" s="10">
        <f>'30'!A29</f>
        <v>30</v>
      </c>
      <c r="B555" s="10">
        <f>'30'!B29</f>
        <v>28</v>
      </c>
      <c r="C555" s="10" t="str">
        <f>'30'!D29</f>
        <v xml:space="preserve">political unwillingness, </v>
      </c>
      <c r="D555" s="10" t="str">
        <f>'30'!E29</f>
        <v>E</v>
      </c>
      <c r="E555" s="10">
        <f>'30'!F29</f>
        <v>0</v>
      </c>
      <c r="F555" s="10">
        <f>'30'!G29</f>
        <v>1</v>
      </c>
    </row>
    <row r="556" spans="1:6" x14ac:dyDescent="0.35">
      <c r="A556" s="10">
        <f>'30'!A30</f>
        <v>30</v>
      </c>
      <c r="B556" s="10">
        <f>'30'!B30</f>
        <v>29</v>
      </c>
      <c r="C556" s="10" t="str">
        <f>'30'!D30</f>
        <v xml:space="preserve"> Sectoral approaches to   NBS</v>
      </c>
      <c r="D556" s="10" t="str">
        <f>'30'!E30</f>
        <v>F</v>
      </c>
      <c r="E556" s="10">
        <f>'30'!F30</f>
        <v>1</v>
      </c>
      <c r="F556" s="10">
        <f>'30'!G30</f>
        <v>1</v>
      </c>
    </row>
    <row r="557" spans="1:6" x14ac:dyDescent="0.35">
      <c r="A557" s="10">
        <f>'30'!A31</f>
        <v>30</v>
      </c>
      <c r="B557" s="10">
        <f>'30'!B31</f>
        <v>30</v>
      </c>
      <c r="C557" s="10" t="str">
        <f>'30'!D31</f>
        <v>path dependencies</v>
      </c>
      <c r="D557" s="10" t="str">
        <f>'30'!E31</f>
        <v>B</v>
      </c>
      <c r="E557" s="10">
        <f>'30'!F31</f>
        <v>0</v>
      </c>
      <c r="F557" s="10">
        <f>'30'!G31</f>
        <v>5</v>
      </c>
    </row>
    <row r="558" spans="1:6" x14ac:dyDescent="0.35">
      <c r="A558" s="10">
        <f>'30'!A32</f>
        <v>30</v>
      </c>
      <c r="B558" s="10">
        <f>'30'!B32</f>
        <v>31</v>
      </c>
      <c r="C558" s="10" t="str">
        <f>'30'!D32</f>
        <v xml:space="preserve">technological uncertainty, </v>
      </c>
      <c r="D558" s="10" t="str">
        <f>'30'!E32</f>
        <v>B</v>
      </c>
      <c r="E558" s="10">
        <f>'30'!F32</f>
        <v>0</v>
      </c>
      <c r="F558" s="10">
        <f>'30'!G32</f>
        <v>3</v>
      </c>
    </row>
    <row r="559" spans="1:6" x14ac:dyDescent="0.35">
      <c r="A559" s="10">
        <f>'30'!A33</f>
        <v>30</v>
      </c>
      <c r="B559" s="10">
        <f>'30'!B33</f>
        <v>32</v>
      </c>
      <c r="C559" s="10" t="str">
        <f>'30'!D33</f>
        <v>the unavailability of   funds,</v>
      </c>
      <c r="D559" s="10" t="str">
        <f>'30'!E33</f>
        <v>A</v>
      </c>
      <c r="E559" s="10">
        <f>'30'!F33</f>
        <v>1</v>
      </c>
      <c r="F559" s="10">
        <f>'30'!G33</f>
        <v>1</v>
      </c>
    </row>
    <row r="560" spans="1:6" x14ac:dyDescent="0.35">
      <c r="A560" s="10">
        <f>'30'!A34</f>
        <v>30</v>
      </c>
      <c r="B560" s="10">
        <f>'30'!B34</f>
        <v>33</v>
      </c>
      <c r="C560" s="10" t="str">
        <f>'30'!D34</f>
        <v xml:space="preserve"> insufficient institutional capacities, </v>
      </c>
      <c r="D560" s="10" t="str">
        <f>'30'!E34</f>
        <v>C</v>
      </c>
      <c r="E560" s="10">
        <f>'30'!F34</f>
        <v>3</v>
      </c>
      <c r="F560" s="10">
        <f>'30'!G34</f>
        <v>2</v>
      </c>
    </row>
    <row r="561" spans="1:6" x14ac:dyDescent="0.35">
      <c r="A561" s="10">
        <f>'30'!A35</f>
        <v>30</v>
      </c>
      <c r="B561" s="10">
        <f>'30'!B35</f>
        <v>34</v>
      </c>
      <c r="C561" s="10" t="str">
        <f>'30'!D35</f>
        <v xml:space="preserve">and the lack of legal basis to   enforce NBS policy </v>
      </c>
      <c r="D561" s="10" t="str">
        <f>'30'!E35</f>
        <v>F</v>
      </c>
      <c r="E561" s="10">
        <f>'30'!F35</f>
        <v>2</v>
      </c>
      <c r="F561" s="10">
        <f>'30'!G35</f>
        <v>1</v>
      </c>
    </row>
    <row r="562" spans="1:6" x14ac:dyDescent="0.35">
      <c r="A562" s="10">
        <f>'30'!A36</f>
        <v>30</v>
      </c>
      <c r="B562" s="10">
        <f>'30'!B36</f>
        <v>35</v>
      </c>
      <c r="C562" s="10" t="str">
        <f>'30'!D36</f>
        <v xml:space="preserve"> public divestment derives from   the inability of public accountancy praxis to account for the economic   value of natural assets</v>
      </c>
      <c r="D562" s="10" t="str">
        <f>'30'!E36</f>
        <v>A</v>
      </c>
      <c r="E562" s="10">
        <f>'30'!F36</f>
        <v>1</v>
      </c>
      <c r="F562" s="10">
        <f>'30'!G36</f>
        <v>4</v>
      </c>
    </row>
    <row r="563" spans="1:6" x14ac:dyDescent="0.35">
      <c r="A563" s="10">
        <f>'30'!A37</f>
        <v>30</v>
      </c>
      <c r="B563" s="10">
        <f>'30'!B37</f>
        <v>36</v>
      </c>
      <c r="C563" s="10" t="str">
        <f>'30'!D37</f>
        <v>no “one-size-fits-all” AF solutions - subject to three  main concerns: place-based societal configurations, the types of NBS   under scrutiny, and their specific financial profiles</v>
      </c>
      <c r="D563" s="10" t="str">
        <f>'30'!E37</f>
        <v>B</v>
      </c>
      <c r="E563" s="10">
        <f>'30'!F37</f>
        <v>0</v>
      </c>
      <c r="F563" s="10">
        <f>'30'!G37</f>
        <v>4</v>
      </c>
    </row>
    <row r="564" spans="1:6" x14ac:dyDescent="0.35">
      <c r="A564" s="10">
        <f>'30'!A38</f>
        <v>30</v>
      </c>
      <c r="B564" s="10">
        <f>'30'!B38</f>
        <v>37</v>
      </c>
      <c r="C564" s="10" t="str">
        <f>'30'!D38</f>
        <v xml:space="preserve"> part and parcel of financial uncertainty is the way AF models   are designed and how costs and benefits are computed and forecast.</v>
      </c>
      <c r="D564" s="10" t="str">
        <f>'30'!E38</f>
        <v>B</v>
      </c>
      <c r="E564" s="10">
        <f>'30'!F38</f>
        <v>0</v>
      </c>
      <c r="F564" s="10">
        <f>'30'!G38</f>
        <v>2</v>
      </c>
    </row>
    <row r="565" spans="1:6" x14ac:dyDescent="0.35">
      <c r="A565" s="10">
        <f>'30'!A39</f>
        <v>30</v>
      </c>
      <c r="B565" s="10">
        <f>'30'!B39</f>
        <v>38</v>
      </c>
      <c r="C565" s="10" t="str">
        <f>'30'!D39</f>
        <v>AF models require significant policy changes and political guidance vis-a-vis ` a willingness to reorient municipal policies</v>
      </c>
      <c r="D565" s="10" t="str">
        <f>'30'!E39</f>
        <v>E</v>
      </c>
      <c r="E565" s="10">
        <f>'30'!F39</f>
        <v>0</v>
      </c>
      <c r="F565" s="10">
        <f>'30'!G39</f>
        <v>4</v>
      </c>
    </row>
    <row r="566" spans="1:6" x14ac:dyDescent="0.35">
      <c r="A566" s="10">
        <f>'30'!A40</f>
        <v>30</v>
      </c>
      <c r="B566" s="10">
        <f>'30'!B40</f>
        <v>39</v>
      </c>
      <c r="C566" s="10" t="str">
        <f>'30'!D40</f>
        <v>AF models are   acceptable when the local ideology is accommodating to privately   financed NBS with a public goods character  H</v>
      </c>
      <c r="D566" s="10" t="str">
        <f>'30'!E40</f>
        <v>E</v>
      </c>
      <c r="E566" s="10">
        <f>'30'!F40</f>
        <v>0</v>
      </c>
      <c r="F566" s="10">
        <f>'30'!G40</f>
        <v>4</v>
      </c>
    </row>
    <row r="567" spans="1:6" x14ac:dyDescent="0.35">
      <c r="A567" s="10">
        <f>'30'!A41</f>
        <v>30</v>
      </c>
      <c r="B567" s="10">
        <f>'30'!B41</f>
        <v>40</v>
      </c>
      <c r="C567" s="10" t="str">
        <f>'30'!D41</f>
        <v xml:space="preserve">various models rely   on economic cycles in their revenue capacities (e.g. real estate markets) </v>
      </c>
      <c r="D567" s="10" t="str">
        <f>'30'!E41</f>
        <v>A</v>
      </c>
      <c r="E567" s="10">
        <f>'30'!F41</f>
        <v>1</v>
      </c>
      <c r="F567" s="10">
        <f>'30'!G41</f>
        <v>11</v>
      </c>
    </row>
    <row r="568" spans="1:6" x14ac:dyDescent="0.35">
      <c r="A568" s="10">
        <f>'30'!A42</f>
        <v>30</v>
      </c>
      <c r="B568" s="10">
        <f>'30'!B42</f>
        <v>41</v>
      </c>
      <c r="C568" s="10" t="str">
        <f>'30'!D42</f>
        <v xml:space="preserve"> who ultimately bears the   costs and risks when using AF models for NBS and are these burdens are justified</v>
      </c>
      <c r="D568" s="10" t="str">
        <f>'30'!E42</f>
        <v>A</v>
      </c>
      <c r="E568" s="10">
        <f>'30'!F42</f>
        <v>1</v>
      </c>
      <c r="F568" s="10">
        <f>'30'!G42</f>
        <v>10</v>
      </c>
    </row>
    <row r="569" spans="1:6" x14ac:dyDescent="0.35">
      <c r="A569" s="10">
        <f>'31'!A2</f>
        <v>31</v>
      </c>
      <c r="B569" s="10">
        <f>'31'!B2</f>
        <v>1</v>
      </c>
      <c r="C569" s="10" t="str">
        <f>'31'!D2</f>
        <v xml:space="preserve">The process requires transdisciplinary and cross-actor collaboration </v>
      </c>
      <c r="D569" s="10" t="str">
        <f>'31'!E2</f>
        <v>F</v>
      </c>
      <c r="E569" s="10">
        <f>'31'!F2</f>
        <v>1</v>
      </c>
      <c r="F569" s="10">
        <f>'31'!G2</f>
        <v>2</v>
      </c>
    </row>
    <row r="570" spans="1:6" x14ac:dyDescent="0.35">
      <c r="A570" s="10">
        <f>'31'!A3</f>
        <v>31</v>
      </c>
      <c r="B570" s="10">
        <f>'31'!B3</f>
        <v>2</v>
      </c>
      <c r="C570" s="10" t="str">
        <f>'31'!D3</f>
        <v>lack of acceptance and motivation for GF implementation</v>
      </c>
      <c r="D570" s="10" t="str">
        <f>'31'!E3</f>
        <v>E</v>
      </c>
      <c r="E570" s="10">
        <f>'31'!F3</f>
        <v>0</v>
      </c>
      <c r="F570" s="10">
        <f>'31'!G3</f>
        <v>2</v>
      </c>
    </row>
    <row r="571" spans="1:6" x14ac:dyDescent="0.35">
      <c r="A571" s="10">
        <f>'31'!A4</f>
        <v>31</v>
      </c>
      <c r="B571" s="10">
        <f>'31'!B4</f>
        <v>3</v>
      </c>
      <c r="C571" s="10" t="str">
        <f>'31'!D4</f>
        <v>insufficient political support for GF.</v>
      </c>
      <c r="D571" s="10" t="str">
        <f>'31'!E4</f>
        <v>E</v>
      </c>
      <c r="E571" s="10">
        <f>'31'!F4</f>
        <v>0</v>
      </c>
      <c r="F571" s="10">
        <f>'31'!G4</f>
        <v>2</v>
      </c>
    </row>
    <row r="572" spans="1:6" x14ac:dyDescent="0.35">
      <c r="A572" s="10">
        <f>'31'!A5</f>
        <v>31</v>
      </c>
      <c r="B572" s="10">
        <f>'31'!B5</f>
        <v>4</v>
      </c>
      <c r="C572" s="10" t="str">
        <f>'31'!D5</f>
        <v>insufficient financial support for GF.</v>
      </c>
      <c r="D572" s="10" t="str">
        <f>'31'!E5</f>
        <v>A</v>
      </c>
      <c r="E572" s="10">
        <f>'31'!F5</f>
        <v>1</v>
      </c>
      <c r="F572" s="10">
        <f>'31'!G5</f>
        <v>1</v>
      </c>
    </row>
    <row r="573" spans="1:6" x14ac:dyDescent="0.35">
      <c r="A573" s="10">
        <f>'31'!A6</f>
        <v>31</v>
      </c>
      <c r="B573" s="10">
        <f>'31'!B6</f>
        <v>5</v>
      </c>
      <c r="C573" s="10" t="str">
        <f>'31'!D6</f>
        <v xml:space="preserve"> lack of (objective) information </v>
      </c>
      <c r="D573" s="10" t="str">
        <f>'31'!E6</f>
        <v>F</v>
      </c>
      <c r="E573" s="10">
        <f>'31'!F6</f>
        <v>2</v>
      </c>
      <c r="F573" s="10">
        <f>'31'!G6</f>
        <v>2</v>
      </c>
    </row>
    <row r="574" spans="1:6" x14ac:dyDescent="0.35">
      <c r="A574" s="10">
        <f>'31'!A7</f>
        <v>31</v>
      </c>
      <c r="B574" s="10">
        <f>'31'!B7</f>
        <v>6</v>
      </c>
      <c r="C574" s="10" t="str">
        <f>'31'!D7</f>
        <v>lack of awareness or knowledge about the existence, cost and benefit</v>
      </c>
      <c r="D574" s="10" t="str">
        <f>'31'!E7</f>
        <v>D</v>
      </c>
      <c r="E574" s="10">
        <f>'31'!F7</f>
        <v>0</v>
      </c>
      <c r="F574" s="10">
        <f>'31'!G7</f>
        <v>3</v>
      </c>
    </row>
    <row r="575" spans="1:6" x14ac:dyDescent="0.35">
      <c r="A575" s="10">
        <f>'31'!A8</f>
        <v>31</v>
      </c>
      <c r="B575" s="10">
        <f>'31'!B8</f>
        <v>7</v>
      </c>
      <c r="C575" s="10" t="str">
        <f>'31'!D8</f>
        <v xml:space="preserve"> lack of knowledge about practical-technical execution of GF </v>
      </c>
      <c r="D575" s="10" t="str">
        <f>'31'!E8</f>
        <v>C</v>
      </c>
      <c r="E575" s="10">
        <f>'31'!F8</f>
        <v>2</v>
      </c>
      <c r="F575" s="10">
        <f>'31'!G8</f>
        <v>1</v>
      </c>
    </row>
    <row r="576" spans="1:6" x14ac:dyDescent="0.35">
      <c r="A576" s="10">
        <f>'31'!A9</f>
        <v>31</v>
      </c>
      <c r="B576" s="10">
        <f>'31'!B9</f>
        <v>8</v>
      </c>
      <c r="C576" s="10" t="str">
        <f>'31'!D9</f>
        <v>not properly properly implemented GF negatively influences the perception of the involved actor</v>
      </c>
      <c r="D576" s="10" t="str">
        <f>'31'!E9</f>
        <v>D</v>
      </c>
      <c r="E576" s="10">
        <f>'31'!F9</f>
        <v>0</v>
      </c>
      <c r="F576" s="10">
        <f>'31'!G9</f>
        <v>5</v>
      </c>
    </row>
    <row r="577" spans="1:6" x14ac:dyDescent="0.35">
      <c r="A577" s="10">
        <f>'31'!A10</f>
        <v>31</v>
      </c>
      <c r="B577" s="10">
        <f>'31'!B10</f>
        <v>9</v>
      </c>
      <c r="C577" s="10" t="str">
        <f>'31'!D10</f>
        <v xml:space="preserve">practical-technical complexity </v>
      </c>
      <c r="D577" s="10" t="str">
        <f>'31'!E10</f>
        <v>C</v>
      </c>
      <c r="E577" s="10">
        <f>'31'!F10</f>
        <v>2</v>
      </c>
      <c r="F577" s="10">
        <f>'31'!G10</f>
        <v>1</v>
      </c>
    </row>
    <row r="578" spans="1:6" x14ac:dyDescent="0.35">
      <c r="A578" s="10">
        <f>'31'!A11</f>
        <v>31</v>
      </c>
      <c r="B578" s="10">
        <f>'31'!B11</f>
        <v>10</v>
      </c>
      <c r="C578" s="10" t="str">
        <f>'31'!D11</f>
        <v xml:space="preserve">maintenance effort are perceived as a hurdle for GF implementation </v>
      </c>
      <c r="D578" s="10" t="str">
        <f>'31'!E11</f>
        <v>A</v>
      </c>
      <c r="E578" s="10">
        <f>'31'!F11</f>
        <v>3</v>
      </c>
      <c r="F578" s="10">
        <f>'31'!G11</f>
        <v>3</v>
      </c>
    </row>
    <row r="579" spans="1:6" x14ac:dyDescent="0.35">
      <c r="A579" s="10">
        <f>'31'!A12</f>
        <v>31</v>
      </c>
      <c r="B579" s="10">
        <f>'31'!B12</f>
        <v>11</v>
      </c>
      <c r="C579" s="10" t="str">
        <f>'31'!D12</f>
        <v xml:space="preserve">cost perceived as a hurdle for GF implementation </v>
      </c>
      <c r="D579" s="10" t="str">
        <f>'31'!E12</f>
        <v>A</v>
      </c>
      <c r="E579" s="10">
        <f>'31'!F12</f>
        <v>3</v>
      </c>
      <c r="F579" s="10">
        <f>'31'!G12</f>
        <v>1</v>
      </c>
    </row>
    <row r="580" spans="1:6" x14ac:dyDescent="0.35">
      <c r="A580" s="10">
        <f>'31'!A13</f>
        <v>31</v>
      </c>
      <c r="B580" s="10">
        <f>'31'!B13</f>
        <v>12</v>
      </c>
      <c r="C580" s="10" t="str">
        <f>'31'!D13</f>
        <v>teamwork between multiple actors often insufficient</v>
      </c>
      <c r="D580" s="10" t="str">
        <f>'31'!E13</f>
        <v>F</v>
      </c>
      <c r="E580" s="10">
        <f>'31'!F13</f>
        <v>1</v>
      </c>
      <c r="F580" s="10">
        <f>'31'!G13</f>
        <v>2</v>
      </c>
    </row>
    <row r="581" spans="1:6" x14ac:dyDescent="0.35">
      <c r="A581" s="10">
        <f>'31'!A14</f>
        <v>31</v>
      </c>
      <c r="B581" s="10">
        <f>'31'!B14</f>
        <v>13</v>
      </c>
      <c r="C581" s="10" t="str">
        <f>'31'!D14</f>
        <v xml:space="preserve">subjective perception of aesthetics </v>
      </c>
      <c r="D581" s="10" t="str">
        <f>'31'!E14</f>
        <v>B</v>
      </c>
      <c r="E581" s="10">
        <f>'31'!F14</f>
        <v>0</v>
      </c>
      <c r="F581" s="10">
        <f>'31'!G14</f>
        <v>1</v>
      </c>
    </row>
    <row r="582" spans="1:6" x14ac:dyDescent="0.35">
      <c r="A582" s="10">
        <f>'31'!A15</f>
        <v>31</v>
      </c>
      <c r="B582" s="10">
        <f>'31'!B15</f>
        <v>14</v>
      </c>
      <c r="C582" s="10" t="str">
        <f>'31'!D15</f>
        <v>lack of ambition in politics and administration</v>
      </c>
      <c r="D582" s="10" t="str">
        <f>'31'!E15</f>
        <v>E</v>
      </c>
      <c r="E582" s="10">
        <f>'31'!F15</f>
        <v>0</v>
      </c>
      <c r="F582" s="10">
        <f>'31'!G15</f>
        <v>2</v>
      </c>
    </row>
    <row r="583" spans="1:6" x14ac:dyDescent="0.35">
      <c r="A583" s="10">
        <f>'31'!A16</f>
        <v>31</v>
      </c>
      <c r="B583" s="10">
        <f>'31'!B16</f>
        <v>15</v>
      </c>
      <c r="C583" s="10" t="str">
        <f>'31'!D16</f>
        <v>lack of distinct guiding principles specified within policy strategies and put into practice through binding regulations.</v>
      </c>
      <c r="D583" s="10" t="str">
        <f>'31'!E16</f>
        <v>F</v>
      </c>
      <c r="E583" s="10">
        <f>'31'!F16</f>
        <v>2</v>
      </c>
      <c r="F583" s="10">
        <f>'31'!G16</f>
        <v>3</v>
      </c>
    </row>
    <row r="584" spans="1:6" x14ac:dyDescent="0.35">
      <c r="A584" s="10">
        <f>'31'!A17</f>
        <v>31</v>
      </c>
      <c r="B584" s="10">
        <f>'31'!B17</f>
        <v>16</v>
      </c>
      <c r="C584" s="10" t="str">
        <f>'31'!D17</f>
        <v>his involves both self-imposed obligations (e.g., greening of municipal buildings) as well as external obligations (e.g., stipulations in urban land use planning).</v>
      </c>
      <c r="D584" s="10" t="str">
        <f>'31'!E17</f>
        <v>F</v>
      </c>
      <c r="E584" s="10">
        <f>'31'!F17</f>
        <v>2</v>
      </c>
      <c r="F584" s="10">
        <f>'31'!G17</f>
        <v>3</v>
      </c>
    </row>
    <row r="585" spans="1:6" x14ac:dyDescent="0.35">
      <c r="A585" s="10">
        <f>'31'!A18</f>
        <v>31</v>
      </c>
      <c r="B585" s="10">
        <f>'31'!B18</f>
        <v>17</v>
      </c>
      <c r="C585" s="10" t="str">
        <f>'31'!D18</f>
        <v>difficulties in the monitoring implementation of, and compliance with, regulations occur</v>
      </c>
      <c r="D585" s="10" t="str">
        <f>'31'!E18</f>
        <v>A</v>
      </c>
      <c r="E585" s="10">
        <f>'31'!F18</f>
        <v>1</v>
      </c>
      <c r="F585" s="10">
        <f>'31'!G18</f>
        <v>2</v>
      </c>
    </row>
    <row r="586" spans="1:6" x14ac:dyDescent="0.35">
      <c r="A586" s="10">
        <f>'31'!A19</f>
        <v>31</v>
      </c>
      <c r="B586" s="10">
        <f>'31'!B19</f>
        <v>18</v>
      </c>
      <c r="C586" s="10" t="str">
        <f>'31'!D19</f>
        <v xml:space="preserve">  lack of incentives and support   from the government by regulatory incentives </v>
      </c>
      <c r="D586" s="10" t="str">
        <f>'31'!E19</f>
        <v>A</v>
      </c>
      <c r="E586" s="10">
        <f>'31'!F19</f>
        <v>1</v>
      </c>
      <c r="F586" s="10">
        <f>'31'!G19</f>
        <v>1</v>
      </c>
    </row>
    <row r="587" spans="1:6" x14ac:dyDescent="0.35">
      <c r="A587" s="10">
        <f>'31'!A20</f>
        <v>31</v>
      </c>
      <c r="B587" s="10">
        <f>'31'!B20</f>
        <v>19</v>
      </c>
      <c r="C587" s="10" t="str">
        <f>'31'!D20</f>
        <v xml:space="preserve"> lack of incentives financial support through funding programs and tax relief    from the government </v>
      </c>
      <c r="D587" s="10" t="str">
        <f>'31'!E20</f>
        <v>F</v>
      </c>
      <c r="E587" s="10">
        <f>'31'!F20</f>
        <v>2</v>
      </c>
      <c r="F587" s="10">
        <f>'31'!G20</f>
        <v>2</v>
      </c>
    </row>
    <row r="588" spans="1:6" x14ac:dyDescent="0.35">
      <c r="A588" s="10">
        <f>'31'!A21</f>
        <v>31</v>
      </c>
      <c r="B588" s="10">
        <f>'31'!B21</f>
        <v>20</v>
      </c>
      <c r="C588" s="10" t="str">
        <f>'31'!D21</f>
        <v xml:space="preserve"> incentives insufficiently advertised</v>
      </c>
      <c r="D588" s="10" t="str">
        <f>'31'!E21</f>
        <v>A</v>
      </c>
      <c r="E588" s="10">
        <f>'31'!F21</f>
        <v>1</v>
      </c>
      <c r="F588" s="10">
        <f>'31'!G21</f>
        <v>1</v>
      </c>
    </row>
    <row r="589" spans="1:6" x14ac:dyDescent="0.35">
      <c r="A589" s="10">
        <f>'31'!A22</f>
        <v>31</v>
      </c>
      <c r="B589" s="10">
        <f>'31'!B22</f>
        <v>21</v>
      </c>
      <c r="C589" s="10" t="str">
        <f>'31'!D22</f>
        <v xml:space="preserve"> complex requirements and extensive procedures in politics and administration</v>
      </c>
      <c r="D589" s="10" t="str">
        <f>'31'!E22</f>
        <v>F</v>
      </c>
      <c r="E589" s="10">
        <f>'31'!F22</f>
        <v>1</v>
      </c>
      <c r="F589" s="10">
        <f>'31'!G22</f>
        <v>1</v>
      </c>
    </row>
    <row r="590" spans="1:6" x14ac:dyDescent="0.35">
      <c r="A590" s="10">
        <f>'31'!A23</f>
        <v>31</v>
      </c>
      <c r="B590" s="10">
        <f>'31'!B23</f>
        <v>22</v>
      </c>
      <c r="C590" s="10" t="str">
        <f>'31'!D23</f>
        <v xml:space="preserve">  procedures can require a great deal of bureaucratic, temporal, personnel, and financial effort, also affecting barriers on the economic and practical-technical level </v>
      </c>
      <c r="D590" s="10" t="str">
        <f>'31'!E23</f>
        <v>F</v>
      </c>
      <c r="E590" s="10">
        <f>'31'!F23</f>
        <v>1</v>
      </c>
      <c r="F590" s="10">
        <f>'31'!G23</f>
        <v>1</v>
      </c>
    </row>
    <row r="591" spans="1:6" x14ac:dyDescent="0.35">
      <c r="A591" s="10">
        <f>'31'!A24</f>
        <v>31</v>
      </c>
      <c r="B591" s="10">
        <f>'31'!B24</f>
        <v>23</v>
      </c>
      <c r="C591" s="10" t="str">
        <f>'31'!D24</f>
        <v xml:space="preserve"> lack of uniform constructional, technical, and design standards </v>
      </c>
      <c r="D591" s="10" t="str">
        <f>'31'!E24</f>
        <v>F</v>
      </c>
      <c r="E591" s="10">
        <f>'31'!F24</f>
        <v>2</v>
      </c>
      <c r="F591" s="10">
        <f>'31'!G24</f>
        <v>2</v>
      </c>
    </row>
    <row r="592" spans="1:6" x14ac:dyDescent="0.35">
      <c r="A592" s="10">
        <f>'31'!A25</f>
        <v>31</v>
      </c>
      <c r="B592" s="10">
        <f>'31'!B25</f>
        <v>24</v>
      </c>
      <c r="C592" s="10" t="str">
        <f>'31'!D25</f>
        <v xml:space="preserve">actors lack the  means or willingness to pay </v>
      </c>
      <c r="D592" s="10" t="str">
        <f>'31'!E25</f>
        <v>A</v>
      </c>
      <c r="E592" s="10">
        <f>'31'!F25</f>
        <v>1</v>
      </c>
      <c r="F592" s="10">
        <f>'31'!G25</f>
        <v>1</v>
      </c>
    </row>
    <row r="593" spans="1:6" x14ac:dyDescent="0.35">
      <c r="A593" s="10">
        <f>'31'!A26</f>
        <v>31</v>
      </c>
      <c r="B593" s="10">
        <f>'31'!B26</f>
        <v>25</v>
      </c>
      <c r="C593" s="10" t="str">
        <f>'31'!D26</f>
        <v xml:space="preserve"> expectation that others will bear the costs (especially persists between landlords and tenants)</v>
      </c>
      <c r="D593" s="10" t="str">
        <f>'31'!E26</f>
        <v>F</v>
      </c>
      <c r="E593" s="10">
        <f>'31'!F26</f>
        <v>3</v>
      </c>
      <c r="F593" s="10">
        <f>'31'!G26</f>
        <v>1</v>
      </c>
    </row>
    <row r="594" spans="1:6" x14ac:dyDescent="0.35">
      <c r="A594" s="10">
        <f>'31'!A27</f>
        <v>31</v>
      </c>
      <c r="B594" s="10">
        <f>'31'!B27</f>
        <v>26</v>
      </c>
      <c r="C594" s="10" t="str">
        <f>'31'!D27</f>
        <v>costs are often overestimated while the potential benefits of GFs are underestimated</v>
      </c>
      <c r="D594" s="10" t="str">
        <f>'31'!E27</f>
        <v>B</v>
      </c>
      <c r="E594" s="10">
        <f>'31'!F27</f>
        <v>0</v>
      </c>
      <c r="F594" s="10">
        <f>'31'!G27</f>
        <v>1</v>
      </c>
    </row>
    <row r="595" spans="1:6" x14ac:dyDescent="0.35">
      <c r="A595" s="10">
        <f>'31'!A28</f>
        <v>31</v>
      </c>
      <c r="B595" s="10">
        <f>'31'!B28</f>
        <v>27</v>
      </c>
      <c r="C595" s="10" t="str">
        <f>'31'!D28</f>
        <v xml:space="preserve"> additional  costs are linked to GF- acquisition costs and operating costs</v>
      </c>
      <c r="D595" s="10" t="str">
        <f>'31'!E28</f>
        <v>A</v>
      </c>
      <c r="E595" s="10">
        <f>'31'!F28</f>
        <v>3</v>
      </c>
      <c r="F595" s="10">
        <f>'31'!G28</f>
        <v>3</v>
      </c>
    </row>
    <row r="596" spans="1:6" x14ac:dyDescent="0.35">
      <c r="A596" s="10">
        <f>'31'!A29</f>
        <v>31</v>
      </c>
      <c r="B596" s="10">
        <f>'31'!B29</f>
        <v>28</v>
      </c>
      <c r="C596" s="10" t="str">
        <f>'31'!D29</f>
        <v>political-administrative framework conditions, e.g., monument conservation requirements and approval procedures during planning can add to costs</v>
      </c>
      <c r="D596" s="10" t="str">
        <f>'31'!E29</f>
        <v>A</v>
      </c>
      <c r="E596" s="10">
        <f>'31'!F29</f>
        <v>3</v>
      </c>
      <c r="F596" s="10">
        <f>'31'!G29</f>
        <v>3</v>
      </c>
    </row>
    <row r="597" spans="1:6" x14ac:dyDescent="0.35">
      <c r="A597" s="10">
        <f>'31'!A30</f>
        <v>31</v>
      </c>
      <c r="B597" s="10">
        <f>'31'!B30</f>
        <v>29</v>
      </c>
      <c r="C597" s="10" t="str">
        <f>'31'!D30</f>
        <v xml:space="preserve">insufficient return on investment </v>
      </c>
      <c r="D597" s="10" t="str">
        <f>'31'!E30</f>
        <v>A</v>
      </c>
      <c r="E597" s="10">
        <f>'31'!F30</f>
        <v>2</v>
      </c>
      <c r="F597" s="10">
        <f>'31'!G30</f>
        <v>4</v>
      </c>
    </row>
    <row r="598" spans="1:6" x14ac:dyDescent="0.35">
      <c r="A598" s="10">
        <f>'31'!A31</f>
        <v>31</v>
      </c>
      <c r="B598" s="10">
        <f>'31'!B31</f>
        <v>30</v>
      </c>
      <c r="C598" s="10" t="str">
        <f>'31'!D31</f>
        <v>lower ROIs than other measures and a relatively long payback period,</v>
      </c>
      <c r="D598" s="10" t="str">
        <f>'31'!E31</f>
        <v>A</v>
      </c>
      <c r="E598" s="10">
        <f>'31'!F31</f>
        <v>1</v>
      </c>
      <c r="F598" s="10">
        <f>'31'!G31</f>
        <v>8</v>
      </c>
    </row>
    <row r="599" spans="1:6" x14ac:dyDescent="0.35">
      <c r="A599" s="10">
        <f>'31'!A32</f>
        <v>31</v>
      </c>
      <c r="B599" s="10">
        <f>'31'!B32</f>
        <v>31</v>
      </c>
      <c r="C599" s="10" t="str">
        <f>'31'!D32</f>
        <v>implementation difficulties regarding the effort, the legal framework, and the availability of funds.</v>
      </c>
      <c r="D599" s="10" t="str">
        <f>'31'!E32</f>
        <v>A</v>
      </c>
      <c r="E599" s="10">
        <f>'31'!F32</f>
        <v>1</v>
      </c>
      <c r="F599" s="10">
        <f>'31'!G32</f>
        <v>10</v>
      </c>
    </row>
    <row r="600" spans="1:6" x14ac:dyDescent="0.35">
      <c r="A600" s="10">
        <f>'32'!A2</f>
        <v>32</v>
      </c>
      <c r="B600" s="10">
        <f>'32'!B2</f>
        <v>1</v>
      </c>
      <c r="C600" s="10" t="str">
        <f>'32'!D2</f>
        <v>pervasive lack of public awareness of the threats that ecosystem degradation and climate change pose  to our planet, and of the social, economic, and ecological benefits of restoring degraded ecosystems</v>
      </c>
      <c r="D600" s="10" t="str">
        <f>'32'!E2</f>
        <v>D</v>
      </c>
      <c r="E600" s="10">
        <f>'32'!F2</f>
        <v>0</v>
      </c>
      <c r="F600" s="10">
        <f>'32'!G2</f>
        <v>1</v>
      </c>
    </row>
    <row r="601" spans="1:6" x14ac:dyDescent="0.35">
      <c r="A601" s="10">
        <f>'32'!A3</f>
        <v>32</v>
      </c>
      <c r="B601" s="10">
        <f>'32'!B3</f>
        <v>2</v>
      </c>
      <c r="C601" s="10" t="str">
        <f>'32'!D3</f>
        <v>need for long-term scientific research devoted to understanding the restoration process,  from its social and biophysical dimensions to improving and innovating methods and strategies</v>
      </c>
      <c r="D601" s="10" t="str">
        <f>'32'!E3</f>
        <v>C</v>
      </c>
      <c r="E601" s="10">
        <f>'32'!F3</f>
        <v>2</v>
      </c>
      <c r="F601" s="10">
        <f>'32'!G3</f>
        <v>1</v>
      </c>
    </row>
    <row r="602" spans="1:6" x14ac:dyDescent="0.35">
      <c r="A602" s="10">
        <f>'32'!A4</f>
        <v>32</v>
      </c>
      <c r="B602" s="10">
        <f>'32'!B4</f>
        <v>3</v>
      </c>
      <c r="C602" s="10" t="str">
        <f>'32'!D4</f>
        <v xml:space="preserve"> relatively small portion contribution of the national budget that governments currently assign  to ecosystem restoration compared to the investments made in other areas, like energy and defense</v>
      </c>
      <c r="D602" s="10" t="str">
        <f>'32'!E4</f>
        <v>F</v>
      </c>
      <c r="E602" s="10">
        <f>'32'!F4</f>
        <v>5</v>
      </c>
      <c r="F602" s="10">
        <f>'32'!G4</f>
        <v>1</v>
      </c>
    </row>
    <row r="603" spans="1:6" x14ac:dyDescent="0.35">
      <c r="A603" s="10">
        <f>'32'!A5</f>
        <v>32</v>
      </c>
      <c r="B603" s="10">
        <f>'32'!B5</f>
        <v>4</v>
      </c>
      <c r="C603" s="10" t="str">
        <f>'32'!D5</f>
        <v xml:space="preserve"> prevalence of incentive mechanisms that promote degradation and, related to this, the lack or  poor enforcement of enabling legislative environments and policies that incentivize the restoration of  ecosystem</v>
      </c>
      <c r="D603" s="10" t="str">
        <f>'32'!E5</f>
        <v>F</v>
      </c>
      <c r="E603" s="10">
        <f>'32'!F5</f>
        <v>5</v>
      </c>
      <c r="F603" s="10">
        <f>'32'!G5</f>
        <v>3</v>
      </c>
    </row>
    <row r="604" spans="1:6" x14ac:dyDescent="0.35">
      <c r="A604" s="10">
        <f>'32'!A6</f>
        <v>32</v>
      </c>
      <c r="B604" s="10">
        <f>'32'!B6</f>
        <v>5</v>
      </c>
      <c r="C604" s="10" t="str">
        <f>'32'!D6</f>
        <v xml:space="preserve"> limited capacities among organizations, governments, private companies, and  communities in restoration initiatives.</v>
      </c>
      <c r="D604" s="10" t="str">
        <f>'32'!E6</f>
        <v>C</v>
      </c>
      <c r="E604" s="10">
        <f>'32'!F6</f>
        <v>3</v>
      </c>
      <c r="F604" s="10">
        <f>'32'!G6</f>
        <v>2</v>
      </c>
    </row>
    <row r="605" spans="1:6" x14ac:dyDescent="0.35">
      <c r="A605" s="10">
        <f>'32'!A7</f>
        <v>32</v>
      </c>
      <c r="B605" s="10">
        <f>'32'!B7</f>
        <v>6</v>
      </c>
      <c r="C605" s="10" t="str">
        <f>'32'!D7</f>
        <v>reduced amount of private investments in restoration, given the perceived risk of the activities  involved</v>
      </c>
      <c r="D605" s="10" t="str">
        <f>'32'!E7</f>
        <v>A</v>
      </c>
      <c r="E605" s="10">
        <f>'32'!F7</f>
        <v>2</v>
      </c>
      <c r="F605" s="10">
        <f>'32'!G7</f>
        <v>4</v>
      </c>
    </row>
    <row r="606" spans="1:6" x14ac:dyDescent="0.35">
      <c r="A606" s="10">
        <f>'33'!A2</f>
        <v>33</v>
      </c>
      <c r="B606" s="10">
        <f>'33'!B2</f>
        <v>1</v>
      </c>
      <c r="C606" s="10" t="str">
        <f>'33'!D2</f>
        <v xml:space="preserve">require the land area </v>
      </c>
      <c r="D606" s="10" t="str">
        <f>'33'!E2</f>
        <v>F</v>
      </c>
      <c r="E606" s="10">
        <f>'33'!F2</f>
        <v>5</v>
      </c>
      <c r="F606" s="10">
        <f>'33'!G2</f>
        <v>2</v>
      </c>
    </row>
    <row r="607" spans="1:6" x14ac:dyDescent="0.35">
      <c r="A607" s="10">
        <f>'33'!A3</f>
        <v>33</v>
      </c>
      <c r="B607" s="10">
        <f>'33'!B3</f>
        <v>2</v>
      </c>
      <c r="C607" s="10" t="str">
        <f>'33'!D3</f>
        <v xml:space="preserve">desired outcome requires package of structural and nonstructural interventions </v>
      </c>
      <c r="D607" s="10" t="str">
        <f>'33'!E3</f>
        <v>C</v>
      </c>
      <c r="E607" s="10">
        <f>'33'!F3</f>
        <v>2</v>
      </c>
      <c r="F607" s="10">
        <f>'33'!G3</f>
        <v>2</v>
      </c>
    </row>
    <row r="608" spans="1:6" x14ac:dyDescent="0.35">
      <c r="A608" s="10">
        <f>'33'!A4</f>
        <v>33</v>
      </c>
      <c r="B608" s="10">
        <f>'33'!B4</f>
        <v>3</v>
      </c>
      <c r="C608" s="10" t="str">
        <f>'33'!D4</f>
        <v>other types of strategies (education, regulations) are essential contributors to desired outcome</v>
      </c>
      <c r="D608" s="10" t="str">
        <f>'33'!E4</f>
        <v>C</v>
      </c>
      <c r="E608" s="10">
        <f>'33'!F4</f>
        <v>2</v>
      </c>
      <c r="F608" s="10">
        <f>'33'!G4</f>
        <v>2</v>
      </c>
    </row>
    <row r="609" spans="1:6" x14ac:dyDescent="0.35">
      <c r="A609" s="10">
        <f>'33'!A5</f>
        <v>33</v>
      </c>
      <c r="B609" s="10">
        <f>'33'!B5</f>
        <v>4</v>
      </c>
      <c r="C609" s="10" t="str">
        <f>'33'!D5</f>
        <v xml:space="preserve">non-structural measures often less costly than structural measures </v>
      </c>
      <c r="D609" s="10" t="str">
        <f>'33'!E5</f>
        <v>A</v>
      </c>
      <c r="E609" s="10">
        <f>'33'!F5</f>
        <v>3</v>
      </c>
      <c r="F609" s="10">
        <f>'33'!G5</f>
        <v>1</v>
      </c>
    </row>
    <row r="610" spans="1:6" x14ac:dyDescent="0.35">
      <c r="A610" s="10">
        <f>'33'!A6</f>
        <v>33</v>
      </c>
      <c r="B610" s="10">
        <f>'33'!B6</f>
        <v>5</v>
      </c>
      <c r="C610" s="10" t="str">
        <f>'33'!D6</f>
        <v>prevent building in areas prone to high flood risk</v>
      </c>
      <c r="D610" s="10" t="str">
        <f>'33'!E6</f>
        <v>F</v>
      </c>
      <c r="E610" s="10">
        <f>'33'!F6</f>
        <v>2</v>
      </c>
      <c r="F610" s="10">
        <f>'33'!G6</f>
        <v>2</v>
      </c>
    </row>
    <row r="611" spans="1:6" x14ac:dyDescent="0.35">
      <c r="A611" s="10">
        <f>'33'!A7</f>
        <v>33</v>
      </c>
      <c r="B611" s="10">
        <f>'33'!B7</f>
        <v>6</v>
      </c>
      <c r="C611" s="10" t="str">
        <f>'33'!D7</f>
        <v xml:space="preserve"> important to have strong local zoning and building code regulations</v>
      </c>
      <c r="D611" s="10" t="str">
        <f>'33'!E7</f>
        <v>F</v>
      </c>
      <c r="E611" s="10">
        <f>'33'!F7</f>
        <v>2</v>
      </c>
      <c r="F611" s="10">
        <f>'33'!G7</f>
        <v>2</v>
      </c>
    </row>
    <row r="612" spans="1:6" x14ac:dyDescent="0.35">
      <c r="A612" s="10">
        <f>'33'!A8</f>
        <v>33</v>
      </c>
      <c r="B612" s="10">
        <f>'33'!B8</f>
        <v>7</v>
      </c>
      <c r="C612" s="10" t="str">
        <f>'33'!D8</f>
        <v>The Act also provided the foundation for local programs to adopt new regulatory strategies to ameliorate flood risk</v>
      </c>
      <c r="D612" s="10" t="str">
        <f>'33'!E8</f>
        <v>F</v>
      </c>
      <c r="E612" s="10">
        <f>'33'!F8</f>
        <v>2</v>
      </c>
      <c r="F612" s="10">
        <f>'33'!G8</f>
        <v>2</v>
      </c>
    </row>
    <row r="613" spans="1:6" x14ac:dyDescent="0.35">
      <c r="A613" s="10">
        <f>'33'!A9</f>
        <v>33</v>
      </c>
      <c r="B613" s="10">
        <f>'33'!B9</f>
        <v>8</v>
      </c>
      <c r="C613" s="10" t="str">
        <f>'33'!D9</f>
        <v xml:space="preserve"> fund flood risk reduction projects to mitigate the additional property damage exposure</v>
      </c>
      <c r="D613" s="10" t="str">
        <f>'33'!E9</f>
        <v>A</v>
      </c>
      <c r="E613" s="10">
        <f>'33'!F9</f>
        <v>1</v>
      </c>
      <c r="F613" s="10">
        <f>'33'!G9</f>
        <v>8</v>
      </c>
    </row>
    <row r="614" spans="1:6" x14ac:dyDescent="0.35">
      <c r="A614" s="10">
        <f>'33'!A10</f>
        <v>33</v>
      </c>
      <c r="B614" s="10">
        <f>'33'!B10</f>
        <v>9</v>
      </c>
      <c r="C614" s="10" t="str">
        <f>'33'!D10</f>
        <v xml:space="preserve">  lower flood risk rating frequently result in lower insurance premiums and more complacency, which tends to spur additional development—the “levee paradox” </v>
      </c>
      <c r="D614" s="10" t="str">
        <f>'33'!E10</f>
        <v>B</v>
      </c>
      <c r="E614" s="10">
        <f>'33'!F10</f>
        <v>0</v>
      </c>
      <c r="F614" s="10">
        <f>'33'!G10</f>
        <v>4</v>
      </c>
    </row>
    <row r="615" spans="1:6" x14ac:dyDescent="0.35">
      <c r="A615" s="10">
        <f>'33'!A11</f>
        <v>33</v>
      </c>
      <c r="B615" s="10">
        <f>'33'!B11</f>
        <v>10</v>
      </c>
      <c r="C615" s="10" t="str">
        <f>'33'!D11</f>
        <v xml:space="preserve"> Public may lose interest in flood risk management</v>
      </c>
      <c r="D615" s="10" t="str">
        <f>'33'!E11</f>
        <v>d</v>
      </c>
      <c r="E615" s="10">
        <f>'33'!F11</f>
        <v>0</v>
      </c>
      <c r="F615" s="10">
        <f>'33'!G11</f>
        <v>1</v>
      </c>
    </row>
    <row r="616" spans="1:6" x14ac:dyDescent="0.35">
      <c r="A616" s="10">
        <f>'33'!A12</f>
        <v>33</v>
      </c>
      <c r="B616" s="10">
        <f>'33'!B12</f>
        <v>11</v>
      </c>
      <c r="C616" s="10" t="str">
        <f>'33'!D12</f>
        <v>Funding for levee improvement came sporadically and was limited in focus</v>
      </c>
      <c r="D616" s="10" t="str">
        <f>'33'!E12</f>
        <v>A</v>
      </c>
      <c r="E616" s="10">
        <f>'33'!F12</f>
        <v>1</v>
      </c>
      <c r="F616" s="10">
        <f>'33'!G12</f>
        <v>1</v>
      </c>
    </row>
    <row r="617" spans="1:6" x14ac:dyDescent="0.35">
      <c r="A617" s="10">
        <f>'33'!A13</f>
        <v>33</v>
      </c>
      <c r="B617" s="10">
        <f>'33'!B13</f>
        <v>12</v>
      </c>
      <c r="C617" s="10" t="str">
        <f>'33'!D13</f>
        <v xml:space="preserve"> untill Central Valley Flood Protection Act , leading to increased recognition that the State needed to enhance its financial contribution </v>
      </c>
      <c r="D617" s="10" t="str">
        <f>'33'!E13</f>
        <v>F</v>
      </c>
      <c r="E617" s="10">
        <f>'33'!F13</f>
        <v>1</v>
      </c>
      <c r="F617" s="10">
        <f>'33'!G13</f>
        <v>1</v>
      </c>
    </row>
    <row r="618" spans="1:6" x14ac:dyDescent="0.35">
      <c r="A618" s="10">
        <f>'33'!A14</f>
        <v>33</v>
      </c>
      <c r="B618" s="10">
        <f>'33'!B14</f>
        <v>13</v>
      </c>
      <c r="C618" s="10" t="str">
        <f>'33'!D14</f>
        <v>if structures were to be maintained and meet updated regulatory requirements</v>
      </c>
      <c r="D618" s="10" t="str">
        <f>'33'!E14</f>
        <v>F</v>
      </c>
      <c r="E618" s="10">
        <f>'33'!F14</f>
        <v>1</v>
      </c>
      <c r="F618" s="10">
        <f>'33'!G14</f>
        <v>1</v>
      </c>
    </row>
    <row r="619" spans="1:6" x14ac:dyDescent="0.35">
      <c r="A619" s="10">
        <f>'33'!A15</f>
        <v>33</v>
      </c>
      <c r="B619" s="10">
        <f>'33'!B15</f>
        <v>14</v>
      </c>
      <c r="C619" s="10" t="str">
        <f>'33'!D15</f>
        <v xml:space="preserve"> accomplished through partnerships</v>
      </c>
      <c r="D619" s="10" t="str">
        <f>'33'!E15</f>
        <v>F</v>
      </c>
      <c r="E619" s="10">
        <f>'33'!F15</f>
        <v>1</v>
      </c>
      <c r="F619" s="10">
        <f>'33'!G15</f>
        <v>2</v>
      </c>
    </row>
    <row r="620" spans="1:6" x14ac:dyDescent="0.35">
      <c r="A620" s="10">
        <f>'33'!A16</f>
        <v>33</v>
      </c>
      <c r="B620" s="10">
        <f>'33'!B16</f>
        <v>15</v>
      </c>
      <c r="C620" s="10" t="str">
        <f>'33'!D16</f>
        <v xml:space="preserve">  levee’s proximity to development and associated utilities. </v>
      </c>
      <c r="D620" s="10" t="str">
        <f>'33'!E16</f>
        <v>F</v>
      </c>
      <c r="E620" s="10">
        <f>'33'!F16</f>
        <v>5</v>
      </c>
      <c r="F620" s="10">
        <f>'33'!G16</f>
        <v>2</v>
      </c>
    </row>
    <row r="621" spans="1:6" x14ac:dyDescent="0.35">
      <c r="A621" s="10">
        <f>'33'!A17</f>
        <v>33</v>
      </c>
      <c r="B621" s="10">
        <f>'33'!B17</f>
        <v>16</v>
      </c>
      <c r="C621" s="10" t="str">
        <f>'33'!D17</f>
        <v xml:space="preserve"> additional land is needed, and all existing easements, including utilities, roadways, or other impediments, need to be relocated or negotiated </v>
      </c>
      <c r="D621" s="10" t="str">
        <f>'33'!E17</f>
        <v>F</v>
      </c>
      <c r="E621" s="10">
        <f>'33'!F17</f>
        <v>5</v>
      </c>
      <c r="F621" s="10">
        <f>'33'!G17</f>
        <v>2</v>
      </c>
    </row>
    <row r="622" spans="1:6" x14ac:dyDescent="0.35">
      <c r="A622" s="10">
        <f>'33'!A18</f>
        <v>33</v>
      </c>
      <c r="B622" s="10">
        <f>'33'!B18</f>
        <v>17</v>
      </c>
      <c r="C622" s="10" t="str">
        <f>'33'!D18</f>
        <v xml:space="preserve"> each have their own method for evaluating the costs and benefits of a project</v>
      </c>
      <c r="D622" s="10" t="str">
        <f>'33'!E18</f>
        <v>B</v>
      </c>
      <c r="E622" s="10">
        <f>'33'!F18</f>
        <v>0</v>
      </c>
      <c r="F622" s="10">
        <f>'33'!G18</f>
        <v>2</v>
      </c>
    </row>
    <row r="623" spans="1:6" x14ac:dyDescent="0.35">
      <c r="A623" s="10">
        <f>'33'!A19</f>
        <v>33</v>
      </c>
      <c r="B623" s="10">
        <f>'33'!B19</f>
        <v>18</v>
      </c>
      <c r="C623" s="10" t="str">
        <f>'33'!D19</f>
        <v>methods are influenced by the source of funding, agency priorities and policies, and regulatory considerations, among other factors</v>
      </c>
      <c r="D623" s="10" t="str">
        <f>'33'!E19</f>
        <v>A</v>
      </c>
      <c r="E623" s="10">
        <f>'33'!F19</f>
        <v>1</v>
      </c>
      <c r="F623" s="10">
        <f>'33'!G19</f>
        <v>10</v>
      </c>
    </row>
    <row r="624" spans="1:6" x14ac:dyDescent="0.35">
      <c r="A624" s="10">
        <f>'33'!A20</f>
        <v>33</v>
      </c>
      <c r="B624" s="10">
        <f>'33'!B20</f>
        <v>19</v>
      </c>
      <c r="C624" s="10" t="str">
        <f>'33'!D20</f>
        <v>funding can also be limited to specific actions, such as a feasibility study, design development, construction, or maintenanc</v>
      </c>
      <c r="D624" s="10" t="str">
        <f>'33'!E20</f>
        <v>A</v>
      </c>
      <c r="E624" s="10">
        <f>'33'!F20</f>
        <v>1</v>
      </c>
      <c r="F624" s="10">
        <f>'33'!G20</f>
        <v>1</v>
      </c>
    </row>
    <row r="625" spans="1:6" x14ac:dyDescent="0.35">
      <c r="A625" s="10">
        <f>'33'!A21</f>
        <v>33</v>
      </c>
      <c r="B625" s="10">
        <f>'33'!B21</f>
        <v>20</v>
      </c>
      <c r="C625" s="10" t="str">
        <f>'33'!D21</f>
        <v xml:space="preserve"> risk to communities; without accounting for the beneficial aspects offloods to provide benefits to ecology and water supply </v>
      </c>
      <c r="D625" s="10" t="str">
        <f>'33'!E21</f>
        <v>B</v>
      </c>
      <c r="E625" s="10">
        <f>'33'!F21</f>
        <v>0</v>
      </c>
      <c r="F625" s="10">
        <f>'33'!G21</f>
        <v>1</v>
      </c>
    </row>
    <row r="626" spans="1:6" x14ac:dyDescent="0.35">
      <c r="A626" s="10">
        <f>'33'!A22</f>
        <v>33</v>
      </c>
      <c r="B626" s="10">
        <f>'33'!B22</f>
        <v>21</v>
      </c>
      <c r="C626" s="10" t="str">
        <f>'33'!D22</f>
        <v xml:space="preserve"> term floodplain became synonymous with a more regulatory definition,  intact floodplains can also support thriving ecosystems, riparian forests, and seasonal marshes, that in turn support a wide range of native species</v>
      </c>
      <c r="D626" s="10" t="str">
        <f>'33'!E22</f>
        <v>C</v>
      </c>
      <c r="E626" s="10">
        <f>'33'!F22</f>
        <v>3</v>
      </c>
      <c r="F626" s="10">
        <f>'33'!G22</f>
        <v>3</v>
      </c>
    </row>
    <row r="627" spans="1:6" x14ac:dyDescent="0.35">
      <c r="A627" s="10">
        <f>'33'!A23</f>
        <v>33</v>
      </c>
      <c r="B627" s="10">
        <f>'33'!B23</f>
        <v>22</v>
      </c>
      <c r="C627" s="10" t="str">
        <f>'33'!D23</f>
        <v xml:space="preserve"> ad hoc stakeholder group became a successful forum to discuss issues and potential solutions and continues to meet as needed</v>
      </c>
      <c r="D627" s="10" t="str">
        <f>'33'!E23</f>
        <v>F</v>
      </c>
      <c r="E627" s="10">
        <f>'33'!F23</f>
        <v>1</v>
      </c>
      <c r="F627" s="10">
        <f>'33'!G23</f>
        <v>2</v>
      </c>
    </row>
    <row r="628" spans="1:6" x14ac:dyDescent="0.35">
      <c r="A628" s="10">
        <f>'33'!A24</f>
        <v>33</v>
      </c>
      <c r="B628" s="10">
        <f>'33'!B24</f>
        <v>23</v>
      </c>
      <c r="C628" s="10" t="str">
        <f>'33'!D24</f>
        <v xml:space="preserve"> Placing rocks to protect the levee sides wasn’t deemed an effective strategy because new invasive vegetation would cause environmental and operational problems.</v>
      </c>
      <c r="D628" s="10" t="str">
        <f>'33'!E24</f>
        <v>C</v>
      </c>
      <c r="E628" s="10">
        <f>'33'!F24</f>
        <v>1</v>
      </c>
      <c r="F628" s="10">
        <f>'33'!G24</f>
        <v>1</v>
      </c>
    </row>
    <row r="629" spans="1:6" x14ac:dyDescent="0.35">
      <c r="A629" s="10">
        <f>'33'!A25</f>
        <v>33</v>
      </c>
      <c r="B629" s="10">
        <f>'33'!B25</f>
        <v>24</v>
      </c>
      <c r="C629" s="10" t="str">
        <f>'33'!D25</f>
        <v xml:space="preserve">  flood and restoration benefits allowed the Project to secure funds from multiple sources.</v>
      </c>
      <c r="D629" s="10" t="str">
        <f>'33'!E25</f>
        <v>A</v>
      </c>
      <c r="E629" s="10">
        <f>'33'!F25</f>
        <v>1</v>
      </c>
      <c r="F629" s="10">
        <f>'33'!G25</f>
        <v>8</v>
      </c>
    </row>
    <row r="630" spans="1:6" x14ac:dyDescent="0.35">
      <c r="A630" s="10">
        <f>'33'!A26</f>
        <v>33</v>
      </c>
      <c r="B630" s="10">
        <f>'33'!B26</f>
        <v>25</v>
      </c>
      <c r="C630" s="10" t="str">
        <f>'33'!D26</f>
        <v xml:space="preserve"> innovative public-private partnership  can accelerate project delivery</v>
      </c>
      <c r="D630" s="10" t="str">
        <f>'33'!E26</f>
        <v>F</v>
      </c>
      <c r="E630" s="10">
        <f>'33'!F26</f>
        <v>1</v>
      </c>
      <c r="F630" s="10">
        <f>'33'!G26</f>
        <v>2</v>
      </c>
    </row>
    <row r="631" spans="1:6" x14ac:dyDescent="0.35">
      <c r="A631" s="10">
        <f>'33'!A27</f>
        <v>33</v>
      </c>
      <c r="B631" s="10">
        <f>'33'!B27</f>
        <v>26</v>
      </c>
      <c r="C631" s="10" t="str">
        <f>'33'!D27</f>
        <v>private company, EIP can purchase private properties more quickly than State agencies</v>
      </c>
      <c r="D631" s="10" t="str">
        <f>'33'!E27</f>
        <v>F</v>
      </c>
      <c r="E631" s="10">
        <f>'33'!F27</f>
        <v>1</v>
      </c>
      <c r="F631" s="10">
        <f>'33'!G27</f>
        <v>2</v>
      </c>
    </row>
    <row r="632" spans="1:6" x14ac:dyDescent="0.35">
      <c r="A632" s="10">
        <f>'33'!A28</f>
        <v>33</v>
      </c>
      <c r="B632" s="10">
        <f>'33'!B28</f>
        <v>27</v>
      </c>
      <c r="C632" s="10" t="str">
        <f>'33'!D28</f>
        <v xml:space="preserve"> Utilities, gas lines, and other infrastructure can be significant
obstacles for creating tidal and floodplain habitat that is periodically or permanently inundated</v>
      </c>
      <c r="D632" s="10" t="str">
        <f>'33'!E28</f>
        <v>F</v>
      </c>
      <c r="E632" s="10">
        <f>'33'!F28</f>
        <v>3</v>
      </c>
      <c r="F632" s="10">
        <f>'33'!G28</f>
        <v>3</v>
      </c>
    </row>
    <row r="633" spans="1:6" x14ac:dyDescent="0.35">
      <c r="A633" s="10">
        <f>'33'!A29</f>
        <v>33</v>
      </c>
      <c r="B633" s="10">
        <f>'33'!B29</f>
        <v>28</v>
      </c>
      <c r="C633" s="10" t="str">
        <f>'33'!D29</f>
        <v xml:space="preserve"> changing funding priorities, regulatory issues, the sites’ location, and ongoing flood risk. </v>
      </c>
      <c r="D633" s="10" t="str">
        <f>'33'!E29</f>
        <v>A</v>
      </c>
      <c r="E633" s="10">
        <f>'33'!F29</f>
        <v>1</v>
      </c>
      <c r="F633" s="10">
        <f>'33'!G29</f>
        <v>2</v>
      </c>
    </row>
    <row r="634" spans="1:6" x14ac:dyDescent="0.35">
      <c r="A634" s="10">
        <f>'33'!A30</f>
        <v>33</v>
      </c>
      <c r="B634" s="10">
        <f>'33'!B30</f>
        <v>29</v>
      </c>
      <c r="C634" s="10" t="str">
        <f>'33'!D30</f>
        <v xml:space="preserve"> importance of taking a
systemwide perspective when planning projects and the importance of hydrologic research/modeling to support planning</v>
      </c>
      <c r="D634" s="10" t="str">
        <f>'33'!E30</f>
        <v>C</v>
      </c>
      <c r="E634" s="10">
        <f>'33'!F30</f>
        <v>2</v>
      </c>
      <c r="F634" s="10">
        <f>'33'!G30</f>
        <v>2</v>
      </c>
    </row>
    <row r="635" spans="1:6" x14ac:dyDescent="0.35">
      <c r="A635" s="10">
        <f>'33'!A31</f>
        <v>33</v>
      </c>
      <c r="B635" s="10">
        <f>'33'!B31</f>
        <v>30</v>
      </c>
      <c r="C635" s="10" t="str">
        <f>'33'!D31</f>
        <v xml:space="preserve"> regulatory setting is complex and challenging to navigate </v>
      </c>
      <c r="D635" s="10" t="str">
        <f>'33'!E31</f>
        <v>A</v>
      </c>
      <c r="E635" s="10">
        <f>'33'!F31</f>
        <v>3</v>
      </c>
      <c r="F635" s="10">
        <f>'33'!G31</f>
        <v>3</v>
      </c>
    </row>
    <row r="636" spans="1:6" x14ac:dyDescent="0.35">
      <c r="A636" s="10">
        <f>'33'!A32</f>
        <v>33</v>
      </c>
      <c r="B636" s="10">
        <f>'33'!B32</f>
        <v>31</v>
      </c>
      <c r="C636" s="10" t="str">
        <f>'33'!D32</f>
        <v xml:space="preserve">maintenance activities part of the solution/design </v>
      </c>
      <c r="D636" s="10" t="str">
        <f>'33'!E32</f>
        <v>C</v>
      </c>
      <c r="E636" s="10">
        <f>'33'!F32</f>
        <v>2</v>
      </c>
      <c r="F636" s="10">
        <f>'33'!G32</f>
        <v>2</v>
      </c>
    </row>
    <row r="637" spans="1:6" x14ac:dyDescent="0.35">
      <c r="A637" s="10">
        <f>'34'!A2</f>
        <v>34</v>
      </c>
      <c r="B637" s="10">
        <f>'34'!B2</f>
        <v>1</v>
      </c>
      <c r="C637" s="10" t="str">
        <f>'34'!D2</f>
        <v>by engaging the (marginalized) public co-benefits can be daylighted</v>
      </c>
      <c r="D637" s="10" t="str">
        <f>'34'!E2</f>
        <v>C</v>
      </c>
      <c r="E637" s="10">
        <f>'34'!F2</f>
        <v>1</v>
      </c>
      <c r="F637" s="10">
        <f>'34'!G2</f>
        <v>1</v>
      </c>
    </row>
    <row r="638" spans="1:6" x14ac:dyDescent="0.35">
      <c r="A638" s="10">
        <f>'34'!A3</f>
        <v>34</v>
      </c>
      <c r="B638" s="10">
        <f>'34'!B3</f>
        <v>2</v>
      </c>
      <c r="C638" s="10" t="str">
        <f>'34'!D3</f>
        <v>unclear whether ecosystem services  frameworks can reduce funding-related barriers to NbS implementation  and management</v>
      </c>
      <c r="D638" s="10" t="str">
        <f>'34'!E3</f>
        <v>C</v>
      </c>
      <c r="E638" s="10">
        <f>'34'!F3</f>
        <v>2</v>
      </c>
      <c r="F638" s="10">
        <f>'34'!G3</f>
        <v>2</v>
      </c>
    </row>
    <row r="639" spans="1:6" x14ac:dyDescent="0.35">
      <c r="A639" s="10">
        <f>'34'!A4</f>
        <v>34</v>
      </c>
      <c r="B639" s="10">
        <f>'34'!B4</f>
        <v>3</v>
      </c>
      <c r="C639" s="10" t="str">
        <f>'34'!D4</f>
        <v>benefits provided by NbS varied by race, ethnicity, or income</v>
      </c>
      <c r="D639" s="10" t="str">
        <f>'34'!E4</f>
        <v>C</v>
      </c>
      <c r="E639" s="10">
        <f>'34'!F4</f>
        <v>2</v>
      </c>
      <c r="F639" s="10">
        <f>'34'!G4</f>
        <v>4</v>
      </c>
    </row>
    <row r="640" spans="1:6" x14ac:dyDescent="0.35">
      <c r="A640" s="10">
        <f>'34'!A5</f>
        <v>34</v>
      </c>
      <c r="B640" s="10">
        <f>'34'!B5</f>
        <v>4</v>
      </c>
      <c r="C640" s="10" t="str">
        <f>'34'!D5</f>
        <v>funding landscape is highly uneven, with most state and  nonprofit support accruing to middle-income areas. shrinking public budgets and philanthropic partners for  parks pose challenges for social justice, specifically if the public is not  involved in decision-making</v>
      </c>
      <c r="D640" s="10" t="str">
        <f>'34'!E5</f>
        <v>C</v>
      </c>
      <c r="E640" s="10">
        <f>'34'!F5</f>
        <v>2</v>
      </c>
      <c r="F640" s="10">
        <f>'34'!G5</f>
        <v>4</v>
      </c>
    </row>
    <row r="641" spans="1:6" x14ac:dyDescent="0.35">
      <c r="A641" s="10">
        <f>'34'!A6</f>
        <v>34</v>
      </c>
      <c r="B641" s="10">
        <f>'34'!B6</f>
        <v>5</v>
      </c>
      <c r="C641" s="10" t="str">
        <f>'34'!D6</f>
        <v xml:space="preserve"> connect urban green space distribution in Baltimore to historical redlining. Their results illustrate  that historical legacies influence future outcomes, and thus environmental justice research must consider long-term interactions between  distributive and procedural justice in cities</v>
      </c>
      <c r="D641" s="10" t="str">
        <f>'34'!E6</f>
        <v>C</v>
      </c>
      <c r="E641" s="10">
        <f>'34'!F6</f>
        <v>2</v>
      </c>
      <c r="F641" s="10">
        <f>'34'!G6</f>
        <v>4</v>
      </c>
    </row>
    <row r="642" spans="1:6" x14ac:dyDescent="0.35">
      <c r="A642" s="10">
        <f>'34'!A7</f>
        <v>34</v>
      </c>
      <c r="B642" s="10">
        <f>'34'!B7</f>
        <v>6</v>
      </c>
      <c r="C642" s="10" t="str">
        <f>'34'!D7</f>
        <v xml:space="preserve"> cities with less financial capacity allocate less money to NbS operations  and maintenance</v>
      </c>
      <c r="D642" s="10" t="str">
        <f>'34'!E7</f>
        <v>A</v>
      </c>
      <c r="E642" s="10">
        <f>'34'!F7</f>
        <v>1</v>
      </c>
      <c r="F642" s="10">
        <f>'34'!G7</f>
        <v>1</v>
      </c>
    </row>
    <row r="643" spans="1:6" x14ac:dyDescent="0.35">
      <c r="A643" s="10">
        <f>'34'!A8</f>
        <v>34</v>
      </c>
      <c r="B643" s="10">
        <f>'34'!B8</f>
        <v>7</v>
      </c>
      <c r="C643" s="10" t="str">
        <f>'34'!D8</f>
        <v>urban trees considered  infrastructure and are subject to politicking  and fluctuations in funding that traditional infrastructure is not.</v>
      </c>
      <c r="D643" s="10" t="str">
        <f>'34'!E8</f>
        <v>A</v>
      </c>
      <c r="E643" s="10">
        <f>'34'!F8</f>
        <v>1</v>
      </c>
      <c r="F643" s="10">
        <f>'34'!G8</f>
        <v>4</v>
      </c>
    </row>
    <row r="644" spans="1:6" x14ac:dyDescent="0.35">
      <c r="A644" s="10">
        <f>'34'!A9</f>
        <v>34</v>
      </c>
      <c r="B644" s="10">
        <f>'34'!B9</f>
        <v>8</v>
      </c>
      <c r="C644" s="10" t="str">
        <f>'34'!D9</f>
        <v xml:space="preserve">Areas that relied on donations and external support  cited challenges with reliable, long-term funding. While public-private partnership models are  popular tools, relying on nonprofits and volunteers may introduce too  much uncertainty to fully replace the public sector commitment to NbS. </v>
      </c>
      <c r="D644" s="10" t="str">
        <f>'34'!E9</f>
        <v>A</v>
      </c>
      <c r="E644" s="10">
        <f>'34'!F9</f>
        <v>1</v>
      </c>
      <c r="F644" s="10">
        <f>'34'!G9</f>
        <v>10</v>
      </c>
    </row>
    <row r="645" spans="1:6" x14ac:dyDescent="0.35">
      <c r="A645" s="10">
        <f>'34'!A10</f>
        <v>34</v>
      </c>
      <c r="B645" s="10">
        <f>'34'!B10</f>
        <v>9</v>
      </c>
      <c r="C645" s="10" t="str">
        <f>'34'!D10</f>
        <v xml:space="preserve">capital expenditures and operating expenditures are typically separated into distinct budgets. </v>
      </c>
      <c r="D645" s="10" t="str">
        <f>'34'!E10</f>
        <v>F</v>
      </c>
      <c r="E645" s="10">
        <f>'34'!F10</f>
        <v>1</v>
      </c>
      <c r="F645" s="10">
        <f>'34'!G10</f>
        <v>1</v>
      </c>
    </row>
    <row r="646" spans="1:6" x14ac:dyDescent="0.35">
      <c r="A646" s="10">
        <f>'34'!A11</f>
        <v>34</v>
      </c>
      <c r="B646" s="10">
        <f>'34'!B11</f>
        <v>10</v>
      </c>
      <c r="C646" s="10" t="str">
        <f>'34'!D11</f>
        <v>ecosystem services framework may help break down funding silos  across local government departments by funding GI according to its  broad public outcomes, instead of through a single department budget</v>
      </c>
      <c r="D646" s="10" t="str">
        <f>'34'!E11</f>
        <v>F</v>
      </c>
      <c r="E646" s="10">
        <f>'34'!F11</f>
        <v>1</v>
      </c>
      <c r="F646" s="10">
        <f>'34'!G11</f>
        <v>1</v>
      </c>
    </row>
    <row r="647" spans="1:6" x14ac:dyDescent="0.35">
      <c r="A647" s="10">
        <f>'34'!A12</f>
        <v>34</v>
      </c>
      <c r="B647" s="10">
        <f>'34'!B12</f>
        <v>11</v>
      </c>
      <c r="C647" s="10" t="str">
        <f>'34'!D12</f>
        <v>Capital projects tend to have a larger  number of payment mechanisms available as compared to operating  expenditures</v>
      </c>
      <c r="D647" s="10" t="str">
        <f>'34'!E12</f>
        <v>A</v>
      </c>
      <c r="E647" s="10">
        <f>'34'!F12</f>
        <v>1</v>
      </c>
      <c r="F647" s="10">
        <f>'34'!G12</f>
        <v>1</v>
      </c>
    </row>
    <row r="648" spans="1:6" x14ac:dyDescent="0.35">
      <c r="A648" s="10">
        <f>'34'!A13</f>
        <v>34</v>
      </c>
      <c r="B648" s="10">
        <f>'34'!B13</f>
        <v>12</v>
      </c>
      <c r="C648" s="10" t="str">
        <f>'34'!D13</f>
        <v>per capita park spending  in the US, revealing that predominantly white and affluent municipalities had higher quality parks than lower-income and minority municipalities</v>
      </c>
      <c r="D648" s="10" t="str">
        <f>'34'!E13</f>
        <v>A</v>
      </c>
      <c r="E648" s="10">
        <f>'34'!F13</f>
        <v>1</v>
      </c>
      <c r="F648" s="10">
        <f>'34'!G13</f>
        <v>1</v>
      </c>
    </row>
    <row r="649" spans="1:6" x14ac:dyDescent="0.35">
      <c r="A649" s="10">
        <f>'34'!A14</f>
        <v>34</v>
      </c>
      <c r="B649" s="10">
        <f>'34'!B14</f>
        <v>13</v>
      </c>
      <c r="C649" s="10" t="str">
        <f>'34'!D14</f>
        <v xml:space="preserve"> Understanding the ecological, social, and cultural context of a place is critical  to understanding outcomes.</v>
      </c>
      <c r="D649" s="10" t="str">
        <f>'34'!E14</f>
        <v>B</v>
      </c>
      <c r="E649" s="10">
        <f>'34'!F14</f>
        <v>0</v>
      </c>
      <c r="F649" s="10">
        <f>'34'!G14</f>
        <v>4</v>
      </c>
    </row>
    <row r="650" spans="1:6" x14ac:dyDescent="0.35">
      <c r="A650" s="16"/>
      <c r="B650" s="16"/>
      <c r="C650" s="16"/>
      <c r="D650" s="16"/>
      <c r="E650" s="16"/>
      <c r="F650" s="16"/>
    </row>
  </sheetData>
  <sortState xmlns:xlrd2="http://schemas.microsoft.com/office/spreadsheetml/2017/richdata2" ref="A2:F650">
    <sortCondition ref="A2:A650"/>
    <sortCondition ref="B2:B650"/>
  </sortState>
  <dataConsolidate>
    <dataRefs count="1">
      <dataRef ref="D1:D1048576" sheet="Full data set"/>
    </dataRefs>
  </dataConsolidate>
  <phoneticPr fontId="4" type="noConversion"/>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1EEDE-06E5-4374-9561-1B899915D0BA}">
  <sheetPr>
    <tabColor rgb="FFFFC000"/>
  </sheetPr>
  <dimension ref="A1:G30"/>
  <sheetViews>
    <sheetView workbookViewId="0">
      <selection sqref="A1:B1"/>
    </sheetView>
  </sheetViews>
  <sheetFormatPr defaultRowHeight="14.5" x14ac:dyDescent="0.35"/>
  <cols>
    <col min="1" max="1" width="8.7265625" style="12"/>
    <col min="2" max="2" width="3.6328125" style="12" customWidth="1"/>
    <col min="3" max="3" width="23.36328125" style="12" customWidth="1"/>
    <col min="4" max="4" width="28.90625" style="12" customWidth="1"/>
    <col min="5" max="16384" width="8.7265625" style="12"/>
  </cols>
  <sheetData>
    <row r="1" spans="1:7" x14ac:dyDescent="0.35">
      <c r="A1" s="13" t="s">
        <v>1111</v>
      </c>
      <c r="B1" s="13" t="s">
        <v>1434</v>
      </c>
      <c r="C1" s="14" t="s">
        <v>7</v>
      </c>
      <c r="D1" s="14" t="s">
        <v>222</v>
      </c>
      <c r="E1" s="14" t="s">
        <v>223</v>
      </c>
      <c r="F1" s="14" t="s">
        <v>224</v>
      </c>
      <c r="G1" s="14" t="s">
        <v>225</v>
      </c>
    </row>
    <row r="2" spans="1:7" x14ac:dyDescent="0.35">
      <c r="A2" s="12">
        <v>26</v>
      </c>
      <c r="B2" s="12">
        <v>1</v>
      </c>
      <c r="C2" s="12" t="s">
        <v>433</v>
      </c>
      <c r="D2" s="12" t="s">
        <v>432</v>
      </c>
      <c r="E2" s="12" t="s">
        <v>202</v>
      </c>
      <c r="F2" s="12">
        <v>0</v>
      </c>
      <c r="G2" s="12">
        <v>1</v>
      </c>
    </row>
    <row r="3" spans="1:7" x14ac:dyDescent="0.35">
      <c r="A3" s="12">
        <v>26</v>
      </c>
      <c r="B3" s="12">
        <f>B2+1</f>
        <v>2</v>
      </c>
      <c r="C3" s="12" t="s">
        <v>433</v>
      </c>
      <c r="D3" s="12" t="s">
        <v>434</v>
      </c>
      <c r="E3" s="12" t="s">
        <v>278</v>
      </c>
      <c r="F3" s="12">
        <v>0</v>
      </c>
      <c r="G3" s="12">
        <v>4</v>
      </c>
    </row>
    <row r="4" spans="1:7" x14ac:dyDescent="0.35">
      <c r="A4" s="12">
        <v>26</v>
      </c>
      <c r="B4" s="12">
        <f t="shared" ref="B4:B30" si="0">B3+1</f>
        <v>3</v>
      </c>
      <c r="C4" s="12" t="s">
        <v>437</v>
      </c>
      <c r="D4" s="12" t="s">
        <v>436</v>
      </c>
      <c r="E4" s="12" t="s">
        <v>270</v>
      </c>
      <c r="F4" s="12">
        <v>2</v>
      </c>
      <c r="G4" s="12">
        <v>5</v>
      </c>
    </row>
    <row r="5" spans="1:7" x14ac:dyDescent="0.35">
      <c r="A5" s="12">
        <v>26</v>
      </c>
      <c r="B5" s="12">
        <f t="shared" si="0"/>
        <v>4</v>
      </c>
      <c r="C5" s="12" t="s">
        <v>439</v>
      </c>
      <c r="D5" s="12" t="s">
        <v>438</v>
      </c>
      <c r="E5" s="12" t="s">
        <v>202</v>
      </c>
      <c r="F5" s="12">
        <v>0</v>
      </c>
      <c r="G5" s="12">
        <v>1</v>
      </c>
    </row>
    <row r="6" spans="1:7" x14ac:dyDescent="0.35">
      <c r="A6" s="12">
        <v>26</v>
      </c>
      <c r="B6" s="12">
        <f t="shared" si="0"/>
        <v>5</v>
      </c>
      <c r="C6" s="12" t="s">
        <v>441</v>
      </c>
      <c r="D6" s="12" t="s">
        <v>440</v>
      </c>
      <c r="E6" s="12" t="s">
        <v>270</v>
      </c>
      <c r="F6" s="12">
        <v>1</v>
      </c>
      <c r="G6" s="12">
        <v>1</v>
      </c>
    </row>
    <row r="7" spans="1:7" x14ac:dyDescent="0.35">
      <c r="A7" s="12">
        <v>26</v>
      </c>
      <c r="B7" s="12">
        <f t="shared" si="0"/>
        <v>6</v>
      </c>
      <c r="C7" s="12" t="s">
        <v>443</v>
      </c>
      <c r="D7" s="12" t="s">
        <v>442</v>
      </c>
      <c r="E7" s="12" t="s">
        <v>270</v>
      </c>
      <c r="F7" s="12">
        <v>1</v>
      </c>
      <c r="G7" s="12">
        <v>1</v>
      </c>
    </row>
    <row r="8" spans="1:7" x14ac:dyDescent="0.35">
      <c r="A8" s="12">
        <v>26</v>
      </c>
      <c r="B8" s="12">
        <f t="shared" si="0"/>
        <v>7</v>
      </c>
      <c r="C8" s="12" t="s">
        <v>445</v>
      </c>
      <c r="D8" s="12" t="s">
        <v>444</v>
      </c>
      <c r="E8" s="12" t="s">
        <v>270</v>
      </c>
      <c r="F8" s="12">
        <v>1</v>
      </c>
      <c r="G8" s="12">
        <v>1</v>
      </c>
    </row>
    <row r="9" spans="1:7" x14ac:dyDescent="0.35">
      <c r="A9" s="12">
        <v>26</v>
      </c>
      <c r="B9" s="12">
        <f t="shared" si="0"/>
        <v>8</v>
      </c>
      <c r="C9" s="12" t="s">
        <v>445</v>
      </c>
      <c r="D9" s="12" t="s">
        <v>446</v>
      </c>
      <c r="E9" s="12" t="s">
        <v>202</v>
      </c>
      <c r="F9" s="12">
        <v>0</v>
      </c>
      <c r="G9" s="12">
        <v>1</v>
      </c>
    </row>
    <row r="10" spans="1:7" x14ac:dyDescent="0.35">
      <c r="A10" s="12">
        <v>26</v>
      </c>
      <c r="B10" s="12">
        <f t="shared" si="0"/>
        <v>9</v>
      </c>
      <c r="C10" s="12" t="s">
        <v>448</v>
      </c>
      <c r="D10" s="12" t="s">
        <v>447</v>
      </c>
      <c r="E10" s="12" t="s">
        <v>202</v>
      </c>
      <c r="F10" s="12">
        <v>0</v>
      </c>
      <c r="G10" s="12">
        <v>1</v>
      </c>
    </row>
    <row r="11" spans="1:7" x14ac:dyDescent="0.35">
      <c r="A11" s="12">
        <v>26</v>
      </c>
      <c r="B11" s="12">
        <f t="shared" si="0"/>
        <v>10</v>
      </c>
      <c r="C11" s="12" t="s">
        <v>450</v>
      </c>
      <c r="D11" s="12" t="s">
        <v>449</v>
      </c>
      <c r="E11" s="12" t="s">
        <v>257</v>
      </c>
      <c r="F11" s="12">
        <v>2</v>
      </c>
      <c r="G11" s="12">
        <v>1</v>
      </c>
    </row>
    <row r="12" spans="1:7" x14ac:dyDescent="0.35">
      <c r="A12" s="12">
        <v>26</v>
      </c>
      <c r="B12" s="12">
        <f t="shared" si="0"/>
        <v>11</v>
      </c>
      <c r="C12" s="12" t="s">
        <v>452</v>
      </c>
      <c r="D12" s="12" t="s">
        <v>451</v>
      </c>
      <c r="E12" s="12" t="s">
        <v>270</v>
      </c>
      <c r="F12" s="12">
        <v>1</v>
      </c>
      <c r="G12" s="12">
        <v>2</v>
      </c>
    </row>
    <row r="13" spans="1:7" x14ac:dyDescent="0.35">
      <c r="A13" s="12">
        <v>26</v>
      </c>
      <c r="B13" s="12">
        <f t="shared" si="0"/>
        <v>12</v>
      </c>
      <c r="C13" s="12" t="s">
        <v>454</v>
      </c>
      <c r="D13" s="12" t="s">
        <v>453</v>
      </c>
      <c r="E13" s="12" t="s">
        <v>270</v>
      </c>
      <c r="F13" s="12">
        <v>1</v>
      </c>
      <c r="G13" s="12">
        <v>1</v>
      </c>
    </row>
    <row r="14" spans="1:7" x14ac:dyDescent="0.35">
      <c r="A14" s="12">
        <v>26</v>
      </c>
      <c r="B14" s="12">
        <f t="shared" si="0"/>
        <v>13</v>
      </c>
      <c r="C14" s="12" t="s">
        <v>454</v>
      </c>
      <c r="D14" s="12" t="s">
        <v>455</v>
      </c>
      <c r="E14" s="12" t="s">
        <v>190</v>
      </c>
      <c r="F14" s="12">
        <v>2</v>
      </c>
      <c r="G14" s="12">
        <v>3</v>
      </c>
    </row>
    <row r="15" spans="1:7" x14ac:dyDescent="0.35">
      <c r="A15" s="12">
        <v>26</v>
      </c>
      <c r="B15" s="12">
        <f t="shared" si="0"/>
        <v>14</v>
      </c>
      <c r="C15" s="12" t="s">
        <v>454</v>
      </c>
      <c r="D15" s="12" t="s">
        <v>456</v>
      </c>
      <c r="E15" s="12" t="s">
        <v>190</v>
      </c>
      <c r="F15" s="12">
        <v>3</v>
      </c>
      <c r="G15" s="12">
        <v>2</v>
      </c>
    </row>
    <row r="16" spans="1:7" x14ac:dyDescent="0.35">
      <c r="A16" s="12">
        <v>26</v>
      </c>
      <c r="B16" s="12">
        <f t="shared" si="0"/>
        <v>15</v>
      </c>
      <c r="C16" s="12" t="s">
        <v>458</v>
      </c>
      <c r="D16" s="12" t="s">
        <v>457</v>
      </c>
      <c r="E16" s="12" t="s">
        <v>190</v>
      </c>
      <c r="F16" s="12">
        <v>3</v>
      </c>
      <c r="G16" s="12">
        <v>1</v>
      </c>
    </row>
    <row r="17" spans="1:7" x14ac:dyDescent="0.35">
      <c r="A17" s="12">
        <v>26</v>
      </c>
      <c r="B17" s="12">
        <f t="shared" si="0"/>
        <v>16</v>
      </c>
      <c r="C17" s="12" t="s">
        <v>459</v>
      </c>
      <c r="D17" s="12" t="s">
        <v>1252</v>
      </c>
      <c r="E17" s="12" t="s">
        <v>257</v>
      </c>
      <c r="F17" s="12">
        <v>1</v>
      </c>
      <c r="G17" s="12">
        <v>1</v>
      </c>
    </row>
    <row r="18" spans="1:7" x14ac:dyDescent="0.35">
      <c r="A18" s="12">
        <v>26</v>
      </c>
      <c r="B18" s="12">
        <f t="shared" si="0"/>
        <v>17</v>
      </c>
      <c r="C18" s="12" t="s">
        <v>461</v>
      </c>
      <c r="D18" s="12" t="s">
        <v>460</v>
      </c>
      <c r="E18" s="12" t="s">
        <v>257</v>
      </c>
      <c r="F18" s="12">
        <v>1</v>
      </c>
      <c r="G18" s="12">
        <v>1</v>
      </c>
    </row>
    <row r="19" spans="1:7" x14ac:dyDescent="0.35">
      <c r="A19" s="12">
        <v>26</v>
      </c>
      <c r="B19" s="12">
        <f t="shared" si="0"/>
        <v>18</v>
      </c>
      <c r="C19" s="12" t="s">
        <v>463</v>
      </c>
      <c r="D19" s="12" t="s">
        <v>462</v>
      </c>
      <c r="E19" s="12" t="s">
        <v>257</v>
      </c>
      <c r="F19" s="12">
        <v>2</v>
      </c>
      <c r="G19" s="12">
        <v>2</v>
      </c>
    </row>
    <row r="20" spans="1:7" x14ac:dyDescent="0.35">
      <c r="A20" s="12">
        <v>26</v>
      </c>
      <c r="B20" s="12">
        <f t="shared" si="0"/>
        <v>19</v>
      </c>
      <c r="C20" s="12" t="s">
        <v>465</v>
      </c>
      <c r="D20" s="12" t="s">
        <v>464</v>
      </c>
      <c r="E20" s="12" t="s">
        <v>257</v>
      </c>
      <c r="F20" s="12">
        <v>1</v>
      </c>
      <c r="G20" s="12">
        <v>1</v>
      </c>
    </row>
    <row r="21" spans="1:7" x14ac:dyDescent="0.35">
      <c r="A21" s="12">
        <v>26</v>
      </c>
      <c r="B21" s="12">
        <f t="shared" si="0"/>
        <v>20</v>
      </c>
      <c r="C21" s="12" t="s">
        <v>467</v>
      </c>
      <c r="D21" s="12" t="s">
        <v>466</v>
      </c>
      <c r="E21" s="12" t="s">
        <v>278</v>
      </c>
      <c r="F21" s="12">
        <v>0</v>
      </c>
      <c r="G21" s="12">
        <v>5</v>
      </c>
    </row>
    <row r="22" spans="1:7" x14ac:dyDescent="0.35">
      <c r="A22" s="12">
        <v>26</v>
      </c>
      <c r="B22" s="12">
        <f t="shared" si="0"/>
        <v>21</v>
      </c>
      <c r="C22" s="12" t="s">
        <v>468</v>
      </c>
      <c r="D22" s="12" t="s">
        <v>1250</v>
      </c>
      <c r="E22" s="12" t="s">
        <v>257</v>
      </c>
      <c r="F22" s="12">
        <v>5</v>
      </c>
      <c r="G22" s="12">
        <v>2</v>
      </c>
    </row>
    <row r="23" spans="1:7" x14ac:dyDescent="0.35">
      <c r="A23" s="12">
        <v>26</v>
      </c>
      <c r="B23" s="12">
        <f t="shared" si="0"/>
        <v>22</v>
      </c>
      <c r="C23" s="12" t="s">
        <v>468</v>
      </c>
      <c r="D23" s="12" t="s">
        <v>1251</v>
      </c>
      <c r="E23" s="12" t="s">
        <v>257</v>
      </c>
      <c r="F23" s="12">
        <v>5</v>
      </c>
      <c r="G23" s="12">
        <v>2</v>
      </c>
    </row>
    <row r="24" spans="1:7" x14ac:dyDescent="0.35">
      <c r="A24" s="12">
        <v>26</v>
      </c>
      <c r="B24" s="12">
        <f t="shared" si="0"/>
        <v>23</v>
      </c>
      <c r="C24" s="12" t="s">
        <v>468</v>
      </c>
      <c r="D24" s="12" t="s">
        <v>469</v>
      </c>
      <c r="E24" s="12" t="s">
        <v>270</v>
      </c>
      <c r="F24" s="12">
        <v>1</v>
      </c>
      <c r="G24" s="12">
        <v>8</v>
      </c>
    </row>
    <row r="25" spans="1:7" x14ac:dyDescent="0.35">
      <c r="A25" s="12">
        <v>26</v>
      </c>
      <c r="B25" s="12">
        <f t="shared" si="0"/>
        <v>24</v>
      </c>
      <c r="C25" s="12" t="s">
        <v>471</v>
      </c>
      <c r="D25" s="12" t="s">
        <v>470</v>
      </c>
      <c r="E25" s="12" t="s">
        <v>257</v>
      </c>
      <c r="F25" s="12">
        <v>1</v>
      </c>
      <c r="G25" s="12">
        <v>1</v>
      </c>
    </row>
    <row r="26" spans="1:7" x14ac:dyDescent="0.35">
      <c r="A26" s="12">
        <v>26</v>
      </c>
      <c r="B26" s="12">
        <f t="shared" si="0"/>
        <v>25</v>
      </c>
      <c r="C26" s="12" t="s">
        <v>473</v>
      </c>
      <c r="D26" s="12" t="s">
        <v>472</v>
      </c>
      <c r="E26" s="12" t="s">
        <v>257</v>
      </c>
      <c r="F26" s="12">
        <v>2</v>
      </c>
      <c r="G26" s="12">
        <v>2</v>
      </c>
    </row>
    <row r="27" spans="1:7" x14ac:dyDescent="0.35">
      <c r="A27" s="12">
        <v>26</v>
      </c>
      <c r="B27" s="12">
        <f t="shared" si="0"/>
        <v>26</v>
      </c>
      <c r="C27" s="12" t="s">
        <v>475</v>
      </c>
      <c r="D27" s="12" t="s">
        <v>474</v>
      </c>
      <c r="E27" s="12" t="s">
        <v>190</v>
      </c>
      <c r="F27" s="12">
        <v>1</v>
      </c>
      <c r="G27" s="12">
        <v>1</v>
      </c>
    </row>
    <row r="28" spans="1:7" x14ac:dyDescent="0.35">
      <c r="A28" s="12">
        <v>26</v>
      </c>
      <c r="B28" s="12">
        <f t="shared" si="0"/>
        <v>27</v>
      </c>
      <c r="C28" s="12" t="s">
        <v>475</v>
      </c>
      <c r="D28" s="12" t="s">
        <v>476</v>
      </c>
      <c r="E28" s="12" t="s">
        <v>278</v>
      </c>
      <c r="F28" s="12">
        <v>0</v>
      </c>
      <c r="G28" s="12">
        <v>5</v>
      </c>
    </row>
    <row r="29" spans="1:7" x14ac:dyDescent="0.35">
      <c r="A29" s="12">
        <v>26</v>
      </c>
      <c r="B29" s="12">
        <f t="shared" si="0"/>
        <v>28</v>
      </c>
      <c r="C29" s="12" t="s">
        <v>475</v>
      </c>
      <c r="D29" s="12" t="s">
        <v>477</v>
      </c>
      <c r="E29" s="12" t="s">
        <v>278</v>
      </c>
      <c r="F29" s="12">
        <v>0</v>
      </c>
      <c r="G29" s="12">
        <v>5</v>
      </c>
    </row>
    <row r="30" spans="1:7" x14ac:dyDescent="0.35">
      <c r="A30" s="12">
        <v>26</v>
      </c>
      <c r="B30" s="12">
        <f t="shared" si="0"/>
        <v>29</v>
      </c>
      <c r="C30" s="12" t="s">
        <v>479</v>
      </c>
      <c r="D30" s="12" t="s">
        <v>478</v>
      </c>
      <c r="E30" s="12" t="s">
        <v>190</v>
      </c>
      <c r="F30" s="12">
        <v>3</v>
      </c>
      <c r="G30" s="12">
        <v>2</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F391C-19D0-4FB8-ACC0-0D4ABA05FE71}">
  <sheetPr>
    <tabColor rgb="FFFFC000"/>
  </sheetPr>
  <dimension ref="A1:G10"/>
  <sheetViews>
    <sheetView workbookViewId="0">
      <selection sqref="A1:B1"/>
    </sheetView>
  </sheetViews>
  <sheetFormatPr defaultRowHeight="14.5" x14ac:dyDescent="0.35"/>
  <cols>
    <col min="1" max="1" width="4.453125" customWidth="1"/>
    <col min="2" max="2" width="6.26953125" customWidth="1"/>
    <col min="3" max="3" width="14.7265625" customWidth="1"/>
    <col min="4" max="4" width="30.7265625" customWidth="1"/>
  </cols>
  <sheetData>
    <row r="1" spans="1:7" x14ac:dyDescent="0.35">
      <c r="A1" s="13" t="s">
        <v>1111</v>
      </c>
      <c r="B1" s="13" t="s">
        <v>1434</v>
      </c>
      <c r="C1" s="2" t="s">
        <v>7</v>
      </c>
      <c r="D1" s="2" t="s">
        <v>222</v>
      </c>
      <c r="E1" s="2" t="s">
        <v>223</v>
      </c>
      <c r="F1" s="2" t="s">
        <v>224</v>
      </c>
      <c r="G1" s="2" t="s">
        <v>225</v>
      </c>
    </row>
    <row r="2" spans="1:7" x14ac:dyDescent="0.35">
      <c r="A2">
        <v>27</v>
      </c>
      <c r="B2">
        <v>1</v>
      </c>
      <c r="C2" t="s">
        <v>248</v>
      </c>
      <c r="D2" t="s">
        <v>247</v>
      </c>
      <c r="E2" t="s">
        <v>190</v>
      </c>
      <c r="F2">
        <v>1</v>
      </c>
      <c r="G2">
        <v>1</v>
      </c>
    </row>
    <row r="3" spans="1:7" x14ac:dyDescent="0.35">
      <c r="A3">
        <v>27</v>
      </c>
      <c r="B3">
        <v>2</v>
      </c>
      <c r="C3" t="s">
        <v>251</v>
      </c>
      <c r="D3" t="s">
        <v>250</v>
      </c>
      <c r="E3" t="s">
        <v>270</v>
      </c>
      <c r="F3">
        <v>1</v>
      </c>
      <c r="G3">
        <v>1</v>
      </c>
    </row>
    <row r="4" spans="1:7" x14ac:dyDescent="0.35">
      <c r="A4">
        <v>27</v>
      </c>
      <c r="B4">
        <v>3</v>
      </c>
      <c r="C4" t="s">
        <v>253</v>
      </c>
      <c r="D4" t="s">
        <v>252</v>
      </c>
      <c r="E4" t="s">
        <v>270</v>
      </c>
      <c r="F4">
        <v>1</v>
      </c>
      <c r="G4">
        <v>1</v>
      </c>
    </row>
    <row r="5" spans="1:7" x14ac:dyDescent="0.35">
      <c r="A5">
        <v>27</v>
      </c>
      <c r="B5">
        <v>4</v>
      </c>
      <c r="C5" t="s">
        <v>255</v>
      </c>
      <c r="D5" t="s">
        <v>254</v>
      </c>
      <c r="E5" t="s">
        <v>270</v>
      </c>
      <c r="F5">
        <v>1</v>
      </c>
      <c r="G5">
        <v>8</v>
      </c>
    </row>
    <row r="6" spans="1:7" x14ac:dyDescent="0.35">
      <c r="A6">
        <v>27</v>
      </c>
      <c r="B6">
        <v>5</v>
      </c>
      <c r="C6" t="s">
        <v>255</v>
      </c>
      <c r="D6" t="s">
        <v>256</v>
      </c>
      <c r="E6" t="s">
        <v>257</v>
      </c>
      <c r="F6">
        <v>5</v>
      </c>
      <c r="G6">
        <v>1</v>
      </c>
    </row>
    <row r="7" spans="1:7" x14ac:dyDescent="0.35">
      <c r="A7">
        <v>27</v>
      </c>
      <c r="B7">
        <v>6</v>
      </c>
      <c r="C7" t="s">
        <v>261</v>
      </c>
      <c r="D7" t="s">
        <v>260</v>
      </c>
      <c r="E7" t="s">
        <v>270</v>
      </c>
      <c r="F7">
        <v>2</v>
      </c>
      <c r="G7">
        <v>7</v>
      </c>
    </row>
    <row r="8" spans="1:7" x14ac:dyDescent="0.35">
      <c r="A8">
        <v>27</v>
      </c>
      <c r="B8">
        <v>7</v>
      </c>
      <c r="C8" t="s">
        <v>263</v>
      </c>
      <c r="D8" t="s">
        <v>262</v>
      </c>
      <c r="E8" t="s">
        <v>257</v>
      </c>
      <c r="F8">
        <v>2</v>
      </c>
      <c r="G8">
        <v>1</v>
      </c>
    </row>
    <row r="9" spans="1:7" x14ac:dyDescent="0.35">
      <c r="A9">
        <v>27</v>
      </c>
      <c r="B9">
        <v>8</v>
      </c>
      <c r="C9" t="s">
        <v>265</v>
      </c>
      <c r="D9" t="s">
        <v>264</v>
      </c>
      <c r="E9" t="s">
        <v>257</v>
      </c>
      <c r="F9">
        <v>2</v>
      </c>
      <c r="G9">
        <v>1</v>
      </c>
    </row>
    <row r="10" spans="1:7" x14ac:dyDescent="0.35">
      <c r="A10">
        <v>27</v>
      </c>
      <c r="B10">
        <v>9</v>
      </c>
      <c r="C10" t="s">
        <v>267</v>
      </c>
      <c r="D10" t="s">
        <v>266</v>
      </c>
      <c r="E10" t="s">
        <v>257</v>
      </c>
      <c r="F10">
        <v>2</v>
      </c>
      <c r="G10">
        <v>1</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13FF5-29F4-4227-B920-829FBB25EE6D}">
  <sheetPr>
    <tabColor rgb="FFFFC000"/>
  </sheetPr>
  <dimension ref="A1:G38"/>
  <sheetViews>
    <sheetView workbookViewId="0">
      <selection sqref="A1:B1"/>
    </sheetView>
  </sheetViews>
  <sheetFormatPr defaultRowHeight="14.5" x14ac:dyDescent="0.35"/>
  <cols>
    <col min="1" max="1" width="5.26953125" style="12" customWidth="1"/>
    <col min="2" max="2" width="4.81640625" style="12" customWidth="1"/>
    <col min="3" max="3" width="57.7265625" style="12" customWidth="1"/>
    <col min="4" max="4" width="21.1796875" style="12" customWidth="1"/>
    <col min="5" max="16384" width="8.7265625" style="12"/>
  </cols>
  <sheetData>
    <row r="1" spans="1:7" x14ac:dyDescent="0.35">
      <c r="A1" s="13" t="s">
        <v>1111</v>
      </c>
      <c r="B1" s="13" t="s">
        <v>1434</v>
      </c>
      <c r="C1" s="12" t="s">
        <v>7</v>
      </c>
      <c r="D1" s="14" t="s">
        <v>222</v>
      </c>
      <c r="E1" s="14" t="s">
        <v>223</v>
      </c>
      <c r="F1" s="14" t="s">
        <v>224</v>
      </c>
      <c r="G1" s="14" t="s">
        <v>225</v>
      </c>
    </row>
    <row r="2" spans="1:7" x14ac:dyDescent="0.35">
      <c r="A2" s="12">
        <v>28</v>
      </c>
      <c r="B2" s="12">
        <v>1</v>
      </c>
      <c r="C2" s="12" t="s">
        <v>1257</v>
      </c>
      <c r="D2" s="12" t="s">
        <v>1006</v>
      </c>
      <c r="E2" s="12" t="s">
        <v>190</v>
      </c>
      <c r="F2" s="12">
        <v>3</v>
      </c>
      <c r="G2" s="12">
        <v>1</v>
      </c>
    </row>
    <row r="3" spans="1:7" x14ac:dyDescent="0.35">
      <c r="A3" s="12">
        <v>28</v>
      </c>
      <c r="B3" s="12">
        <f>B2+1</f>
        <v>2</v>
      </c>
      <c r="C3" s="12" t="s">
        <v>1258</v>
      </c>
      <c r="D3" s="12" t="s">
        <v>1029</v>
      </c>
      <c r="E3" s="12" t="s">
        <v>273</v>
      </c>
      <c r="F3" s="12">
        <v>0</v>
      </c>
      <c r="G3" s="12">
        <v>1</v>
      </c>
    </row>
    <row r="4" spans="1:7" x14ac:dyDescent="0.35">
      <c r="A4" s="12">
        <v>28</v>
      </c>
      <c r="B4" s="12">
        <f t="shared" ref="B4:B38" si="0">B3+1</f>
        <v>3</v>
      </c>
      <c r="C4" s="12" t="s">
        <v>1007</v>
      </c>
      <c r="D4" s="12" t="s">
        <v>1007</v>
      </c>
      <c r="E4" s="12" t="s">
        <v>257</v>
      </c>
      <c r="F4" s="12">
        <v>5</v>
      </c>
      <c r="G4" s="12">
        <v>2</v>
      </c>
    </row>
    <row r="5" spans="1:7" x14ac:dyDescent="0.35">
      <c r="A5" s="12">
        <v>28</v>
      </c>
      <c r="B5" s="12">
        <f t="shared" si="0"/>
        <v>4</v>
      </c>
      <c r="C5" s="12" t="s">
        <v>1008</v>
      </c>
      <c r="D5" s="12" t="s">
        <v>1008</v>
      </c>
      <c r="E5" s="12" t="s">
        <v>273</v>
      </c>
      <c r="F5" s="12">
        <v>0</v>
      </c>
      <c r="G5" s="12">
        <v>1</v>
      </c>
    </row>
    <row r="6" spans="1:7" x14ac:dyDescent="0.35">
      <c r="A6" s="12">
        <v>28</v>
      </c>
      <c r="B6" s="12">
        <f t="shared" si="0"/>
        <v>5</v>
      </c>
      <c r="C6" s="12" t="s">
        <v>1259</v>
      </c>
      <c r="D6" s="12" t="s">
        <v>1253</v>
      </c>
      <c r="E6" s="12" t="s">
        <v>270</v>
      </c>
      <c r="F6" s="12">
        <v>3</v>
      </c>
      <c r="G6" s="12">
        <v>3</v>
      </c>
    </row>
    <row r="7" spans="1:7" x14ac:dyDescent="0.35">
      <c r="A7" s="12">
        <v>28</v>
      </c>
      <c r="B7" s="12">
        <f t="shared" si="0"/>
        <v>6</v>
      </c>
      <c r="C7" s="12" t="s">
        <v>1260</v>
      </c>
      <c r="D7" s="12" t="s">
        <v>1009</v>
      </c>
      <c r="E7" s="12" t="s">
        <v>190</v>
      </c>
      <c r="F7" s="12">
        <v>3</v>
      </c>
      <c r="G7" s="12">
        <v>3</v>
      </c>
    </row>
    <row r="8" spans="1:7" x14ac:dyDescent="0.35">
      <c r="A8" s="12">
        <v>28</v>
      </c>
      <c r="B8" s="12">
        <f t="shared" si="0"/>
        <v>7</v>
      </c>
      <c r="C8" s="12" t="s">
        <v>1262</v>
      </c>
      <c r="D8" s="12" t="s">
        <v>1010</v>
      </c>
      <c r="E8" s="12" t="s">
        <v>190</v>
      </c>
      <c r="F8" s="12">
        <v>3</v>
      </c>
      <c r="G8" s="12">
        <v>1</v>
      </c>
    </row>
    <row r="9" spans="1:7" x14ac:dyDescent="0.35">
      <c r="A9" s="12">
        <v>28</v>
      </c>
      <c r="B9" s="12">
        <f t="shared" si="0"/>
        <v>8</v>
      </c>
      <c r="C9" s="12" t="s">
        <v>1261</v>
      </c>
      <c r="D9" s="12" t="s">
        <v>1011</v>
      </c>
      <c r="E9" s="12" t="s">
        <v>190</v>
      </c>
      <c r="F9" s="12">
        <v>3</v>
      </c>
      <c r="G9" s="12">
        <v>1</v>
      </c>
    </row>
    <row r="10" spans="1:7" x14ac:dyDescent="0.35">
      <c r="A10" s="12">
        <v>28</v>
      </c>
      <c r="B10" s="12">
        <f t="shared" si="0"/>
        <v>9</v>
      </c>
      <c r="C10" s="12" t="s">
        <v>1012</v>
      </c>
      <c r="D10" s="12" t="s">
        <v>1012</v>
      </c>
      <c r="E10" s="12" t="s">
        <v>190</v>
      </c>
      <c r="F10" s="12">
        <v>1</v>
      </c>
      <c r="G10" s="12">
        <v>1</v>
      </c>
    </row>
    <row r="11" spans="1:7" ht="14.25" customHeight="1" x14ac:dyDescent="0.35">
      <c r="A11" s="12">
        <v>28</v>
      </c>
      <c r="B11" s="12">
        <f t="shared" si="0"/>
        <v>10</v>
      </c>
      <c r="C11" s="12" t="s">
        <v>1254</v>
      </c>
      <c r="D11" s="12" t="s">
        <v>1013</v>
      </c>
      <c r="E11" s="12" t="s">
        <v>190</v>
      </c>
      <c r="F11" s="12">
        <v>3</v>
      </c>
      <c r="G11" s="12">
        <v>1</v>
      </c>
    </row>
    <row r="12" spans="1:7" ht="14.25" customHeight="1" x14ac:dyDescent="0.35">
      <c r="A12" s="12">
        <v>28</v>
      </c>
      <c r="B12" s="12">
        <f t="shared" si="0"/>
        <v>11</v>
      </c>
      <c r="C12" s="12" t="s">
        <v>1255</v>
      </c>
      <c r="D12" s="12" t="s">
        <v>1014</v>
      </c>
      <c r="E12" s="12" t="s">
        <v>257</v>
      </c>
      <c r="F12" s="12">
        <v>5</v>
      </c>
      <c r="G12" s="12">
        <v>2</v>
      </c>
    </row>
    <row r="13" spans="1:7" ht="14.25" customHeight="1" x14ac:dyDescent="0.35">
      <c r="A13" s="12">
        <v>28</v>
      </c>
      <c r="B13" s="12">
        <f t="shared" si="0"/>
        <v>12</v>
      </c>
      <c r="C13" s="12" t="s">
        <v>1256</v>
      </c>
      <c r="D13" s="12" t="s">
        <v>1015</v>
      </c>
      <c r="E13" s="12" t="s">
        <v>273</v>
      </c>
      <c r="F13" s="12">
        <v>0</v>
      </c>
      <c r="G13" s="12">
        <v>4</v>
      </c>
    </row>
    <row r="14" spans="1:7" ht="14.25" customHeight="1" x14ac:dyDescent="0.35">
      <c r="A14" s="12">
        <v>28</v>
      </c>
      <c r="B14" s="12">
        <f t="shared" si="0"/>
        <v>13</v>
      </c>
      <c r="C14" s="12" t="s">
        <v>1256</v>
      </c>
      <c r="D14" s="12" t="s">
        <v>1030</v>
      </c>
      <c r="E14" s="12" t="s">
        <v>190</v>
      </c>
      <c r="F14" s="12">
        <v>1</v>
      </c>
      <c r="G14" s="12">
        <v>1</v>
      </c>
    </row>
    <row r="15" spans="1:7" x14ac:dyDescent="0.35">
      <c r="A15" s="12">
        <v>28</v>
      </c>
      <c r="B15" s="12">
        <f t="shared" si="0"/>
        <v>14</v>
      </c>
      <c r="C15" s="12" t="s">
        <v>108</v>
      </c>
      <c r="D15" s="12" t="s">
        <v>1016</v>
      </c>
      <c r="E15" s="12" t="s">
        <v>190</v>
      </c>
      <c r="F15" s="12">
        <v>2</v>
      </c>
      <c r="G15" s="12">
        <v>1</v>
      </c>
    </row>
    <row r="16" spans="1:7" x14ac:dyDescent="0.35">
      <c r="A16" s="12">
        <v>28</v>
      </c>
      <c r="B16" s="12">
        <f t="shared" si="0"/>
        <v>15</v>
      </c>
      <c r="C16" s="12" t="s">
        <v>108</v>
      </c>
      <c r="D16" s="12" t="s">
        <v>1017</v>
      </c>
      <c r="E16" s="12" t="s">
        <v>190</v>
      </c>
      <c r="F16" s="12">
        <v>2</v>
      </c>
      <c r="G16" s="12">
        <v>1</v>
      </c>
    </row>
    <row r="17" spans="1:7" x14ac:dyDescent="0.35">
      <c r="A17" s="12">
        <v>28</v>
      </c>
      <c r="B17" s="12">
        <f t="shared" si="0"/>
        <v>16</v>
      </c>
      <c r="C17" s="12" t="s">
        <v>108</v>
      </c>
      <c r="D17" s="12" t="s">
        <v>1018</v>
      </c>
      <c r="E17" s="12" t="s">
        <v>190</v>
      </c>
      <c r="F17" s="12">
        <v>2</v>
      </c>
      <c r="G17" s="12">
        <v>1</v>
      </c>
    </row>
    <row r="18" spans="1:7" x14ac:dyDescent="0.35">
      <c r="A18" s="12">
        <v>28</v>
      </c>
      <c r="B18" s="12">
        <f t="shared" si="0"/>
        <v>17</v>
      </c>
      <c r="C18" s="12" t="s">
        <v>109</v>
      </c>
      <c r="D18" s="12" t="s">
        <v>1031</v>
      </c>
      <c r="E18" s="12" t="s">
        <v>202</v>
      </c>
      <c r="F18" s="12">
        <v>0</v>
      </c>
      <c r="G18" s="12">
        <v>1</v>
      </c>
    </row>
    <row r="19" spans="1:7" x14ac:dyDescent="0.35">
      <c r="A19" s="12">
        <v>28</v>
      </c>
      <c r="B19" s="12">
        <f t="shared" si="0"/>
        <v>18</v>
      </c>
      <c r="C19" s="12" t="s">
        <v>109</v>
      </c>
      <c r="D19" s="12" t="s">
        <v>1019</v>
      </c>
      <c r="E19" s="12" t="s">
        <v>190</v>
      </c>
      <c r="F19" s="12">
        <v>2</v>
      </c>
      <c r="G19" s="12">
        <v>3</v>
      </c>
    </row>
    <row r="20" spans="1:7" x14ac:dyDescent="0.35">
      <c r="A20" s="12">
        <v>28</v>
      </c>
      <c r="B20" s="12">
        <f t="shared" si="0"/>
        <v>19</v>
      </c>
      <c r="C20" s="12" t="s">
        <v>109</v>
      </c>
      <c r="D20" s="12" t="s">
        <v>1020</v>
      </c>
      <c r="E20" s="12" t="s">
        <v>257</v>
      </c>
      <c r="F20" s="12">
        <v>1</v>
      </c>
      <c r="G20" s="12">
        <v>1</v>
      </c>
    </row>
    <row r="21" spans="1:7" x14ac:dyDescent="0.35">
      <c r="A21" s="12">
        <v>28</v>
      </c>
      <c r="B21" s="12">
        <f t="shared" si="0"/>
        <v>20</v>
      </c>
      <c r="C21" s="12" t="s">
        <v>1264</v>
      </c>
      <c r="D21" s="12" t="s">
        <v>1263</v>
      </c>
      <c r="E21" s="12" t="s">
        <v>190</v>
      </c>
      <c r="F21" s="12">
        <v>3</v>
      </c>
      <c r="G21" s="12">
        <v>1</v>
      </c>
    </row>
    <row r="22" spans="1:7" x14ac:dyDescent="0.35">
      <c r="A22" s="12">
        <v>28</v>
      </c>
      <c r="B22" s="12">
        <f t="shared" si="0"/>
        <v>21</v>
      </c>
      <c r="C22" s="12" t="s">
        <v>1265</v>
      </c>
      <c r="D22" s="12" t="s">
        <v>1266</v>
      </c>
      <c r="E22" s="12" t="s">
        <v>273</v>
      </c>
      <c r="F22" s="12">
        <v>0</v>
      </c>
      <c r="G22" s="12">
        <v>4</v>
      </c>
    </row>
    <row r="23" spans="1:7" x14ac:dyDescent="0.35">
      <c r="A23" s="12">
        <v>28</v>
      </c>
      <c r="B23" s="12">
        <f t="shared" si="0"/>
        <v>22</v>
      </c>
      <c r="C23" s="12" t="s">
        <v>1265</v>
      </c>
      <c r="D23" s="12" t="s">
        <v>1267</v>
      </c>
      <c r="E23" s="12" t="s">
        <v>257</v>
      </c>
      <c r="F23" s="12">
        <v>1</v>
      </c>
      <c r="G23" s="12">
        <v>2</v>
      </c>
    </row>
    <row r="24" spans="1:7" x14ac:dyDescent="0.35">
      <c r="A24" s="12">
        <v>28</v>
      </c>
      <c r="B24" s="12">
        <f t="shared" si="0"/>
        <v>23</v>
      </c>
      <c r="C24" s="12" t="s">
        <v>1268</v>
      </c>
      <c r="D24" s="12" t="s">
        <v>1269</v>
      </c>
      <c r="E24" s="12" t="s">
        <v>257</v>
      </c>
      <c r="F24" s="12">
        <v>2</v>
      </c>
      <c r="G24" s="12">
        <v>2</v>
      </c>
    </row>
    <row r="25" spans="1:7" x14ac:dyDescent="0.35">
      <c r="A25" s="12">
        <v>28</v>
      </c>
      <c r="B25" s="12">
        <f t="shared" si="0"/>
        <v>24</v>
      </c>
      <c r="C25" s="12" t="s">
        <v>1268</v>
      </c>
      <c r="D25" s="12" t="s">
        <v>1021</v>
      </c>
      <c r="E25" s="12" t="s">
        <v>273</v>
      </c>
      <c r="F25" s="12">
        <v>0</v>
      </c>
      <c r="G25" s="12">
        <v>1</v>
      </c>
    </row>
    <row r="26" spans="1:7" x14ac:dyDescent="0.35">
      <c r="A26" s="12">
        <v>28</v>
      </c>
      <c r="B26" s="12">
        <f t="shared" si="0"/>
        <v>25</v>
      </c>
      <c r="C26" s="12" t="s">
        <v>1272</v>
      </c>
      <c r="D26" s="12" t="s">
        <v>1270</v>
      </c>
      <c r="E26" s="12" t="s">
        <v>270</v>
      </c>
      <c r="F26" s="12">
        <v>1</v>
      </c>
      <c r="G26" s="12">
        <v>8</v>
      </c>
    </row>
    <row r="27" spans="1:7" x14ac:dyDescent="0.35">
      <c r="A27" s="12">
        <v>28</v>
      </c>
      <c r="B27" s="12">
        <f t="shared" si="0"/>
        <v>26</v>
      </c>
      <c r="C27" s="12" t="s">
        <v>1272</v>
      </c>
      <c r="D27" s="12" t="s">
        <v>1271</v>
      </c>
      <c r="E27" s="12" t="s">
        <v>270</v>
      </c>
      <c r="F27" s="12">
        <v>2</v>
      </c>
      <c r="G27" s="12">
        <v>1</v>
      </c>
    </row>
    <row r="28" spans="1:7" x14ac:dyDescent="0.35">
      <c r="A28" s="12">
        <v>28</v>
      </c>
      <c r="B28" s="12">
        <f t="shared" si="0"/>
        <v>27</v>
      </c>
      <c r="C28" s="12" t="s">
        <v>1272</v>
      </c>
      <c r="D28" s="12" t="s">
        <v>1032</v>
      </c>
      <c r="E28" s="12" t="s">
        <v>270</v>
      </c>
      <c r="F28" s="12">
        <v>3</v>
      </c>
      <c r="G28" s="12">
        <v>1</v>
      </c>
    </row>
    <row r="29" spans="1:7" x14ac:dyDescent="0.35">
      <c r="A29" s="12">
        <v>28</v>
      </c>
      <c r="B29" s="12">
        <f t="shared" si="0"/>
        <v>28</v>
      </c>
      <c r="C29" s="12" t="s">
        <v>1274</v>
      </c>
      <c r="D29" s="12" t="s">
        <v>1273</v>
      </c>
      <c r="E29" s="12" t="s">
        <v>270</v>
      </c>
      <c r="F29" s="12">
        <v>3</v>
      </c>
      <c r="G29" s="12">
        <v>3</v>
      </c>
    </row>
    <row r="30" spans="1:7" x14ac:dyDescent="0.35">
      <c r="A30" s="12">
        <v>28</v>
      </c>
      <c r="B30" s="12">
        <f t="shared" si="0"/>
        <v>29</v>
      </c>
      <c r="C30" s="12" t="s">
        <v>1275</v>
      </c>
      <c r="D30" s="12" t="s">
        <v>1022</v>
      </c>
      <c r="E30" s="12" t="s">
        <v>270</v>
      </c>
      <c r="F30" s="12">
        <v>1</v>
      </c>
      <c r="G30" s="12">
        <v>1</v>
      </c>
    </row>
    <row r="31" spans="1:7" x14ac:dyDescent="0.35">
      <c r="A31" s="12">
        <v>28</v>
      </c>
      <c r="B31" s="12">
        <f t="shared" si="0"/>
        <v>30</v>
      </c>
      <c r="C31" s="12" t="s">
        <v>1276</v>
      </c>
      <c r="D31" s="12" t="s">
        <v>1033</v>
      </c>
      <c r="E31" s="12" t="s">
        <v>190</v>
      </c>
      <c r="F31" s="12">
        <v>1</v>
      </c>
      <c r="G31" s="12">
        <v>1</v>
      </c>
    </row>
    <row r="32" spans="1:7" x14ac:dyDescent="0.35">
      <c r="A32" s="12">
        <v>28</v>
      </c>
      <c r="B32" s="12">
        <f t="shared" si="0"/>
        <v>31</v>
      </c>
      <c r="C32" s="12" t="s">
        <v>1277</v>
      </c>
      <c r="D32" s="12" t="s">
        <v>1023</v>
      </c>
      <c r="E32" s="12" t="s">
        <v>190</v>
      </c>
      <c r="F32" s="12">
        <v>3</v>
      </c>
      <c r="G32" s="12">
        <v>1</v>
      </c>
    </row>
    <row r="33" spans="1:7" x14ac:dyDescent="0.35">
      <c r="A33" s="12">
        <v>28</v>
      </c>
      <c r="B33" s="12">
        <f t="shared" si="0"/>
        <v>32</v>
      </c>
      <c r="C33" s="12" t="s">
        <v>1278</v>
      </c>
      <c r="D33" s="12" t="s">
        <v>1024</v>
      </c>
      <c r="E33" s="12" t="s">
        <v>273</v>
      </c>
      <c r="F33" s="12">
        <v>0</v>
      </c>
      <c r="G33" s="12">
        <v>4</v>
      </c>
    </row>
    <row r="34" spans="1:7" x14ac:dyDescent="0.35">
      <c r="A34" s="12">
        <v>28</v>
      </c>
      <c r="B34" s="12">
        <f t="shared" si="0"/>
        <v>33</v>
      </c>
      <c r="C34" s="12" t="s">
        <v>1279</v>
      </c>
      <c r="D34" s="12" t="s">
        <v>1280</v>
      </c>
      <c r="E34" s="12" t="s">
        <v>190</v>
      </c>
      <c r="F34" s="12">
        <v>1</v>
      </c>
      <c r="G34" s="12">
        <v>1</v>
      </c>
    </row>
    <row r="35" spans="1:7" x14ac:dyDescent="0.35">
      <c r="A35" s="12">
        <v>28</v>
      </c>
      <c r="B35" s="12">
        <f t="shared" si="0"/>
        <v>34</v>
      </c>
      <c r="C35" s="12" t="s">
        <v>1281</v>
      </c>
      <c r="D35" s="12" t="s">
        <v>1025</v>
      </c>
      <c r="E35" s="12" t="s">
        <v>190</v>
      </c>
      <c r="F35" s="12">
        <v>1</v>
      </c>
      <c r="G35" s="12">
        <v>1</v>
      </c>
    </row>
    <row r="36" spans="1:7" x14ac:dyDescent="0.35">
      <c r="A36" s="12">
        <v>28</v>
      </c>
      <c r="B36" s="12">
        <f t="shared" si="0"/>
        <v>35</v>
      </c>
      <c r="C36" s="12" t="s">
        <v>1282</v>
      </c>
      <c r="D36" s="12" t="s">
        <v>1026</v>
      </c>
      <c r="E36" s="12" t="s">
        <v>278</v>
      </c>
      <c r="F36" s="12">
        <v>0</v>
      </c>
      <c r="G36" s="12">
        <v>3</v>
      </c>
    </row>
    <row r="37" spans="1:7" x14ac:dyDescent="0.35">
      <c r="A37" s="12">
        <v>28</v>
      </c>
      <c r="B37" s="12">
        <f t="shared" si="0"/>
        <v>36</v>
      </c>
      <c r="C37" s="12" t="s">
        <v>1283</v>
      </c>
      <c r="D37" s="12" t="s">
        <v>1027</v>
      </c>
      <c r="E37" s="12" t="s">
        <v>270</v>
      </c>
      <c r="F37" s="12">
        <v>1</v>
      </c>
      <c r="G37" s="12">
        <v>7</v>
      </c>
    </row>
    <row r="38" spans="1:7" x14ac:dyDescent="0.35">
      <c r="A38" s="12">
        <v>28</v>
      </c>
      <c r="B38" s="12">
        <f t="shared" si="0"/>
        <v>37</v>
      </c>
      <c r="C38" s="12" t="s">
        <v>1028</v>
      </c>
      <c r="D38" s="12" t="s">
        <v>1284</v>
      </c>
      <c r="E38" s="12" t="s">
        <v>278</v>
      </c>
      <c r="F38" s="12">
        <v>0</v>
      </c>
      <c r="G38" s="12">
        <v>3</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01477-A771-49D9-B5E7-AF403CFF6F5B}">
  <sheetPr>
    <tabColor rgb="FFFFC000"/>
  </sheetPr>
  <dimension ref="A1:G6"/>
  <sheetViews>
    <sheetView workbookViewId="0">
      <selection sqref="A1:B1"/>
    </sheetView>
  </sheetViews>
  <sheetFormatPr defaultRowHeight="14.5" x14ac:dyDescent="0.35"/>
  <cols>
    <col min="1" max="1" width="5.81640625" customWidth="1"/>
    <col min="2" max="2" width="6" customWidth="1"/>
    <col min="3" max="3" width="28.453125" customWidth="1"/>
    <col min="4" max="4" width="27.1796875" customWidth="1"/>
    <col min="6" max="6" width="12" customWidth="1"/>
    <col min="7" max="7" width="11.26953125" customWidth="1"/>
  </cols>
  <sheetData>
    <row r="1" spans="1:7" x14ac:dyDescent="0.35">
      <c r="A1" s="13" t="s">
        <v>1111</v>
      </c>
      <c r="B1" s="13" t="s">
        <v>1434</v>
      </c>
      <c r="C1" s="2" t="s">
        <v>7</v>
      </c>
      <c r="D1" s="2" t="s">
        <v>222</v>
      </c>
      <c r="E1" s="2" t="s">
        <v>223</v>
      </c>
      <c r="F1" s="2" t="s">
        <v>224</v>
      </c>
      <c r="G1" s="2" t="s">
        <v>225</v>
      </c>
    </row>
    <row r="2" spans="1:7" x14ac:dyDescent="0.35">
      <c r="A2">
        <v>29</v>
      </c>
      <c r="B2">
        <v>1</v>
      </c>
      <c r="C2" t="s">
        <v>235</v>
      </c>
      <c r="D2" t="s">
        <v>234</v>
      </c>
      <c r="E2" t="s">
        <v>190</v>
      </c>
      <c r="F2">
        <v>1</v>
      </c>
      <c r="G2">
        <v>2</v>
      </c>
    </row>
    <row r="3" spans="1:7" x14ac:dyDescent="0.35">
      <c r="A3">
        <v>29</v>
      </c>
      <c r="B3">
        <v>2</v>
      </c>
      <c r="C3" t="s">
        <v>239</v>
      </c>
      <c r="D3" t="s">
        <v>238</v>
      </c>
      <c r="E3" t="s">
        <v>190</v>
      </c>
      <c r="F3">
        <v>2</v>
      </c>
      <c r="G3">
        <v>2</v>
      </c>
    </row>
    <row r="4" spans="1:7" x14ac:dyDescent="0.35">
      <c r="A4">
        <v>29</v>
      </c>
      <c r="B4">
        <v>3</v>
      </c>
      <c r="C4" t="s">
        <v>242</v>
      </c>
      <c r="D4" t="s">
        <v>241</v>
      </c>
      <c r="E4" t="s">
        <v>190</v>
      </c>
      <c r="F4">
        <v>2</v>
      </c>
      <c r="G4">
        <v>3</v>
      </c>
    </row>
    <row r="5" spans="1:7" x14ac:dyDescent="0.35">
      <c r="A5">
        <v>29</v>
      </c>
      <c r="B5">
        <v>4</v>
      </c>
      <c r="C5" t="s">
        <v>244</v>
      </c>
      <c r="D5" t="s">
        <v>243</v>
      </c>
      <c r="E5" t="s">
        <v>257</v>
      </c>
      <c r="F5">
        <v>1</v>
      </c>
      <c r="G5">
        <v>2</v>
      </c>
    </row>
    <row r="6" spans="1:7" x14ac:dyDescent="0.35">
      <c r="A6">
        <v>29</v>
      </c>
      <c r="B6">
        <v>5</v>
      </c>
      <c r="C6" t="s">
        <v>246</v>
      </c>
      <c r="D6" t="s">
        <v>245</v>
      </c>
      <c r="E6" t="s">
        <v>257</v>
      </c>
      <c r="F6">
        <v>4</v>
      </c>
      <c r="G6">
        <v>3</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E5D20-5B75-4BBE-AC5F-9AAFF345CF7E}">
  <sheetPr>
    <tabColor rgb="FFFFC000"/>
  </sheetPr>
  <dimension ref="A1:G42"/>
  <sheetViews>
    <sheetView workbookViewId="0">
      <selection sqref="A1:B1"/>
    </sheetView>
  </sheetViews>
  <sheetFormatPr defaultRowHeight="14.5" x14ac:dyDescent="0.35"/>
  <cols>
    <col min="1" max="1" width="3.6328125" style="12" customWidth="1"/>
    <col min="2" max="2" width="5.1796875" style="12" customWidth="1"/>
    <col min="3" max="3" width="58" style="12" customWidth="1"/>
    <col min="4" max="16384" width="8.7265625" style="12"/>
  </cols>
  <sheetData>
    <row r="1" spans="1:7" x14ac:dyDescent="0.35">
      <c r="A1" s="13" t="s">
        <v>1111</v>
      </c>
      <c r="B1" s="13" t="s">
        <v>1434</v>
      </c>
      <c r="C1" s="12" t="s">
        <v>7</v>
      </c>
      <c r="D1" s="12" t="s">
        <v>222</v>
      </c>
      <c r="E1" s="12" t="s">
        <v>223</v>
      </c>
      <c r="F1" s="12" t="s">
        <v>224</v>
      </c>
      <c r="G1" s="12" t="s">
        <v>225</v>
      </c>
    </row>
    <row r="2" spans="1:7" x14ac:dyDescent="0.35">
      <c r="A2" s="12">
        <v>30</v>
      </c>
      <c r="B2" s="12">
        <v>1</v>
      </c>
      <c r="C2" s="12" t="s">
        <v>737</v>
      </c>
      <c r="D2" s="12" t="s">
        <v>736</v>
      </c>
      <c r="E2" s="12" t="s">
        <v>273</v>
      </c>
      <c r="F2" s="12">
        <v>0</v>
      </c>
      <c r="G2" s="12">
        <v>2</v>
      </c>
    </row>
    <row r="3" spans="1:7" x14ac:dyDescent="0.35">
      <c r="A3" s="12">
        <v>30</v>
      </c>
      <c r="B3" s="12">
        <f>B2+1</f>
        <v>2</v>
      </c>
      <c r="C3" s="12" t="s">
        <v>739</v>
      </c>
      <c r="D3" s="12" t="s">
        <v>738</v>
      </c>
      <c r="E3" s="12" t="s">
        <v>273</v>
      </c>
      <c r="F3" s="12">
        <v>0</v>
      </c>
      <c r="G3" s="12">
        <v>2</v>
      </c>
    </row>
    <row r="4" spans="1:7" x14ac:dyDescent="0.35">
      <c r="A4" s="12">
        <v>30</v>
      </c>
      <c r="B4" s="12">
        <f t="shared" ref="B4:B42" si="0">B3+1</f>
        <v>3</v>
      </c>
      <c r="C4" s="12" t="s">
        <v>741</v>
      </c>
      <c r="D4" s="12" t="s">
        <v>740</v>
      </c>
      <c r="E4" s="12" t="s">
        <v>273</v>
      </c>
      <c r="F4" s="12">
        <v>0</v>
      </c>
      <c r="G4" s="12">
        <v>2</v>
      </c>
    </row>
    <row r="5" spans="1:7" x14ac:dyDescent="0.35">
      <c r="A5" s="12">
        <v>30</v>
      </c>
      <c r="B5" s="12">
        <f t="shared" si="0"/>
        <v>4</v>
      </c>
      <c r="C5" s="12" t="s">
        <v>1288</v>
      </c>
      <c r="D5" s="12" t="s">
        <v>1285</v>
      </c>
      <c r="E5" s="12" t="s">
        <v>257</v>
      </c>
      <c r="F5" s="12">
        <v>3</v>
      </c>
      <c r="G5" s="12">
        <v>1</v>
      </c>
    </row>
    <row r="6" spans="1:7" x14ac:dyDescent="0.35">
      <c r="A6" s="12">
        <v>30</v>
      </c>
      <c r="B6" s="12">
        <f t="shared" si="0"/>
        <v>5</v>
      </c>
      <c r="C6" s="12" t="s">
        <v>1289</v>
      </c>
      <c r="D6" s="12" t="s">
        <v>1286</v>
      </c>
      <c r="E6" s="12" t="s">
        <v>270</v>
      </c>
      <c r="F6" s="12">
        <v>1</v>
      </c>
      <c r="G6" s="12">
        <v>1</v>
      </c>
    </row>
    <row r="7" spans="1:7" x14ac:dyDescent="0.35">
      <c r="A7" s="12">
        <v>30</v>
      </c>
      <c r="B7" s="12">
        <f t="shared" si="0"/>
        <v>6</v>
      </c>
      <c r="C7" s="12" t="s">
        <v>1289</v>
      </c>
      <c r="D7" s="12" t="s">
        <v>1287</v>
      </c>
      <c r="E7" s="12" t="s">
        <v>273</v>
      </c>
      <c r="F7" s="12">
        <v>0</v>
      </c>
      <c r="G7" s="12">
        <v>1</v>
      </c>
    </row>
    <row r="8" spans="1:7" x14ac:dyDescent="0.35">
      <c r="A8" s="12">
        <v>30</v>
      </c>
      <c r="B8" s="12">
        <f t="shared" si="0"/>
        <v>7</v>
      </c>
      <c r="C8" s="12" t="s">
        <v>1289</v>
      </c>
      <c r="D8" s="12" t="s">
        <v>1290</v>
      </c>
      <c r="E8" s="12" t="s">
        <v>270</v>
      </c>
      <c r="F8" s="12">
        <v>1</v>
      </c>
      <c r="G8" s="12">
        <v>11</v>
      </c>
    </row>
    <row r="9" spans="1:7" x14ac:dyDescent="0.35">
      <c r="A9" s="12">
        <v>30</v>
      </c>
      <c r="B9" s="12">
        <f t="shared" si="0"/>
        <v>8</v>
      </c>
      <c r="C9" s="12" t="s">
        <v>1289</v>
      </c>
      <c r="D9" s="12" t="s">
        <v>1292</v>
      </c>
      <c r="E9" s="12" t="s">
        <v>270</v>
      </c>
      <c r="F9" s="12">
        <v>3</v>
      </c>
      <c r="G9" s="12">
        <v>3</v>
      </c>
    </row>
    <row r="10" spans="1:7" x14ac:dyDescent="0.35">
      <c r="A10" s="12">
        <v>30</v>
      </c>
      <c r="B10" s="12">
        <f t="shared" si="0"/>
        <v>9</v>
      </c>
      <c r="C10" s="12" t="s">
        <v>1289</v>
      </c>
      <c r="D10" s="12" t="s">
        <v>1291</v>
      </c>
      <c r="E10" s="12" t="s">
        <v>257</v>
      </c>
      <c r="F10" s="12">
        <v>5</v>
      </c>
      <c r="G10" s="12">
        <v>3</v>
      </c>
    </row>
    <row r="11" spans="1:7" x14ac:dyDescent="0.35">
      <c r="A11" s="12">
        <v>30</v>
      </c>
      <c r="B11" s="12">
        <f t="shared" si="0"/>
        <v>10</v>
      </c>
      <c r="C11" s="12" t="s">
        <v>1289</v>
      </c>
      <c r="D11" s="12" t="s">
        <v>1293</v>
      </c>
      <c r="E11" s="12" t="s">
        <v>257</v>
      </c>
      <c r="F11" s="12">
        <v>3</v>
      </c>
      <c r="G11" s="12">
        <v>1</v>
      </c>
    </row>
    <row r="12" spans="1:7" x14ac:dyDescent="0.35">
      <c r="A12" s="12">
        <v>30</v>
      </c>
      <c r="B12" s="12">
        <f t="shared" si="0"/>
        <v>11</v>
      </c>
      <c r="C12" s="12" t="s">
        <v>1289</v>
      </c>
      <c r="D12" s="12" t="s">
        <v>1294</v>
      </c>
      <c r="E12" s="12" t="s">
        <v>270</v>
      </c>
      <c r="F12" s="12">
        <v>1</v>
      </c>
      <c r="G12" s="12">
        <v>2</v>
      </c>
    </row>
    <row r="13" spans="1:7" x14ac:dyDescent="0.35">
      <c r="A13" s="12">
        <v>30</v>
      </c>
      <c r="B13" s="12">
        <f t="shared" si="0"/>
        <v>12</v>
      </c>
      <c r="C13" s="12" t="s">
        <v>1289</v>
      </c>
      <c r="D13" s="12" t="s">
        <v>768</v>
      </c>
      <c r="E13" s="12" t="s">
        <v>270</v>
      </c>
      <c r="F13" s="12">
        <v>1</v>
      </c>
      <c r="G13" s="12">
        <v>11</v>
      </c>
    </row>
    <row r="14" spans="1:7" x14ac:dyDescent="0.35">
      <c r="A14" s="12">
        <v>30</v>
      </c>
      <c r="B14" s="12">
        <f t="shared" si="0"/>
        <v>13</v>
      </c>
      <c r="C14" s="12" t="s">
        <v>742</v>
      </c>
      <c r="D14" s="12" t="s">
        <v>742</v>
      </c>
      <c r="E14" s="12" t="s">
        <v>202</v>
      </c>
      <c r="F14" s="12">
        <v>0</v>
      </c>
      <c r="G14" s="12">
        <v>4</v>
      </c>
    </row>
    <row r="15" spans="1:7" x14ac:dyDescent="0.35">
      <c r="A15" s="12">
        <v>30</v>
      </c>
      <c r="B15" s="12">
        <f t="shared" si="0"/>
        <v>14</v>
      </c>
      <c r="C15" s="12" t="s">
        <v>1295</v>
      </c>
      <c r="D15" s="12" t="s">
        <v>743</v>
      </c>
      <c r="E15" s="12" t="s">
        <v>270</v>
      </c>
      <c r="F15" s="12">
        <v>1</v>
      </c>
      <c r="G15" s="12">
        <v>1</v>
      </c>
    </row>
    <row r="16" spans="1:7" x14ac:dyDescent="0.35">
      <c r="A16" s="12">
        <v>30</v>
      </c>
      <c r="B16" s="12">
        <f t="shared" si="0"/>
        <v>15</v>
      </c>
      <c r="C16" s="12" t="s">
        <v>744</v>
      </c>
      <c r="D16" s="12" t="s">
        <v>744</v>
      </c>
      <c r="E16" s="12" t="s">
        <v>270</v>
      </c>
      <c r="F16" s="12">
        <v>1</v>
      </c>
      <c r="G16" s="12">
        <v>5</v>
      </c>
    </row>
    <row r="17" spans="1:7" x14ac:dyDescent="0.35">
      <c r="A17" s="12">
        <v>30</v>
      </c>
      <c r="B17" s="12">
        <f t="shared" si="0"/>
        <v>16</v>
      </c>
      <c r="C17" s="12" t="s">
        <v>1296</v>
      </c>
      <c r="D17" s="12" t="s">
        <v>745</v>
      </c>
      <c r="E17" s="12" t="s">
        <v>270</v>
      </c>
      <c r="F17" s="12">
        <v>3</v>
      </c>
      <c r="G17" s="12">
        <v>1</v>
      </c>
    </row>
    <row r="18" spans="1:7" x14ac:dyDescent="0.35">
      <c r="A18" s="12">
        <v>30</v>
      </c>
      <c r="B18" s="12">
        <f t="shared" si="0"/>
        <v>17</v>
      </c>
      <c r="C18" s="12" t="s">
        <v>1297</v>
      </c>
      <c r="D18" s="12" t="s">
        <v>1300</v>
      </c>
      <c r="E18" s="12" t="s">
        <v>270</v>
      </c>
      <c r="F18" s="12">
        <v>1</v>
      </c>
      <c r="G18" s="12">
        <v>8</v>
      </c>
    </row>
    <row r="19" spans="1:7" x14ac:dyDescent="0.35">
      <c r="A19" s="12">
        <v>30</v>
      </c>
      <c r="B19" s="12">
        <f t="shared" si="0"/>
        <v>18</v>
      </c>
      <c r="C19" s="12" t="s">
        <v>1297</v>
      </c>
      <c r="D19" s="12" t="s">
        <v>1301</v>
      </c>
      <c r="E19" s="12" t="s">
        <v>257</v>
      </c>
      <c r="F19" s="12">
        <v>3</v>
      </c>
      <c r="G19" s="12">
        <v>1</v>
      </c>
    </row>
    <row r="20" spans="1:7" x14ac:dyDescent="0.35">
      <c r="A20" s="12">
        <v>30</v>
      </c>
      <c r="B20" s="12">
        <f t="shared" si="0"/>
        <v>19</v>
      </c>
      <c r="C20" s="12" t="s">
        <v>1298</v>
      </c>
      <c r="D20" s="12" t="s">
        <v>1302</v>
      </c>
      <c r="E20" s="12" t="s">
        <v>270</v>
      </c>
      <c r="F20" s="12">
        <v>1</v>
      </c>
      <c r="G20" s="12">
        <v>5</v>
      </c>
    </row>
    <row r="21" spans="1:7" x14ac:dyDescent="0.35">
      <c r="A21" s="12">
        <v>30</v>
      </c>
      <c r="B21" s="12">
        <f t="shared" si="0"/>
        <v>20</v>
      </c>
      <c r="C21" s="12" t="s">
        <v>1299</v>
      </c>
      <c r="D21" s="12" t="s">
        <v>1303</v>
      </c>
      <c r="E21" s="12" t="s">
        <v>270</v>
      </c>
      <c r="F21" s="12">
        <v>1</v>
      </c>
      <c r="G21" s="12">
        <v>4</v>
      </c>
    </row>
    <row r="22" spans="1:7" x14ac:dyDescent="0.35">
      <c r="A22" s="12">
        <v>30</v>
      </c>
      <c r="B22" s="12">
        <f t="shared" si="0"/>
        <v>21</v>
      </c>
      <c r="C22" s="12" t="s">
        <v>747</v>
      </c>
      <c r="D22" s="12" t="s">
        <v>746</v>
      </c>
      <c r="E22" s="12" t="s">
        <v>270</v>
      </c>
      <c r="F22" s="12">
        <v>2</v>
      </c>
      <c r="G22" s="12">
        <v>2</v>
      </c>
    </row>
    <row r="23" spans="1:7" x14ac:dyDescent="0.35">
      <c r="A23" s="12">
        <v>30</v>
      </c>
      <c r="B23" s="12">
        <f t="shared" si="0"/>
        <v>22</v>
      </c>
      <c r="C23" s="12" t="s">
        <v>749</v>
      </c>
      <c r="D23" s="12" t="s">
        <v>748</v>
      </c>
      <c r="E23" s="12" t="s">
        <v>202</v>
      </c>
      <c r="F23" s="12">
        <v>0</v>
      </c>
      <c r="G23" s="12">
        <v>3</v>
      </c>
    </row>
    <row r="24" spans="1:7" x14ac:dyDescent="0.35">
      <c r="A24" s="12">
        <v>30</v>
      </c>
      <c r="B24" s="12">
        <f t="shared" si="0"/>
        <v>23</v>
      </c>
      <c r="C24" s="12" t="s">
        <v>749</v>
      </c>
      <c r="D24" s="12" t="s">
        <v>1304</v>
      </c>
      <c r="E24" s="12" t="s">
        <v>270</v>
      </c>
      <c r="F24" s="12">
        <v>3</v>
      </c>
      <c r="G24" s="12">
        <v>3</v>
      </c>
    </row>
    <row r="25" spans="1:7" x14ac:dyDescent="0.35">
      <c r="A25" s="12">
        <v>30</v>
      </c>
      <c r="B25" s="12">
        <f t="shared" si="0"/>
        <v>24</v>
      </c>
      <c r="C25" s="12" t="s">
        <v>750</v>
      </c>
      <c r="D25" s="12" t="s">
        <v>1305</v>
      </c>
      <c r="E25" s="12" t="s">
        <v>270</v>
      </c>
      <c r="F25" s="12">
        <v>2</v>
      </c>
      <c r="G25" s="12">
        <v>3</v>
      </c>
    </row>
    <row r="26" spans="1:7" x14ac:dyDescent="0.35">
      <c r="A26" s="12">
        <v>30</v>
      </c>
      <c r="B26" s="12">
        <f t="shared" si="0"/>
        <v>25</v>
      </c>
      <c r="C26" s="12" t="s">
        <v>1110</v>
      </c>
      <c r="D26" s="12" t="s">
        <v>751</v>
      </c>
      <c r="E26" s="12" t="s">
        <v>270</v>
      </c>
      <c r="F26" s="12">
        <v>3</v>
      </c>
      <c r="G26" s="12">
        <v>3</v>
      </c>
    </row>
    <row r="27" spans="1:7" x14ac:dyDescent="0.35">
      <c r="A27" s="12">
        <v>30</v>
      </c>
      <c r="B27" s="12">
        <f t="shared" si="0"/>
        <v>26</v>
      </c>
      <c r="C27" s="12" t="s">
        <v>753</v>
      </c>
      <c r="D27" s="12" t="s">
        <v>752</v>
      </c>
      <c r="E27" s="12" t="s">
        <v>257</v>
      </c>
      <c r="F27" s="12">
        <v>5</v>
      </c>
      <c r="G27" s="12">
        <v>2</v>
      </c>
    </row>
    <row r="28" spans="1:7" x14ac:dyDescent="0.35">
      <c r="A28" s="12">
        <v>30</v>
      </c>
      <c r="B28" s="12">
        <f t="shared" si="0"/>
        <v>27</v>
      </c>
      <c r="C28" s="12" t="s">
        <v>1306</v>
      </c>
      <c r="D28" s="12" t="s">
        <v>754</v>
      </c>
      <c r="E28" s="12" t="s">
        <v>257</v>
      </c>
      <c r="F28" s="12">
        <v>2</v>
      </c>
      <c r="G28" s="12">
        <v>3</v>
      </c>
    </row>
    <row r="29" spans="1:7" x14ac:dyDescent="0.35">
      <c r="A29" s="12">
        <v>30</v>
      </c>
      <c r="B29" s="12">
        <f t="shared" si="0"/>
        <v>28</v>
      </c>
      <c r="C29" s="12" t="s">
        <v>1307</v>
      </c>
      <c r="D29" s="12" t="s">
        <v>1307</v>
      </c>
      <c r="E29" s="12" t="s">
        <v>202</v>
      </c>
      <c r="F29" s="12">
        <v>0</v>
      </c>
      <c r="G29" s="12">
        <v>1</v>
      </c>
    </row>
    <row r="30" spans="1:7" x14ac:dyDescent="0.35">
      <c r="A30" s="12">
        <v>30</v>
      </c>
      <c r="B30" s="12">
        <f t="shared" si="0"/>
        <v>29</v>
      </c>
      <c r="C30" s="12" t="s">
        <v>1308</v>
      </c>
      <c r="D30" s="12" t="s">
        <v>756</v>
      </c>
      <c r="E30" s="12" t="s">
        <v>257</v>
      </c>
      <c r="F30" s="12">
        <v>1</v>
      </c>
      <c r="G30" s="12">
        <v>1</v>
      </c>
    </row>
    <row r="31" spans="1:7" x14ac:dyDescent="0.35">
      <c r="A31" s="12">
        <v>30</v>
      </c>
      <c r="B31" s="12">
        <f t="shared" si="0"/>
        <v>30</v>
      </c>
      <c r="C31" s="12" t="s">
        <v>1309</v>
      </c>
      <c r="D31" s="12" t="s">
        <v>757</v>
      </c>
      <c r="E31" s="12" t="s">
        <v>273</v>
      </c>
      <c r="F31" s="12">
        <v>0</v>
      </c>
      <c r="G31" s="12">
        <v>5</v>
      </c>
    </row>
    <row r="32" spans="1:7" x14ac:dyDescent="0.35">
      <c r="A32" s="12">
        <v>30</v>
      </c>
      <c r="B32" s="12">
        <f t="shared" si="0"/>
        <v>31</v>
      </c>
      <c r="C32" s="12" t="s">
        <v>1310</v>
      </c>
      <c r="D32" s="12" t="s">
        <v>1310</v>
      </c>
      <c r="E32" s="12" t="s">
        <v>273</v>
      </c>
      <c r="F32" s="12">
        <v>0</v>
      </c>
      <c r="G32" s="12">
        <v>3</v>
      </c>
    </row>
    <row r="33" spans="1:7" x14ac:dyDescent="0.35">
      <c r="A33" s="12">
        <v>30</v>
      </c>
      <c r="B33" s="12">
        <f t="shared" si="0"/>
        <v>32</v>
      </c>
      <c r="C33" s="12" t="s">
        <v>1311</v>
      </c>
      <c r="D33" s="12" t="s">
        <v>1311</v>
      </c>
      <c r="E33" s="12" t="s">
        <v>270</v>
      </c>
      <c r="F33" s="12">
        <v>1</v>
      </c>
      <c r="G33" s="12">
        <v>1</v>
      </c>
    </row>
    <row r="34" spans="1:7" x14ac:dyDescent="0.35">
      <c r="A34" s="12">
        <v>30</v>
      </c>
      <c r="B34" s="12">
        <f t="shared" si="0"/>
        <v>33</v>
      </c>
      <c r="C34" s="12" t="s">
        <v>1312</v>
      </c>
      <c r="D34" s="12" t="s">
        <v>1312</v>
      </c>
      <c r="E34" s="12" t="s">
        <v>190</v>
      </c>
      <c r="F34" s="12">
        <v>3</v>
      </c>
      <c r="G34" s="12">
        <v>2</v>
      </c>
    </row>
    <row r="35" spans="1:7" x14ac:dyDescent="0.35">
      <c r="A35" s="12">
        <v>30</v>
      </c>
      <c r="B35" s="12">
        <f t="shared" si="0"/>
        <v>34</v>
      </c>
      <c r="C35" s="12" t="s">
        <v>1313</v>
      </c>
      <c r="D35" s="12" t="s">
        <v>1313</v>
      </c>
      <c r="E35" s="12" t="s">
        <v>257</v>
      </c>
      <c r="F35" s="12">
        <v>2</v>
      </c>
      <c r="G35" s="12">
        <v>1</v>
      </c>
    </row>
    <row r="36" spans="1:7" x14ac:dyDescent="0.35">
      <c r="A36" s="12">
        <v>30</v>
      </c>
      <c r="B36" s="12">
        <f t="shared" si="0"/>
        <v>35</v>
      </c>
      <c r="C36" s="12" t="s">
        <v>755</v>
      </c>
      <c r="D36" s="12" t="s">
        <v>755</v>
      </c>
      <c r="E36" s="12" t="s">
        <v>270</v>
      </c>
      <c r="F36" s="12">
        <v>1</v>
      </c>
      <c r="G36" s="12">
        <v>4</v>
      </c>
    </row>
    <row r="37" spans="1:7" x14ac:dyDescent="0.35">
      <c r="A37" s="12">
        <v>30</v>
      </c>
      <c r="B37" s="12">
        <f t="shared" si="0"/>
        <v>36</v>
      </c>
      <c r="C37" s="12" t="s">
        <v>759</v>
      </c>
      <c r="D37" s="12" t="s">
        <v>758</v>
      </c>
      <c r="E37" s="12" t="s">
        <v>273</v>
      </c>
      <c r="F37" s="12">
        <v>0</v>
      </c>
      <c r="G37" s="12">
        <v>4</v>
      </c>
    </row>
    <row r="38" spans="1:7" x14ac:dyDescent="0.35">
      <c r="A38" s="12">
        <v>30</v>
      </c>
      <c r="B38" s="12">
        <f t="shared" si="0"/>
        <v>37</v>
      </c>
      <c r="C38" s="12" t="s">
        <v>761</v>
      </c>
      <c r="D38" s="12" t="s">
        <v>760</v>
      </c>
      <c r="E38" s="12" t="s">
        <v>273</v>
      </c>
      <c r="F38" s="12">
        <v>0</v>
      </c>
      <c r="G38" s="12">
        <v>2</v>
      </c>
    </row>
    <row r="39" spans="1:7" x14ac:dyDescent="0.35">
      <c r="A39" s="12">
        <v>30</v>
      </c>
      <c r="B39" s="12">
        <f t="shared" si="0"/>
        <v>38</v>
      </c>
      <c r="C39" s="12" t="s">
        <v>763</v>
      </c>
      <c r="D39" s="12" t="s">
        <v>762</v>
      </c>
      <c r="E39" s="12" t="s">
        <v>202</v>
      </c>
      <c r="F39" s="12">
        <v>0</v>
      </c>
      <c r="G39" s="12">
        <v>4</v>
      </c>
    </row>
    <row r="40" spans="1:7" x14ac:dyDescent="0.35">
      <c r="A40" s="12">
        <v>30</v>
      </c>
      <c r="B40" s="12">
        <f t="shared" si="0"/>
        <v>39</v>
      </c>
      <c r="C40" s="12" t="s">
        <v>765</v>
      </c>
      <c r="D40" s="12" t="s">
        <v>764</v>
      </c>
      <c r="E40" s="12" t="s">
        <v>202</v>
      </c>
      <c r="F40" s="12">
        <v>0</v>
      </c>
      <c r="G40" s="12">
        <v>4</v>
      </c>
    </row>
    <row r="41" spans="1:7" x14ac:dyDescent="0.35">
      <c r="A41" s="12">
        <v>30</v>
      </c>
      <c r="B41" s="12">
        <f t="shared" si="0"/>
        <v>40</v>
      </c>
      <c r="C41" s="12" t="s">
        <v>767</v>
      </c>
      <c r="D41" s="12" t="s">
        <v>766</v>
      </c>
      <c r="E41" s="12" t="s">
        <v>270</v>
      </c>
      <c r="F41" s="12">
        <v>1</v>
      </c>
      <c r="G41" s="12">
        <v>11</v>
      </c>
    </row>
    <row r="42" spans="1:7" x14ac:dyDescent="0.35">
      <c r="A42" s="12">
        <v>30</v>
      </c>
      <c r="B42" s="12">
        <f t="shared" si="0"/>
        <v>41</v>
      </c>
      <c r="C42" s="12" t="s">
        <v>770</v>
      </c>
      <c r="D42" s="12" t="s">
        <v>769</v>
      </c>
      <c r="E42" s="12" t="s">
        <v>270</v>
      </c>
      <c r="F42" s="12">
        <v>1</v>
      </c>
      <c r="G42" s="12">
        <v>10</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D9D92-FC85-4CA6-BBA7-97149D10F320}">
  <sheetPr>
    <tabColor rgb="FFFFC000"/>
  </sheetPr>
  <dimension ref="A1:S34"/>
  <sheetViews>
    <sheetView workbookViewId="0">
      <selection sqref="A1:B1"/>
    </sheetView>
  </sheetViews>
  <sheetFormatPr defaultRowHeight="14.5" x14ac:dyDescent="0.35"/>
  <cols>
    <col min="1" max="1" width="4.1796875" style="12" customWidth="1"/>
    <col min="2" max="2" width="5.81640625" style="12" customWidth="1"/>
    <col min="3" max="3" width="32.26953125" style="12" customWidth="1"/>
    <col min="4" max="4" width="27.54296875" style="12" customWidth="1"/>
    <col min="5" max="16384" width="8.7265625" style="12"/>
  </cols>
  <sheetData>
    <row r="1" spans="1:19" x14ac:dyDescent="0.35">
      <c r="A1" s="13" t="s">
        <v>1111</v>
      </c>
      <c r="B1" s="13" t="s">
        <v>1434</v>
      </c>
      <c r="C1" s="14" t="s">
        <v>7</v>
      </c>
      <c r="D1" s="14" t="s">
        <v>6</v>
      </c>
      <c r="E1" s="14" t="s">
        <v>223</v>
      </c>
      <c r="F1" s="14" t="s">
        <v>224</v>
      </c>
      <c r="G1" s="14" t="s">
        <v>225</v>
      </c>
      <c r="K1" s="8"/>
      <c r="L1" s="8"/>
      <c r="M1" s="8"/>
      <c r="N1" s="8"/>
      <c r="O1" s="14"/>
      <c r="P1" s="14"/>
      <c r="Q1" s="14"/>
      <c r="R1" s="14"/>
      <c r="S1" s="14"/>
    </row>
    <row r="2" spans="1:19" x14ac:dyDescent="0.35">
      <c r="A2" s="12">
        <v>31</v>
      </c>
      <c r="B2" s="12">
        <v>1</v>
      </c>
      <c r="C2" s="12" t="s">
        <v>78</v>
      </c>
      <c r="D2" s="31" t="s">
        <v>1034</v>
      </c>
      <c r="E2" s="12" t="s">
        <v>257</v>
      </c>
      <c r="F2" s="12">
        <v>1</v>
      </c>
      <c r="G2" s="12">
        <v>2</v>
      </c>
      <c r="P2" s="31"/>
    </row>
    <row r="3" spans="1:19" x14ac:dyDescent="0.35">
      <c r="A3" s="12">
        <v>31</v>
      </c>
      <c r="B3" s="12">
        <f>B2+1</f>
        <v>2</v>
      </c>
      <c r="C3" s="12" t="s">
        <v>79</v>
      </c>
      <c r="D3" s="31" t="s">
        <v>79</v>
      </c>
      <c r="E3" s="12" t="s">
        <v>202</v>
      </c>
      <c r="F3" s="12">
        <v>0</v>
      </c>
      <c r="G3" s="12">
        <v>2</v>
      </c>
      <c r="P3" s="31"/>
    </row>
    <row r="4" spans="1:19" x14ac:dyDescent="0.35">
      <c r="A4" s="12">
        <v>31</v>
      </c>
      <c r="B4" s="12">
        <f t="shared" ref="B4:B16" si="0">B3+1</f>
        <v>3</v>
      </c>
      <c r="C4" s="12" t="s">
        <v>80</v>
      </c>
      <c r="D4" s="31" t="s">
        <v>1035</v>
      </c>
      <c r="E4" s="12" t="s">
        <v>202</v>
      </c>
      <c r="F4" s="12">
        <v>0</v>
      </c>
      <c r="G4" s="12">
        <v>2</v>
      </c>
      <c r="P4" s="31"/>
    </row>
    <row r="5" spans="1:19" x14ac:dyDescent="0.35">
      <c r="A5" s="12">
        <v>31</v>
      </c>
      <c r="B5" s="12">
        <f t="shared" si="0"/>
        <v>4</v>
      </c>
      <c r="C5" s="12" t="s">
        <v>80</v>
      </c>
      <c r="D5" s="31" t="s">
        <v>1036</v>
      </c>
      <c r="E5" s="12" t="s">
        <v>270</v>
      </c>
      <c r="F5" s="12">
        <v>1</v>
      </c>
      <c r="G5" s="12">
        <v>1</v>
      </c>
      <c r="P5" s="31"/>
    </row>
    <row r="6" spans="1:19" x14ac:dyDescent="0.35">
      <c r="A6" s="12">
        <v>31</v>
      </c>
      <c r="B6" s="12">
        <f t="shared" si="0"/>
        <v>5</v>
      </c>
      <c r="C6" s="12" t="s">
        <v>81</v>
      </c>
      <c r="D6" s="31" t="s">
        <v>1037</v>
      </c>
      <c r="E6" s="12" t="s">
        <v>257</v>
      </c>
      <c r="F6" s="12">
        <v>2</v>
      </c>
      <c r="G6" s="12">
        <v>2</v>
      </c>
      <c r="P6" s="31"/>
    </row>
    <row r="7" spans="1:19" x14ac:dyDescent="0.35">
      <c r="A7" s="12">
        <v>31</v>
      </c>
      <c r="B7" s="12">
        <f t="shared" si="0"/>
        <v>6</v>
      </c>
      <c r="C7" s="12" t="s">
        <v>81</v>
      </c>
      <c r="D7" s="31" t="s">
        <v>1038</v>
      </c>
      <c r="E7" s="12" t="s">
        <v>278</v>
      </c>
      <c r="F7" s="12">
        <v>0</v>
      </c>
      <c r="G7" s="12">
        <v>3</v>
      </c>
      <c r="P7" s="31"/>
    </row>
    <row r="8" spans="1:19" x14ac:dyDescent="0.35">
      <c r="A8" s="12">
        <v>31</v>
      </c>
      <c r="B8" s="12">
        <f t="shared" si="0"/>
        <v>7</v>
      </c>
      <c r="C8" s="12" t="s">
        <v>81</v>
      </c>
      <c r="D8" s="31" t="s">
        <v>1039</v>
      </c>
      <c r="E8" s="12" t="s">
        <v>190</v>
      </c>
      <c r="F8" s="12">
        <v>2</v>
      </c>
      <c r="G8" s="12">
        <v>1</v>
      </c>
      <c r="P8" s="31"/>
    </row>
    <row r="9" spans="1:19" x14ac:dyDescent="0.35">
      <c r="A9" s="12">
        <v>31</v>
      </c>
      <c r="B9" s="12">
        <f t="shared" si="0"/>
        <v>8</v>
      </c>
      <c r="C9" s="12" t="s">
        <v>82</v>
      </c>
      <c r="D9" s="31" t="s">
        <v>1210</v>
      </c>
      <c r="E9" s="12" t="s">
        <v>278</v>
      </c>
      <c r="F9" s="12">
        <v>0</v>
      </c>
      <c r="G9" s="12">
        <v>5</v>
      </c>
      <c r="P9" s="31"/>
    </row>
    <row r="10" spans="1:19" x14ac:dyDescent="0.35">
      <c r="A10" s="12">
        <v>31</v>
      </c>
      <c r="B10" s="12">
        <f t="shared" si="0"/>
        <v>9</v>
      </c>
      <c r="C10" s="12" t="s">
        <v>83</v>
      </c>
      <c r="D10" s="31" t="s">
        <v>1040</v>
      </c>
      <c r="E10" s="12" t="s">
        <v>190</v>
      </c>
      <c r="F10" s="12">
        <v>2</v>
      </c>
      <c r="G10" s="12">
        <v>1</v>
      </c>
      <c r="P10" s="31"/>
    </row>
    <row r="11" spans="1:19" x14ac:dyDescent="0.35">
      <c r="A11" s="12">
        <v>31</v>
      </c>
      <c r="B11" s="12">
        <f>B10+1</f>
        <v>10</v>
      </c>
      <c r="C11" s="12" t="s">
        <v>83</v>
      </c>
      <c r="D11" s="31" t="s">
        <v>1041</v>
      </c>
      <c r="E11" s="12" t="s">
        <v>270</v>
      </c>
      <c r="F11" s="12">
        <v>3</v>
      </c>
      <c r="G11" s="12">
        <v>3</v>
      </c>
      <c r="P11" s="31"/>
    </row>
    <row r="12" spans="1:19" x14ac:dyDescent="0.35">
      <c r="A12" s="12">
        <v>31</v>
      </c>
      <c r="B12" s="12">
        <f t="shared" si="0"/>
        <v>11</v>
      </c>
      <c r="C12" s="12" t="s">
        <v>83</v>
      </c>
      <c r="D12" s="31" t="s">
        <v>1042</v>
      </c>
      <c r="E12" s="12" t="s">
        <v>270</v>
      </c>
      <c r="F12" s="12">
        <v>3</v>
      </c>
      <c r="G12" s="12">
        <v>1</v>
      </c>
      <c r="P12" s="31"/>
    </row>
    <row r="13" spans="1:19" x14ac:dyDescent="0.35">
      <c r="A13" s="12">
        <v>31</v>
      </c>
      <c r="B13" s="12">
        <f t="shared" si="0"/>
        <v>12</v>
      </c>
      <c r="C13" s="12" t="s">
        <v>84</v>
      </c>
      <c r="D13" s="31" t="s">
        <v>1043</v>
      </c>
      <c r="E13" s="12" t="s">
        <v>257</v>
      </c>
      <c r="F13" s="12">
        <v>1</v>
      </c>
      <c r="G13" s="12">
        <v>2</v>
      </c>
      <c r="P13" s="31"/>
    </row>
    <row r="14" spans="1:19" x14ac:dyDescent="0.35">
      <c r="A14" s="12">
        <v>31</v>
      </c>
      <c r="B14" s="12">
        <f t="shared" si="0"/>
        <v>13</v>
      </c>
      <c r="C14" s="12" t="s">
        <v>85</v>
      </c>
      <c r="D14" s="31" t="s">
        <v>1044</v>
      </c>
      <c r="E14" s="12" t="s">
        <v>273</v>
      </c>
      <c r="F14" s="12">
        <v>0</v>
      </c>
      <c r="G14" s="12">
        <v>1</v>
      </c>
      <c r="P14" s="31"/>
    </row>
    <row r="15" spans="1:19" x14ac:dyDescent="0.35">
      <c r="A15" s="12">
        <v>31</v>
      </c>
      <c r="B15" s="12">
        <f t="shared" si="0"/>
        <v>14</v>
      </c>
      <c r="C15" s="12" t="s">
        <v>86</v>
      </c>
      <c r="D15" s="31" t="s">
        <v>1045</v>
      </c>
      <c r="E15" s="12" t="s">
        <v>202</v>
      </c>
      <c r="F15" s="12">
        <v>0</v>
      </c>
      <c r="G15" s="12">
        <v>2</v>
      </c>
      <c r="P15" s="31"/>
    </row>
    <row r="16" spans="1:19" x14ac:dyDescent="0.35">
      <c r="A16" s="12">
        <v>31</v>
      </c>
      <c r="B16" s="12">
        <f t="shared" si="0"/>
        <v>15</v>
      </c>
      <c r="C16" s="12" t="s">
        <v>87</v>
      </c>
      <c r="D16" s="31" t="s">
        <v>1046</v>
      </c>
      <c r="E16" s="12" t="s">
        <v>257</v>
      </c>
      <c r="F16" s="12">
        <v>2</v>
      </c>
      <c r="G16" s="12">
        <v>3</v>
      </c>
      <c r="P16" s="31"/>
    </row>
    <row r="17" spans="1:16" x14ac:dyDescent="0.35">
      <c r="A17" s="12">
        <v>31</v>
      </c>
      <c r="B17" s="12">
        <f>B16+1</f>
        <v>16</v>
      </c>
      <c r="C17" s="12" t="s">
        <v>1211</v>
      </c>
      <c r="D17" s="31" t="s">
        <v>1211</v>
      </c>
      <c r="E17" s="12" t="s">
        <v>257</v>
      </c>
      <c r="F17" s="12">
        <v>2</v>
      </c>
      <c r="G17" s="12">
        <v>3</v>
      </c>
      <c r="P17" s="31"/>
    </row>
    <row r="18" spans="1:16" x14ac:dyDescent="0.35">
      <c r="A18" s="12">
        <v>31</v>
      </c>
      <c r="B18" s="12">
        <f t="shared" ref="B18:B32" si="1">B17+1</f>
        <v>17</v>
      </c>
      <c r="C18" s="12" t="s">
        <v>1212</v>
      </c>
      <c r="D18" s="31" t="s">
        <v>1048</v>
      </c>
      <c r="E18" s="12" t="s">
        <v>270</v>
      </c>
      <c r="F18" s="12">
        <v>1</v>
      </c>
      <c r="G18" s="12">
        <v>2</v>
      </c>
      <c r="P18" s="31"/>
    </row>
    <row r="19" spans="1:16" x14ac:dyDescent="0.35">
      <c r="A19" s="12">
        <v>31</v>
      </c>
      <c r="B19" s="12">
        <f t="shared" si="1"/>
        <v>18</v>
      </c>
      <c r="C19" s="12" t="s">
        <v>1213</v>
      </c>
      <c r="D19" s="31" t="s">
        <v>1214</v>
      </c>
      <c r="E19" s="12" t="s">
        <v>270</v>
      </c>
      <c r="F19" s="12">
        <v>1</v>
      </c>
      <c r="G19" s="12">
        <v>1</v>
      </c>
      <c r="P19" s="31"/>
    </row>
    <row r="20" spans="1:16" x14ac:dyDescent="0.35">
      <c r="A20" s="12">
        <v>31</v>
      </c>
      <c r="B20" s="12">
        <f t="shared" si="1"/>
        <v>19</v>
      </c>
      <c r="C20" s="12" t="s">
        <v>1213</v>
      </c>
      <c r="D20" s="31" t="s">
        <v>1053</v>
      </c>
      <c r="E20" s="12" t="s">
        <v>257</v>
      </c>
      <c r="F20" s="12">
        <v>2</v>
      </c>
      <c r="G20" s="12">
        <v>2</v>
      </c>
      <c r="P20" s="31"/>
    </row>
    <row r="21" spans="1:16" x14ac:dyDescent="0.35">
      <c r="A21" s="12">
        <v>31</v>
      </c>
      <c r="B21" s="12">
        <f t="shared" si="1"/>
        <v>20</v>
      </c>
      <c r="C21" s="12" t="s">
        <v>1215</v>
      </c>
      <c r="D21" s="31" t="s">
        <v>1049</v>
      </c>
      <c r="E21" s="12" t="s">
        <v>270</v>
      </c>
      <c r="F21" s="12">
        <v>1</v>
      </c>
      <c r="G21" s="12">
        <v>1</v>
      </c>
      <c r="P21" s="31"/>
    </row>
    <row r="22" spans="1:16" x14ac:dyDescent="0.35">
      <c r="A22" s="12">
        <v>31</v>
      </c>
      <c r="B22" s="12">
        <f t="shared" si="1"/>
        <v>21</v>
      </c>
      <c r="C22" s="12" t="s">
        <v>1216</v>
      </c>
      <c r="D22" s="31" t="s">
        <v>1050</v>
      </c>
      <c r="E22" s="12" t="s">
        <v>257</v>
      </c>
      <c r="F22" s="12">
        <v>1</v>
      </c>
      <c r="G22" s="12">
        <v>1</v>
      </c>
      <c r="P22" s="31"/>
    </row>
    <row r="23" spans="1:16" x14ac:dyDescent="0.35">
      <c r="A23" s="12">
        <v>31</v>
      </c>
      <c r="B23" s="12">
        <f t="shared" si="1"/>
        <v>22</v>
      </c>
      <c r="C23" s="12" t="s">
        <v>1217</v>
      </c>
      <c r="D23" s="31" t="s">
        <v>1051</v>
      </c>
      <c r="E23" s="12" t="s">
        <v>257</v>
      </c>
      <c r="F23" s="12">
        <v>1</v>
      </c>
      <c r="G23" s="12">
        <v>1</v>
      </c>
      <c r="P23" s="31"/>
    </row>
    <row r="24" spans="1:16" x14ac:dyDescent="0.35">
      <c r="A24" s="12">
        <v>31</v>
      </c>
      <c r="B24" s="12">
        <f t="shared" si="1"/>
        <v>23</v>
      </c>
      <c r="C24" s="12" t="s">
        <v>1218</v>
      </c>
      <c r="D24" s="31" t="s">
        <v>1052</v>
      </c>
      <c r="E24" s="12" t="s">
        <v>257</v>
      </c>
      <c r="F24" s="12">
        <v>2</v>
      </c>
      <c r="G24" s="12">
        <v>2</v>
      </c>
      <c r="P24" s="31"/>
    </row>
    <row r="25" spans="1:16" x14ac:dyDescent="0.35">
      <c r="A25" s="12">
        <v>31</v>
      </c>
      <c r="B25" s="12">
        <f t="shared" si="1"/>
        <v>24</v>
      </c>
      <c r="C25" s="12" t="s">
        <v>1219</v>
      </c>
      <c r="D25" s="31" t="s">
        <v>1054</v>
      </c>
      <c r="E25" s="12" t="s">
        <v>270</v>
      </c>
      <c r="F25" s="12">
        <v>1</v>
      </c>
      <c r="G25" s="12">
        <v>1</v>
      </c>
      <c r="P25" s="31"/>
    </row>
    <row r="26" spans="1:16" x14ac:dyDescent="0.35">
      <c r="A26" s="12">
        <v>31</v>
      </c>
      <c r="B26" s="12">
        <f t="shared" si="1"/>
        <v>25</v>
      </c>
      <c r="C26" s="12" t="s">
        <v>1220</v>
      </c>
      <c r="D26" s="31" t="s">
        <v>1055</v>
      </c>
      <c r="E26" s="12" t="s">
        <v>257</v>
      </c>
      <c r="F26" s="12">
        <v>3</v>
      </c>
      <c r="G26" s="12">
        <v>1</v>
      </c>
      <c r="P26" s="31"/>
    </row>
    <row r="27" spans="1:16" x14ac:dyDescent="0.35">
      <c r="A27" s="12">
        <v>31</v>
      </c>
      <c r="B27" s="12">
        <f t="shared" si="1"/>
        <v>26</v>
      </c>
      <c r="C27" s="12" t="s">
        <v>1221</v>
      </c>
      <c r="D27" s="31" t="s">
        <v>1056</v>
      </c>
      <c r="E27" s="12" t="s">
        <v>273</v>
      </c>
      <c r="F27" s="12">
        <v>0</v>
      </c>
      <c r="G27" s="12">
        <v>1</v>
      </c>
      <c r="P27" s="31"/>
    </row>
    <row r="28" spans="1:16" x14ac:dyDescent="0.35">
      <c r="A28" s="12">
        <v>31</v>
      </c>
      <c r="B28" s="12">
        <f t="shared" si="1"/>
        <v>27</v>
      </c>
      <c r="C28" s="12" t="s">
        <v>1221</v>
      </c>
      <c r="D28" s="31" t="s">
        <v>1057</v>
      </c>
      <c r="E28" s="12" t="s">
        <v>270</v>
      </c>
      <c r="F28" s="12">
        <v>3</v>
      </c>
      <c r="G28" s="12">
        <v>3</v>
      </c>
      <c r="P28" s="31"/>
    </row>
    <row r="29" spans="1:16" x14ac:dyDescent="0.35">
      <c r="A29" s="12">
        <v>31</v>
      </c>
      <c r="B29" s="12">
        <f t="shared" si="1"/>
        <v>28</v>
      </c>
      <c r="C29" s="12" t="s">
        <v>1223</v>
      </c>
      <c r="D29" s="31" t="s">
        <v>1222</v>
      </c>
      <c r="E29" s="12" t="s">
        <v>270</v>
      </c>
      <c r="F29" s="12">
        <v>3</v>
      </c>
      <c r="G29" s="12">
        <v>3</v>
      </c>
      <c r="P29" s="31"/>
    </row>
    <row r="30" spans="1:16" x14ac:dyDescent="0.35">
      <c r="A30" s="12">
        <v>31</v>
      </c>
      <c r="B30" s="12">
        <f t="shared" si="1"/>
        <v>29</v>
      </c>
      <c r="C30" s="12" t="s">
        <v>1224</v>
      </c>
      <c r="D30" s="31" t="s">
        <v>1314</v>
      </c>
      <c r="E30" s="12" t="s">
        <v>270</v>
      </c>
      <c r="F30" s="12">
        <v>2</v>
      </c>
      <c r="G30" s="12">
        <v>4</v>
      </c>
      <c r="P30" s="31"/>
    </row>
    <row r="31" spans="1:16" x14ac:dyDescent="0.35">
      <c r="A31" s="12">
        <v>31</v>
      </c>
      <c r="B31" s="12">
        <f>B30+1</f>
        <v>30</v>
      </c>
      <c r="C31" s="12" t="s">
        <v>1225</v>
      </c>
      <c r="D31" s="31" t="s">
        <v>1226</v>
      </c>
      <c r="E31" s="12" t="s">
        <v>270</v>
      </c>
      <c r="F31" s="12">
        <v>1</v>
      </c>
      <c r="G31" s="12">
        <v>8</v>
      </c>
      <c r="P31" s="31"/>
    </row>
    <row r="32" spans="1:16" ht="16.5" customHeight="1" x14ac:dyDescent="0.35">
      <c r="A32" s="12">
        <v>31</v>
      </c>
      <c r="B32" s="12">
        <f t="shared" si="1"/>
        <v>31</v>
      </c>
      <c r="C32" s="12" t="s">
        <v>1047</v>
      </c>
      <c r="D32" s="31" t="s">
        <v>1315</v>
      </c>
      <c r="E32" s="12" t="s">
        <v>270</v>
      </c>
      <c r="F32" s="12">
        <v>1</v>
      </c>
      <c r="G32" s="12">
        <v>10</v>
      </c>
      <c r="P32" s="31"/>
    </row>
    <row r="33" spans="4:5" x14ac:dyDescent="0.35">
      <c r="D33" s="12" t="s">
        <v>28</v>
      </c>
      <c r="E33" s="12" t="s">
        <v>28</v>
      </c>
    </row>
    <row r="34" spans="4:5" x14ac:dyDescent="0.35">
      <c r="D34" s="12" t="s">
        <v>28</v>
      </c>
      <c r="E34" s="12" t="s">
        <v>28</v>
      </c>
    </row>
  </sheetData>
  <mergeCells count="2">
    <mergeCell ref="K1:L1"/>
    <mergeCell ref="M1:N1"/>
  </mergeCells>
  <phoneticPr fontId="4"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0184E-7511-41C0-91E0-0404E49BE24B}">
  <sheetPr>
    <tabColor rgb="FFFFC000"/>
  </sheetPr>
  <dimension ref="A1:G7"/>
  <sheetViews>
    <sheetView workbookViewId="0">
      <selection sqref="A1:B1"/>
    </sheetView>
  </sheetViews>
  <sheetFormatPr defaultRowHeight="14.5" x14ac:dyDescent="0.35"/>
  <sheetData>
    <row r="1" spans="1:7" x14ac:dyDescent="0.35">
      <c r="A1" s="13" t="s">
        <v>1111</v>
      </c>
      <c r="B1" s="13" t="s">
        <v>1434</v>
      </c>
      <c r="C1" s="2" t="s">
        <v>7</v>
      </c>
      <c r="D1" s="2" t="s">
        <v>222</v>
      </c>
      <c r="E1" s="2" t="s">
        <v>223</v>
      </c>
      <c r="F1" s="2" t="s">
        <v>224</v>
      </c>
      <c r="G1" s="2" t="s">
        <v>225</v>
      </c>
    </row>
    <row r="2" spans="1:7" x14ac:dyDescent="0.35">
      <c r="A2">
        <v>32</v>
      </c>
      <c r="B2">
        <v>1</v>
      </c>
      <c r="C2" t="s">
        <v>689</v>
      </c>
      <c r="D2" t="s">
        <v>688</v>
      </c>
      <c r="E2" t="s">
        <v>278</v>
      </c>
      <c r="F2">
        <v>0</v>
      </c>
      <c r="G2">
        <v>1</v>
      </c>
    </row>
    <row r="3" spans="1:7" x14ac:dyDescent="0.35">
      <c r="A3">
        <v>32</v>
      </c>
      <c r="B3">
        <v>2</v>
      </c>
      <c r="C3" t="s">
        <v>692</v>
      </c>
      <c r="D3" t="s">
        <v>691</v>
      </c>
      <c r="E3" t="s">
        <v>190</v>
      </c>
      <c r="F3">
        <v>2</v>
      </c>
      <c r="G3">
        <v>1</v>
      </c>
    </row>
    <row r="4" spans="1:7" x14ac:dyDescent="0.35">
      <c r="A4">
        <v>32</v>
      </c>
      <c r="B4">
        <v>3</v>
      </c>
      <c r="C4" t="s">
        <v>694</v>
      </c>
      <c r="D4" t="s">
        <v>693</v>
      </c>
      <c r="E4" t="s">
        <v>257</v>
      </c>
      <c r="F4">
        <v>5</v>
      </c>
      <c r="G4">
        <v>1</v>
      </c>
    </row>
    <row r="5" spans="1:7" x14ac:dyDescent="0.35">
      <c r="A5">
        <v>32</v>
      </c>
      <c r="B5">
        <v>4</v>
      </c>
      <c r="C5" t="s">
        <v>696</v>
      </c>
      <c r="D5" t="s">
        <v>695</v>
      </c>
      <c r="E5" t="s">
        <v>257</v>
      </c>
      <c r="F5">
        <v>5</v>
      </c>
      <c r="G5">
        <v>3</v>
      </c>
    </row>
    <row r="6" spans="1:7" x14ac:dyDescent="0.35">
      <c r="A6">
        <v>32</v>
      </c>
      <c r="B6">
        <v>5</v>
      </c>
      <c r="C6" t="s">
        <v>698</v>
      </c>
      <c r="D6" t="s">
        <v>697</v>
      </c>
      <c r="E6" t="s">
        <v>190</v>
      </c>
      <c r="F6">
        <v>3</v>
      </c>
      <c r="G6">
        <v>2</v>
      </c>
    </row>
    <row r="7" spans="1:7" x14ac:dyDescent="0.35">
      <c r="A7">
        <v>32</v>
      </c>
      <c r="B7">
        <v>6</v>
      </c>
      <c r="C7" t="s">
        <v>700</v>
      </c>
      <c r="D7" t="s">
        <v>699</v>
      </c>
      <c r="E7" t="s">
        <v>270</v>
      </c>
      <c r="F7">
        <v>2</v>
      </c>
      <c r="G7">
        <v>4</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D8381-E234-4CA3-B35B-6E6E5FB4A14D}">
  <sheetPr>
    <tabColor rgb="FFFFC000"/>
  </sheetPr>
  <dimension ref="A1:G38"/>
  <sheetViews>
    <sheetView workbookViewId="0">
      <selection sqref="A1:B1"/>
    </sheetView>
  </sheetViews>
  <sheetFormatPr defaultRowHeight="14.5" x14ac:dyDescent="0.35"/>
  <cols>
    <col min="1" max="1" width="3.7265625" style="12" customWidth="1"/>
    <col min="2" max="2" width="5.81640625" style="12" customWidth="1"/>
    <col min="3" max="3" width="23.54296875" style="12" customWidth="1"/>
    <col min="4" max="4" width="15.54296875" style="12" customWidth="1"/>
    <col min="5" max="16384" width="8.7265625" style="12"/>
  </cols>
  <sheetData>
    <row r="1" spans="1:7" x14ac:dyDescent="0.35">
      <c r="A1" s="13" t="s">
        <v>1111</v>
      </c>
      <c r="B1" s="13" t="s">
        <v>1434</v>
      </c>
      <c r="C1" s="14" t="s">
        <v>7</v>
      </c>
      <c r="D1" s="14" t="s">
        <v>6</v>
      </c>
      <c r="E1" s="14" t="s">
        <v>223</v>
      </c>
      <c r="F1" s="14" t="s">
        <v>224</v>
      </c>
      <c r="G1" s="14" t="s">
        <v>225</v>
      </c>
    </row>
    <row r="2" spans="1:7" x14ac:dyDescent="0.35">
      <c r="A2" s="12">
        <v>33</v>
      </c>
      <c r="B2" s="12">
        <v>1</v>
      </c>
      <c r="C2" s="12" t="s">
        <v>89</v>
      </c>
      <c r="D2" s="12" t="s">
        <v>1058</v>
      </c>
      <c r="E2" s="12" t="s">
        <v>257</v>
      </c>
      <c r="F2" s="12">
        <v>5</v>
      </c>
      <c r="G2" s="12">
        <v>2</v>
      </c>
    </row>
    <row r="3" spans="1:7" x14ac:dyDescent="0.35">
      <c r="A3" s="12">
        <v>33</v>
      </c>
      <c r="B3" s="12">
        <v>2</v>
      </c>
      <c r="C3" s="12" t="s">
        <v>90</v>
      </c>
      <c r="D3" s="12" t="s">
        <v>1059</v>
      </c>
      <c r="E3" s="12" t="s">
        <v>190</v>
      </c>
      <c r="F3" s="12">
        <v>2</v>
      </c>
      <c r="G3" s="12">
        <v>2</v>
      </c>
    </row>
    <row r="4" spans="1:7" x14ac:dyDescent="0.35">
      <c r="A4" s="12">
        <v>33</v>
      </c>
      <c r="B4" s="12">
        <v>3</v>
      </c>
      <c r="C4" s="12" t="s">
        <v>1060</v>
      </c>
      <c r="D4" s="12" t="s">
        <v>1060</v>
      </c>
      <c r="E4" s="12" t="s">
        <v>190</v>
      </c>
      <c r="F4" s="12">
        <v>2</v>
      </c>
      <c r="G4" s="12">
        <v>2</v>
      </c>
    </row>
    <row r="5" spans="1:7" x14ac:dyDescent="0.35">
      <c r="A5" s="12">
        <v>33</v>
      </c>
      <c r="B5" s="12">
        <f>B4+1</f>
        <v>4</v>
      </c>
      <c r="C5" s="12" t="s">
        <v>1061</v>
      </c>
      <c r="D5" s="12" t="s">
        <v>1061</v>
      </c>
      <c r="E5" s="12" t="s">
        <v>270</v>
      </c>
      <c r="F5" s="12">
        <v>3</v>
      </c>
      <c r="G5" s="12">
        <v>1</v>
      </c>
    </row>
    <row r="6" spans="1:7" x14ac:dyDescent="0.35">
      <c r="A6" s="12">
        <v>33</v>
      </c>
      <c r="B6" s="12">
        <f t="shared" ref="B6:B32" si="0">B5+1</f>
        <v>5</v>
      </c>
      <c r="C6" s="12" t="s">
        <v>1062</v>
      </c>
      <c r="D6" s="12" t="s">
        <v>1063</v>
      </c>
      <c r="E6" s="12" t="s">
        <v>257</v>
      </c>
      <c r="F6" s="12">
        <v>2</v>
      </c>
      <c r="G6" s="12">
        <v>2</v>
      </c>
    </row>
    <row r="7" spans="1:7" x14ac:dyDescent="0.35">
      <c r="A7" s="12">
        <v>33</v>
      </c>
      <c r="B7" s="12">
        <f t="shared" si="0"/>
        <v>6</v>
      </c>
      <c r="D7" s="12" t="s">
        <v>1064</v>
      </c>
      <c r="E7" s="12" t="s">
        <v>257</v>
      </c>
      <c r="F7" s="12">
        <v>2</v>
      </c>
      <c r="G7" s="12">
        <v>2</v>
      </c>
    </row>
    <row r="8" spans="1:7" x14ac:dyDescent="0.35">
      <c r="A8" s="12">
        <v>33</v>
      </c>
      <c r="B8" s="12">
        <f t="shared" si="0"/>
        <v>7</v>
      </c>
      <c r="C8" s="12" t="s">
        <v>91</v>
      </c>
      <c r="D8" s="12" t="s">
        <v>1065</v>
      </c>
      <c r="E8" s="12" t="s">
        <v>257</v>
      </c>
      <c r="F8" s="12">
        <v>2</v>
      </c>
      <c r="G8" s="12">
        <v>2</v>
      </c>
    </row>
    <row r="9" spans="1:7" x14ac:dyDescent="0.35">
      <c r="A9" s="12">
        <v>33</v>
      </c>
      <c r="B9" s="12">
        <f t="shared" si="0"/>
        <v>8</v>
      </c>
      <c r="C9" s="12" t="s">
        <v>1066</v>
      </c>
      <c r="D9" s="12" t="s">
        <v>1067</v>
      </c>
      <c r="E9" s="12" t="s">
        <v>270</v>
      </c>
      <c r="F9" s="12">
        <v>1</v>
      </c>
      <c r="G9" s="12">
        <v>8</v>
      </c>
    </row>
    <row r="10" spans="1:7" x14ac:dyDescent="0.35">
      <c r="A10" s="12">
        <v>33</v>
      </c>
      <c r="B10" s="12">
        <f t="shared" si="0"/>
        <v>9</v>
      </c>
      <c r="C10" s="12" t="s">
        <v>1068</v>
      </c>
      <c r="D10" s="12" t="s">
        <v>1069</v>
      </c>
      <c r="E10" s="12" t="s">
        <v>273</v>
      </c>
      <c r="F10" s="12">
        <v>0</v>
      </c>
      <c r="G10" s="12">
        <v>4</v>
      </c>
    </row>
    <row r="11" spans="1:7" x14ac:dyDescent="0.35">
      <c r="A11" s="12">
        <v>33</v>
      </c>
      <c r="B11" s="12">
        <f t="shared" si="0"/>
        <v>10</v>
      </c>
      <c r="C11" s="12" t="s">
        <v>92</v>
      </c>
      <c r="D11" s="12" t="s">
        <v>1070</v>
      </c>
      <c r="E11" s="12" t="s">
        <v>1209</v>
      </c>
      <c r="F11" s="12">
        <v>0</v>
      </c>
      <c r="G11" s="12">
        <v>1</v>
      </c>
    </row>
    <row r="12" spans="1:7" x14ac:dyDescent="0.35">
      <c r="A12" s="12">
        <v>33</v>
      </c>
      <c r="B12" s="12">
        <f t="shared" si="0"/>
        <v>11</v>
      </c>
      <c r="C12" s="12" t="s">
        <v>94</v>
      </c>
      <c r="D12" s="12" t="s">
        <v>1071</v>
      </c>
      <c r="E12" s="12" t="s">
        <v>270</v>
      </c>
      <c r="F12" s="12">
        <v>1</v>
      </c>
      <c r="G12" s="12">
        <v>1</v>
      </c>
    </row>
    <row r="13" spans="1:7" x14ac:dyDescent="0.35">
      <c r="A13" s="12">
        <v>33</v>
      </c>
      <c r="B13" s="12">
        <f t="shared" si="0"/>
        <v>12</v>
      </c>
      <c r="D13" s="12" t="s">
        <v>1072</v>
      </c>
      <c r="E13" s="12" t="s">
        <v>257</v>
      </c>
      <c r="F13" s="12">
        <v>1</v>
      </c>
      <c r="G13" s="12">
        <v>1</v>
      </c>
    </row>
    <row r="14" spans="1:7" x14ac:dyDescent="0.35">
      <c r="A14" s="12">
        <v>33</v>
      </c>
      <c r="B14" s="12">
        <f t="shared" si="0"/>
        <v>13</v>
      </c>
      <c r="D14" s="12" t="s">
        <v>1073</v>
      </c>
      <c r="E14" s="12" t="s">
        <v>257</v>
      </c>
      <c r="F14" s="12">
        <v>1</v>
      </c>
      <c r="G14" s="12">
        <v>1</v>
      </c>
    </row>
    <row r="15" spans="1:7" x14ac:dyDescent="0.35">
      <c r="A15" s="12">
        <v>33</v>
      </c>
      <c r="B15" s="12">
        <f t="shared" si="0"/>
        <v>14</v>
      </c>
      <c r="C15" s="12" t="s">
        <v>93</v>
      </c>
      <c r="D15" s="12" t="s">
        <v>1074</v>
      </c>
      <c r="E15" s="12" t="s">
        <v>257</v>
      </c>
      <c r="F15" s="12">
        <v>1</v>
      </c>
      <c r="G15" s="12">
        <v>2</v>
      </c>
    </row>
    <row r="16" spans="1:7" x14ac:dyDescent="0.35">
      <c r="A16" s="12">
        <v>33</v>
      </c>
      <c r="B16" s="12">
        <f t="shared" si="0"/>
        <v>15</v>
      </c>
      <c r="C16" s="12" t="s">
        <v>95</v>
      </c>
      <c r="D16" s="12" t="s">
        <v>1075</v>
      </c>
      <c r="E16" s="12" t="s">
        <v>257</v>
      </c>
      <c r="F16" s="12">
        <v>5</v>
      </c>
      <c r="G16" s="12">
        <v>2</v>
      </c>
    </row>
    <row r="17" spans="1:7" x14ac:dyDescent="0.35">
      <c r="A17" s="12">
        <v>33</v>
      </c>
      <c r="B17" s="12">
        <f t="shared" si="0"/>
        <v>16</v>
      </c>
      <c r="C17" s="12" t="s">
        <v>96</v>
      </c>
      <c r="D17" s="12" t="s">
        <v>1076</v>
      </c>
      <c r="E17" s="12" t="s">
        <v>257</v>
      </c>
      <c r="F17" s="12">
        <v>5</v>
      </c>
      <c r="G17" s="12">
        <v>2</v>
      </c>
    </row>
    <row r="18" spans="1:7" x14ac:dyDescent="0.35">
      <c r="A18" s="12">
        <v>33</v>
      </c>
      <c r="B18" s="12">
        <f t="shared" si="0"/>
        <v>17</v>
      </c>
      <c r="C18" s="12" t="s">
        <v>97</v>
      </c>
      <c r="D18" s="12" t="s">
        <v>1077</v>
      </c>
      <c r="E18" s="12" t="s">
        <v>273</v>
      </c>
      <c r="F18" s="12">
        <v>0</v>
      </c>
      <c r="G18" s="12">
        <v>2</v>
      </c>
    </row>
    <row r="19" spans="1:7" x14ac:dyDescent="0.35">
      <c r="A19" s="12">
        <v>33</v>
      </c>
      <c r="B19" s="12">
        <f t="shared" si="0"/>
        <v>18</v>
      </c>
      <c r="D19" s="12" t="s">
        <v>1078</v>
      </c>
      <c r="E19" s="12" t="s">
        <v>270</v>
      </c>
      <c r="F19" s="12">
        <v>1</v>
      </c>
      <c r="G19" s="12">
        <v>10</v>
      </c>
    </row>
    <row r="20" spans="1:7" x14ac:dyDescent="0.35">
      <c r="A20" s="12">
        <v>33</v>
      </c>
      <c r="B20" s="12">
        <f t="shared" si="0"/>
        <v>19</v>
      </c>
      <c r="D20" s="12" t="s">
        <v>1079</v>
      </c>
      <c r="E20" s="12" t="s">
        <v>270</v>
      </c>
      <c r="F20" s="12">
        <v>1</v>
      </c>
      <c r="G20" s="12">
        <v>1</v>
      </c>
    </row>
    <row r="21" spans="1:7" x14ac:dyDescent="0.35">
      <c r="A21" s="12">
        <v>33</v>
      </c>
      <c r="B21" s="12">
        <f t="shared" si="0"/>
        <v>20</v>
      </c>
      <c r="C21" s="12" t="s">
        <v>98</v>
      </c>
      <c r="D21" s="12" t="s">
        <v>1080</v>
      </c>
      <c r="E21" s="12" t="s">
        <v>273</v>
      </c>
      <c r="F21" s="12">
        <v>0</v>
      </c>
      <c r="G21" s="12">
        <v>1</v>
      </c>
    </row>
    <row r="22" spans="1:7" x14ac:dyDescent="0.35">
      <c r="A22" s="12">
        <v>33</v>
      </c>
      <c r="B22" s="12">
        <f t="shared" si="0"/>
        <v>21</v>
      </c>
      <c r="D22" s="12" t="s">
        <v>1081</v>
      </c>
      <c r="E22" s="12" t="s">
        <v>190</v>
      </c>
      <c r="F22" s="12">
        <v>3</v>
      </c>
      <c r="G22" s="12">
        <v>3</v>
      </c>
    </row>
    <row r="23" spans="1:7" x14ac:dyDescent="0.35">
      <c r="A23" s="12">
        <v>33</v>
      </c>
      <c r="B23" s="12">
        <f t="shared" si="0"/>
        <v>22</v>
      </c>
      <c r="C23" s="12" t="s">
        <v>99</v>
      </c>
      <c r="D23" s="12" t="s">
        <v>1082</v>
      </c>
      <c r="E23" s="12" t="s">
        <v>257</v>
      </c>
      <c r="F23" s="12">
        <v>1</v>
      </c>
      <c r="G23" s="12">
        <v>2</v>
      </c>
    </row>
    <row r="24" spans="1:7" x14ac:dyDescent="0.35">
      <c r="A24" s="12">
        <v>33</v>
      </c>
      <c r="B24" s="12">
        <f t="shared" si="0"/>
        <v>23</v>
      </c>
      <c r="C24" s="12" t="s">
        <v>100</v>
      </c>
      <c r="D24" s="12" t="s">
        <v>1083</v>
      </c>
      <c r="E24" s="12" t="s">
        <v>190</v>
      </c>
      <c r="F24" s="12">
        <v>1</v>
      </c>
      <c r="G24" s="12">
        <v>1</v>
      </c>
    </row>
    <row r="25" spans="1:7" x14ac:dyDescent="0.35">
      <c r="A25" s="12">
        <v>33</v>
      </c>
      <c r="B25" s="12">
        <f t="shared" si="0"/>
        <v>24</v>
      </c>
      <c r="C25" s="12" t="s">
        <v>101</v>
      </c>
      <c r="D25" s="12" t="s">
        <v>1084</v>
      </c>
      <c r="E25" s="12" t="s">
        <v>270</v>
      </c>
      <c r="F25" s="12">
        <v>1</v>
      </c>
      <c r="G25" s="12">
        <v>8</v>
      </c>
    </row>
    <row r="26" spans="1:7" x14ac:dyDescent="0.35">
      <c r="A26" s="12">
        <v>33</v>
      </c>
      <c r="B26" s="12">
        <f t="shared" si="0"/>
        <v>25</v>
      </c>
      <c r="C26" s="12" t="s">
        <v>102</v>
      </c>
      <c r="D26" s="12" t="s">
        <v>1085</v>
      </c>
      <c r="E26" s="12" t="s">
        <v>257</v>
      </c>
      <c r="F26" s="12">
        <v>1</v>
      </c>
      <c r="G26" s="12">
        <v>2</v>
      </c>
    </row>
    <row r="27" spans="1:7" x14ac:dyDescent="0.35">
      <c r="A27" s="12">
        <v>33</v>
      </c>
      <c r="B27" s="12">
        <f t="shared" si="0"/>
        <v>26</v>
      </c>
      <c r="D27" s="12" t="s">
        <v>1086</v>
      </c>
      <c r="E27" s="12" t="s">
        <v>257</v>
      </c>
      <c r="F27" s="12">
        <v>1</v>
      </c>
      <c r="G27" s="12">
        <v>2</v>
      </c>
    </row>
    <row r="28" spans="1:7" x14ac:dyDescent="0.35">
      <c r="A28" s="12">
        <v>33</v>
      </c>
      <c r="B28" s="12">
        <f t="shared" si="0"/>
        <v>27</v>
      </c>
      <c r="C28" s="12" t="s">
        <v>103</v>
      </c>
      <c r="D28" s="12" t="s">
        <v>1087</v>
      </c>
      <c r="E28" s="12" t="s">
        <v>257</v>
      </c>
      <c r="F28" s="12">
        <v>3</v>
      </c>
      <c r="G28" s="12">
        <v>3</v>
      </c>
    </row>
    <row r="29" spans="1:7" x14ac:dyDescent="0.35">
      <c r="A29" s="12">
        <v>33</v>
      </c>
      <c r="B29" s="12">
        <f t="shared" si="0"/>
        <v>28</v>
      </c>
      <c r="C29" s="12" t="s">
        <v>104</v>
      </c>
      <c r="D29" s="12" t="s">
        <v>1088</v>
      </c>
      <c r="E29" s="12" t="s">
        <v>270</v>
      </c>
      <c r="F29" s="12">
        <v>1</v>
      </c>
      <c r="G29" s="12">
        <v>2</v>
      </c>
    </row>
    <row r="30" spans="1:7" x14ac:dyDescent="0.35">
      <c r="A30" s="12">
        <v>33</v>
      </c>
      <c r="B30" s="12">
        <f t="shared" si="0"/>
        <v>29</v>
      </c>
      <c r="C30" s="12" t="s">
        <v>105</v>
      </c>
      <c r="D30" s="12" t="s">
        <v>1089</v>
      </c>
      <c r="E30" s="12" t="s">
        <v>190</v>
      </c>
      <c r="F30" s="12">
        <v>2</v>
      </c>
      <c r="G30" s="12">
        <v>2</v>
      </c>
    </row>
    <row r="31" spans="1:7" x14ac:dyDescent="0.35">
      <c r="A31" s="12">
        <v>33</v>
      </c>
      <c r="B31" s="12">
        <f t="shared" si="0"/>
        <v>30</v>
      </c>
      <c r="C31" s="12" t="s">
        <v>106</v>
      </c>
      <c r="D31" s="12" t="s">
        <v>1090</v>
      </c>
      <c r="E31" s="12" t="s">
        <v>270</v>
      </c>
      <c r="F31" s="12">
        <v>3</v>
      </c>
      <c r="G31" s="12">
        <v>3</v>
      </c>
    </row>
    <row r="32" spans="1:7" x14ac:dyDescent="0.35">
      <c r="A32" s="12">
        <v>33</v>
      </c>
      <c r="B32" s="12">
        <f t="shared" si="0"/>
        <v>31</v>
      </c>
      <c r="C32" s="12" t="s">
        <v>107</v>
      </c>
      <c r="D32" s="12" t="s">
        <v>1091</v>
      </c>
      <c r="E32" s="12" t="s">
        <v>190</v>
      </c>
      <c r="F32" s="12">
        <v>2</v>
      </c>
      <c r="G32" s="12">
        <v>2</v>
      </c>
    </row>
    <row r="33" spans="4:4" x14ac:dyDescent="0.35">
      <c r="D33" s="12" t="s">
        <v>28</v>
      </c>
    </row>
    <row r="34" spans="4:4" x14ac:dyDescent="0.35">
      <c r="D34" s="12" t="s">
        <v>28</v>
      </c>
    </row>
    <row r="35" spans="4:4" x14ac:dyDescent="0.35">
      <c r="D35" s="12" t="s">
        <v>28</v>
      </c>
    </row>
    <row r="36" spans="4:4" x14ac:dyDescent="0.35">
      <c r="D36" s="12" t="s">
        <v>28</v>
      </c>
    </row>
    <row r="37" spans="4:4" x14ac:dyDescent="0.35">
      <c r="D37" s="12" t="s">
        <v>28</v>
      </c>
    </row>
    <row r="38" spans="4:4" x14ac:dyDescent="0.35">
      <c r="D38" s="12" t="s">
        <v>28</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D3FBB-6EA0-4DF7-9C09-17C0C75DF3A6}">
  <sheetPr>
    <tabColor rgb="FFFFC000"/>
  </sheetPr>
  <dimension ref="A1:G14"/>
  <sheetViews>
    <sheetView workbookViewId="0">
      <selection activeCell="G47" sqref="G47"/>
    </sheetView>
  </sheetViews>
  <sheetFormatPr defaultRowHeight="14.5" x14ac:dyDescent="0.35"/>
  <sheetData>
    <row r="1" spans="1:7" x14ac:dyDescent="0.35">
      <c r="A1" s="13" t="s">
        <v>1111</v>
      </c>
      <c r="B1" s="13" t="s">
        <v>1434</v>
      </c>
      <c r="C1" s="2" t="s">
        <v>7</v>
      </c>
      <c r="D1" s="2" t="s">
        <v>222</v>
      </c>
      <c r="E1" s="2" t="s">
        <v>223</v>
      </c>
      <c r="F1" s="2" t="s">
        <v>224</v>
      </c>
      <c r="G1" s="2" t="s">
        <v>225</v>
      </c>
    </row>
    <row r="2" spans="1:7" x14ac:dyDescent="0.35">
      <c r="A2">
        <v>34</v>
      </c>
      <c r="B2">
        <v>1</v>
      </c>
      <c r="C2" t="s">
        <v>772</v>
      </c>
      <c r="D2" t="s">
        <v>771</v>
      </c>
      <c r="E2" t="s">
        <v>190</v>
      </c>
      <c r="F2">
        <v>1</v>
      </c>
      <c r="G2">
        <v>1</v>
      </c>
    </row>
    <row r="3" spans="1:7" x14ac:dyDescent="0.35">
      <c r="A3">
        <v>34</v>
      </c>
      <c r="B3">
        <v>2</v>
      </c>
      <c r="C3" t="s">
        <v>774</v>
      </c>
      <c r="D3" t="s">
        <v>773</v>
      </c>
      <c r="E3" t="s">
        <v>190</v>
      </c>
      <c r="F3">
        <v>2</v>
      </c>
      <c r="G3">
        <v>2</v>
      </c>
    </row>
    <row r="4" spans="1:7" x14ac:dyDescent="0.35">
      <c r="A4">
        <v>34</v>
      </c>
      <c r="B4">
        <v>3</v>
      </c>
      <c r="C4" t="s">
        <v>776</v>
      </c>
      <c r="D4" t="s">
        <v>775</v>
      </c>
      <c r="E4" t="s">
        <v>190</v>
      </c>
      <c r="F4">
        <v>2</v>
      </c>
      <c r="G4">
        <v>4</v>
      </c>
    </row>
    <row r="5" spans="1:7" x14ac:dyDescent="0.35">
      <c r="A5">
        <v>34</v>
      </c>
      <c r="B5">
        <v>4</v>
      </c>
      <c r="C5" t="s">
        <v>778</v>
      </c>
      <c r="D5" t="s">
        <v>777</v>
      </c>
      <c r="E5" t="s">
        <v>190</v>
      </c>
      <c r="F5">
        <v>2</v>
      </c>
      <c r="G5">
        <v>4</v>
      </c>
    </row>
    <row r="6" spans="1:7" x14ac:dyDescent="0.35">
      <c r="A6">
        <v>34</v>
      </c>
      <c r="B6">
        <v>5</v>
      </c>
      <c r="C6" t="s">
        <v>780</v>
      </c>
      <c r="D6" t="s">
        <v>779</v>
      </c>
      <c r="E6" t="s">
        <v>190</v>
      </c>
      <c r="F6">
        <v>2</v>
      </c>
      <c r="G6">
        <v>4</v>
      </c>
    </row>
    <row r="7" spans="1:7" x14ac:dyDescent="0.35">
      <c r="A7">
        <v>34</v>
      </c>
      <c r="B7">
        <v>6</v>
      </c>
      <c r="C7" t="s">
        <v>782</v>
      </c>
      <c r="D7" t="s">
        <v>781</v>
      </c>
      <c r="E7" t="s">
        <v>270</v>
      </c>
      <c r="F7">
        <v>1</v>
      </c>
      <c r="G7">
        <v>1</v>
      </c>
    </row>
    <row r="8" spans="1:7" x14ac:dyDescent="0.35">
      <c r="A8">
        <v>34</v>
      </c>
      <c r="B8">
        <v>7</v>
      </c>
      <c r="C8" t="s">
        <v>782</v>
      </c>
      <c r="D8" t="s">
        <v>783</v>
      </c>
      <c r="E8" t="s">
        <v>270</v>
      </c>
      <c r="F8">
        <v>1</v>
      </c>
      <c r="G8">
        <v>4</v>
      </c>
    </row>
    <row r="9" spans="1:7" x14ac:dyDescent="0.35">
      <c r="A9">
        <v>34</v>
      </c>
      <c r="B9">
        <v>8</v>
      </c>
      <c r="C9" t="s">
        <v>785</v>
      </c>
      <c r="D9" t="s">
        <v>784</v>
      </c>
      <c r="E9" t="s">
        <v>270</v>
      </c>
      <c r="F9">
        <v>1</v>
      </c>
      <c r="G9">
        <v>10</v>
      </c>
    </row>
    <row r="10" spans="1:7" x14ac:dyDescent="0.35">
      <c r="A10">
        <v>34</v>
      </c>
      <c r="B10">
        <v>9</v>
      </c>
      <c r="C10" t="s">
        <v>787</v>
      </c>
      <c r="D10" t="s">
        <v>786</v>
      </c>
      <c r="E10" t="s">
        <v>257</v>
      </c>
      <c r="F10">
        <v>1</v>
      </c>
      <c r="G10">
        <v>1</v>
      </c>
    </row>
    <row r="11" spans="1:7" x14ac:dyDescent="0.35">
      <c r="A11">
        <v>34</v>
      </c>
      <c r="B11">
        <v>10</v>
      </c>
      <c r="C11" t="s">
        <v>789</v>
      </c>
      <c r="D11" t="s">
        <v>788</v>
      </c>
      <c r="E11" t="s">
        <v>257</v>
      </c>
      <c r="F11">
        <v>1</v>
      </c>
      <c r="G11">
        <v>1</v>
      </c>
    </row>
    <row r="12" spans="1:7" x14ac:dyDescent="0.35">
      <c r="A12">
        <v>34</v>
      </c>
      <c r="B12">
        <v>11</v>
      </c>
      <c r="C12" t="s">
        <v>789</v>
      </c>
      <c r="D12" t="s">
        <v>790</v>
      </c>
      <c r="E12" t="s">
        <v>270</v>
      </c>
      <c r="F12">
        <v>1</v>
      </c>
      <c r="G12">
        <v>1</v>
      </c>
    </row>
    <row r="13" spans="1:7" x14ac:dyDescent="0.35">
      <c r="A13">
        <v>34</v>
      </c>
      <c r="B13">
        <v>12</v>
      </c>
      <c r="C13" t="s">
        <v>789</v>
      </c>
      <c r="D13" t="s">
        <v>791</v>
      </c>
      <c r="E13" t="s">
        <v>270</v>
      </c>
      <c r="F13">
        <v>1</v>
      </c>
      <c r="G13">
        <v>1</v>
      </c>
    </row>
    <row r="14" spans="1:7" x14ac:dyDescent="0.35">
      <c r="A14">
        <v>34</v>
      </c>
      <c r="B14">
        <f>B13+1</f>
        <v>13</v>
      </c>
      <c r="C14" t="s">
        <v>793</v>
      </c>
      <c r="D14" t="s">
        <v>792</v>
      </c>
      <c r="E14" t="s">
        <v>273</v>
      </c>
      <c r="F14">
        <v>0</v>
      </c>
      <c r="G14">
        <v>4</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5F8C9-C613-468E-B8C6-ADC4552679D6}">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7FB5F-8966-4D3F-BE69-7088ECFC424E}">
  <sheetPr>
    <tabColor rgb="FFFFC000"/>
  </sheetPr>
  <dimension ref="A1:AH650"/>
  <sheetViews>
    <sheetView tabSelected="1" topLeftCell="F1" zoomScale="85" zoomScaleNormal="85" workbookViewId="0">
      <selection activeCell="U60" sqref="U60"/>
    </sheetView>
  </sheetViews>
  <sheetFormatPr defaultRowHeight="14.5" x14ac:dyDescent="0.35"/>
  <cols>
    <col min="1" max="1" width="6" style="10" customWidth="1"/>
    <col min="2" max="2" width="6.54296875" style="10" customWidth="1"/>
    <col min="3" max="3" width="40.26953125" style="10" customWidth="1"/>
    <col min="4" max="4" width="11.7265625" style="10" customWidth="1"/>
    <col min="5" max="5" width="11.453125" style="10" customWidth="1"/>
    <col min="6" max="16384" width="8.7265625" style="10"/>
  </cols>
  <sheetData>
    <row r="1" spans="1:34" ht="15" thickBot="1" x14ac:dyDescent="0.4">
      <c r="A1" s="17" t="s">
        <v>0</v>
      </c>
      <c r="B1" s="17"/>
      <c r="C1" s="10" t="s">
        <v>222</v>
      </c>
      <c r="D1" s="10" t="s">
        <v>223</v>
      </c>
      <c r="E1" s="10" t="s">
        <v>1195</v>
      </c>
      <c r="F1" s="10" t="s">
        <v>225</v>
      </c>
    </row>
    <row r="2" spans="1:34" x14ac:dyDescent="0.35">
      <c r="A2" s="10">
        <f>'1'!A2</f>
        <v>1</v>
      </c>
      <c r="B2" s="10">
        <f>'1'!B2</f>
        <v>1</v>
      </c>
      <c r="C2" s="10" t="str">
        <f>'1'!D2</f>
        <v>woodlands take many decades to become established</v>
      </c>
      <c r="D2" s="10" t="str">
        <f>'1'!E2</f>
        <v>A</v>
      </c>
      <c r="E2" s="10">
        <f>'1'!F2</f>
        <v>1</v>
      </c>
      <c r="F2" s="10">
        <f>'1'!G2</f>
        <v>2</v>
      </c>
      <c r="H2" s="19" t="s">
        <v>223</v>
      </c>
      <c r="I2" s="24" t="s">
        <v>1092</v>
      </c>
      <c r="J2" s="19" t="s">
        <v>224</v>
      </c>
      <c r="K2" s="20" t="s">
        <v>1093</v>
      </c>
      <c r="L2" s="19" t="s">
        <v>225</v>
      </c>
      <c r="M2" s="20" t="s">
        <v>1093</v>
      </c>
      <c r="O2" s="42"/>
      <c r="P2" s="42"/>
      <c r="Q2" s="42"/>
      <c r="R2" s="42"/>
      <c r="S2" s="42"/>
      <c r="T2" s="42"/>
      <c r="U2" s="42"/>
      <c r="V2" s="42"/>
      <c r="W2" s="42"/>
      <c r="X2" s="42"/>
      <c r="Y2" s="42"/>
      <c r="Z2" s="42"/>
      <c r="AA2" s="42"/>
      <c r="AB2" s="42"/>
      <c r="AC2" s="42"/>
      <c r="AD2" s="42"/>
      <c r="AE2" s="42"/>
      <c r="AF2" s="42"/>
      <c r="AG2" s="42"/>
      <c r="AH2" s="42"/>
    </row>
    <row r="3" spans="1:34" x14ac:dyDescent="0.35">
      <c r="A3" s="10">
        <f>'1'!A3</f>
        <v>1</v>
      </c>
      <c r="B3" s="10">
        <f>'1'!B3</f>
        <v>2</v>
      </c>
      <c r="C3" s="10" t="str">
        <f>'1'!D3</f>
        <v>benefits at scales beyond the target site</v>
      </c>
      <c r="D3" s="10" t="str">
        <f>'1'!E3</f>
        <v>A</v>
      </c>
      <c r="E3" s="10">
        <f>'1'!F3</f>
        <v>1</v>
      </c>
      <c r="F3" s="10">
        <f>'1'!G3</f>
        <v>8</v>
      </c>
      <c r="H3" s="21" t="s">
        <v>270</v>
      </c>
      <c r="I3" s="25">
        <f>COUNTIF(D:D,"A")</f>
        <v>184</v>
      </c>
      <c r="J3" s="21" t="s">
        <v>271</v>
      </c>
      <c r="K3" s="22">
        <f>COUNTIFS(E:E,"1",D:D,"A")</f>
        <v>113</v>
      </c>
      <c r="L3" s="29" t="s">
        <v>553</v>
      </c>
      <c r="M3" s="22">
        <f>COUNTIFS(F:F,"1",E:E,"1",D:D,"A")</f>
        <v>36</v>
      </c>
      <c r="O3" s="42"/>
      <c r="P3" s="42"/>
      <c r="Q3" s="42"/>
      <c r="R3" s="42"/>
      <c r="S3" s="42"/>
      <c r="T3" s="42"/>
      <c r="U3" s="42"/>
      <c r="V3" s="42"/>
      <c r="W3" s="42"/>
      <c r="X3" s="42"/>
      <c r="Y3" s="42"/>
      <c r="Z3" s="42"/>
      <c r="AA3" s="42"/>
      <c r="AB3" s="42"/>
      <c r="AC3" s="42"/>
      <c r="AD3" s="42"/>
      <c r="AE3" s="42"/>
      <c r="AF3" s="42"/>
      <c r="AG3" s="42"/>
      <c r="AH3" s="42"/>
    </row>
    <row r="4" spans="1:34" x14ac:dyDescent="0.35">
      <c r="A4" s="10">
        <f>'1'!A4</f>
        <v>1</v>
      </c>
      <c r="B4" s="10">
        <f>'1'!B4</f>
        <v>3</v>
      </c>
      <c r="C4" s="10" t="str">
        <f>'1'!D4</f>
        <v>Research needed about different stakeholder groups who prioritise different woodland benefits</v>
      </c>
      <c r="D4" s="10" t="str">
        <f>'1'!E4</f>
        <v>B</v>
      </c>
      <c r="E4" s="10">
        <f>'1'!F4</f>
        <v>0</v>
      </c>
      <c r="F4" s="10">
        <f>'1'!G4</f>
        <v>1</v>
      </c>
      <c r="H4" s="21" t="s">
        <v>273</v>
      </c>
      <c r="I4" s="25">
        <f>COUNTIF(D:D,"B")</f>
        <v>67</v>
      </c>
      <c r="J4" s="21" t="s">
        <v>353</v>
      </c>
      <c r="K4" s="22">
        <f>COUNTIFS(E:E,"2",D:D,"A")</f>
        <v>31</v>
      </c>
      <c r="L4" s="29" t="s">
        <v>690</v>
      </c>
      <c r="M4" s="22">
        <f>COUNTIFS(F:F,"2",E:E,"1",D:D,"A")</f>
        <v>11</v>
      </c>
      <c r="O4" s="42"/>
      <c r="P4" s="42"/>
      <c r="Q4" s="42"/>
      <c r="R4" s="42"/>
      <c r="S4" s="42"/>
      <c r="T4" s="42"/>
      <c r="U4" s="42"/>
      <c r="V4" s="42"/>
      <c r="W4" s="42"/>
      <c r="X4" s="42"/>
      <c r="Y4" s="42"/>
      <c r="Z4" s="42"/>
      <c r="AA4" s="42"/>
      <c r="AB4" s="42"/>
      <c r="AC4" s="42"/>
      <c r="AD4" s="42"/>
      <c r="AE4" s="42"/>
      <c r="AF4" s="42"/>
      <c r="AG4" s="42"/>
      <c r="AH4" s="42"/>
    </row>
    <row r="5" spans="1:34" x14ac:dyDescent="0.35">
      <c r="A5" s="10">
        <f>'1'!A5</f>
        <v>1</v>
      </c>
      <c r="B5" s="10">
        <f>'1'!B5</f>
        <v>4</v>
      </c>
      <c r="C5" s="10" t="str">
        <f>'1'!D5</f>
        <v xml:space="preserve">data on social benefits can be  resource-intensive to collect and difficult to quantify in a manner  that is both meaningful and large-scale </v>
      </c>
      <c r="D5" s="10" t="str">
        <f>'1'!E5</f>
        <v>C</v>
      </c>
      <c r="E5" s="10">
        <f>'1'!F5</f>
        <v>3</v>
      </c>
      <c r="F5" s="10">
        <f>'1'!G5</f>
        <v>1</v>
      </c>
      <c r="H5" s="21" t="s">
        <v>190</v>
      </c>
      <c r="I5" s="25">
        <f>COUNTIF(D:D,"C")</f>
        <v>154</v>
      </c>
      <c r="J5" s="21" t="s">
        <v>1104</v>
      </c>
      <c r="K5" s="22">
        <f>COUNTIFS(E:E,"3",D:D,"A")</f>
        <v>33</v>
      </c>
      <c r="L5" s="29" t="s">
        <v>272</v>
      </c>
      <c r="M5" s="22">
        <f>COUNTIFS(F:F,"3",E:E,"1",D:D,"A")</f>
        <v>1</v>
      </c>
      <c r="O5" s="42"/>
      <c r="P5" s="42"/>
      <c r="Q5" s="42"/>
      <c r="R5" s="42"/>
      <c r="S5" s="42"/>
      <c r="T5" s="42"/>
      <c r="U5" s="42"/>
      <c r="V5" s="42"/>
      <c r="W5" s="42"/>
      <c r="X5" s="42"/>
      <c r="Y5" s="42"/>
      <c r="Z5" s="42"/>
      <c r="AA5" s="42"/>
      <c r="AB5" s="42"/>
      <c r="AC5" s="42"/>
      <c r="AD5" s="42"/>
      <c r="AE5" s="42"/>
      <c r="AF5" s="42"/>
      <c r="AG5" s="42"/>
      <c r="AH5" s="42"/>
    </row>
    <row r="6" spans="1:34" x14ac:dyDescent="0.35">
      <c r="A6" s="10">
        <f>'1'!A6</f>
        <v>1</v>
      </c>
      <c r="B6" s="10">
        <f>'1'!B6</f>
        <v>5</v>
      </c>
      <c r="C6" s="10" t="str">
        <f>'1'!D6</f>
        <v>effectiveness of grant schemes difficult to assess due to lack of information on (social) impacts</v>
      </c>
      <c r="D6" s="10" t="str">
        <f>'1'!E6</f>
        <v>C</v>
      </c>
      <c r="E6" s="10">
        <f>'1'!F6</f>
        <v>2</v>
      </c>
      <c r="F6" s="10">
        <f>'1'!G6</f>
        <v>1</v>
      </c>
      <c r="H6" s="21" t="s">
        <v>278</v>
      </c>
      <c r="I6" s="25">
        <f>COUNTIF(D:D,"D")</f>
        <v>39</v>
      </c>
      <c r="J6" s="21" t="s">
        <v>1316</v>
      </c>
      <c r="K6" s="22">
        <f>COUNTIFS(E:E,"4",D:D,"A")</f>
        <v>7</v>
      </c>
      <c r="L6" s="29" t="s">
        <v>1317</v>
      </c>
      <c r="M6" s="22">
        <f>COUNTIFS(F:F,"4",E:E,"1",D:D,"A")</f>
        <v>5</v>
      </c>
      <c r="O6" s="42"/>
      <c r="P6" s="42"/>
      <c r="Q6" s="42"/>
      <c r="R6" s="42"/>
      <c r="S6" s="42"/>
      <c r="T6" s="42"/>
      <c r="U6" s="42"/>
      <c r="V6" s="42"/>
      <c r="W6" s="42"/>
      <c r="X6" s="42"/>
      <c r="Y6" s="42"/>
      <c r="Z6" s="42"/>
      <c r="AA6" s="42"/>
      <c r="AB6" s="42"/>
      <c r="AC6" s="42"/>
      <c r="AD6" s="42"/>
      <c r="AE6" s="42"/>
      <c r="AF6" s="42"/>
      <c r="AG6" s="42"/>
      <c r="AH6" s="42"/>
    </row>
    <row r="7" spans="1:34" x14ac:dyDescent="0.35">
      <c r="A7" s="10">
        <f>'1'!A7</f>
        <v>1</v>
      </c>
      <c r="B7" s="10">
        <f>'1'!B7</f>
        <v>6</v>
      </c>
      <c r="C7" s="10" t="str">
        <f>'1'!D7</f>
        <v>many restoration projects have no system of long-term monitoring, quality outcome data are limited,  posing a significant barrier to evaluation</v>
      </c>
      <c r="D7" s="10" t="str">
        <f>'1'!E7</f>
        <v>C</v>
      </c>
      <c r="E7" s="10">
        <f>'1'!F7</f>
        <v>1</v>
      </c>
      <c r="F7" s="10">
        <f>'1'!G7</f>
        <v>2</v>
      </c>
      <c r="H7" s="21" t="s">
        <v>202</v>
      </c>
      <c r="I7" s="25">
        <f>COUNTIF(D:D,"E")</f>
        <v>22</v>
      </c>
      <c r="J7" s="21" t="s">
        <v>236</v>
      </c>
      <c r="K7" s="22">
        <f>COUNTIFS(E:E,"1",D:D,"C")</f>
        <v>59</v>
      </c>
      <c r="L7" s="29" t="s">
        <v>1318</v>
      </c>
      <c r="M7" s="22">
        <f>COUNTIFS(F:F,"5",E:E,"1",D:D,"A")</f>
        <v>3</v>
      </c>
      <c r="O7" s="42"/>
      <c r="P7" s="42"/>
      <c r="Q7" s="42"/>
      <c r="R7" s="42"/>
      <c r="S7" s="42"/>
      <c r="T7" s="42"/>
      <c r="U7" s="42"/>
      <c r="V7" s="42"/>
      <c r="W7" s="42"/>
      <c r="X7" s="42"/>
      <c r="Y7" s="42"/>
      <c r="Z7" s="42"/>
      <c r="AA7" s="42"/>
      <c r="AB7" s="42"/>
      <c r="AC7" s="42"/>
      <c r="AD7" s="42"/>
      <c r="AE7" s="42"/>
      <c r="AF7" s="42"/>
      <c r="AG7" s="42"/>
      <c r="AH7" s="42"/>
    </row>
    <row r="8" spans="1:34" ht="15" thickBot="1" x14ac:dyDescent="0.4">
      <c r="A8" s="10">
        <f>'1'!A8</f>
        <v>1</v>
      </c>
      <c r="B8" s="10">
        <f>'1'!B8</f>
        <v>7</v>
      </c>
      <c r="C8" s="10" t="str">
        <f>'1'!D8</f>
        <v xml:space="preserve">rationale behind woodland restoration projects  is rarely clearly articulated. Objectives are therefore  difficult to measure, and can vary significantly between and within  woodlands. Moreover, since high-level policy objectives such as ‘conserving  biodiversity’ are relatively abstract, identifying suitable outcome  measures is challenging and often relies on proxies such as population trends of indicator species </v>
      </c>
      <c r="D8" s="10" t="str">
        <f>'1'!E8</f>
        <v>C</v>
      </c>
      <c r="E8" s="10">
        <f>'1'!F8</f>
        <v>1</v>
      </c>
      <c r="F8" s="10">
        <f>'1'!G8</f>
        <v>3</v>
      </c>
      <c r="H8" s="23" t="s">
        <v>257</v>
      </c>
      <c r="I8" s="27">
        <f>COUNTIF(D:D,"F")</f>
        <v>180</v>
      </c>
      <c r="J8" s="21" t="s">
        <v>191</v>
      </c>
      <c r="K8" s="22">
        <f>COUNTIFS(E:E,"2",D:D,"C")</f>
        <v>52</v>
      </c>
      <c r="L8" s="29" t="s">
        <v>1319</v>
      </c>
      <c r="M8" s="22">
        <f>COUNTIFS(F:F,"6",E:E,"1",D:D,"A")</f>
        <v>3</v>
      </c>
      <c r="O8" s="42"/>
      <c r="P8" s="42"/>
      <c r="Q8" s="42"/>
      <c r="R8" s="42"/>
      <c r="S8" s="42"/>
      <c r="T8" s="42"/>
      <c r="U8" s="42"/>
      <c r="V8" s="42"/>
      <c r="W8" s="42"/>
      <c r="X8" s="42"/>
      <c r="Y8" s="42"/>
      <c r="Z8" s="42"/>
      <c r="AA8" s="42"/>
      <c r="AB8" s="42"/>
      <c r="AC8" s="42"/>
      <c r="AD8" s="42"/>
      <c r="AE8" s="42"/>
      <c r="AF8" s="42"/>
      <c r="AG8" s="42"/>
      <c r="AH8" s="42"/>
    </row>
    <row r="9" spans="1:34" x14ac:dyDescent="0.35">
      <c r="A9" s="10">
        <f>'1'!A9</f>
        <v>1</v>
      </c>
      <c r="B9" s="10">
        <f>'1'!B9</f>
        <v>8</v>
      </c>
      <c r="C9" s="10" t="str">
        <f>'1'!D9</f>
        <v xml:space="preserve"> difficulty of  mapping non-market benefits in a policy relevant way</v>
      </c>
      <c r="D9" s="10" t="str">
        <f>'1'!E9</f>
        <v>C</v>
      </c>
      <c r="E9" s="10">
        <f>'1'!F9</f>
        <v>2</v>
      </c>
      <c r="F9" s="10">
        <f>'1'!G9</f>
        <v>2</v>
      </c>
      <c r="H9" s="25"/>
      <c r="I9" s="25"/>
      <c r="J9" s="21" t="s">
        <v>199</v>
      </c>
      <c r="K9" s="22">
        <f>COUNTIFS(E:E,"3",D:D,"C")</f>
        <v>43</v>
      </c>
      <c r="L9" s="29" t="s">
        <v>1320</v>
      </c>
      <c r="M9" s="22">
        <f>COUNTIFS(F:F,"7",E:E,"1",D:D,"A")</f>
        <v>6</v>
      </c>
      <c r="O9" s="42"/>
      <c r="P9" s="42"/>
      <c r="Q9" s="42"/>
      <c r="R9" s="42"/>
      <c r="S9" s="42"/>
      <c r="T9" s="42"/>
      <c r="U9" s="42"/>
      <c r="V9" s="42"/>
      <c r="W9" s="42"/>
      <c r="X9" s="42"/>
      <c r="Y9" s="42"/>
      <c r="Z9" s="42"/>
      <c r="AA9" s="42"/>
      <c r="AB9" s="42"/>
      <c r="AC9" s="42"/>
      <c r="AD9" s="42"/>
      <c r="AE9" s="42"/>
      <c r="AF9" s="42"/>
      <c r="AG9" s="42"/>
      <c r="AH9" s="42"/>
    </row>
    <row r="10" spans="1:34" x14ac:dyDescent="0.35">
      <c r="A10" s="10">
        <f>'1'!A10</f>
        <v>1</v>
      </c>
      <c r="B10" s="10">
        <f>'1'!B10</f>
        <v>9</v>
      </c>
      <c r="C10" s="10" t="str">
        <f>'1'!D10</f>
        <v>Evaluation is often seen as low priority and can face resource limitations, particularly  on smaller projects.</v>
      </c>
      <c r="D10" s="10" t="str">
        <f>'1'!E10</f>
        <v>A</v>
      </c>
      <c r="E10" s="10">
        <f>'1'!F10</f>
        <v>1</v>
      </c>
      <c r="F10" s="10">
        <f>'1'!G10</f>
        <v>1</v>
      </c>
      <c r="J10" s="21" t="s">
        <v>258</v>
      </c>
      <c r="K10" s="22">
        <f>COUNTIFS(E:E,"1",D:D,"F")</f>
        <v>50</v>
      </c>
      <c r="L10" s="29" t="s">
        <v>1151</v>
      </c>
      <c r="M10" s="22">
        <f>COUNTIFS(F:F,"8",E:E,"1",D:D,"A")</f>
        <v>20</v>
      </c>
      <c r="O10" s="42"/>
      <c r="P10" s="42"/>
      <c r="Q10" s="42"/>
      <c r="R10" s="42"/>
      <c r="S10" s="42"/>
      <c r="T10" s="42"/>
      <c r="U10" s="42"/>
      <c r="V10" s="42"/>
      <c r="W10" s="42"/>
      <c r="X10" s="42"/>
      <c r="Y10" s="42"/>
      <c r="Z10" s="42"/>
      <c r="AA10" s="42"/>
      <c r="AB10" s="42"/>
      <c r="AC10" s="42"/>
      <c r="AD10" s="42"/>
      <c r="AE10" s="42"/>
      <c r="AF10" s="42"/>
      <c r="AG10" s="42"/>
      <c r="AH10" s="42"/>
    </row>
    <row r="11" spans="1:34" x14ac:dyDescent="0.35">
      <c r="A11" s="10">
        <f>'1'!A11</f>
        <v>1</v>
      </c>
      <c r="B11" s="10">
        <f>'1'!B11</f>
        <v>10</v>
      </c>
      <c r="C11" s="10" t="str">
        <f>'1'!D11</f>
        <v>farmers and private  investors depend on profitability - grant payments instrumental to change behaviour/practices</v>
      </c>
      <c r="D11" s="10" t="str">
        <f>'1'!E11</f>
        <v>A</v>
      </c>
      <c r="E11" s="10">
        <f>'1'!F11</f>
        <v>1</v>
      </c>
      <c r="F11" s="10">
        <f>'1'!G11</f>
        <v>8</v>
      </c>
      <c r="J11" s="21" t="s">
        <v>324</v>
      </c>
      <c r="K11" s="22">
        <f>COUNTIFS(E:E,"2",D:D,"F")</f>
        <v>65</v>
      </c>
      <c r="L11" s="29" t="s">
        <v>1321</v>
      </c>
      <c r="M11" s="22">
        <f>COUNTIFS(F:F,"9",E:E,"1",D:D,"A")</f>
        <v>1</v>
      </c>
      <c r="O11" s="42"/>
      <c r="P11" s="42"/>
      <c r="Q11" s="42"/>
      <c r="R11" s="42"/>
      <c r="S11" s="42"/>
      <c r="T11" s="42"/>
      <c r="U11" s="42"/>
      <c r="V11" s="42"/>
      <c r="W11" s="42"/>
      <c r="X11" s="42"/>
      <c r="Y11" s="42"/>
      <c r="Z11" s="42"/>
      <c r="AA11" s="42"/>
      <c r="AB11" s="42"/>
      <c r="AC11" s="42"/>
      <c r="AD11" s="42"/>
      <c r="AE11" s="42"/>
      <c r="AF11" s="42"/>
      <c r="AG11" s="42"/>
      <c r="AH11" s="42"/>
    </row>
    <row r="12" spans="1:34" x14ac:dyDescent="0.35">
      <c r="A12" s="10">
        <f>'1'!A12</f>
        <v>1</v>
      </c>
      <c r="B12" s="10">
        <f>'1'!B12</f>
        <v>11</v>
      </c>
      <c r="C12" s="10" t="str">
        <f>'1'!D12</f>
        <v>Poor economic returns - - most important barrier to woodland creation</v>
      </c>
      <c r="D12" s="10" t="str">
        <f>'1'!E12</f>
        <v>A</v>
      </c>
      <c r="E12" s="10">
        <f>'1'!F12</f>
        <v>1</v>
      </c>
      <c r="F12" s="10">
        <f>'1'!G12</f>
        <v>8</v>
      </c>
      <c r="J12" s="21" t="s">
        <v>293</v>
      </c>
      <c r="K12" s="22">
        <f>COUNTIFS(E:E,"3",D:D,"F")</f>
        <v>21</v>
      </c>
      <c r="L12" s="29" t="s">
        <v>1322</v>
      </c>
      <c r="M12" s="22">
        <f>COUNTIFS(F:F,"10",E:E,"1",D:D,"A")</f>
        <v>15</v>
      </c>
      <c r="O12" s="42"/>
      <c r="P12" s="42"/>
      <c r="Q12" s="42"/>
      <c r="R12" s="42"/>
      <c r="S12" s="42"/>
      <c r="T12" s="42"/>
      <c r="U12" s="42"/>
      <c r="V12" s="42"/>
      <c r="W12" s="42"/>
      <c r="X12" s="42"/>
      <c r="Y12" s="42"/>
      <c r="Z12" s="42"/>
      <c r="AA12" s="42"/>
      <c r="AB12" s="42"/>
      <c r="AC12" s="42"/>
      <c r="AD12" s="42"/>
      <c r="AE12" s="42"/>
      <c r="AF12" s="42"/>
      <c r="AG12" s="42"/>
      <c r="AH12" s="42"/>
    </row>
    <row r="13" spans="1:34" x14ac:dyDescent="0.35">
      <c r="A13" s="10">
        <f>'1'!A13</f>
        <v>1</v>
      </c>
      <c r="B13" s="10">
        <f>'1'!B13</f>
        <v>12</v>
      </c>
      <c r="C13" s="10" t="str">
        <f>'1'!D13</f>
        <v>tax incentives as a significant  motivator to change business practices</v>
      </c>
      <c r="D13" s="10" t="str">
        <f>'1'!E13</f>
        <v>A</v>
      </c>
      <c r="E13" s="10">
        <f>'1'!F13</f>
        <v>1</v>
      </c>
      <c r="F13" s="10">
        <f>'1'!G13</f>
        <v>10</v>
      </c>
      <c r="J13" s="21" t="s">
        <v>1094</v>
      </c>
      <c r="K13" s="22">
        <f>COUNTIFS(E:E,"4",D:D,"F")</f>
        <v>6</v>
      </c>
      <c r="L13" s="29" t="s">
        <v>1323</v>
      </c>
      <c r="M13" s="22">
        <f>COUNTIFS(F:F,"11",E:E,"1",D:D,"A")</f>
        <v>12</v>
      </c>
      <c r="O13" s="42"/>
      <c r="P13" s="42"/>
      <c r="Q13" s="42"/>
      <c r="R13" s="42"/>
      <c r="S13" s="42"/>
      <c r="T13" s="42"/>
      <c r="U13" s="42"/>
      <c r="V13" s="42"/>
      <c r="W13" s="42"/>
      <c r="X13" s="42"/>
      <c r="Y13" s="42"/>
      <c r="Z13" s="42"/>
      <c r="AA13" s="42"/>
      <c r="AB13" s="42"/>
      <c r="AC13" s="42"/>
      <c r="AD13" s="42"/>
      <c r="AE13" s="42"/>
      <c r="AF13" s="42"/>
      <c r="AG13" s="42"/>
      <c r="AH13" s="42"/>
    </row>
    <row r="14" spans="1:34" ht="15" thickBot="1" x14ac:dyDescent="0.4">
      <c r="A14" s="10">
        <f>'1'!A14</f>
        <v>1</v>
      </c>
      <c r="B14" s="10">
        <f>'1'!B14</f>
        <v>13</v>
      </c>
      <c r="C14" s="10" t="str">
        <f>'1'!D14</f>
        <v>market fluctuations may influence the decision to plant woodland if the value  of grants or timber products is uncompetitive with alternative  land-uses</v>
      </c>
      <c r="D14" s="10" t="str">
        <f>'1'!E14</f>
        <v>A</v>
      </c>
      <c r="E14" s="10">
        <f>'1'!F14</f>
        <v>1</v>
      </c>
      <c r="F14" s="10">
        <f>'1'!G14</f>
        <v>11</v>
      </c>
      <c r="J14" s="23" t="s">
        <v>1100</v>
      </c>
      <c r="K14" s="26">
        <f>COUNTIFS(E:E,"5",D:D,"F")</f>
        <v>38</v>
      </c>
      <c r="L14" s="29" t="s">
        <v>354</v>
      </c>
      <c r="M14" s="22">
        <f>COUNTIFS(F:F,"1",E:E,"2",D:D,"A")</f>
        <v>3</v>
      </c>
      <c r="O14" s="42"/>
      <c r="P14" s="42"/>
      <c r="Q14" s="42"/>
      <c r="R14" s="42"/>
      <c r="S14" s="42"/>
      <c r="T14" s="42"/>
      <c r="U14" s="42"/>
      <c r="V14" s="42"/>
      <c r="W14" s="42"/>
      <c r="X14" s="42"/>
      <c r="Y14" s="42"/>
      <c r="Z14" s="42"/>
      <c r="AA14" s="42"/>
      <c r="AB14" s="42"/>
      <c r="AC14" s="42"/>
      <c r="AD14" s="42"/>
      <c r="AE14" s="42"/>
      <c r="AF14" s="42"/>
      <c r="AG14" s="42"/>
      <c r="AH14" s="42"/>
    </row>
    <row r="15" spans="1:34" x14ac:dyDescent="0.35">
      <c r="A15" s="10">
        <f>'1'!A15</f>
        <v>1</v>
      </c>
      <c r="B15" s="10">
        <f>'1'!B15</f>
        <v>14</v>
      </c>
      <c r="C15" s="10" t="str">
        <f>'1'!D15</f>
        <v xml:space="preserve">institutional investors remain attracted to the tax benefits and long-term  income </v>
      </c>
      <c r="D15" s="10" t="str">
        <f>'1'!E15</f>
        <v>A</v>
      </c>
      <c r="E15" s="10">
        <f>'1'!F15</f>
        <v>2</v>
      </c>
      <c r="F15" s="10">
        <f>'1'!G15</f>
        <v>4</v>
      </c>
      <c r="L15" s="29" t="s">
        <v>435</v>
      </c>
      <c r="M15" s="22">
        <f>COUNTIFS(F:F,"2",E:E,"2",D:D,"A")</f>
        <v>4</v>
      </c>
      <c r="O15" s="42"/>
      <c r="P15" s="42"/>
      <c r="Q15" s="42"/>
      <c r="R15" s="42"/>
      <c r="S15" s="42"/>
      <c r="T15" s="42"/>
      <c r="U15" s="42"/>
      <c r="V15" s="42"/>
      <c r="W15" s="42"/>
      <c r="X15" s="42"/>
      <c r="Y15" s="42"/>
      <c r="Z15" s="42"/>
      <c r="AA15" s="42"/>
      <c r="AB15" s="42"/>
      <c r="AC15" s="42"/>
      <c r="AD15" s="42"/>
      <c r="AE15" s="42"/>
      <c r="AF15" s="42"/>
      <c r="AG15" s="42"/>
      <c r="AH15" s="42"/>
    </row>
    <row r="16" spans="1:34" x14ac:dyDescent="0.35">
      <c r="A16" s="10">
        <f>'1'!A16</f>
        <v>1</v>
      </c>
      <c r="B16" s="10">
        <f>'1'!B16</f>
        <v>15</v>
      </c>
      <c r="C16" s="10" t="str">
        <f>'1'!D16</f>
        <v>farmers are often drawn to the shorter-term benefits of grant payments, or may avoid planting altogether</v>
      </c>
      <c r="D16" s="10" t="str">
        <f>'1'!E16</f>
        <v>A</v>
      </c>
      <c r="E16" s="10">
        <f>'1'!F16</f>
        <v>1</v>
      </c>
      <c r="F16" s="10">
        <f>'1'!G16</f>
        <v>2</v>
      </c>
      <c r="L16" s="29" t="s">
        <v>359</v>
      </c>
      <c r="M16" s="22">
        <f>COUNTIFS(F:F,"3",E:E,"2",D:D,"A")</f>
        <v>2</v>
      </c>
      <c r="O16" s="42"/>
      <c r="P16" s="42"/>
      <c r="Q16" s="42"/>
      <c r="R16" s="42"/>
      <c r="S16" s="42"/>
      <c r="T16" s="42"/>
      <c r="U16" s="42"/>
      <c r="V16" s="42"/>
      <c r="W16" s="42"/>
      <c r="X16" s="42"/>
      <c r="Y16" s="42"/>
      <c r="Z16" s="42"/>
      <c r="AA16" s="42"/>
      <c r="AB16" s="42"/>
      <c r="AC16" s="42"/>
      <c r="AD16" s="42"/>
      <c r="AE16" s="42"/>
      <c r="AF16" s="42"/>
      <c r="AG16" s="42"/>
      <c r="AH16" s="42"/>
    </row>
    <row r="17" spans="1:34" x14ac:dyDescent="0.35">
      <c r="A17" s="10">
        <f>'1'!A17</f>
        <v>1</v>
      </c>
      <c r="B17" s="10">
        <f>'1'!B17</f>
        <v>16</v>
      </c>
      <c r="C17" s="10" t="str">
        <f>'1'!D17</f>
        <v xml:space="preserve">Bureaucracy associated with grant schemes, often requires legal assistance </v>
      </c>
      <c r="D17" s="10" t="str">
        <f>'1'!E17</f>
        <v>A</v>
      </c>
      <c r="E17" s="10">
        <f>'1'!F17</f>
        <v>1</v>
      </c>
      <c r="F17" s="10">
        <f>'1'!G17</f>
        <v>10</v>
      </c>
      <c r="L17" s="29" t="s">
        <v>1324</v>
      </c>
      <c r="M17" s="22">
        <f>COUNTIFS(F:F,"4",E:E,"2",D:D,"A")</f>
        <v>12</v>
      </c>
      <c r="O17" s="42"/>
      <c r="P17" s="42"/>
      <c r="Q17" s="42"/>
      <c r="R17" s="42"/>
      <c r="S17" s="42"/>
      <c r="T17" s="42"/>
      <c r="U17" s="42"/>
      <c r="V17" s="42"/>
      <c r="W17" s="42"/>
      <c r="X17" s="42"/>
      <c r="Y17" s="42"/>
      <c r="Z17" s="42"/>
      <c r="AA17" s="42"/>
      <c r="AB17" s="42"/>
      <c r="AC17" s="42"/>
      <c r="AD17" s="42"/>
      <c r="AE17" s="42"/>
      <c r="AF17" s="42"/>
      <c r="AG17" s="42"/>
      <c r="AH17" s="42"/>
    </row>
    <row r="18" spans="1:34" x14ac:dyDescent="0.35">
      <c r="A18" s="10">
        <f>'1'!A18</f>
        <v>1</v>
      </c>
      <c r="B18" s="10">
        <f>'1'!B18</f>
        <v>17</v>
      </c>
      <c r="C18" s="10" t="str">
        <f>'1'!D18</f>
        <v>establishment and opportunity costs vary by woodland</v>
      </c>
      <c r="D18" s="10" t="str">
        <f>'1'!E18</f>
        <v>B</v>
      </c>
      <c r="E18" s="10">
        <f>'1'!F18</f>
        <v>0</v>
      </c>
      <c r="F18" s="10">
        <f>'1'!G18</f>
        <v>4</v>
      </c>
      <c r="L18" s="29" t="s">
        <v>1325</v>
      </c>
      <c r="M18" s="22">
        <f>COUNTIFS(F:F,"5",E:E,"2",D:D,"A")</f>
        <v>6</v>
      </c>
      <c r="O18" s="42"/>
      <c r="P18" s="42"/>
      <c r="Q18" s="42"/>
      <c r="R18" s="42"/>
      <c r="S18" s="42"/>
      <c r="T18" s="42"/>
      <c r="U18" s="42"/>
      <c r="V18" s="42"/>
      <c r="W18" s="42"/>
      <c r="X18" s="42"/>
      <c r="Y18" s="42"/>
      <c r="Z18" s="42"/>
      <c r="AA18" s="42"/>
      <c r="AB18" s="42"/>
      <c r="AC18" s="42"/>
      <c r="AD18" s="42"/>
      <c r="AE18" s="42"/>
      <c r="AF18" s="42"/>
      <c r="AG18" s="42"/>
      <c r="AH18" s="42"/>
    </row>
    <row r="19" spans="1:34" x14ac:dyDescent="0.35">
      <c r="A19" s="10">
        <f>'1'!A19</f>
        <v>1</v>
      </c>
      <c r="B19" s="10">
        <f>'1'!B19</f>
        <v>18</v>
      </c>
      <c r="C19" s="10" t="str">
        <f>'1'!D19</f>
        <v>Prioritising new woodlands on a  ‘least-cost’ or ‘most-benefit’ basis alone will be inefficient since it  does not recognise differential variability in costs and benefits over  space</v>
      </c>
      <c r="D19" s="10" t="str">
        <f>'1'!E19</f>
        <v>B</v>
      </c>
      <c r="E19" s="10">
        <f>'1'!F19</f>
        <v>0</v>
      </c>
      <c r="F19" s="10">
        <f>'1'!G19</f>
        <v>4</v>
      </c>
      <c r="L19" s="29" t="s">
        <v>1326</v>
      </c>
      <c r="M19" s="22">
        <f>COUNTIFS(F:F,"6",E:E,"2",D:D,"A")</f>
        <v>2</v>
      </c>
      <c r="O19" s="42"/>
      <c r="P19" s="42"/>
      <c r="Q19" s="42"/>
      <c r="R19" s="42"/>
      <c r="S19" s="42"/>
      <c r="T19" s="42"/>
      <c r="U19" s="42"/>
      <c r="V19" s="42"/>
      <c r="W19" s="42"/>
      <c r="X19" s="42"/>
      <c r="Y19" s="42"/>
      <c r="Z19" s="42"/>
      <c r="AA19" s="42"/>
      <c r="AB19" s="42"/>
      <c r="AC19" s="42"/>
      <c r="AD19" s="42"/>
      <c r="AE19" s="42"/>
      <c r="AF19" s="42"/>
      <c r="AG19" s="42"/>
      <c r="AH19" s="42"/>
    </row>
    <row r="20" spans="1:34" x14ac:dyDescent="0.35">
      <c r="A20" s="10">
        <f>'1'!A20</f>
        <v>1</v>
      </c>
      <c r="B20" s="10">
        <f>'1'!B20</f>
        <v>19</v>
      </c>
      <c r="C20" s="10" t="str">
        <f>'1'!D20</f>
        <v xml:space="preserve"> Since grant payments are largely  based on establishment cost, expenditure is therefore weighted  towards lower benefit woodlands</v>
      </c>
      <c r="D20" s="10" t="str">
        <f>'1'!E20</f>
        <v>A</v>
      </c>
      <c r="E20" s="10">
        <f>'1'!F20</f>
        <v>3</v>
      </c>
      <c r="F20" s="10">
        <f>'1'!G20</f>
        <v>2</v>
      </c>
      <c r="L20" s="29" t="s">
        <v>1327</v>
      </c>
      <c r="M20" s="22">
        <f>COUNTIFS(F:F,"7",E:E,"2",D:D,"A")</f>
        <v>2</v>
      </c>
      <c r="O20" s="42"/>
      <c r="P20" s="42"/>
      <c r="Q20" s="42"/>
      <c r="R20" s="42"/>
      <c r="S20" s="42"/>
      <c r="T20" s="42"/>
      <c r="U20" s="42"/>
      <c r="V20" s="42"/>
      <c r="W20" s="42"/>
      <c r="X20" s="42"/>
      <c r="Y20" s="42"/>
      <c r="Z20" s="42"/>
      <c r="AA20" s="42"/>
      <c r="AB20" s="42"/>
      <c r="AC20" s="42"/>
      <c r="AD20" s="42"/>
      <c r="AE20" s="42"/>
      <c r="AF20" s="42"/>
      <c r="AG20" s="42"/>
      <c r="AH20" s="42"/>
    </row>
    <row r="21" spans="1:34" x14ac:dyDescent="0.35">
      <c r="A21" s="10">
        <f>'1'!A21</f>
        <v>1</v>
      </c>
      <c r="B21" s="10">
        <f>'1'!B21</f>
        <v>20</v>
      </c>
      <c r="C21" s="10" t="str">
        <f>'1'!D21</f>
        <v>need for  updated cost-benefit analysis that takes into account a wider range  of woodland benefits</v>
      </c>
      <c r="D21" s="10" t="str">
        <f>'1'!E21</f>
        <v>C</v>
      </c>
      <c r="E21" s="10">
        <f>'1'!F21</f>
        <v>1</v>
      </c>
      <c r="F21" s="10">
        <f>'1'!G21</f>
        <v>1</v>
      </c>
      <c r="L21" s="29" t="s">
        <v>1328</v>
      </c>
      <c r="M21" s="22">
        <f>COUNTIFS(F:F,"1",E:E,"3",D:D,"A")</f>
        <v>11</v>
      </c>
      <c r="O21" s="42"/>
      <c r="P21" s="42"/>
      <c r="Q21" s="42"/>
      <c r="R21" s="42"/>
      <c r="S21" s="42"/>
      <c r="T21" s="42"/>
      <c r="U21" s="42"/>
      <c r="V21" s="42"/>
      <c r="W21" s="42"/>
      <c r="X21" s="42"/>
      <c r="Y21" s="42"/>
      <c r="Z21" s="42"/>
      <c r="AA21" s="42"/>
      <c r="AB21" s="42"/>
      <c r="AC21" s="42"/>
      <c r="AD21" s="42"/>
      <c r="AE21" s="42"/>
      <c r="AF21" s="42"/>
      <c r="AG21" s="42"/>
      <c r="AH21" s="42"/>
    </row>
    <row r="22" spans="1:34" x14ac:dyDescent="0.35">
      <c r="A22" s="10">
        <f>'1'!A22</f>
        <v>1</v>
      </c>
      <c r="B22" s="10">
        <f>'1'!B22</f>
        <v>21</v>
      </c>
      <c r="C22" s="10" t="str">
        <f>'1'!D22</f>
        <v>ecosystem services are not necessarily congruent in  space and time: maximisation of one service may result in the  reduction of others</v>
      </c>
      <c r="D22" s="10" t="str">
        <f>'1'!E22</f>
        <v>A</v>
      </c>
      <c r="E22" s="10">
        <f>'1'!F22</f>
        <v>1</v>
      </c>
      <c r="F22" s="10">
        <f>'1'!G22</f>
        <v>10</v>
      </c>
      <c r="L22" s="29" t="s">
        <v>1156</v>
      </c>
      <c r="M22" s="22">
        <f>COUNTIFS(F:F,"2",E:E,"3",D:D,"A")</f>
        <v>3</v>
      </c>
      <c r="O22" s="42"/>
      <c r="P22" s="42"/>
      <c r="Q22" s="42"/>
      <c r="R22" s="42"/>
      <c r="S22" s="42"/>
      <c r="T22" s="42"/>
      <c r="U22" s="42"/>
      <c r="V22" s="42"/>
      <c r="W22" s="42"/>
      <c r="X22" s="42"/>
      <c r="Y22" s="42"/>
      <c r="Z22" s="42"/>
      <c r="AA22" s="42"/>
      <c r="AB22" s="42"/>
      <c r="AC22" s="42"/>
      <c r="AD22" s="42"/>
      <c r="AE22" s="42"/>
      <c r="AF22" s="42"/>
      <c r="AG22" s="42"/>
      <c r="AH22" s="42"/>
    </row>
    <row r="23" spans="1:34" x14ac:dyDescent="0.35">
      <c r="A23" s="10">
        <f>'1'!A23</f>
        <v>1</v>
      </c>
      <c r="B23" s="10">
        <f>'1'!B23</f>
        <v>22</v>
      </c>
      <c r="C23" s="10" t="str">
        <f>'1'!D23</f>
        <v>Complexity can distort outcomes: decisions may be made based on ease of application rather than ecological suitability or landowner objectives</v>
      </c>
      <c r="D23" s="10" t="str">
        <f>'1'!E23</f>
        <v>A</v>
      </c>
      <c r="E23" s="10">
        <f>'1'!F23</f>
        <v>1</v>
      </c>
      <c r="F23" s="10">
        <f>'1'!G23</f>
        <v>7</v>
      </c>
      <c r="L23" s="29" t="s">
        <v>1329</v>
      </c>
      <c r="M23" s="22">
        <f>COUNTIFS(F:F,"3",E:E,"3",D:D,"A")</f>
        <v>15</v>
      </c>
      <c r="O23" s="42"/>
      <c r="P23" s="42"/>
      <c r="Q23" s="42"/>
      <c r="R23" s="42"/>
      <c r="S23" s="42"/>
      <c r="T23" s="42"/>
      <c r="U23" s="42"/>
      <c r="V23" s="42"/>
      <c r="W23" s="42"/>
      <c r="X23" s="42"/>
      <c r="Y23" s="42"/>
      <c r="Z23" s="42"/>
      <c r="AA23" s="42"/>
      <c r="AB23" s="42"/>
      <c r="AC23" s="42"/>
      <c r="AD23" s="42"/>
      <c r="AE23" s="42"/>
      <c r="AF23" s="42"/>
      <c r="AG23" s="42"/>
      <c r="AH23" s="42"/>
    </row>
    <row r="24" spans="1:34" x14ac:dyDescent="0.35">
      <c r="A24" s="10">
        <f>'1'!A24</f>
        <v>1</v>
      </c>
      <c r="B24" s="10">
        <f>'1'!B24</f>
        <v>23</v>
      </c>
      <c r="C24" s="10" t="str">
        <f>'1'!D24</f>
        <v>complexities carry significant transaction costs, both at the outset and for  the duration of the payment period</v>
      </c>
      <c r="D24" s="10" t="str">
        <f>'1'!E24</f>
        <v>A</v>
      </c>
      <c r="E24" s="10">
        <f>'1'!F24</f>
        <v>3</v>
      </c>
      <c r="F24" s="10">
        <f>'1'!G24</f>
        <v>3</v>
      </c>
      <c r="L24" s="29" t="s">
        <v>1330</v>
      </c>
      <c r="M24" s="22">
        <f>COUNTIFS(F:F,"4",E:E,"3",D:D,"A")</f>
        <v>3</v>
      </c>
      <c r="O24" s="42"/>
      <c r="P24" s="42"/>
      <c r="Q24" s="42"/>
      <c r="R24" s="42"/>
      <c r="S24" s="42"/>
      <c r="T24" s="42"/>
      <c r="U24" s="42"/>
      <c r="V24" s="42"/>
      <c r="W24" s="42"/>
      <c r="X24" s="42"/>
      <c r="Y24" s="42"/>
      <c r="Z24" s="42"/>
      <c r="AA24" s="42"/>
      <c r="AB24" s="42"/>
      <c r="AC24" s="42"/>
      <c r="AD24" s="42"/>
      <c r="AE24" s="42"/>
      <c r="AF24" s="42"/>
      <c r="AG24" s="42"/>
      <c r="AH24" s="42"/>
    </row>
    <row r="25" spans="1:34" x14ac:dyDescent="0.35">
      <c r="A25" s="10">
        <f>'1'!A25</f>
        <v>1</v>
      </c>
      <c r="B25" s="10">
        <f>'1'!B25</f>
        <v>24</v>
      </c>
      <c r="C25" s="10" t="str">
        <f>'1'!D25</f>
        <v>type of support and advice available to landowners can  greatly influence behaviour. This is tempered by perceived relevance, reliability and reputation of the source. Sound advice may be rejected if it contradicts value systems, while the advice and perception of peer groups is highly  influential</v>
      </c>
      <c r="D25" s="10" t="str">
        <f>'1'!E25</f>
        <v>D</v>
      </c>
      <c r="E25" s="10">
        <f>'1'!F25</f>
        <v>0</v>
      </c>
      <c r="F25" s="10">
        <f>'1'!G25</f>
        <v>5</v>
      </c>
      <c r="L25" s="29" t="s">
        <v>1331</v>
      </c>
      <c r="M25" s="22">
        <f>COUNTIFS(F:F,"1",E:E,"4",D:D,"A")</f>
        <v>1</v>
      </c>
      <c r="O25" s="42"/>
      <c r="P25" s="42"/>
      <c r="Q25" s="42"/>
      <c r="R25" s="42"/>
      <c r="S25" s="42"/>
      <c r="T25" s="42"/>
      <c r="U25" s="42"/>
      <c r="V25" s="42"/>
      <c r="W25" s="42"/>
      <c r="X25" s="42"/>
      <c r="Y25" s="42"/>
      <c r="Z25" s="42"/>
      <c r="AA25" s="42"/>
      <c r="AB25" s="42"/>
      <c r="AC25" s="42"/>
      <c r="AD25" s="42"/>
      <c r="AE25" s="42"/>
      <c r="AF25" s="42"/>
      <c r="AG25" s="42"/>
      <c r="AH25" s="42"/>
    </row>
    <row r="26" spans="1:34" x14ac:dyDescent="0.35">
      <c r="A26" s="10">
        <f>'1'!A26</f>
        <v>1</v>
      </c>
      <c r="B26" s="10">
        <f>'1'!B26</f>
        <v>25</v>
      </c>
      <c r="C26" s="10" t="str">
        <f>'1'!D26</f>
        <v xml:space="preserve"> a deep cultural divide exists  between forestry and other land uses such as shooting and farming. Many  farmers are strongly influenced by tradition and preserve a  strongly productivist self-image</v>
      </c>
      <c r="D26" s="10" t="str">
        <f>'1'!E26</f>
        <v>D</v>
      </c>
      <c r="E26" s="10">
        <f>'1'!F26</f>
        <v>0</v>
      </c>
      <c r="F26" s="10">
        <f>'1'!G26</f>
        <v>5</v>
      </c>
      <c r="L26" s="29" t="s">
        <v>1332</v>
      </c>
      <c r="M26" s="22">
        <f>COUNTIFS(F:F,"2",E:E,"4",D:D,"A")</f>
        <v>2</v>
      </c>
      <c r="O26" s="42"/>
      <c r="P26" s="42"/>
      <c r="Q26" s="42"/>
      <c r="R26" s="42"/>
      <c r="S26" s="42"/>
      <c r="T26" s="42"/>
      <c r="U26" s="42"/>
      <c r="V26" s="42"/>
      <c r="W26" s="42"/>
      <c r="X26" s="42"/>
      <c r="Y26" s="42"/>
      <c r="Z26" s="42"/>
      <c r="AA26" s="42"/>
      <c r="AB26" s="42"/>
      <c r="AC26" s="42"/>
      <c r="AD26" s="42"/>
      <c r="AE26" s="42"/>
      <c r="AF26" s="42"/>
      <c r="AG26" s="42"/>
      <c r="AH26" s="42"/>
    </row>
    <row r="27" spans="1:34" x14ac:dyDescent="0.35">
      <c r="A27" s="10">
        <f>'1'!A27</f>
        <v>1</v>
      </c>
      <c r="B27" s="10">
        <f>'1'!B27</f>
        <v>26</v>
      </c>
      <c r="C27" s="10" t="str">
        <f>'1'!D27</f>
        <v>farmers  may not depart from activities that define their identity even if  offered financial incentives</v>
      </c>
      <c r="D27" s="10" t="str">
        <f>'1'!E27</f>
        <v>D</v>
      </c>
      <c r="E27" s="10">
        <f>'1'!F27</f>
        <v>0</v>
      </c>
      <c r="F27" s="10">
        <f>'1'!G27</f>
        <v>5</v>
      </c>
      <c r="L27" s="29" t="s">
        <v>1333</v>
      </c>
      <c r="M27" s="22">
        <f>COUNTIFS(F:F,"3",E:E,"4",D:D,"A")</f>
        <v>4</v>
      </c>
      <c r="O27" s="42"/>
      <c r="P27" s="42"/>
      <c r="Q27" s="42"/>
      <c r="R27" s="42"/>
      <c r="S27" s="42"/>
      <c r="T27" s="42"/>
      <c r="U27" s="42"/>
      <c r="V27" s="42"/>
      <c r="W27" s="42"/>
      <c r="X27" s="42"/>
      <c r="Y27" s="42"/>
      <c r="Z27" s="42"/>
      <c r="AA27" s="42"/>
      <c r="AB27" s="42"/>
      <c r="AC27" s="42"/>
      <c r="AD27" s="42"/>
      <c r="AE27" s="42"/>
      <c r="AF27" s="42"/>
      <c r="AG27" s="42"/>
      <c r="AH27" s="42"/>
    </row>
    <row r="28" spans="1:34" x14ac:dyDescent="0.35">
      <c r="A28" s="10">
        <f>'1'!A28</f>
        <v>1</v>
      </c>
      <c r="B28" s="10">
        <f>'1'!B28</f>
        <v>27</v>
      </c>
      <c r="C28" s="10" t="str">
        <f>'1'!D28</f>
        <v xml:space="preserve">success  is highly dependent upon aligning  policy objectives with the motivations, attitudes and values of private landowners </v>
      </c>
      <c r="D28" s="10" t="str">
        <f>'1'!E28</f>
        <v>A</v>
      </c>
      <c r="E28" s="10">
        <f>'1'!F28</f>
        <v>1</v>
      </c>
      <c r="F28" s="10">
        <f>'1'!G28</f>
        <v>8</v>
      </c>
      <c r="L28" s="29" t="s">
        <v>1154</v>
      </c>
      <c r="M28" s="22">
        <f>COUNTIFS(F:F,"1",E:E,"0",D:D,"B")</f>
        <v>30</v>
      </c>
      <c r="O28" s="42"/>
      <c r="P28" s="42"/>
      <c r="Q28" s="42"/>
      <c r="R28" s="42"/>
      <c r="S28" s="42"/>
      <c r="T28" s="42"/>
      <c r="U28" s="42"/>
      <c r="V28" s="42"/>
      <c r="W28" s="42"/>
      <c r="X28" s="42"/>
      <c r="Y28" s="42"/>
      <c r="Z28" s="42"/>
      <c r="AA28" s="42"/>
      <c r="AB28" s="42"/>
      <c r="AC28" s="42"/>
      <c r="AD28" s="42"/>
      <c r="AE28" s="42"/>
      <c r="AF28" s="42"/>
      <c r="AG28" s="42"/>
      <c r="AH28" s="42"/>
    </row>
    <row r="29" spans="1:34" x14ac:dyDescent="0.35">
      <c r="A29" s="10">
        <f>'1'!A29</f>
        <v>1</v>
      </c>
      <c r="B29" s="10">
        <f>'1'!B29</f>
        <v>28</v>
      </c>
      <c r="C29" s="10" t="str">
        <f>'1'!D29</f>
        <v>divisions between farming and  forestry have produced little forestry expertise within the agricultural sector</v>
      </c>
      <c r="D29" s="10" t="str">
        <f>'1'!E29</f>
        <v>C</v>
      </c>
      <c r="E29" s="10">
        <f>'1'!F29</f>
        <v>3</v>
      </c>
      <c r="F29" s="10">
        <f>'1'!G29</f>
        <v>2</v>
      </c>
      <c r="L29" s="29" t="s">
        <v>1334</v>
      </c>
      <c r="M29" s="22">
        <f>COUNTIFS(F:F,"2",E:E,"0",D:D,"B")</f>
        <v>7</v>
      </c>
      <c r="O29" s="42"/>
      <c r="P29" s="42"/>
      <c r="Q29" s="42"/>
      <c r="R29" s="42"/>
      <c r="S29" s="42"/>
      <c r="T29" s="42"/>
      <c r="U29" s="42"/>
      <c r="V29" s="42"/>
      <c r="W29" s="42"/>
      <c r="X29" s="42"/>
      <c r="Y29" s="42"/>
      <c r="Z29" s="42"/>
      <c r="AA29" s="42"/>
      <c r="AB29" s="42"/>
      <c r="AC29" s="42"/>
      <c r="AD29" s="42"/>
      <c r="AE29" s="42"/>
      <c r="AF29" s="42"/>
      <c r="AG29" s="42"/>
      <c r="AH29" s="42"/>
    </row>
    <row r="30" spans="1:34" x14ac:dyDescent="0.35">
      <c r="A30" s="10">
        <f>'1'!A30</f>
        <v>1</v>
      </c>
      <c r="B30" s="10">
        <f>'1'!B30</f>
        <v>29</v>
      </c>
      <c r="C30" s="10" t="str">
        <f>'1'!D30</f>
        <v>Government has clearly stated its intention to increase woodland cover from 18% towards  25% of land area by 2050</v>
      </c>
      <c r="D30" s="10" t="str">
        <f>'1'!E30</f>
        <v xml:space="preserve">F </v>
      </c>
      <c r="E30" s="10">
        <f>'1'!F30</f>
        <v>2</v>
      </c>
      <c r="F30" s="10">
        <f>'1'!G30</f>
        <v>2</v>
      </c>
      <c r="L30" s="29" t="s">
        <v>1335</v>
      </c>
      <c r="M30" s="22">
        <f>COUNTIFS(F:F,"3",E:E,"0",D:D,"B")</f>
        <v>5</v>
      </c>
      <c r="O30" s="42"/>
      <c r="P30" s="42"/>
      <c r="Q30" s="42"/>
      <c r="R30" s="42"/>
      <c r="S30" s="42"/>
      <c r="T30" s="42"/>
      <c r="U30" s="42"/>
      <c r="V30" s="42"/>
      <c r="W30" s="42"/>
      <c r="X30" s="42"/>
      <c r="Y30" s="42"/>
      <c r="Z30" s="42"/>
      <c r="AA30" s="42"/>
      <c r="AB30" s="42"/>
      <c r="AC30" s="42"/>
      <c r="AD30" s="42"/>
      <c r="AE30" s="42"/>
      <c r="AF30" s="42"/>
      <c r="AG30" s="42"/>
      <c r="AH30" s="42"/>
    </row>
    <row r="31" spans="1:34" x14ac:dyDescent="0.35">
      <c r="A31" s="10">
        <f>'1'!A31</f>
        <v>1</v>
      </c>
      <c r="B31" s="10">
        <f>'1'!B31</f>
        <v>30</v>
      </c>
      <c r="C31" s="10" t="str">
        <f>'1'!D31</f>
        <v>Traditional models of rural decision-making predicate strongly  on economic benefit maximisation by rational actors</v>
      </c>
      <c r="D31" s="10" t="str">
        <f>'1'!E31</f>
        <v>F</v>
      </c>
      <c r="E31" s="10">
        <f>'1'!F31</f>
        <v>5</v>
      </c>
      <c r="F31" s="10">
        <f>'1'!G31</f>
        <v>1</v>
      </c>
      <c r="L31" s="29" t="s">
        <v>1336</v>
      </c>
      <c r="M31" s="22">
        <f>COUNTIFS(F:F,"4",E:E,"0",D:D,"B")</f>
        <v>20</v>
      </c>
      <c r="O31" s="42"/>
      <c r="P31" s="42"/>
      <c r="Q31" s="42"/>
      <c r="R31" s="42"/>
      <c r="S31" s="42"/>
      <c r="T31" s="42"/>
      <c r="U31" s="42"/>
      <c r="V31" s="42"/>
      <c r="W31" s="42"/>
      <c r="X31" s="42"/>
      <c r="Y31" s="42"/>
      <c r="Z31" s="42"/>
      <c r="AA31" s="42"/>
      <c r="AB31" s="42"/>
      <c r="AC31" s="42"/>
      <c r="AD31" s="42"/>
      <c r="AE31" s="42"/>
      <c r="AF31" s="42"/>
      <c r="AG31" s="42"/>
      <c r="AH31" s="42"/>
    </row>
    <row r="32" spans="1:34" x14ac:dyDescent="0.35">
      <c r="A32" s="10">
        <f>'1'!A32</f>
        <v>1</v>
      </c>
      <c r="B32" s="10">
        <f>'1'!B32</f>
        <v>31</v>
      </c>
      <c r="C32" s="10" t="str">
        <f>'1'!D32</f>
        <v>benefits of new woodland are not guaranteed and depend on woodland type, spatial characteristics and cultural context</v>
      </c>
      <c r="D32" s="10" t="str">
        <f>'1'!E32</f>
        <v>B</v>
      </c>
      <c r="E32" s="10">
        <f>'1'!F32</f>
        <v>0</v>
      </c>
      <c r="F32" s="10">
        <f>'1'!G32</f>
        <v>4</v>
      </c>
      <c r="L32" s="29" t="s">
        <v>1337</v>
      </c>
      <c r="M32" s="22">
        <f>COUNTIFS(F:F,"5",E:E,"0",D:D,"B")</f>
        <v>4</v>
      </c>
      <c r="O32" s="42"/>
      <c r="P32" s="42"/>
      <c r="Q32" s="42"/>
      <c r="R32" s="42"/>
      <c r="S32" s="42"/>
      <c r="T32" s="42"/>
      <c r="U32" s="42"/>
      <c r="V32" s="42"/>
      <c r="W32" s="42"/>
      <c r="X32" s="42"/>
      <c r="Y32" s="42"/>
      <c r="Z32" s="42"/>
      <c r="AA32" s="42"/>
      <c r="AB32" s="42"/>
      <c r="AC32" s="42"/>
      <c r="AD32" s="42"/>
      <c r="AE32" s="42"/>
      <c r="AF32" s="42"/>
      <c r="AG32" s="42"/>
      <c r="AH32" s="42"/>
    </row>
    <row r="33" spans="1:34" x14ac:dyDescent="0.35">
      <c r="A33" s="10">
        <f>'1'!A33</f>
        <v>1</v>
      </c>
      <c r="B33" s="10">
        <f>'1'!B33</f>
        <v>32</v>
      </c>
      <c r="C33" s="10" t="str">
        <f>'1'!D33</f>
        <v xml:space="preserve"> benefits are neither guaranteed nor uniform</v>
      </c>
      <c r="D33" s="10" t="str">
        <f>'1'!E33</f>
        <v>B</v>
      </c>
      <c r="E33" s="10">
        <f>'1'!F33</f>
        <v>0</v>
      </c>
      <c r="F33" s="10">
        <f>'1'!G33</f>
        <v>4</v>
      </c>
      <c r="L33" s="29" t="s">
        <v>249</v>
      </c>
      <c r="M33" s="22">
        <f>COUNTIFS(F:F,"1",E:E,"1",D:D,"C")</f>
        <v>43</v>
      </c>
      <c r="O33" s="42"/>
      <c r="P33" s="42"/>
      <c r="Q33" s="42"/>
      <c r="R33" s="42"/>
      <c r="S33" s="42"/>
      <c r="T33" s="42"/>
      <c r="U33" s="42"/>
      <c r="V33" s="42"/>
      <c r="W33" s="42"/>
      <c r="X33" s="42"/>
      <c r="Y33" s="42"/>
      <c r="Z33" s="42"/>
      <c r="AA33" s="42"/>
      <c r="AB33" s="42"/>
      <c r="AC33" s="42"/>
      <c r="AD33" s="42"/>
      <c r="AE33" s="42"/>
      <c r="AF33" s="42"/>
      <c r="AG33" s="42"/>
      <c r="AH33" s="42"/>
    </row>
    <row r="34" spans="1:34" x14ac:dyDescent="0.35">
      <c r="A34" s="10">
        <f>'1'!A34</f>
        <v>1</v>
      </c>
      <c r="B34" s="10">
        <f>'1'!B34</f>
        <v>33</v>
      </c>
      <c r="C34" s="10" t="str">
        <f>'1'!D34</f>
        <v xml:space="preserve"> woodland expansion occurs at the expense of other, potentially  more valuable, land uses</v>
      </c>
      <c r="D34" s="10" t="str">
        <f>'1'!E34</f>
        <v>F</v>
      </c>
      <c r="E34" s="10">
        <f>'1'!F34</f>
        <v>5</v>
      </c>
      <c r="F34" s="10">
        <f>'1'!G34</f>
        <v>2</v>
      </c>
      <c r="L34" s="29" t="s">
        <v>237</v>
      </c>
      <c r="M34" s="22">
        <f>COUNTIFS(F:F,"2",E:E,"1",D:D,"C")</f>
        <v>9</v>
      </c>
      <c r="O34" s="42"/>
      <c r="P34" s="42"/>
      <c r="Q34" s="42"/>
      <c r="R34" s="42"/>
      <c r="S34" s="42"/>
      <c r="T34" s="42"/>
      <c r="U34" s="42"/>
      <c r="V34" s="42"/>
      <c r="W34" s="42"/>
      <c r="X34" s="42"/>
      <c r="Y34" s="42"/>
      <c r="Z34" s="42"/>
      <c r="AA34" s="42"/>
      <c r="AB34" s="42"/>
      <c r="AC34" s="42"/>
      <c r="AD34" s="42"/>
      <c r="AE34" s="42"/>
      <c r="AF34" s="42"/>
      <c r="AG34" s="42"/>
      <c r="AH34" s="42"/>
    </row>
    <row r="35" spans="1:34" x14ac:dyDescent="0.35">
      <c r="A35" s="10">
        <f>'1'!A35</f>
        <v>1</v>
      </c>
      <c r="B35" s="10">
        <f>'1'!B35</f>
        <v>34</v>
      </c>
      <c r="C35" s="10" t="str">
        <f>'1'!D35</f>
        <v xml:space="preserve">woodland benefit generation may entail significant  time lags </v>
      </c>
      <c r="D35" s="10" t="str">
        <f>'1'!E35</f>
        <v>A</v>
      </c>
      <c r="E35" s="10">
        <f>'1'!F35</f>
        <v>1</v>
      </c>
      <c r="F35" s="10">
        <f>'1'!G35</f>
        <v>8</v>
      </c>
      <c r="L35" s="29" t="s">
        <v>370</v>
      </c>
      <c r="M35" s="22">
        <f>COUNTIFS(F:F,"3",E:E,"1",D:D,"C")</f>
        <v>7</v>
      </c>
      <c r="O35" s="42"/>
      <c r="P35" s="42"/>
      <c r="Q35" s="42"/>
      <c r="R35" s="42"/>
      <c r="S35" s="42"/>
      <c r="T35" s="42"/>
      <c r="U35" s="42"/>
      <c r="V35" s="42"/>
      <c r="W35" s="42"/>
      <c r="X35" s="42"/>
      <c r="Y35" s="42"/>
      <c r="Z35" s="42"/>
      <c r="AA35" s="42"/>
      <c r="AB35" s="42"/>
      <c r="AC35" s="42"/>
      <c r="AD35" s="42"/>
      <c r="AE35" s="42"/>
      <c r="AF35" s="42"/>
      <c r="AG35" s="42"/>
      <c r="AH35" s="42"/>
    </row>
    <row r="36" spans="1:34" x14ac:dyDescent="0.35">
      <c r="A36" s="10">
        <f>'1'!A36</f>
        <v>1</v>
      </c>
      <c r="B36" s="10">
        <f>'1'!B36</f>
        <v>35</v>
      </c>
      <c r="C36" s="10" t="str">
        <f>'1'!D36</f>
        <v>woodland benefit  vary by stand age and landscape history.</v>
      </c>
      <c r="D36" s="10" t="str">
        <f>'1'!E36</f>
        <v xml:space="preserve">B </v>
      </c>
      <c r="E36" s="10">
        <f>'1'!F36</f>
        <v>0</v>
      </c>
      <c r="F36" s="10">
        <f>'1'!G36</f>
        <v>4</v>
      </c>
      <c r="L36" s="29" t="s">
        <v>304</v>
      </c>
      <c r="M36" s="22">
        <f>COUNTIFS(F:F,"1",E:E,"2",D:D,"C")</f>
        <v>17</v>
      </c>
      <c r="O36" s="42"/>
      <c r="P36" s="42"/>
      <c r="Q36" s="42"/>
      <c r="R36" s="42"/>
      <c r="S36" s="42"/>
      <c r="T36" s="42"/>
      <c r="U36" s="42"/>
      <c r="V36" s="42"/>
      <c r="W36" s="42"/>
      <c r="X36" s="42"/>
      <c r="Y36" s="42"/>
      <c r="Z36" s="42"/>
      <c r="AA36" s="42"/>
      <c r="AB36" s="42"/>
      <c r="AC36" s="42"/>
      <c r="AD36" s="42"/>
      <c r="AE36" s="42"/>
      <c r="AF36" s="42"/>
      <c r="AG36" s="42"/>
      <c r="AH36" s="42"/>
    </row>
    <row r="37" spans="1:34" x14ac:dyDescent="0.35">
      <c r="A37" s="10">
        <f>'1'!A37</f>
        <v>1</v>
      </c>
      <c r="B37" s="10">
        <f>'1'!B37</f>
        <v>36</v>
      </c>
      <c r="C37" s="10" t="str">
        <f>'1'!D37</f>
        <v xml:space="preserve">Employment opportunities of native woodlands less familiar/valued than productive woodlands. </v>
      </c>
      <c r="D37" s="10" t="str">
        <f>'1'!E37</f>
        <v>A</v>
      </c>
      <c r="E37" s="10">
        <f>'1'!F37</f>
        <v>1</v>
      </c>
      <c r="F37" s="10">
        <f>'1'!G37</f>
        <v>7</v>
      </c>
      <c r="L37" s="29" t="s">
        <v>192</v>
      </c>
      <c r="M37" s="22">
        <f>COUNTIFS(F:F,"2",E:E,"2",D:D,"C")</f>
        <v>23</v>
      </c>
      <c r="O37" s="42"/>
      <c r="P37" s="42"/>
      <c r="Q37" s="42"/>
      <c r="R37" s="42"/>
      <c r="S37" s="42"/>
      <c r="T37" s="42"/>
      <c r="U37" s="42"/>
      <c r="V37" s="42"/>
      <c r="W37" s="42"/>
      <c r="X37" s="42"/>
      <c r="Y37" s="42"/>
      <c r="Z37" s="42"/>
      <c r="AA37" s="42"/>
      <c r="AB37" s="42"/>
      <c r="AC37" s="42"/>
      <c r="AD37" s="42"/>
      <c r="AE37" s="42"/>
      <c r="AF37" s="42"/>
      <c r="AG37" s="42"/>
      <c r="AH37" s="42"/>
    </row>
    <row r="38" spans="1:34" x14ac:dyDescent="0.35">
      <c r="A38" s="10">
        <f>'1'!A38</f>
        <v>1</v>
      </c>
      <c r="B38" s="10">
        <f>'1'!B38</f>
        <v>37</v>
      </c>
      <c r="C38" s="10" t="str">
        <f>'1'!D38</f>
        <v xml:space="preserve">Social and Environmental returns are sought more than economic returns in small scale projects. </v>
      </c>
      <c r="D38" s="10" t="str">
        <f>'1'!E38</f>
        <v>A</v>
      </c>
      <c r="E38" s="10">
        <f>'1'!F38</f>
        <v>1</v>
      </c>
      <c r="F38" s="10">
        <f>'1'!G38</f>
        <v>8</v>
      </c>
      <c r="L38" s="29" t="s">
        <v>403</v>
      </c>
      <c r="M38" s="22">
        <f>COUNTIFS(F:F,"3",E:E,"2",D:D,"C")</f>
        <v>8</v>
      </c>
      <c r="O38" s="42"/>
      <c r="P38" s="42"/>
      <c r="Q38" s="42"/>
      <c r="R38" s="42"/>
      <c r="S38" s="42"/>
      <c r="T38" s="42"/>
      <c r="U38" s="42"/>
      <c r="V38" s="42"/>
      <c r="W38" s="42"/>
      <c r="X38" s="42"/>
      <c r="Y38" s="42"/>
      <c r="Z38" s="42"/>
      <c r="AA38" s="42"/>
      <c r="AB38" s="42"/>
      <c r="AC38" s="42"/>
      <c r="AD38" s="42"/>
      <c r="AE38" s="42"/>
      <c r="AF38" s="42"/>
      <c r="AG38" s="42"/>
      <c r="AH38" s="42"/>
    </row>
    <row r="39" spans="1:34" x14ac:dyDescent="0.35">
      <c r="A39" s="10">
        <f>'1'!A39</f>
        <v>1</v>
      </c>
      <c r="B39" s="10">
        <f>'1'!B39</f>
        <v>38</v>
      </c>
      <c r="C39" s="10" t="str">
        <f>'1'!D39</f>
        <v>An absence of evaluation studies is symptomatic of ecological  restoration research, which tends to overlook links between ecological restoration, society and policy</v>
      </c>
      <c r="D39" s="10" t="str">
        <f>'1'!E39</f>
        <v>C</v>
      </c>
      <c r="E39" s="10">
        <f>'1'!F39</f>
        <v>1</v>
      </c>
      <c r="F39" s="10">
        <f>'1'!G39</f>
        <v>2</v>
      </c>
      <c r="L39" s="29" t="s">
        <v>240</v>
      </c>
      <c r="M39" s="22">
        <f>COUNTIFS(F:F,"4",E:E,"2",D:D,"C")</f>
        <v>4</v>
      </c>
      <c r="O39" s="42"/>
      <c r="P39" s="42"/>
      <c r="Q39" s="42"/>
      <c r="R39" s="42"/>
      <c r="S39" s="42"/>
      <c r="T39" s="42"/>
      <c r="U39" s="42"/>
      <c r="V39" s="42"/>
      <c r="W39" s="42"/>
      <c r="X39" s="42"/>
      <c r="Y39" s="42"/>
      <c r="Z39" s="42"/>
      <c r="AA39" s="42"/>
      <c r="AB39" s="42"/>
      <c r="AC39" s="42"/>
      <c r="AD39" s="42"/>
      <c r="AE39" s="42"/>
      <c r="AF39" s="42"/>
      <c r="AG39" s="42"/>
      <c r="AH39" s="42"/>
    </row>
    <row r="40" spans="1:34" x14ac:dyDescent="0.35">
      <c r="A40" s="10">
        <f>'2'!A2</f>
        <v>2</v>
      </c>
      <c r="B40" s="10">
        <f>'2'!B2</f>
        <v>1</v>
      </c>
      <c r="C40" s="10" t="str">
        <f>'2'!D2</f>
        <v>success of ecological restoration: how much of the previous ecosystem function and its resilience against stresses and environmental changes could be achieved ?</v>
      </c>
      <c r="D40" s="10" t="str">
        <f>'2'!E2</f>
        <v>C</v>
      </c>
      <c r="E40" s="10">
        <f>'2'!F2</f>
        <v>1</v>
      </c>
      <c r="F40" s="10">
        <f>'2'!G2</f>
        <v>3</v>
      </c>
      <c r="L40" s="29" t="s">
        <v>308</v>
      </c>
      <c r="M40" s="22">
        <f>COUNTIFS(F:F,"1",E:E,"3",D:D,"C")</f>
        <v>21</v>
      </c>
      <c r="O40" s="42"/>
      <c r="P40" s="42"/>
      <c r="Q40" s="42"/>
      <c r="R40" s="42"/>
      <c r="S40" s="42"/>
      <c r="T40" s="42"/>
      <c r="U40" s="42"/>
      <c r="V40" s="42"/>
      <c r="W40" s="42"/>
      <c r="X40" s="42"/>
      <c r="Y40" s="42"/>
      <c r="Z40" s="42"/>
      <c r="AA40" s="42"/>
      <c r="AB40" s="42"/>
      <c r="AC40" s="42"/>
      <c r="AD40" s="42"/>
      <c r="AE40" s="42"/>
      <c r="AF40" s="42"/>
      <c r="AG40" s="42"/>
      <c r="AH40" s="42"/>
    </row>
    <row r="41" spans="1:34" x14ac:dyDescent="0.35">
      <c r="A41" s="10">
        <f>'2'!A3</f>
        <v>2</v>
      </c>
      <c r="B41" s="10">
        <f>'2'!B3</f>
        <v>2</v>
      </c>
      <c r="C41" s="10" t="str">
        <f>'2'!D3</f>
        <v>Coral reefs and seagrass were among the most   expensive ecosystems to restore.</v>
      </c>
      <c r="D41" s="10" t="str">
        <f>'2'!E3</f>
        <v>A</v>
      </c>
      <c r="E41" s="10">
        <f>'2'!F3</f>
        <v>3</v>
      </c>
      <c r="F41" s="10">
        <f>'2'!G3</f>
        <v>1</v>
      </c>
      <c r="L41" s="29" t="s">
        <v>531</v>
      </c>
      <c r="M41" s="22">
        <f>COUNTIFS(F:F,"2",E:E,"3",D:D,"C")</f>
        <v>18</v>
      </c>
      <c r="O41" s="42"/>
      <c r="P41" s="42"/>
      <c r="Q41" s="42"/>
      <c r="R41" s="42"/>
      <c r="S41" s="42"/>
      <c r="T41" s="42"/>
      <c r="U41" s="42"/>
      <c r="V41" s="42"/>
      <c r="W41" s="42"/>
      <c r="X41" s="42"/>
      <c r="Y41" s="42"/>
      <c r="Z41" s="42"/>
      <c r="AA41" s="42"/>
      <c r="AB41" s="42"/>
      <c r="AC41" s="42"/>
      <c r="AD41" s="42"/>
      <c r="AE41" s="42"/>
      <c r="AF41" s="42"/>
      <c r="AG41" s="42"/>
      <c r="AH41" s="42"/>
    </row>
    <row r="42" spans="1:34" x14ac:dyDescent="0.35">
      <c r="A42" s="10">
        <f>'2'!A4</f>
        <v>2</v>
      </c>
      <c r="B42" s="10">
        <f>'2'!B4</f>
        <v>3</v>
      </c>
      <c r="C42" s="10" t="str">
        <f>'2'!D4</f>
        <v>restoration costs were significantly (up to 30   times) cheaper in countries with developing economies. Community- or volunteer-based   marine restoration projects usually have lower costs.</v>
      </c>
      <c r="D42" s="10" t="str">
        <f>'2'!E4</f>
        <v>A</v>
      </c>
      <c r="E42" s="10">
        <f>'2'!F4</f>
        <v>3</v>
      </c>
      <c r="F42" s="10">
        <f>'2'!G4</f>
        <v>6</v>
      </c>
      <c r="L42" s="29" t="s">
        <v>1338</v>
      </c>
      <c r="M42" s="22">
        <f>COUNTIFS(F:F,"1",E:E,"0",D:D,"D")</f>
        <v>8</v>
      </c>
      <c r="O42" s="42"/>
      <c r="P42" s="42"/>
      <c r="Q42" s="42"/>
      <c r="R42" s="42"/>
      <c r="S42" s="42"/>
      <c r="T42" s="42"/>
      <c r="U42" s="42"/>
      <c r="V42" s="42"/>
      <c r="W42" s="42"/>
      <c r="X42" s="42"/>
      <c r="Y42" s="42"/>
      <c r="Z42" s="42"/>
      <c r="AA42" s="42"/>
      <c r="AB42" s="42"/>
      <c r="AC42" s="42"/>
      <c r="AD42" s="42"/>
      <c r="AE42" s="42"/>
      <c r="AF42" s="42"/>
      <c r="AG42" s="42"/>
      <c r="AH42" s="42"/>
    </row>
    <row r="43" spans="1:34" x14ac:dyDescent="0.35">
      <c r="A43" s="10">
        <f>'2'!A5</f>
        <v>2</v>
      </c>
      <c r="B43" s="10">
        <f>'2'!B5</f>
        <v>4</v>
      </c>
      <c r="C43" s="10" t="str">
        <f>'2'!D5</f>
        <v xml:space="preserve"> economies of scale did not occur </v>
      </c>
      <c r="D43" s="10" t="str">
        <f>'2'!E5</f>
        <v>A</v>
      </c>
      <c r="E43" s="10">
        <f>'2'!F5</f>
        <v>3</v>
      </c>
      <c r="F43" s="10">
        <f>'2'!G5</f>
        <v>4</v>
      </c>
      <c r="L43" s="29" t="s">
        <v>1339</v>
      </c>
      <c r="M43" s="22">
        <f>COUNTIFS(F:F,"2",E:E,"0",D:D,"D")</f>
        <v>0</v>
      </c>
    </row>
    <row r="44" spans="1:34" x14ac:dyDescent="0.35">
      <c r="A44" s="10">
        <f>'2'!A6</f>
        <v>2</v>
      </c>
      <c r="B44" s="10">
        <f>'2'!B6</f>
        <v>5</v>
      </c>
      <c r="C44" s="10" t="str">
        <f>'2'!D6</f>
        <v xml:space="preserve">success depsends on  the ecosystem, site selection, and techniques applied rather than on money spent. </v>
      </c>
      <c r="D44" s="10" t="str">
        <f>'2'!E6</f>
        <v>A</v>
      </c>
      <c r="E44" s="10">
        <f>'2'!F6</f>
        <v>3</v>
      </c>
      <c r="F44" s="10">
        <f>'2'!G6</f>
        <v>2</v>
      </c>
      <c r="L44" s="29" t="s">
        <v>1340</v>
      </c>
      <c r="M44" s="22">
        <f>COUNTIFS(F:F,"3",E:E,"0",D:D,"D")</f>
        <v>13</v>
      </c>
    </row>
    <row r="45" spans="1:34" x14ac:dyDescent="0.35">
      <c r="A45" s="10">
        <f>'2'!A7</f>
        <v>2</v>
      </c>
      <c r="B45" s="10">
        <f>'2'!B7</f>
        <v>6</v>
      </c>
      <c r="C45" s="10" t="str">
        <f>'2'!D7</f>
        <v xml:space="preserve">restoration successtypically reported in  terms of item-based success, (e.g., survival of planted transplants) which is not adequate to represent overall project feasibility where success criteria are linked to  the recovery of ecosystem function and services </v>
      </c>
      <c r="D45" s="10" t="str">
        <f>'2'!E7</f>
        <v>C</v>
      </c>
      <c r="E45" s="10">
        <f>'2'!F7</f>
        <v>1</v>
      </c>
      <c r="F45" s="10">
        <f>'2'!G7</f>
        <v>3</v>
      </c>
      <c r="L45" s="29" t="s">
        <v>1341</v>
      </c>
      <c r="M45" s="22">
        <f>COUNTIFS(F:F,"4",E:E,"0",D:D,"D")</f>
        <v>2</v>
      </c>
    </row>
    <row r="46" spans="1:34" x14ac:dyDescent="0.35">
      <c r="A46" s="10">
        <f>'3'!A2</f>
        <v>3</v>
      </c>
      <c r="B46" s="10">
        <f>'3'!B2</f>
        <v>1</v>
      </c>
      <c r="C46" s="10" t="str">
        <f>'3'!D2</f>
        <v xml:space="preserve"> public perception of risk is low - coastal protection investments influence popularity</v>
      </c>
      <c r="D46" s="10" t="str">
        <f>'3'!E2</f>
        <v>D</v>
      </c>
      <c r="E46" s="10">
        <f>'3'!F2</f>
        <v>0</v>
      </c>
      <c r="F46" s="10">
        <f>'3'!G2</f>
        <v>1</v>
      </c>
      <c r="L46" s="29" t="s">
        <v>1342</v>
      </c>
      <c r="M46" s="22">
        <f>COUNTIFS(F:F,"5",E:E,"0",D:D,"D")</f>
        <v>16</v>
      </c>
    </row>
    <row r="47" spans="1:34" x14ac:dyDescent="0.35">
      <c r="A47" s="10">
        <f>'3'!A3</f>
        <v>3</v>
      </c>
      <c r="B47" s="10">
        <f>'3'!B3</f>
        <v>2</v>
      </c>
      <c r="C47" s="10" t="str">
        <f>'3'!D3</f>
        <v xml:space="preserve"> reduction national public budgets for coastal adaptation investments resulting from “hollowing-out” </v>
      </c>
      <c r="D47" s="10" t="str">
        <f>'3'!E3</f>
        <v>A</v>
      </c>
      <c r="E47" s="10">
        <f>'3'!F3</f>
        <v>1</v>
      </c>
      <c r="F47" s="10">
        <f>'3'!G3</f>
        <v>3</v>
      </c>
      <c r="L47" s="29" t="s">
        <v>1343</v>
      </c>
      <c r="M47" s="22">
        <f>COUNTIFS(F:F,"1",E:E,"0",D:D,"E")</f>
        <v>11</v>
      </c>
    </row>
    <row r="48" spans="1:34" x14ac:dyDescent="0.35">
      <c r="A48" s="10">
        <f>'3'!A4</f>
        <v>3</v>
      </c>
      <c r="B48" s="10">
        <f>'3'!B4</f>
        <v>3</v>
      </c>
      <c r="C48" s="10" t="str">
        <f>'3'!D4</f>
        <v xml:space="preserve">cost of project preparation are high (in large scale adaptation projects) - </v>
      </c>
      <c r="D48" s="10" t="str">
        <f>'3'!E4</f>
        <v>A</v>
      </c>
      <c r="E48" s="10">
        <f>'3'!F4</f>
        <v>3</v>
      </c>
      <c r="F48" s="10">
        <f>'3'!G4</f>
        <v>1</v>
      </c>
      <c r="L48" s="29" t="s">
        <v>1344</v>
      </c>
      <c r="M48" s="22">
        <f>COUNTIFS(F:F,"2",E:E,"0",D:D,"E")</f>
        <v>4</v>
      </c>
    </row>
    <row r="49" spans="1:13" x14ac:dyDescent="0.35">
      <c r="A49" s="10">
        <f>'3'!A5</f>
        <v>3</v>
      </c>
      <c r="B49" s="10">
        <f>'3'!B5</f>
        <v>4</v>
      </c>
      <c r="C49" s="10" t="str">
        <f>'3'!D5</f>
        <v>public criticism if large sums of public money are spent for a project that is not eventually implemented</v>
      </c>
      <c r="D49" s="10" t="str">
        <f>'3'!E5</f>
        <v>D</v>
      </c>
      <c r="E49" s="10">
        <f>'3'!F5</f>
        <v>0</v>
      </c>
      <c r="F49" s="10">
        <f>'3'!G5</f>
        <v>1</v>
      </c>
      <c r="L49" s="29" t="s">
        <v>1345</v>
      </c>
      <c r="M49" s="22">
        <f>COUNTIFS(F:F,"3",E:E,"0",D:D,"E")</f>
        <v>3</v>
      </c>
    </row>
    <row r="50" spans="1:13" x14ac:dyDescent="0.35">
      <c r="A50" s="10">
        <f>'3'!A6</f>
        <v>3</v>
      </c>
      <c r="B50" s="10">
        <f>'3'!B6</f>
        <v>5</v>
      </c>
      <c r="C50" s="10" t="str">
        <f>'3'!D6</f>
        <v xml:space="preserve"> opportunity costs - in developing countries even more prominent barrier due to very attractive benefit–cost ratios of the health or education sectors</v>
      </c>
      <c r="D50" s="10" t="str">
        <f>'3'!E6</f>
        <v>F</v>
      </c>
      <c r="E50" s="10">
        <f>'3'!F6</f>
        <v>5</v>
      </c>
      <c r="F50" s="10">
        <f>'3'!G6</f>
        <v>1</v>
      </c>
      <c r="L50" s="29" t="s">
        <v>1346</v>
      </c>
      <c r="M50" s="22">
        <f>COUNTIFS(F:F,"4",E:E,"0",D:D,"E")</f>
        <v>3</v>
      </c>
    </row>
    <row r="51" spans="1:13" x14ac:dyDescent="0.35">
      <c r="A51" s="10">
        <f>'3'!A7</f>
        <v>3</v>
      </c>
      <c r="B51" s="10">
        <f>'3'!B7</f>
        <v>6</v>
      </c>
      <c r="C51" s="10" t="str">
        <f>'3'!D7</f>
        <v xml:space="preserve">conflicting interest among different government levels </v>
      </c>
      <c r="D51" s="10" t="str">
        <f>'3'!E7</f>
        <v>F</v>
      </c>
      <c r="E51" s="10">
        <f>'3'!F7</f>
        <v>2</v>
      </c>
      <c r="F51" s="10">
        <f>'3'!G7</f>
        <v>1</v>
      </c>
      <c r="L51" s="29" t="s">
        <v>1347</v>
      </c>
      <c r="M51" s="22">
        <f>COUNTIFS(F:F,"5",E:E,"0",D:D,"E")</f>
        <v>1</v>
      </c>
    </row>
    <row r="52" spans="1:13" x14ac:dyDescent="0.35">
      <c r="A52" s="10">
        <f>'3'!A8</f>
        <v>3</v>
      </c>
      <c r="B52" s="10">
        <f>'3'!B8</f>
        <v>7</v>
      </c>
      <c r="C52" s="10" t="str">
        <f>'3'!D8</f>
        <v>localized nature of coastal adaptation public goods gives rise to conflicts of interests between public actors in federal systems</v>
      </c>
      <c r="D52" s="10" t="str">
        <f>'3'!E8</f>
        <v>F</v>
      </c>
      <c r="E52" s="10">
        <f>'3'!F8</f>
        <v>3</v>
      </c>
      <c r="F52" s="10">
        <f>'3'!G8</f>
        <v>1</v>
      </c>
      <c r="L52" s="29" t="s">
        <v>259</v>
      </c>
      <c r="M52" s="22">
        <f>COUNTIFS(F:F,"1",E:E,"1",D:D,"F")</f>
        <v>31</v>
      </c>
    </row>
    <row r="53" spans="1:13" x14ac:dyDescent="0.35">
      <c r="A53" s="10">
        <f>'3'!A9</f>
        <v>3</v>
      </c>
      <c r="B53" s="10">
        <f>'3'!B9</f>
        <v>8</v>
      </c>
      <c r="C53" s="10" t="str">
        <f>'3'!D9</f>
        <v>Public good characteristics  - not efficiently supplied by private actors</v>
      </c>
      <c r="D53" s="10" t="str">
        <f>'3'!E9</f>
        <v>F</v>
      </c>
      <c r="E53" s="10">
        <f>'3'!F9</f>
        <v>3</v>
      </c>
      <c r="F53" s="10">
        <f>'3'!G9</f>
        <v>1</v>
      </c>
      <c r="L53" s="29" t="s">
        <v>321</v>
      </c>
      <c r="M53" s="22">
        <f>COUNTIFS(F:F,"2",E:E,"1",D:D,"F")</f>
        <v>19</v>
      </c>
    </row>
    <row r="54" spans="1:13" x14ac:dyDescent="0.35">
      <c r="A54" s="10">
        <f>'3'!A10</f>
        <v>3</v>
      </c>
      <c r="B54" s="10">
        <f>'3'!B10</f>
        <v>9</v>
      </c>
      <c r="C54" s="10" t="str">
        <f>'3'!D10</f>
        <v>When such coastal investment decisions are taken by public actors, incentives arise for private actors to engage in rent-seeking behavior to influence these decisions</v>
      </c>
      <c r="D54" s="10" t="str">
        <f>'3'!E10</f>
        <v>F</v>
      </c>
      <c r="E54" s="10">
        <f>'3'!F10</f>
        <v>3</v>
      </c>
      <c r="F54" s="10">
        <f>'3'!G10</f>
        <v>2</v>
      </c>
      <c r="L54" s="29" t="s">
        <v>683</v>
      </c>
      <c r="M54" s="22">
        <f>COUNTIFS(F:F,"1",E:E,"2",D:D,"F")</f>
        <v>11</v>
      </c>
    </row>
    <row r="55" spans="1:13" x14ac:dyDescent="0.35">
      <c r="A55" s="10">
        <f>'3'!A11</f>
        <v>3</v>
      </c>
      <c r="B55" s="10">
        <f>'3'!B11</f>
        <v>10</v>
      </c>
      <c r="C55" s="10" t="str">
        <f>'3'!D11</f>
        <v>constitutional responsibilities - public actor is responsible</v>
      </c>
      <c r="D55" s="10" t="str">
        <f>'3'!E11</f>
        <v>F</v>
      </c>
      <c r="E55" s="10">
        <f>'3'!F11</f>
        <v>3</v>
      </c>
      <c r="F55" s="10">
        <f>'3'!G11</f>
        <v>2</v>
      </c>
      <c r="L55" s="29" t="s">
        <v>666</v>
      </c>
      <c r="M55" s="22">
        <f>COUNTIFS(F:F,"2",E:E,"2",D:D,"F")</f>
        <v>28</v>
      </c>
    </row>
    <row r="56" spans="1:13" x14ac:dyDescent="0.35">
      <c r="A56" s="10">
        <f>'3'!A12</f>
        <v>3</v>
      </c>
      <c r="B56" s="10">
        <f>'3'!B12</f>
        <v>11</v>
      </c>
      <c r="C56" s="10" t="str">
        <f>'3'!D12</f>
        <v>awareness of risks posed by sea-level rise is low, flood risk reduc- tion benefits may not be reflected in land or real estate markets, making direct revenue generation difficult</v>
      </c>
      <c r="D56" s="10" t="str">
        <f>'3'!E12</f>
        <v>A</v>
      </c>
      <c r="E56" s="10">
        <f>'3'!F12</f>
        <v>1</v>
      </c>
      <c r="F56" s="10">
        <f>'3'!G12</f>
        <v>8</v>
      </c>
      <c r="L56" s="29" t="s">
        <v>325</v>
      </c>
      <c r="M56" s="22">
        <f>COUNTIFS(F:F,"3",E:E,"2",D:D,"F")</f>
        <v>11</v>
      </c>
    </row>
    <row r="57" spans="1:13" x14ac:dyDescent="0.35">
      <c r="A57" s="10">
        <f>'4'!A2</f>
        <v>4</v>
      </c>
      <c r="B57" s="10">
        <f>'4'!B2</f>
        <v>1</v>
      </c>
      <c r="C57" s="10" t="str">
        <f>'4'!D2</f>
        <v>lack of public's awareness of benefits of eco-aesthetics</v>
      </c>
      <c r="D57" s="10" t="str">
        <f>'4'!E2</f>
        <v>D</v>
      </c>
      <c r="E57" s="10">
        <f>'4'!F2</f>
        <v>0</v>
      </c>
      <c r="F57" s="10">
        <f>'4'!G2</f>
        <v>3</v>
      </c>
      <c r="L57" s="29" t="s">
        <v>1095</v>
      </c>
      <c r="M57" s="22">
        <f>COUNTIFS(F:F,"4",E:E,"2",D:D,"F")</f>
        <v>10</v>
      </c>
    </row>
    <row r="58" spans="1:13" x14ac:dyDescent="0.35">
      <c r="A58" s="10">
        <f>'4'!A3</f>
        <v>4</v>
      </c>
      <c r="B58" s="10">
        <f>'4'!B3</f>
        <v>2</v>
      </c>
      <c r="C58" s="10" t="str">
        <f>'4'!D3</f>
        <v>Aesthetic preferences not uniform (over cultures)</v>
      </c>
      <c r="D58" s="10" t="str">
        <f>'4'!E3</f>
        <v>B</v>
      </c>
      <c r="E58" s="10">
        <f>'4'!F3</f>
        <v>0</v>
      </c>
      <c r="F58" s="10">
        <f>'4'!G3</f>
        <v>1</v>
      </c>
      <c r="L58" s="29" t="s">
        <v>1096</v>
      </c>
      <c r="M58" s="22">
        <f>COUNTIFS(F:F,"5",E:E,"2",D:D,"F")</f>
        <v>5</v>
      </c>
    </row>
    <row r="59" spans="1:13" x14ac:dyDescent="0.35">
      <c r="A59" s="10">
        <f>'4'!A4</f>
        <v>4</v>
      </c>
      <c r="B59" s="10">
        <f>'4'!B4</f>
        <v>3</v>
      </c>
      <c r="C59" s="10" t="str">
        <f>'4'!D4</f>
        <v>Aesthetic value of landscape not alligned with ecological values</v>
      </c>
      <c r="D59" s="10" t="str">
        <f>'4'!E4</f>
        <v>B</v>
      </c>
      <c r="E59" s="10">
        <f>'4'!F4</f>
        <v>0</v>
      </c>
      <c r="F59" s="10">
        <f>'4'!G4</f>
        <v>1</v>
      </c>
      <c r="L59" s="29" t="s">
        <v>545</v>
      </c>
      <c r="M59" s="22">
        <f>COUNTIFS(F:F,"1",E:E,"3",D:D,"F")</f>
        <v>7</v>
      </c>
    </row>
    <row r="60" spans="1:13" x14ac:dyDescent="0.35">
      <c r="A60" s="10">
        <f>'4'!A5</f>
        <v>4</v>
      </c>
      <c r="B60" s="10">
        <f>'4'!B5</f>
        <v>4</v>
      </c>
      <c r="C60" s="10" t="str">
        <f>'4'!D5</f>
        <v xml:space="preserve">additional' implementation and maintenance costs (no strong business case) </v>
      </c>
      <c r="D60" s="10" t="str">
        <f>'4'!E5</f>
        <v>B</v>
      </c>
      <c r="E60" s="10">
        <f>'4'!F5</f>
        <v>0</v>
      </c>
      <c r="F60" s="10">
        <f>'4'!G5</f>
        <v>1</v>
      </c>
      <c r="L60" s="29" t="s">
        <v>714</v>
      </c>
      <c r="M60" s="22">
        <f>COUNTIFS(F:F,"2",E:E,"3",D:D,"F")</f>
        <v>3</v>
      </c>
    </row>
    <row r="61" spans="1:13" x14ac:dyDescent="0.35">
      <c r="A61" s="10">
        <f>'4'!A6</f>
        <v>4</v>
      </c>
      <c r="B61" s="10">
        <f>'4'!B6</f>
        <v>5</v>
      </c>
      <c r="C61" s="10" t="str">
        <f>'4'!D6</f>
        <v xml:space="preserve">funding gap as an opportunity to push collaboration </v>
      </c>
      <c r="D61" s="10" t="str">
        <f>'4'!E6</f>
        <v>A</v>
      </c>
      <c r="E61" s="10">
        <f>'4'!F6</f>
        <v>1</v>
      </c>
      <c r="F61" s="10">
        <f>'4'!G6</f>
        <v>1</v>
      </c>
      <c r="L61" s="29" t="s">
        <v>604</v>
      </c>
      <c r="M61" s="22">
        <f>COUNTIFS(F:F,"3",E:E,"3",D:D,"F")</f>
        <v>11</v>
      </c>
    </row>
    <row r="62" spans="1:13" x14ac:dyDescent="0.35">
      <c r="A62" s="10">
        <f>'4'!A7</f>
        <v>4</v>
      </c>
      <c r="B62" s="10">
        <f>'4'!B7</f>
        <v>6</v>
      </c>
      <c r="C62" s="10" t="str">
        <f>'4'!D7</f>
        <v xml:space="preserve">Land acquisition is a difficult, time consuming, expensive process </v>
      </c>
      <c r="D62" s="10" t="str">
        <f>'4'!E7</f>
        <v>A</v>
      </c>
      <c r="E62" s="10">
        <f>'4'!F7</f>
        <v>3</v>
      </c>
      <c r="F62" s="10">
        <f>'4'!G7</f>
        <v>3</v>
      </c>
      <c r="L62" s="29" t="s">
        <v>1097</v>
      </c>
      <c r="M62" s="22">
        <f>COUNTIFS(F:F,"1",E:E,"4",D:D,"F")</f>
        <v>2</v>
      </c>
    </row>
    <row r="63" spans="1:13" x14ac:dyDescent="0.35">
      <c r="A63" s="10">
        <f>'4'!A8</f>
        <v>4</v>
      </c>
      <c r="B63" s="10">
        <f>'4'!B8</f>
        <v>7</v>
      </c>
      <c r="C63" s="10" t="str">
        <f>'4'!D8</f>
        <v xml:space="preserve">Risk of litigations related to land ownership </v>
      </c>
      <c r="D63" s="10" t="str">
        <f>'4'!E8</f>
        <v>A</v>
      </c>
      <c r="E63" s="10">
        <f>'4'!F8</f>
        <v>3</v>
      </c>
      <c r="F63" s="10">
        <f>'4'!G8</f>
        <v>3</v>
      </c>
      <c r="L63" s="29" t="s">
        <v>1098</v>
      </c>
      <c r="M63" s="22">
        <f>COUNTIFS(F:F,"2",E:E,"4",D:D,"F")</f>
        <v>3</v>
      </c>
    </row>
    <row r="64" spans="1:13" x14ac:dyDescent="0.35">
      <c r="A64" s="10">
        <f>'4'!A9</f>
        <v>4</v>
      </c>
      <c r="B64" s="10">
        <f>'4'!B9</f>
        <v>8</v>
      </c>
      <c r="C64" s="10" t="str">
        <f>'4'!D9</f>
        <v xml:space="preserve">Uniform aesthetic preferences </v>
      </c>
      <c r="D64" s="10" t="str">
        <f>'4'!E9</f>
        <v>B</v>
      </c>
      <c r="E64" s="10">
        <f>'4'!F9</f>
        <v>0</v>
      </c>
      <c r="F64" s="10">
        <f>'4'!G9</f>
        <v>1</v>
      </c>
      <c r="L64" s="29" t="s">
        <v>1099</v>
      </c>
      <c r="M64" s="22">
        <f>COUNTIFS(F:F,"3",E:E,"4",D:D,"F")</f>
        <v>1</v>
      </c>
    </row>
    <row r="65" spans="1:14" x14ac:dyDescent="0.35">
      <c r="A65" s="10">
        <f>'4'!A10</f>
        <v>4</v>
      </c>
      <c r="B65" s="10">
        <f>'4'!B10</f>
        <v>9</v>
      </c>
      <c r="C65" s="10" t="str">
        <f>'4'!D10</f>
        <v xml:space="preserve">High opportunity costs of public resources </v>
      </c>
      <c r="D65" s="10" t="str">
        <f>'4'!E10</f>
        <v>F</v>
      </c>
      <c r="E65" s="10">
        <f>'4'!F10</f>
        <v>5</v>
      </c>
      <c r="F65" s="10">
        <f>'4'!G10</f>
        <v>1</v>
      </c>
      <c r="L65" s="29" t="s">
        <v>1101</v>
      </c>
      <c r="M65" s="22">
        <f>COUNTIFS(F:F,"1",E:E,"5",D:D,"F")</f>
        <v>6</v>
      </c>
    </row>
    <row r="66" spans="1:14" x14ac:dyDescent="0.35">
      <c r="A66" s="10">
        <f>'5'!A2</f>
        <v>5</v>
      </c>
      <c r="B66" s="10">
        <f>'5'!B2</f>
        <v>1</v>
      </c>
      <c r="C66" s="10" t="str">
        <f>'5'!D2</f>
        <v>Slow speed in development of design guidelines</v>
      </c>
      <c r="D66" s="10" t="str">
        <f>'5'!E2</f>
        <v>F</v>
      </c>
      <c r="E66" s="10">
        <f>'5'!F2</f>
        <v>2</v>
      </c>
      <c r="F66" s="10">
        <f>'5'!G2</f>
        <v>3</v>
      </c>
      <c r="L66" s="29" t="s">
        <v>1102</v>
      </c>
      <c r="M66" s="22">
        <f>COUNTIFS(F:F,"2",E:E,"5",D:D,"F")</f>
        <v>28</v>
      </c>
    </row>
    <row r="67" spans="1:14" ht="15" thickBot="1" x14ac:dyDescent="0.4">
      <c r="A67" s="10">
        <f>'5'!A3</f>
        <v>5</v>
      </c>
      <c r="B67" s="10">
        <f>'5'!B3</f>
        <v>2</v>
      </c>
      <c r="C67" s="10" t="str">
        <f>'5'!D3</f>
        <v>Lack of space within the city for further implementation of GI</v>
      </c>
      <c r="D67" s="10" t="str">
        <f>'5'!E3</f>
        <v>F</v>
      </c>
      <c r="E67" s="10">
        <f>'5'!F3</f>
        <v>5</v>
      </c>
      <c r="F67" s="10">
        <f>'5'!G3</f>
        <v>2</v>
      </c>
      <c r="L67" s="30" t="s">
        <v>1103</v>
      </c>
      <c r="M67" s="26">
        <f>COUNTIFS(F:F,"3",E:E,"5",D:D,"F")</f>
        <v>4</v>
      </c>
    </row>
    <row r="68" spans="1:14" x14ac:dyDescent="0.35">
      <c r="A68" s="10">
        <f>'5'!A4</f>
        <v>5</v>
      </c>
      <c r="B68" s="10">
        <f>'5'!B4</f>
        <v>3</v>
      </c>
      <c r="C68" s="10" t="str">
        <f>'5'!D4</f>
        <v>high installation and maintenance costs</v>
      </c>
      <c r="D68" s="10" t="str">
        <f>'5'!E4</f>
        <v>A</v>
      </c>
      <c r="E68" s="10">
        <f>'5'!F4</f>
        <v>3</v>
      </c>
      <c r="F68" s="10">
        <f>'5'!G4</f>
        <v>3</v>
      </c>
      <c r="L68" s="28"/>
      <c r="M68" s="25"/>
      <c r="N68" s="25"/>
    </row>
    <row r="69" spans="1:14" x14ac:dyDescent="0.35">
      <c r="A69" s="10">
        <f>'5'!A5</f>
        <v>5</v>
      </c>
      <c r="B69" s="10">
        <f>'5'!B5</f>
        <v>4</v>
      </c>
      <c r="C69" s="10" t="str">
        <f>'5'!D5</f>
        <v>Uncertainty of Gi in water management capacity</v>
      </c>
      <c r="D69" s="10" t="str">
        <f>'5'!E5</f>
        <v>C</v>
      </c>
      <c r="E69" s="10">
        <f>'5'!F5</f>
        <v>1</v>
      </c>
      <c r="F69" s="10">
        <f>'5'!G5</f>
        <v>1</v>
      </c>
    </row>
    <row r="70" spans="1:14" x14ac:dyDescent="0.35">
      <c r="A70" s="10">
        <f>'5'!A6</f>
        <v>5</v>
      </c>
      <c r="B70" s="10">
        <f>'5'!B6</f>
        <v>5</v>
      </c>
      <c r="C70" s="10" t="str">
        <f>'5'!D6</f>
        <v>Difficult and lack of human resources to coordinate and convince stakeholders</v>
      </c>
      <c r="D70" s="10" t="str">
        <f>'5'!E6</f>
        <v>C</v>
      </c>
      <c r="E70" s="10">
        <f>'5'!F6</f>
        <v>3</v>
      </c>
      <c r="F70" s="10">
        <f>'5'!G6</f>
        <v>2</v>
      </c>
    </row>
    <row r="71" spans="1:14" x14ac:dyDescent="0.35">
      <c r="A71" s="10">
        <f>'5'!A7</f>
        <v>5</v>
      </c>
      <c r="B71" s="10">
        <f>'5'!B7</f>
        <v>6</v>
      </c>
      <c r="C71" s="10" t="str">
        <f>'5'!D7</f>
        <v xml:space="preserve">difficult to apply new solutions from research and pilot project due to limitation of the existing legislations. </v>
      </c>
      <c r="D71" s="10" t="str">
        <f>'5'!E7</f>
        <v>F</v>
      </c>
      <c r="E71" s="10">
        <f>'5'!F7</f>
        <v>2</v>
      </c>
      <c r="F71" s="10">
        <f>'5'!G7</f>
        <v>2</v>
      </c>
    </row>
    <row r="72" spans="1:14" x14ac:dyDescent="0.35">
      <c r="A72" s="10">
        <f>'5'!A8</f>
        <v>5</v>
      </c>
      <c r="B72" s="10">
        <f>'5'!B8</f>
        <v>7</v>
      </c>
      <c r="C72" s="10" t="str">
        <f>'5'!D8</f>
        <v>Difficult to account non-monetary benefit of green solutions</v>
      </c>
      <c r="D72" s="10" t="str">
        <f>'5'!E8</f>
        <v>B</v>
      </c>
      <c r="E72" s="10">
        <f>'5'!F8</f>
        <v>0</v>
      </c>
      <c r="F72" s="10">
        <f>'5'!G8</f>
        <v>1</v>
      </c>
    </row>
    <row r="73" spans="1:14" x14ac:dyDescent="0.35">
      <c r="A73" s="10">
        <f>'5'!A9</f>
        <v>5</v>
      </c>
      <c r="B73" s="10">
        <f>'5'!B9</f>
        <v>8</v>
      </c>
      <c r="C73" s="10" t="str">
        <f>'5'!D9</f>
        <v>Difficult to establish multi- disciplinary partnerships</v>
      </c>
      <c r="D73" s="10" t="str">
        <f>'5'!E9</f>
        <v>F</v>
      </c>
      <c r="E73" s="10">
        <f>'5'!F9</f>
        <v>1</v>
      </c>
      <c r="F73" s="10">
        <f>'5'!G9</f>
        <v>2</v>
      </c>
    </row>
    <row r="74" spans="1:14" x14ac:dyDescent="0.35">
      <c r="A74" s="10">
        <f>'5'!A10</f>
        <v>5</v>
      </c>
      <c r="B74" s="10">
        <f>'5'!B10</f>
        <v>9</v>
      </c>
      <c r="C74" s="10" t="str">
        <f>'5'!D10</f>
        <v>negative opinion on non-conventional water.</v>
      </c>
      <c r="D74" s="10" t="str">
        <f>'5'!E10</f>
        <v>D</v>
      </c>
      <c r="E74" s="10">
        <f>'5'!F10</f>
        <v>0</v>
      </c>
      <c r="F74" s="10">
        <f>'5'!G10</f>
        <v>5</v>
      </c>
    </row>
    <row r="75" spans="1:14" x14ac:dyDescent="0.35">
      <c r="A75" s="10">
        <f>'5'!A11</f>
        <v>5</v>
      </c>
      <c r="B75" s="10">
        <f>'5'!B11</f>
        <v>10</v>
      </c>
      <c r="C75" s="10" t="str">
        <f>'5'!D11</f>
        <v>Implementation of GI conflicts with existing infrastructure with space constraint</v>
      </c>
      <c r="D75" s="10" t="str">
        <f>'5'!E11</f>
        <v>F</v>
      </c>
      <c r="E75" s="10">
        <f>'5'!F11</f>
        <v>5</v>
      </c>
      <c r="F75" s="10">
        <f>'5'!G11</f>
        <v>2</v>
      </c>
    </row>
    <row r="76" spans="1:14" x14ac:dyDescent="0.35">
      <c r="A76" s="10">
        <f>'5'!A12</f>
        <v>5</v>
      </c>
      <c r="B76" s="10">
        <f>'5'!B12</f>
        <v>11</v>
      </c>
      <c r="C76" s="10" t="str">
        <f>'5'!D12</f>
        <v>Challenges of the logistics for implementation of the city-wide GI plan for SWM</v>
      </c>
      <c r="D76" s="10" t="str">
        <f>'5'!E12</f>
        <v>F</v>
      </c>
      <c r="E76" s="10">
        <f>'5'!F12</f>
        <v>1</v>
      </c>
      <c r="F76" s="10">
        <f>'5'!G12</f>
        <v>1</v>
      </c>
    </row>
    <row r="77" spans="1:14" x14ac:dyDescent="0.35">
      <c r="A77" s="10">
        <f>'5'!A13</f>
        <v>5</v>
      </c>
      <c r="B77" s="10">
        <f>'5'!B13</f>
        <v>12</v>
      </c>
      <c r="C77" s="10" t="str">
        <f>'5'!D13</f>
        <v>lack of capacity for outreaching to home-owners.</v>
      </c>
      <c r="D77" s="10" t="str">
        <f>'5'!E13</f>
        <v>C</v>
      </c>
      <c r="E77" s="10">
        <f>'5'!F13</f>
        <v>3</v>
      </c>
      <c r="F77" s="10">
        <f>'5'!G13</f>
        <v>2</v>
      </c>
    </row>
    <row r="78" spans="1:14" x14ac:dyDescent="0.35">
      <c r="A78" s="10">
        <f>'5'!A14</f>
        <v>5</v>
      </c>
      <c r="B78" s="10">
        <f>'5'!B14</f>
        <v>13</v>
      </c>
      <c r="C78" s="10" t="str">
        <f>'5'!D14</f>
        <v>High cost for GI in small properties</v>
      </c>
      <c r="D78" s="10" t="str">
        <f>'5'!E14</f>
        <v>A</v>
      </c>
      <c r="E78" s="10">
        <f>'5'!F14</f>
        <v>3</v>
      </c>
      <c r="F78" s="10">
        <f>'5'!G14</f>
        <v>1</v>
      </c>
    </row>
    <row r="79" spans="1:14" x14ac:dyDescent="0.35">
      <c r="A79" s="10">
        <f>'5'!A15</f>
        <v>5</v>
      </c>
      <c r="B79" s="10">
        <f>'5'!B15</f>
        <v>14</v>
      </c>
      <c r="C79" s="10" t="str">
        <f>'5'!D15</f>
        <v xml:space="preserve">Lack of construction and maintenance experiences and incentives for GI practice. </v>
      </c>
      <c r="D79" s="10" t="str">
        <f>'5'!E15</f>
        <v>C</v>
      </c>
      <c r="E79" s="10">
        <f>'5'!F15</f>
        <v>3</v>
      </c>
      <c r="F79" s="10">
        <f>'5'!G15</f>
        <v>2</v>
      </c>
    </row>
    <row r="80" spans="1:14" x14ac:dyDescent="0.35">
      <c r="A80" s="10">
        <f>'5'!A16</f>
        <v>5</v>
      </c>
      <c r="B80" s="10">
        <f>'5'!B16</f>
        <v>15</v>
      </c>
      <c r="C80" s="10" t="str">
        <f>'5'!D16</f>
        <v>Difficult to implement low-lying areas for SWM due to high level and saline groundwater</v>
      </c>
      <c r="D80" s="10" t="str">
        <f>'5'!E16</f>
        <v>C</v>
      </c>
      <c r="E80" s="10">
        <f>'5'!F16</f>
        <v>2</v>
      </c>
      <c r="F80" s="10">
        <f>'5'!G16</f>
        <v>1</v>
      </c>
    </row>
    <row r="81" spans="1:6" x14ac:dyDescent="0.35">
      <c r="A81" s="10">
        <f>'5'!A17</f>
        <v>5</v>
      </c>
      <c r="B81" s="10">
        <f>'5'!B17</f>
        <v>16</v>
      </c>
      <c r="C81" s="10" t="str">
        <f>'5'!D17</f>
        <v>High cost and low feasibility of GI-based SWM elements due to the short rain season and lack of supporting products.</v>
      </c>
      <c r="D81" s="10" t="str">
        <f>'5'!E17</f>
        <v>A</v>
      </c>
      <c r="E81" s="10">
        <f>'5'!F17</f>
        <v>3</v>
      </c>
      <c r="F81" s="10">
        <f>'5'!G17</f>
        <v>1</v>
      </c>
    </row>
    <row r="82" spans="1:6" x14ac:dyDescent="0.35">
      <c r="A82" s="10">
        <f>'6'!A2</f>
        <v>6</v>
      </c>
      <c r="B82" s="10">
        <f>'6'!B2</f>
        <v>1</v>
      </c>
      <c r="C82" s="10" t="str">
        <f>'6'!D2</f>
        <v xml:space="preserve">Downside of unsustainable tourism - (Emissions and energy use) </v>
      </c>
      <c r="D82" s="10" t="str">
        <f>'6'!E2</f>
        <v>B</v>
      </c>
      <c r="E82" s="10">
        <f>'6'!F2</f>
        <v>0</v>
      </c>
      <c r="F82" s="10">
        <f>'6'!G2</f>
        <v>4</v>
      </c>
    </row>
    <row r="83" spans="1:6" x14ac:dyDescent="0.35">
      <c r="A83" s="10">
        <f>'6'!A3</f>
        <v>6</v>
      </c>
      <c r="B83" s="10">
        <f>'6'!B3</f>
        <v>2</v>
      </c>
      <c r="C83" s="10" t="str">
        <f>'6'!D3</f>
        <v xml:space="preserve">Downside of tourism - (water consumption) </v>
      </c>
      <c r="D83" s="10" t="str">
        <f>'6'!E3</f>
        <v>B</v>
      </c>
      <c r="E83" s="10">
        <f>'6'!F3</f>
        <v>0</v>
      </c>
      <c r="F83" s="10">
        <f>'6'!G3</f>
        <v>4</v>
      </c>
    </row>
    <row r="84" spans="1:6" x14ac:dyDescent="0.35">
      <c r="A84" s="10">
        <f>'6'!A4</f>
        <v>6</v>
      </c>
      <c r="B84" s="10">
        <f>'6'!B4</f>
        <v>3</v>
      </c>
      <c r="C84" s="10" t="str">
        <f>'6'!D4</f>
        <v xml:space="preserve">Downside of tourism - (pollution) </v>
      </c>
      <c r="D84" s="10" t="str">
        <f>'6'!E4</f>
        <v>B</v>
      </c>
      <c r="E84" s="10">
        <f>'6'!F4</f>
        <v>0</v>
      </c>
      <c r="F84" s="10">
        <f>'6'!G4</f>
        <v>4</v>
      </c>
    </row>
    <row r="85" spans="1:6" x14ac:dyDescent="0.35">
      <c r="A85" s="10">
        <f>'6'!A5</f>
        <v>6</v>
      </c>
      <c r="B85" s="10">
        <f>'6'!B5</f>
        <v>4</v>
      </c>
      <c r="C85" s="10" t="str">
        <f>'6'!D5</f>
        <v xml:space="preserve">Downside of tourism - (water consumption) </v>
      </c>
      <c r="D85" s="10" t="str">
        <f>'6'!E5</f>
        <v>B</v>
      </c>
      <c r="E85" s="10">
        <f>'6'!F5</f>
        <v>0</v>
      </c>
      <c r="F85" s="10">
        <f>'6'!G5</f>
        <v>4</v>
      </c>
    </row>
    <row r="86" spans="1:6" x14ac:dyDescent="0.35">
      <c r="A86" s="10">
        <f>'6'!A6</f>
        <v>6</v>
      </c>
      <c r="B86" s="10">
        <f>'6'!B6</f>
        <v>5</v>
      </c>
      <c r="C86" s="10" t="str">
        <f>'6'!D6</f>
        <v xml:space="preserve">Downside of tourism - over exploitation </v>
      </c>
      <c r="D86" s="10" t="str">
        <f>'6'!E6</f>
        <v>B</v>
      </c>
      <c r="E86" s="10">
        <f>'6'!F6</f>
        <v>0</v>
      </c>
      <c r="F86" s="10">
        <f>'6'!G6</f>
        <v>4</v>
      </c>
    </row>
    <row r="87" spans="1:6" x14ac:dyDescent="0.35">
      <c r="A87" s="10">
        <f>'7'!A2</f>
        <v>7</v>
      </c>
      <c r="B87" s="10">
        <f>'7'!B2</f>
        <v>1</v>
      </c>
      <c r="C87" s="10" t="str">
        <f>'7'!D2</f>
        <v>Other uses of space prevail over use as green areas</v>
      </c>
      <c r="D87" s="10" t="str">
        <f>'7'!E2</f>
        <v>F</v>
      </c>
      <c r="E87" s="10">
        <f>'7'!F2</f>
        <v>5</v>
      </c>
      <c r="F87" s="10">
        <f>'7'!G2</f>
        <v>2</v>
      </c>
    </row>
    <row r="88" spans="1:6" x14ac:dyDescent="0.35">
      <c r="A88" s="10">
        <f>'7'!A3</f>
        <v>7</v>
      </c>
      <c r="B88" s="10">
        <f>'7'!B3</f>
        <v>2</v>
      </c>
      <c r="C88" s="10" t="str">
        <f>'7'!D3</f>
        <v>Space available is inadequate to accomodate for green infratructure</v>
      </c>
      <c r="D88" s="10" t="str">
        <f>'7'!E3</f>
        <v>F</v>
      </c>
      <c r="E88" s="10">
        <f>'7'!F3</f>
        <v>5</v>
      </c>
      <c r="F88" s="10">
        <f>'7'!G3</f>
        <v>2</v>
      </c>
    </row>
    <row r="89" spans="1:6" x14ac:dyDescent="0.35">
      <c r="A89" s="10">
        <f>'7'!A4</f>
        <v>7</v>
      </c>
      <c r="B89" s="10">
        <f>'7'!B4</f>
        <v>3</v>
      </c>
      <c r="C89" s="10" t="str">
        <f>'7'!D4</f>
        <v>Larger green areas located near one another are more effective than single investments scattered</v>
      </c>
      <c r="D89" s="10" t="str">
        <f>'7'!E4</f>
        <v>F</v>
      </c>
      <c r="E89" s="10">
        <f>'7'!F4</f>
        <v>5</v>
      </c>
      <c r="F89" s="10">
        <f>'7'!G4</f>
        <v>2</v>
      </c>
    </row>
    <row r="90" spans="1:6" x14ac:dyDescent="0.35">
      <c r="A90" s="10">
        <f>'7'!A5</f>
        <v>7</v>
      </c>
      <c r="B90" s="10">
        <f>'7'!B5</f>
        <v>4</v>
      </c>
      <c r="C90" s="10" t="str">
        <f>'7'!D5</f>
        <v>Unattractive risk-return profile due to relatively high initial construction costs, the need to maintain them, and dependency on sufficient social awareness</v>
      </c>
      <c r="D90" s="10" t="str">
        <f>'7'!E5</f>
        <v>A</v>
      </c>
      <c r="E90" s="10">
        <f>'7'!F5</f>
        <v>2</v>
      </c>
      <c r="F90" s="10">
        <f>'7'!G5</f>
        <v>4</v>
      </c>
    </row>
    <row r="91" spans="1:6" x14ac:dyDescent="0.35">
      <c r="A91" s="10">
        <f>'7'!A6</f>
        <v>7</v>
      </c>
      <c r="B91" s="10">
        <f>'7'!B6</f>
        <v>5</v>
      </c>
      <c r="C91" s="10" t="str">
        <f>'7'!D6</f>
        <v>Measurable benefits important to trigger interests</v>
      </c>
      <c r="D91" s="10" t="str">
        <f>'7'!E6</f>
        <v>A</v>
      </c>
      <c r="E91" s="10">
        <f>'7'!F6</f>
        <v>2</v>
      </c>
      <c r="F91" s="10">
        <f>'7'!G6</f>
        <v>4</v>
      </c>
    </row>
    <row r="92" spans="1:6" x14ac:dyDescent="0.35">
      <c r="A92" s="10">
        <f>'7'!A7</f>
        <v>7</v>
      </c>
      <c r="B92" s="10">
        <f>'7'!B7</f>
        <v>6</v>
      </c>
      <c r="C92" s="10" t="str">
        <f>'7'!D7</f>
        <v>Societal positive attitude leads to willingness to pay for 'green certificates'</v>
      </c>
      <c r="D92" s="10" t="str">
        <f>'7'!E7</f>
        <v>A</v>
      </c>
      <c r="E92" s="10">
        <f>'7'!F7</f>
        <v>1</v>
      </c>
      <c r="F92" s="10">
        <f>'7'!G7</f>
        <v>8</v>
      </c>
    </row>
    <row r="93" spans="1:6" x14ac:dyDescent="0.35">
      <c r="A93" s="10">
        <f>'7'!A8</f>
        <v>7</v>
      </c>
      <c r="B93" s="10">
        <f>'7'!B8</f>
        <v>7</v>
      </c>
      <c r="C93" s="10" t="str">
        <f>'7'!D8</f>
        <v>Planning tools (such as green point system) required for feasibility of regulatory schemes and supporting decisionmaking</v>
      </c>
      <c r="D93" s="10" t="str">
        <f>'7'!E8</f>
        <v>C</v>
      </c>
      <c r="E93" s="10">
        <f>'7'!F8</f>
        <v>3</v>
      </c>
      <c r="F93" s="10">
        <f>'7'!G8</f>
        <v>1</v>
      </c>
    </row>
    <row r="94" spans="1:6" x14ac:dyDescent="0.35">
      <c r="A94" s="10">
        <f>'7'!A9</f>
        <v>7</v>
      </c>
      <c r="B94" s="10">
        <f>'7'!B9</f>
        <v>8</v>
      </c>
      <c r="C94" s="10" t="str">
        <f>'7'!D9</f>
        <v xml:space="preserve">"background" tools needed to improve risk-return profile </v>
      </c>
      <c r="D94" s="10" t="str">
        <f>'7'!E9</f>
        <v>A</v>
      </c>
      <c r="E94" s="10">
        <f>'7'!F9</f>
        <v>2</v>
      </c>
      <c r="F94" s="10">
        <f>'7'!G9</f>
        <v>4</v>
      </c>
    </row>
    <row r="95" spans="1:6" x14ac:dyDescent="0.35">
      <c r="A95" s="10">
        <f>'7'!A10</f>
        <v>7</v>
      </c>
      <c r="B95" s="10">
        <f>'7'!B10</f>
        <v>9</v>
      </c>
      <c r="C95" s="10" t="str">
        <f>'7'!D10</f>
        <v xml:space="preserve">Research into the effectiveness of policy/financial instruments as input for governance design </v>
      </c>
      <c r="D95" s="10" t="str">
        <f>'7'!E10</f>
        <v>C</v>
      </c>
      <c r="E95" s="10">
        <f>'7'!F10</f>
        <v>2</v>
      </c>
      <c r="F95" s="10">
        <f>'7'!G10</f>
        <v>2</v>
      </c>
    </row>
    <row r="96" spans="1:6" x14ac:dyDescent="0.35">
      <c r="A96" s="10">
        <f>'7'!A11</f>
        <v>7</v>
      </c>
      <c r="B96" s="10">
        <f>'7'!B11</f>
        <v>10</v>
      </c>
      <c r="C96" s="10" t="str">
        <f>'7'!D11</f>
        <v>attitude towards green solutions driven by social awarness of benefits is key influencer of adoption rate</v>
      </c>
      <c r="D96" s="10" t="str">
        <f>'7'!E11</f>
        <v>D</v>
      </c>
      <c r="E96" s="10">
        <f>'7'!F11</f>
        <v>0</v>
      </c>
      <c r="F96" s="10">
        <f>'7'!G11</f>
        <v>3</v>
      </c>
    </row>
    <row r="97" spans="1:6" x14ac:dyDescent="0.35">
      <c r="A97" s="10">
        <f>'7'!A12</f>
        <v>7</v>
      </c>
      <c r="B97" s="10">
        <f>'7'!B12</f>
        <v>11</v>
      </c>
      <c r="C97" s="10" t="str">
        <f>'7'!D12</f>
        <v xml:space="preserve"> sceptical attitude of investors to constructing green roofs resulting from lack of technical (construction) knowledge and lack of understansing of multiple benefits </v>
      </c>
      <c r="D97" s="10" t="str">
        <f>'7'!E12</f>
        <v>A</v>
      </c>
      <c r="E97" s="10">
        <f>'7'!F12</f>
        <v>2</v>
      </c>
      <c r="F97" s="10">
        <f>'7'!G12</f>
        <v>5</v>
      </c>
    </row>
    <row r="98" spans="1:6" x14ac:dyDescent="0.35">
      <c r="A98" s="10">
        <f>'7'!A13</f>
        <v>7</v>
      </c>
      <c r="B98" s="10">
        <f>'7'!B13</f>
        <v>12</v>
      </c>
      <c r="C98" s="10" t="str">
        <f>'7'!D13</f>
        <v xml:space="preserve">negative experiences - news about poorly constructed green roofs - enhances scpeticism </v>
      </c>
      <c r="D98" s="10" t="str">
        <f>'7'!E13</f>
        <v>D</v>
      </c>
      <c r="E98" s="10">
        <f>'7'!F13</f>
        <v>0</v>
      </c>
      <c r="F98" s="10">
        <f>'7'!G13</f>
        <v>5</v>
      </c>
    </row>
    <row r="99" spans="1:6" x14ac:dyDescent="0.35">
      <c r="A99" s="10">
        <f>'7'!A14</f>
        <v>7</v>
      </c>
      <c r="B99" s="10">
        <f>'7'!B14</f>
        <v>13</v>
      </c>
      <c r="C99" s="10" t="str">
        <f>'7'!D14</f>
        <v>complex procedures for obtaining building permits</v>
      </c>
      <c r="D99" s="10" t="str">
        <f>'7'!E14</f>
        <v>F</v>
      </c>
      <c r="E99" s="10">
        <f>'7'!F14</f>
        <v>2</v>
      </c>
      <c r="F99" s="10">
        <f>'7'!G14</f>
        <v>2</v>
      </c>
    </row>
    <row r="100" spans="1:6" x14ac:dyDescent="0.35">
      <c r="A100" s="10">
        <f>'7'!A15</f>
        <v>7</v>
      </c>
      <c r="B100" s="10">
        <f>'7'!B15</f>
        <v>14</v>
      </c>
      <c r="C100" s="10" t="str">
        <f>'7'!D15</f>
        <v xml:space="preserve"> low return on investment through fees or tax cuts, after 20–30 years, not an attractive offer for investors</v>
      </c>
      <c r="D100" s="10" t="str">
        <f>'7'!E15</f>
        <v>A</v>
      </c>
      <c r="E100" s="10">
        <f>'7'!F15</f>
        <v>2</v>
      </c>
      <c r="F100" s="10">
        <f>'7'!G15</f>
        <v>4</v>
      </c>
    </row>
    <row r="101" spans="1:6" x14ac:dyDescent="0.35">
      <c r="A101" s="10">
        <f>'7'!A16</f>
        <v>7</v>
      </c>
      <c r="B101" s="10">
        <f>'7'!B16</f>
        <v>15</v>
      </c>
      <c r="C101" s="10" t="str">
        <f>'7'!D16</f>
        <v>lack of strategy and vision by leaders, executives and administrators</v>
      </c>
      <c r="D101" s="10" t="str">
        <f>'7'!E16</f>
        <v>E</v>
      </c>
      <c r="E101" s="10">
        <f>'7'!F16</f>
        <v>0</v>
      </c>
      <c r="F101" s="10">
        <f>'7'!G16</f>
        <v>5</v>
      </c>
    </row>
    <row r="102" spans="1:6" x14ac:dyDescent="0.35">
      <c r="A102" s="10">
        <f>'7'!A17</f>
        <v>7</v>
      </c>
      <c r="B102" s="10">
        <f>'7'!B17</f>
        <v>16</v>
      </c>
      <c r="C102" s="10" t="str">
        <f>'7'!D17</f>
        <v xml:space="preserve"> excessively strict requirements for recieving co-financing or tax allowance makes it less attractive</v>
      </c>
      <c r="D102" s="10" t="str">
        <f>'7'!E17</f>
        <v>A</v>
      </c>
      <c r="E102" s="10">
        <f>'7'!F17</f>
        <v>1</v>
      </c>
      <c r="F102" s="10">
        <f>'7'!G17</f>
        <v>10</v>
      </c>
    </row>
    <row r="103" spans="1:6" x14ac:dyDescent="0.35">
      <c r="A103" s="10">
        <f>'7'!A18</f>
        <v>7</v>
      </c>
      <c r="B103" s="10">
        <f>'7'!B18</f>
        <v>17</v>
      </c>
      <c r="C103" s="10" t="str">
        <f>'7'!D18</f>
        <v>public procurement procedures not accomodating for green infrastructure</v>
      </c>
      <c r="D103" s="10" t="str">
        <f>'7'!E18</f>
        <v>F</v>
      </c>
      <c r="E103" s="10">
        <f>'7'!F18</f>
        <v>2</v>
      </c>
      <c r="F103" s="10">
        <f>'7'!G18</f>
        <v>4</v>
      </c>
    </row>
    <row r="104" spans="1:6" x14ac:dyDescent="0.35">
      <c r="A104" s="10">
        <f>'7'!A19</f>
        <v>7</v>
      </c>
      <c r="B104" s="10">
        <f>'7'!B19</f>
        <v>18</v>
      </c>
      <c r="C104" s="10" t="str">
        <f>'7'!D19</f>
        <v xml:space="preserve"> monitoring systems to measure success are also usually weak</v>
      </c>
      <c r="D104" s="10" t="str">
        <f>'7'!E19</f>
        <v>C</v>
      </c>
      <c r="E104" s="10">
        <f>'7'!F19</f>
        <v>3</v>
      </c>
      <c r="F104" s="10">
        <f>'7'!G19</f>
        <v>1</v>
      </c>
    </row>
    <row r="105" spans="1:6" x14ac:dyDescent="0.35">
      <c r="A105" s="10">
        <f>'7'!A20</f>
        <v>7</v>
      </c>
      <c r="B105" s="10">
        <f>'7'!B20</f>
        <v>19</v>
      </c>
      <c r="C105" s="10" t="str">
        <f>'7'!D20</f>
        <v>Lack of funding for regular maintenance of green spaces</v>
      </c>
      <c r="D105" s="10" t="str">
        <f>'7'!E20</f>
        <v>A</v>
      </c>
      <c r="E105" s="10">
        <f>'7'!F20</f>
        <v>1</v>
      </c>
      <c r="F105" s="10">
        <f>'7'!G20</f>
        <v>1</v>
      </c>
    </row>
    <row r="106" spans="1:6" x14ac:dyDescent="0.35">
      <c r="A106" s="10">
        <f>'7'!A21</f>
        <v>7</v>
      </c>
      <c r="B106" s="10">
        <f>'7'!B21</f>
        <v>20</v>
      </c>
      <c r="C106" s="10" t="str">
        <f>'7'!D21</f>
        <v xml:space="preserve">Multi-faceted approach needed - combinations of (non)financial incentives - for designing constructing and maintaining green roofs. </v>
      </c>
      <c r="D106" s="10" t="str">
        <f>'7'!E21</f>
        <v>A</v>
      </c>
      <c r="E106" s="10">
        <f>'7'!F21</f>
        <v>1</v>
      </c>
      <c r="F106" s="10">
        <f>'7'!G21</f>
        <v>2</v>
      </c>
    </row>
    <row r="107" spans="1:6" x14ac:dyDescent="0.35">
      <c r="A107" s="10">
        <f>'8'!A2</f>
        <v>8</v>
      </c>
      <c r="B107" s="10">
        <f>'8'!B2</f>
        <v>1</v>
      </c>
      <c r="C107" s="10" t="str">
        <f>'8'!D2</f>
        <v xml:space="preserve"> limited research is available on the economic costs and benefits evaluation of NBS against hard engineering structure when implemented  for building resilience to HMHs</v>
      </c>
      <c r="D107" s="10" t="str">
        <f>'8'!E2</f>
        <v>B</v>
      </c>
      <c r="E107" s="10">
        <f>'8'!F2</f>
        <v>0</v>
      </c>
      <c r="F107" s="10">
        <f>'8'!G2</f>
        <v>4</v>
      </c>
    </row>
    <row r="108" spans="1:6" x14ac:dyDescent="0.35">
      <c r="A108" s="10">
        <f>'8'!A3</f>
        <v>8</v>
      </c>
      <c r="B108" s="10">
        <f>'8'!B3</f>
        <v>2</v>
      </c>
      <c r="C108" s="10" t="str">
        <f>'8'!D3</f>
        <v>effectiveness of NBS are dependent on the location, architecture, typology, green  species and environmental conditions, as well as interrelated non-linear systems</v>
      </c>
      <c r="D108" s="10" t="str">
        <f>'8'!E3</f>
        <v>C</v>
      </c>
      <c r="E108" s="10">
        <f>'8'!F3</f>
        <v>1</v>
      </c>
      <c r="F108" s="10">
        <f>'8'!G3</f>
        <v>2</v>
      </c>
    </row>
    <row r="109" spans="1:6" x14ac:dyDescent="0.35">
      <c r="A109" s="10">
        <f>'8'!A4</f>
        <v>8</v>
      </c>
      <c r="B109" s="10">
        <f>'8'!B4</f>
        <v>3</v>
      </c>
      <c r="C109" s="10" t="str">
        <f>'8'!D4</f>
        <v xml:space="preserve"> many databases and platforms but these ave gaps:  (1) availability of high spatial and temporal resolution datasets; (2) lack of homogeneity in datasets; and (3) unavailability of data  in easy-to-use digital format; and (4) limited accessibility of datasets  owing to factors such as data policy and service responsiveness to make  all these sources interoperable (5)  a number of others have systematically collected  data focusing on specific hazards but failing to deal with all natural  hazards</v>
      </c>
      <c r="D109" s="10" t="str">
        <f>'8'!E4</f>
        <v>C</v>
      </c>
      <c r="E109" s="10">
        <f>'8'!F4</f>
        <v>2</v>
      </c>
      <c r="F109" s="10">
        <f>'8'!G4</f>
        <v>1</v>
      </c>
    </row>
    <row r="110" spans="1:6" x14ac:dyDescent="0.35">
      <c r="A110" s="10">
        <f>'8'!A5</f>
        <v>8</v>
      </c>
      <c r="B110" s="10">
        <f>'8'!B5</f>
        <v>4</v>
      </c>
      <c r="C110" s="10" t="str">
        <f>'8'!D5</f>
        <v>esearch needs include the development of NBS catalogue that contains  harmonised and comprehensive database and metadata models for  NBS</v>
      </c>
      <c r="D110" s="10" t="str">
        <f>'8'!E5</f>
        <v>C</v>
      </c>
      <c r="E110" s="10">
        <f>'8'!F5</f>
        <v>2</v>
      </c>
      <c r="F110" s="10">
        <f>'8'!G5</f>
        <v>1</v>
      </c>
    </row>
    <row r="111" spans="1:6" x14ac:dyDescent="0.35">
      <c r="A111" s="10">
        <f>'8'!A6</f>
        <v>8</v>
      </c>
      <c r="B111" s="10">
        <f>'8'!B6</f>
        <v>5</v>
      </c>
      <c r="C111" s="10" t="str">
        <f>'8'!D6</f>
        <v>types of NBS adopted  to tackle each HMHs needs a logical approach to distinguish the appropriate solutions while avoiding undesirable and economically damaging aspects of the selected approach</v>
      </c>
      <c r="D111" s="10" t="str">
        <f>'8'!E6</f>
        <v>C</v>
      </c>
      <c r="E111" s="10">
        <f>'8'!F6</f>
        <v>2</v>
      </c>
      <c r="F111" s="10">
        <f>'8'!G6</f>
        <v>4</v>
      </c>
    </row>
    <row r="112" spans="1:6" x14ac:dyDescent="0.35">
      <c r="A112" s="10">
        <f>'8'!A7</f>
        <v>8</v>
      </c>
      <c r="B112" s="10">
        <f>'8'!B7</f>
        <v>6</v>
      </c>
      <c r="C112" s="10" t="str">
        <f>'8'!D7</f>
        <v>central challenge in the  concept and characterization of NBS, what is standard and what is  considered as NBS. For instance, are artificially modified biota or  bioengineering categorised as NBS</v>
      </c>
      <c r="D112" s="10" t="str">
        <f>'8'!E7</f>
        <v>C</v>
      </c>
      <c r="E112" s="10">
        <f>'8'!F7</f>
        <v>2</v>
      </c>
      <c r="F112" s="10">
        <f>'8'!G7</f>
        <v>1</v>
      </c>
    </row>
    <row r="113" spans="1:6" x14ac:dyDescent="0.35">
      <c r="A113" s="10">
        <f>'8'!A8</f>
        <v>8</v>
      </c>
      <c r="B113" s="10">
        <f>'8'!B8</f>
        <v>7</v>
      </c>
      <c r="C113" s="10" t="str">
        <f>'8'!D8</f>
        <v>five types of information  are crucial; namely, hydro-meteorological inventory data, geo information, triggering factors (Section 3), vulnerable objects to HMRs  and NBS inventory data</v>
      </c>
      <c r="D113" s="10" t="str">
        <f>'8'!E8</f>
        <v>C</v>
      </c>
      <c r="E113" s="10">
        <f>'8'!F8</f>
        <v>2</v>
      </c>
      <c r="F113" s="10">
        <f>'8'!G8</f>
        <v>2</v>
      </c>
    </row>
    <row r="114" spans="1:6" x14ac:dyDescent="0.35">
      <c r="A114" s="10">
        <f>'8'!A9</f>
        <v>8</v>
      </c>
      <c r="B114" s="10">
        <f>'8'!B9</f>
        <v>8</v>
      </c>
      <c r="C114" s="10" t="str">
        <f>'8'!D9</f>
        <v>Gaps in current knowledge and potential barriers such as lack of onsite monitoring, social and political barriers  hamper the wider uptake of NBS</v>
      </c>
      <c r="D114" s="10" t="str">
        <f>'8'!E9</f>
        <v>C</v>
      </c>
      <c r="E114" s="10">
        <f>'8'!F9</f>
        <v>1</v>
      </c>
      <c r="F114" s="10">
        <f>'8'!G9</f>
        <v>2</v>
      </c>
    </row>
    <row r="115" spans="1:6" x14ac:dyDescent="0.35">
      <c r="A115" s="10">
        <f>'8'!A10</f>
        <v>8</v>
      </c>
      <c r="B115" s="10">
        <f>'8'!B10</f>
        <v>9</v>
      </c>
      <c r="C115" s="10" t="str">
        <f>'8'!D10</f>
        <v xml:space="preserve"> social and political barriers  hamper the wider uptake of NBS</v>
      </c>
      <c r="D115" s="10" t="str">
        <f>'8'!E10</f>
        <v>E</v>
      </c>
      <c r="E115" s="10">
        <f>'8'!F10</f>
        <v>0</v>
      </c>
      <c r="F115" s="10">
        <f>'8'!G10</f>
        <v>1</v>
      </c>
    </row>
    <row r="116" spans="1:6" x14ac:dyDescent="0.35">
      <c r="A116" s="10">
        <f>'8'!A11</f>
        <v>8</v>
      </c>
      <c r="B116" s="10">
        <f>'8'!B11</f>
        <v>10</v>
      </c>
      <c r="C116" s="10" t="str">
        <f>'8'!D11</f>
        <v>interdisciplinary and collaborative research amongst different policy  areas, stakeholders and many other sectors is required</v>
      </c>
      <c r="D116" s="10" t="str">
        <f>'8'!E11</f>
        <v>C</v>
      </c>
      <c r="E116" s="10">
        <f>'8'!F11</f>
        <v>2</v>
      </c>
      <c r="F116" s="10">
        <f>'8'!G11</f>
        <v>3</v>
      </c>
    </row>
    <row r="117" spans="1:6" x14ac:dyDescent="0.35">
      <c r="A117" s="10">
        <f>'8'!A12</f>
        <v>8</v>
      </c>
      <c r="B117" s="10">
        <f>'8'!B12</f>
        <v>11</v>
      </c>
      <c r="C117" s="10" t="str">
        <f>'8'!D12</f>
        <v xml:space="preserve"> hybrid approach  that combines blue, green and grey approach as the most effective  way of tackling HMHs</v>
      </c>
      <c r="D117" s="10" t="str">
        <f>'8'!E12</f>
        <v>C</v>
      </c>
      <c r="E117" s="10">
        <f>'8'!F12</f>
        <v>2</v>
      </c>
      <c r="F117" s="10">
        <f>'8'!G12</f>
        <v>2</v>
      </c>
    </row>
    <row r="118" spans="1:6" x14ac:dyDescent="0.35">
      <c r="A118" s="10">
        <f>'8'!A13</f>
        <v>8</v>
      </c>
      <c r="B118" s="10">
        <f>'8'!B13</f>
        <v>12</v>
      </c>
      <c r="C118" s="10" t="str">
        <f>'8'!D13</f>
        <v xml:space="preserve">difficult to observe and assess the efficiency of  interferences </v>
      </c>
      <c r="D118" s="10" t="str">
        <f>'8'!E13</f>
        <v>B</v>
      </c>
      <c r="E118" s="10">
        <f>'8'!F13</f>
        <v>0</v>
      </c>
      <c r="F118" s="10">
        <f>'8'!G13</f>
        <v>1</v>
      </c>
    </row>
    <row r="119" spans="1:6" x14ac:dyDescent="0.35">
      <c r="A119" s="10">
        <f>'9'!A2</f>
        <v>9</v>
      </c>
      <c r="B119" s="10">
        <f>'9'!B2</f>
        <v>1</v>
      </c>
      <c r="C119" s="10" t="str">
        <f>'9'!D2</f>
        <v xml:space="preserve">Different valuation methods (replacement value vs service value) </v>
      </c>
      <c r="D119" s="10" t="str">
        <f>'9'!E2</f>
        <v>B</v>
      </c>
      <c r="E119" s="10">
        <f>'9'!F2</f>
        <v>0</v>
      </c>
      <c r="F119" s="10">
        <f>'9'!G2</f>
        <v>2</v>
      </c>
    </row>
    <row r="120" spans="1:6" x14ac:dyDescent="0.35">
      <c r="A120" s="10">
        <f>'9'!A3</f>
        <v>9</v>
      </c>
      <c r="B120" s="10">
        <f>'9'!B3</f>
        <v>2</v>
      </c>
      <c r="C120" s="10" t="str">
        <f>'9'!D3</f>
        <v xml:space="preserve">Natural components (trees) not considered assets (US) financial accounting rules and standards </v>
      </c>
      <c r="D120" s="10" t="str">
        <f>'9'!E3</f>
        <v>B</v>
      </c>
      <c r="E120" s="10">
        <f>'9'!F3</f>
        <v>0</v>
      </c>
      <c r="F120" s="10">
        <f>'9'!G3</f>
        <v>4</v>
      </c>
    </row>
    <row r="121" spans="1:6" x14ac:dyDescent="0.35">
      <c r="A121" s="10">
        <f>'9'!A4</f>
        <v>9</v>
      </c>
      <c r="B121" s="10">
        <f>'9'!B4</f>
        <v>3</v>
      </c>
      <c r="C121" s="10" t="str">
        <f>'9'!D4</f>
        <v xml:space="preserve">selling multiple ESS at the cost of the ecological value </v>
      </c>
      <c r="D121" s="10" t="str">
        <f>'9'!E4</f>
        <v>A</v>
      </c>
      <c r="E121" s="10">
        <f>'9'!F4</f>
        <v>1</v>
      </c>
      <c r="F121" s="10">
        <f>'9'!G4</f>
        <v>10</v>
      </c>
    </row>
    <row r="122" spans="1:6" x14ac:dyDescent="0.35">
      <c r="A122" s="10">
        <f>'9'!A5</f>
        <v>9</v>
      </c>
      <c r="B122" s="10">
        <f>'9'!B5</f>
        <v>4</v>
      </c>
      <c r="C122" s="10" t="str">
        <f>'9'!D5</f>
        <v xml:space="preserve">Unauthorized expenditures - public silo's - mandate for department specific services. </v>
      </c>
      <c r="D122" s="10" t="str">
        <f>'9'!E5</f>
        <v>F</v>
      </c>
      <c r="E122" s="10">
        <f>'9'!F5</f>
        <v>2</v>
      </c>
      <c r="F122" s="10">
        <f>'9'!G5</f>
        <v>1</v>
      </c>
    </row>
    <row r="123" spans="1:6" x14ac:dyDescent="0.35">
      <c r="A123" s="10">
        <f>'9'!A6</f>
        <v>9</v>
      </c>
      <c r="B123" s="10">
        <f>'9'!B6</f>
        <v>5</v>
      </c>
      <c r="C123" s="10" t="str">
        <f>'9'!D6</f>
        <v xml:space="preserve">increase transparency on justifying expenses beyond primary objective/mission </v>
      </c>
      <c r="D123" s="10" t="str">
        <f>'9'!E6</f>
        <v>F</v>
      </c>
      <c r="E123" s="10">
        <f>'9'!F6</f>
        <v>1</v>
      </c>
      <c r="F123" s="10">
        <f>'9'!G6</f>
        <v>1</v>
      </c>
    </row>
    <row r="124" spans="1:6" x14ac:dyDescent="0.35">
      <c r="A124" s="10">
        <f>'9'!A7</f>
        <v>9</v>
      </c>
      <c r="B124" s="10">
        <f>'9'!B7</f>
        <v>6</v>
      </c>
      <c r="C124" s="10" t="str">
        <f>'9'!D7</f>
        <v xml:space="preserve">challenging to integrate knowledge systems (procedures) within different institutions </v>
      </c>
      <c r="D124" s="10" t="str">
        <f>'9'!E7</f>
        <v>F</v>
      </c>
      <c r="E124" s="10">
        <f>'9'!F7</f>
        <v>1</v>
      </c>
      <c r="F124" s="10">
        <f>'9'!G7</f>
        <v>1</v>
      </c>
    </row>
    <row r="125" spans="1:6" x14ac:dyDescent="0.35">
      <c r="A125" s="10">
        <f>'9'!A8</f>
        <v>9</v>
      </c>
      <c r="B125" s="10">
        <f>'9'!B8</f>
        <v>7</v>
      </c>
      <c r="C125" s="10" t="str">
        <f>'9'!D8</f>
        <v xml:space="preserve">Financial asset management standards  prohibit mainstreaming of GI </v>
      </c>
      <c r="D125" s="10" t="str">
        <f>'9'!E8</f>
        <v>F</v>
      </c>
      <c r="E125" s="10">
        <f>'9'!F8</f>
        <v>2</v>
      </c>
      <c r="F125" s="10">
        <f>'9'!G8</f>
        <v>5</v>
      </c>
    </row>
    <row r="126" spans="1:6" x14ac:dyDescent="0.35">
      <c r="A126" s="10">
        <f>'9'!A9</f>
        <v>9</v>
      </c>
      <c r="B126" s="10">
        <f>'9'!B9</f>
        <v>8</v>
      </c>
      <c r="C126" s="10" t="str">
        <f>'9'!D9</f>
        <v xml:space="preserve">Natural components (trees) not considered assets (US) financial accounting rules and standards </v>
      </c>
      <c r="D126" s="10" t="str">
        <f>'9'!E9</f>
        <v>F</v>
      </c>
      <c r="E126" s="10">
        <f>'9'!F9</f>
        <v>2</v>
      </c>
      <c r="F126" s="10">
        <f>'9'!G9</f>
        <v>5</v>
      </c>
    </row>
    <row r="127" spans="1:6" x14ac:dyDescent="0.35">
      <c r="A127" s="10">
        <f>'9'!A10</f>
        <v>9</v>
      </c>
      <c r="B127" s="10">
        <f>'9'!B10</f>
        <v>9</v>
      </c>
      <c r="C127" s="10" t="str">
        <f>'9'!D10</f>
        <v xml:space="preserve">conceptually difficult to include the value of nature on accounting ledgers (as an asset) </v>
      </c>
      <c r="D127" s="10" t="str">
        <f>'9'!E10</f>
        <v>F</v>
      </c>
      <c r="E127" s="10">
        <f>'9'!F10</f>
        <v>2</v>
      </c>
      <c r="F127" s="10">
        <f>'9'!G10</f>
        <v>5</v>
      </c>
    </row>
    <row r="128" spans="1:6" x14ac:dyDescent="0.35">
      <c r="A128" s="10">
        <f>'9'!A11</f>
        <v>9</v>
      </c>
      <c r="B128" s="10">
        <f>'9'!B11</f>
        <v>10</v>
      </c>
      <c r="C128" s="10" t="str">
        <f>'9'!D11</f>
        <v xml:space="preserve"> nature as a service provider similar to grey infra not yet embraced</v>
      </c>
      <c r="D128" s="10" t="str">
        <f>'9'!E11</f>
        <v>F</v>
      </c>
      <c r="E128" s="10">
        <f>'9'!F11</f>
        <v>2</v>
      </c>
      <c r="F128" s="10">
        <f>'9'!G11</f>
        <v>5</v>
      </c>
    </row>
    <row r="129" spans="1:6" x14ac:dyDescent="0.35">
      <c r="A129" s="10">
        <f>'9'!A12</f>
        <v>9</v>
      </c>
      <c r="B129" s="10">
        <f>'9'!B12</f>
        <v>11</v>
      </c>
      <c r="C129" s="10" t="str">
        <f>'9'!D12</f>
        <v>Epistemological mismatch between ecological and accounting systems - financial system does not (fully) accomodate for ecological values</v>
      </c>
      <c r="D129" s="10" t="str">
        <f>'9'!E12</f>
        <v>F</v>
      </c>
      <c r="E129" s="10">
        <f>'9'!F12</f>
        <v>2</v>
      </c>
      <c r="F129" s="10">
        <f>'9'!G12</f>
        <v>5</v>
      </c>
    </row>
    <row r="130" spans="1:6" x14ac:dyDescent="0.35">
      <c r="A130" s="10">
        <f>'9'!A13</f>
        <v>9</v>
      </c>
      <c r="B130" s="10">
        <f>'9'!B13</f>
        <v>12</v>
      </c>
      <c r="C130" s="10" t="str">
        <f>'9'!D13</f>
        <v xml:space="preserve">Uncertainty in performance of measures </v>
      </c>
      <c r="D130" s="10" t="str">
        <f>'9'!E13</f>
        <v>B</v>
      </c>
      <c r="E130" s="10">
        <f>'9'!F13</f>
        <v>0</v>
      </c>
      <c r="F130" s="10">
        <f>'9'!G13</f>
        <v>3</v>
      </c>
    </row>
    <row r="131" spans="1:6" x14ac:dyDescent="0.35">
      <c r="A131" s="10">
        <f>'9'!A14</f>
        <v>9</v>
      </c>
      <c r="B131" s="10">
        <f>'9'!B14</f>
        <v>13</v>
      </c>
      <c r="C131" s="10" t="str">
        <f>'9'!D14</f>
        <v xml:space="preserve">Unauthorized expenditures - Greening seen as 'luxury' not neccessity </v>
      </c>
      <c r="D131" s="10" t="str">
        <f>'9'!E14</f>
        <v>F</v>
      </c>
      <c r="E131" s="10">
        <f>'9'!F14</f>
        <v>1</v>
      </c>
      <c r="F131" s="10">
        <f>'9'!G14</f>
        <v>1</v>
      </c>
    </row>
    <row r="132" spans="1:6" x14ac:dyDescent="0.35">
      <c r="A132" s="10">
        <f>'9'!A15</f>
        <v>9</v>
      </c>
      <c r="B132" s="10">
        <f>'9'!B15</f>
        <v>14</v>
      </c>
      <c r="C132" s="10" t="str">
        <f>'9'!D15</f>
        <v>Valueing nature is difficult</v>
      </c>
      <c r="D132" s="10" t="str">
        <f>'9'!E15</f>
        <v>B</v>
      </c>
      <c r="E132" s="10">
        <f>'9'!F15</f>
        <v>0</v>
      </c>
      <c r="F132" s="10">
        <f>'9'!G15</f>
        <v>1</v>
      </c>
    </row>
    <row r="133" spans="1:6" x14ac:dyDescent="0.35">
      <c r="A133" s="10">
        <f>'9'!A16</f>
        <v>9</v>
      </c>
      <c r="B133" s="10">
        <f>'9'!B16</f>
        <v>15</v>
      </c>
      <c r="C133" s="10" t="str">
        <f>'9'!D16</f>
        <v>Actual valuation of nature is difficult</v>
      </c>
      <c r="D133" s="10" t="str">
        <f>'9'!E16</f>
        <v>B</v>
      </c>
      <c r="E133" s="10">
        <f>'9'!F16</f>
        <v>0</v>
      </c>
      <c r="F133" s="10">
        <f>'9'!G16</f>
        <v>1</v>
      </c>
    </row>
    <row r="134" spans="1:6" x14ac:dyDescent="0.35">
      <c r="A134" s="10">
        <f>'10'!A2</f>
        <v>10</v>
      </c>
      <c r="B134" s="10">
        <f>'10'!B2</f>
        <v>1</v>
      </c>
      <c r="C134" s="10" t="str">
        <f>'10'!D2</f>
        <v>Perceived benefits have to  consider social and ecological amenities including biodiversity, recreation spaces, urban heat reduction, and healthier ecosystems, but these  are difficult to quantify.</v>
      </c>
      <c r="D134" s="10" t="str">
        <f>'10'!E2</f>
        <v>B</v>
      </c>
      <c r="E134" s="10">
        <f>'10'!F2</f>
        <v>0</v>
      </c>
      <c r="F134" s="10">
        <f>'10'!G2</f>
        <v>1</v>
      </c>
    </row>
    <row r="135" spans="1:6" x14ac:dyDescent="0.35">
      <c r="A135" s="10">
        <f>'10'!A3</f>
        <v>10</v>
      </c>
      <c r="B135" s="10">
        <f>'10'!B3</f>
        <v>2</v>
      </c>
      <c r="C135" s="10" t="str">
        <f>'10'!D3</f>
        <v>Research  on cost-benefit analysis of such projects is still limited, so the cost and  benefit of Sponge City projects is difficult to compare.</v>
      </c>
      <c r="D135" s="10" t="str">
        <f>'10'!E3</f>
        <v>B</v>
      </c>
      <c r="E135" s="10">
        <f>'10'!F3</f>
        <v>0</v>
      </c>
      <c r="F135" s="10">
        <f>'10'!G3</f>
        <v>1</v>
      </c>
    </row>
    <row r="136" spans="1:6" x14ac:dyDescent="0.35">
      <c r="A136" s="10">
        <f>'10'!A4</f>
        <v>10</v>
      </c>
      <c r="B136" s="10">
        <f>'10'!B4</f>
        <v>3</v>
      </c>
      <c r="C136" s="10" t="str">
        <f>'10'!D4</f>
        <v>more research is required on the financial viability of Sponge City projects</v>
      </c>
      <c r="D136" s="10" t="str">
        <f>'10'!E4</f>
        <v>C</v>
      </c>
      <c r="E136" s="10">
        <f>'10'!F4</f>
        <v>1</v>
      </c>
      <c r="F136" s="10">
        <f>'10'!G4</f>
        <v>1</v>
      </c>
    </row>
    <row r="137" spans="1:6" x14ac:dyDescent="0.35">
      <c r="A137" s="10">
        <f>'10'!A5</f>
        <v>10</v>
      </c>
      <c r="B137" s="10">
        <f>'10'!B5</f>
        <v>4</v>
      </c>
      <c r="C137" s="10" t="str">
        <f>'10'!D5</f>
        <v xml:space="preserve"> availability of information on public perceptions and willingness to pay for  this is still limited.</v>
      </c>
      <c r="D137" s="10" t="str">
        <f>'10'!E5</f>
        <v>B</v>
      </c>
      <c r="E137" s="10">
        <f>'10'!F5</f>
        <v>0</v>
      </c>
      <c r="F137" s="10">
        <f>'10'!G5</f>
        <v>4</v>
      </c>
    </row>
    <row r="138" spans="1:6" x14ac:dyDescent="0.35">
      <c r="A138" s="10">
        <f>'10'!A6</f>
        <v>10</v>
      </c>
      <c r="B138" s="10">
        <f>'10'!B6</f>
        <v>5</v>
      </c>
      <c r="C138" s="10" t="str">
        <f>'10'!D6</f>
        <v>assessment of costeffectiveness of urban sponge projects encounters many obstacles due  to the unknown maintenance and monitoring costs, and in calculating,  the life cycle benefits related to social and ecological amenities</v>
      </c>
      <c r="D138" s="10" t="str">
        <f>'10'!E6</f>
        <v>B</v>
      </c>
      <c r="E138" s="10">
        <f>'10'!F6</f>
        <v>0</v>
      </c>
      <c r="F138" s="10">
        <f>'10'!G6</f>
        <v>1</v>
      </c>
    </row>
    <row r="139" spans="1:6" x14ac:dyDescent="0.35">
      <c r="A139" s="10">
        <f>'10'!A7</f>
        <v>10</v>
      </c>
      <c r="B139" s="10">
        <f>'10'!B7</f>
        <v>6</v>
      </c>
      <c r="C139" s="10" t="str">
        <f>'10'!D7</f>
        <v>improving public attitudes and perceptions of the Sponge City meet obstacles because the concept is still a very new one</v>
      </c>
      <c r="D139" s="10" t="str">
        <f>'10'!E7</f>
        <v>C</v>
      </c>
      <c r="E139" s="10">
        <f>'10'!F7</f>
        <v>1</v>
      </c>
      <c r="F139" s="10">
        <f>'10'!G7</f>
        <v>1</v>
      </c>
    </row>
    <row r="140" spans="1:6" x14ac:dyDescent="0.35">
      <c r="A140" s="10">
        <f>'10'!A8</f>
        <v>10</v>
      </c>
      <c r="B140" s="10">
        <f>'10'!B8</f>
        <v>7</v>
      </c>
      <c r="C140" s="10" t="str">
        <f>'10'!D8</f>
        <v xml:space="preserve"> technological discrepancies between developed and developing countries</v>
      </c>
      <c r="D140" s="10" t="str">
        <f>'10'!E8</f>
        <v>C</v>
      </c>
      <c r="E140" s="10">
        <f>'10'!F8</f>
        <v>3</v>
      </c>
      <c r="F140" s="10">
        <f>'10'!G8</f>
        <v>2</v>
      </c>
    </row>
    <row r="141" spans="1:6" x14ac:dyDescent="0.35">
      <c r="A141" s="10">
        <f>'10'!A9</f>
        <v>10</v>
      </c>
      <c r="B141" s="10">
        <f>'10'!B9</f>
        <v>8</v>
      </c>
      <c r="C141" s="10" t="str">
        <f>'10'!D9</f>
        <v>Central government subsidies are  inadequate due to the high and long-term funding requirement for construction</v>
      </c>
      <c r="D141" s="10" t="str">
        <f>'10'!E9</f>
        <v>A</v>
      </c>
      <c r="E141" s="10">
        <f>'10'!F9</f>
        <v>1</v>
      </c>
      <c r="F141" s="10">
        <f>'10'!G9</f>
        <v>1</v>
      </c>
    </row>
    <row r="142" spans="1:6" x14ac:dyDescent="0.35">
      <c r="A142" s="10">
        <f>'10'!A10</f>
        <v>10</v>
      </c>
      <c r="B142" s="10">
        <f>'10'!B10</f>
        <v>9</v>
      </c>
      <c r="C142" s="10" t="str">
        <f>'10'!D10</f>
        <v xml:space="preserve"> subsidies are  inadequate due to the high and long-term funding requirement for construction - policy-makers have to recognize that in the long-term, the  public-private partnership (PPP) strategy is the best way to make the  Sponge City viable</v>
      </c>
      <c r="D142" s="10" t="str">
        <f>'10'!E10</f>
        <v>F</v>
      </c>
      <c r="E142" s="10">
        <f>'10'!F10</f>
        <v>3</v>
      </c>
      <c r="F142" s="10">
        <f>'10'!G10</f>
        <v>3</v>
      </c>
    </row>
    <row r="143" spans="1:6" x14ac:dyDescent="0.35">
      <c r="A143" s="10">
        <f>'10'!A11</f>
        <v>10</v>
      </c>
      <c r="B143" s="10">
        <f>'10'!B11</f>
        <v>10</v>
      </c>
      <c r="C143" s="10" t="str">
        <f>'10'!D11</f>
        <v>private sector  would not invest in a Sponge City project due to higher costs not  being matched by higher revenues</v>
      </c>
      <c r="D143" s="10" t="str">
        <f>'10'!E11</f>
        <v>A</v>
      </c>
      <c r="E143" s="10">
        <f>'10'!F11</f>
        <v>2</v>
      </c>
      <c r="F143" s="10">
        <f>'10'!G11</f>
        <v>4</v>
      </c>
    </row>
    <row r="144" spans="1:6" x14ac:dyDescent="0.35">
      <c r="A144" s="10">
        <f>'10'!A12</f>
        <v>10</v>
      </c>
      <c r="B144" s="10">
        <f>'10'!B12</f>
        <v>11</v>
      </c>
      <c r="C144" s="10" t="str">
        <f>'10'!D12</f>
        <v xml:space="preserve"> implementation at catchment scale requires substantial investment.</v>
      </c>
      <c r="D144" s="10" t="str">
        <f>'10'!E12</f>
        <v>A</v>
      </c>
      <c r="E144" s="10">
        <f>'10'!F12</f>
        <v>3</v>
      </c>
      <c r="F144" s="10">
        <f>'10'!G12</f>
        <v>1</v>
      </c>
    </row>
    <row r="145" spans="1:6" x14ac:dyDescent="0.35">
      <c r="A145" s="10">
        <f>'10'!A13</f>
        <v>10</v>
      </c>
      <c r="B145" s="10">
        <f>'10'!B13</f>
        <v>12</v>
      </c>
      <c r="C145" s="10" t="str">
        <f>'10'!D13</f>
        <v xml:space="preserve"> Implementation require a systematic process of monitoring,  evaluation and management</v>
      </c>
      <c r="D145" s="10" t="str">
        <f>'10'!E13</f>
        <v>F</v>
      </c>
      <c r="E145" s="10">
        <f>'10'!F13</f>
        <v>1</v>
      </c>
      <c r="F145" s="10">
        <f>'10'!G13</f>
        <v>1</v>
      </c>
    </row>
    <row r="146" spans="1:6" x14ac:dyDescent="0.35">
      <c r="A146" s="10">
        <f>'10'!A14</f>
        <v>10</v>
      </c>
      <c r="B146" s="10">
        <f>'10'!B14</f>
        <v>13</v>
      </c>
      <c r="C146" s="10" t="str">
        <f>'10'!D14</f>
        <v xml:space="preserve">management hierarchy of  the Sponge City is classified as a shared responsibility between central  government and local government </v>
      </c>
      <c r="D146" s="10" t="str">
        <f>'10'!E14</f>
        <v>F</v>
      </c>
      <c r="E146" s="10">
        <f>'10'!F14</f>
        <v>1</v>
      </c>
      <c r="F146" s="10">
        <f>'10'!G14</f>
        <v>1</v>
      </c>
    </row>
    <row r="147" spans="1:6" x14ac:dyDescent="0.35">
      <c r="A147" s="10">
        <f>'10'!A15</f>
        <v>10</v>
      </c>
      <c r="B147" s="10">
        <f>'10'!B15</f>
        <v>14</v>
      </c>
      <c r="C147" s="10" t="str">
        <f>'10'!D15</f>
        <v>All cities in China are expected to take part in  the Sponge City program</v>
      </c>
      <c r="D147" s="10" t="str">
        <f>'10'!E15</f>
        <v>F</v>
      </c>
      <c r="E147" s="10">
        <f>'10'!F15</f>
        <v>2</v>
      </c>
      <c r="F147" s="10">
        <f>'10'!G15</f>
        <v>2</v>
      </c>
    </row>
    <row r="148" spans="1:6" x14ac:dyDescent="0.35">
      <c r="A148" s="10">
        <f>'10'!A16</f>
        <v>10</v>
      </c>
      <c r="B148" s="10">
        <f>'10'!B16</f>
        <v>15</v>
      </c>
      <c r="C148" s="10" t="str">
        <f>'10'!D16</f>
        <v>published technical guideline for Sponge City implementation</v>
      </c>
      <c r="D148" s="10" t="str">
        <f>'10'!E16</f>
        <v>F</v>
      </c>
      <c r="E148" s="10">
        <f>'10'!F16</f>
        <v>2</v>
      </c>
      <c r="F148" s="10">
        <f>'10'!G16</f>
        <v>3</v>
      </c>
    </row>
    <row r="149" spans="1:6" x14ac:dyDescent="0.35">
      <c r="A149" s="10">
        <f>'10'!A17</f>
        <v>10</v>
      </c>
      <c r="B149" s="10">
        <f>'10'!B17</f>
        <v>16</v>
      </c>
      <c r="C149" s="10" t="str">
        <f>'10'!D17</f>
        <v>implementation requires not only appropriate acceptance of technologies but also strong management systems and governance capabilities</v>
      </c>
      <c r="D149" s="10" t="str">
        <f>'10'!E17</f>
        <v>C</v>
      </c>
      <c r="E149" s="10">
        <f>'10'!F17</f>
        <v>2</v>
      </c>
      <c r="F149" s="10">
        <f>'10'!G17</f>
        <v>2</v>
      </c>
    </row>
    <row r="150" spans="1:6" x14ac:dyDescent="0.35">
      <c r="A150" s="10">
        <f>'10'!A18</f>
        <v>10</v>
      </c>
      <c r="B150" s="10">
        <f>'10'!B18</f>
        <v>17</v>
      </c>
      <c r="C150" s="10" t="str">
        <f>'10'!D18</f>
        <v>appropriate legal framework or agency body  that can ensure sharing of benefits between sectors will help cooperation and involvement of inter-agencies</v>
      </c>
      <c r="D150" s="10" t="str">
        <f>'10'!E18</f>
        <v>A</v>
      </c>
      <c r="E150" s="10">
        <f>'10'!F18</f>
        <v>1</v>
      </c>
      <c r="F150" s="10">
        <f>'10'!G18</f>
        <v>8</v>
      </c>
    </row>
    <row r="151" spans="1:6" x14ac:dyDescent="0.35">
      <c r="A151" s="10">
        <f>'10'!A19</f>
        <v>10</v>
      </c>
      <c r="B151" s="10">
        <f>'10'!B19</f>
        <v>18</v>
      </c>
      <c r="C151" s="10" t="str">
        <f>'10'!D19</f>
        <v>Achieving public participation,  people's willingness to invest, and having the education, training and  information dissemination methods to support regions should be  discussed with a broad array of public groups ranging from political  leaders to everyday citizens</v>
      </c>
      <c r="D151" s="10" t="str">
        <f>'10'!E19</f>
        <v>D</v>
      </c>
      <c r="E151" s="10">
        <f>'10'!F19</f>
        <v>0</v>
      </c>
      <c r="F151" s="10">
        <f>'10'!G19</f>
        <v>3</v>
      </c>
    </row>
    <row r="152" spans="1:6" x14ac:dyDescent="0.35">
      <c r="A152" s="10">
        <f>'11'!A2</f>
        <v>11</v>
      </c>
      <c r="B152" s="10">
        <f>'11'!B2</f>
        <v>1</v>
      </c>
      <c r="C152" s="10" t="str">
        <f>'11'!D2</f>
        <v xml:space="preserve">complex interactions (synergies and trade-offs) between the watershed and ESS </v>
      </c>
      <c r="D152" s="10" t="str">
        <f>'11'!E2</f>
        <v>C</v>
      </c>
      <c r="E152" s="10">
        <f>'11'!F2</f>
        <v>1</v>
      </c>
      <c r="F152" s="10">
        <f>'11'!G2</f>
        <v>1</v>
      </c>
    </row>
    <row r="153" spans="1:6" x14ac:dyDescent="0.35">
      <c r="A153" s="10">
        <f>'11'!A3</f>
        <v>11</v>
      </c>
      <c r="B153" s="10">
        <f>'11'!B3</f>
        <v>2</v>
      </c>
      <c r="C153" s="10" t="str">
        <f>'11'!D3</f>
        <v>Effects of vegetation types are different depending on the scale analysed</v>
      </c>
      <c r="D153" s="10" t="str">
        <f>'11'!E3</f>
        <v>C</v>
      </c>
      <c r="E153" s="10">
        <f>'11'!F3</f>
        <v>1</v>
      </c>
      <c r="F153" s="10">
        <f>'11'!G3</f>
        <v>1</v>
      </c>
    </row>
    <row r="154" spans="1:6" x14ac:dyDescent="0.35">
      <c r="A154" s="10">
        <f>'11'!A4</f>
        <v>11</v>
      </c>
      <c r="B154" s="10">
        <f>'11'!B4</f>
        <v>3</v>
      </c>
      <c r="C154" s="10" t="str">
        <f>'11'!D4</f>
        <v xml:space="preserve"> water-related payment schemes lack appropriate monitoring of  environmental performance</v>
      </c>
      <c r="D154" s="10" t="str">
        <f>'11'!E4</f>
        <v>A</v>
      </c>
      <c r="E154" s="10">
        <f>'11'!F4</f>
        <v>1</v>
      </c>
      <c r="F154" s="10">
        <f>'11'!G4</f>
        <v>1</v>
      </c>
    </row>
    <row r="155" spans="1:6" x14ac:dyDescent="0.35">
      <c r="A155" s="10">
        <f>'11'!A5</f>
        <v>11</v>
      </c>
      <c r="B155" s="10">
        <f>'11'!B5</f>
        <v>4</v>
      </c>
      <c r="C155" s="10" t="str">
        <f>'11'!D5</f>
        <v>Complexity of ecohydrological processes in forest ecosystems due to large number of driving factors at multiple scales</v>
      </c>
      <c r="D155" s="10" t="str">
        <f>'11'!E5</f>
        <v>C</v>
      </c>
      <c r="E155" s="10">
        <f>'11'!F5</f>
        <v>1</v>
      </c>
      <c r="F155" s="10">
        <f>'11'!G5</f>
        <v>1</v>
      </c>
    </row>
    <row r="156" spans="1:6" x14ac:dyDescent="0.35">
      <c r="A156" s="10">
        <f>'11'!A6</f>
        <v>11</v>
      </c>
      <c r="B156" s="10">
        <f>'11'!B6</f>
        <v>5</v>
      </c>
      <c r="C156" s="10" t="str">
        <f>'11'!D6</f>
        <v xml:space="preserve"> scientific findings related to ecohydrological processes have not always reached the policy domain</v>
      </c>
      <c r="D156" s="10" t="str">
        <f>'11'!E6</f>
        <v>D</v>
      </c>
      <c r="E156" s="10">
        <f>'11'!F6</f>
        <v>0</v>
      </c>
      <c r="F156" s="10">
        <f>'11'!G6</f>
        <v>4</v>
      </c>
    </row>
    <row r="157" spans="1:6" x14ac:dyDescent="0.35">
      <c r="A157" s="10">
        <f>'11'!A7</f>
        <v>11</v>
      </c>
      <c r="B157" s="10">
        <f>'11'!B7</f>
        <v>6</v>
      </c>
      <c r="C157" s="10" t="str">
        <f>'11'!D7</f>
        <v xml:space="preserve"> few decision support models qualify as integrated hydro-economic modeling approaches, balancing economic and environmental water demands</v>
      </c>
      <c r="D157" s="10" t="str">
        <f>'11'!E7</f>
        <v>C</v>
      </c>
      <c r="E157" s="10">
        <f>'11'!F7</f>
        <v>3</v>
      </c>
      <c r="F157" s="10">
        <f>'11'!G7</f>
        <v>1</v>
      </c>
    </row>
    <row r="158" spans="1:6" x14ac:dyDescent="0.35">
      <c r="A158" s="10">
        <f>'11'!A8</f>
        <v>11</v>
      </c>
      <c r="B158" s="10">
        <f>'11'!B8</f>
        <v>7</v>
      </c>
      <c r="C158" s="10" t="str">
        <f>'11'!D8</f>
        <v xml:space="preserve">Impact of intervention complex and specific to assess, with longer time horizons and uncertainties. </v>
      </c>
      <c r="D158" s="10" t="str">
        <f>'11'!E8</f>
        <v>C</v>
      </c>
      <c r="E158" s="10">
        <f>'11'!F8</f>
        <v>1</v>
      </c>
      <c r="F158" s="10">
        <f>'11'!G8</f>
        <v>1</v>
      </c>
    </row>
    <row r="159" spans="1:6" x14ac:dyDescent="0.35">
      <c r="A159" s="10">
        <f>'11'!A9</f>
        <v>11</v>
      </c>
      <c r="B159" s="10">
        <f>'11'!B9</f>
        <v>8</v>
      </c>
      <c r="C159" s="10" t="str">
        <f>'11'!D9</f>
        <v xml:space="preserve">(hollistic) impact/performance assessment requires scientific knowledge and expertise from different research fields. </v>
      </c>
      <c r="D159" s="10" t="str">
        <f>'11'!E9</f>
        <v>C</v>
      </c>
      <c r="E159" s="10">
        <f>'11'!F9</f>
        <v>2</v>
      </c>
      <c r="F159" s="10">
        <f>'11'!G9</f>
        <v>2</v>
      </c>
    </row>
    <row r="160" spans="1:6" x14ac:dyDescent="0.35">
      <c r="A160" s="10">
        <f>'11'!A10</f>
        <v>11</v>
      </c>
      <c r="B160" s="10">
        <f>'11'!B10</f>
        <v>9</v>
      </c>
      <c r="C160" s="10" t="str">
        <f>'11'!D10</f>
        <v xml:space="preserve"> Most prevalent forest models are empirical growth and yield models which struggle to capture tree growth responses to disturbances (beyond the capacity of field observations)</v>
      </c>
      <c r="D160" s="10" t="str">
        <f>'11'!E10</f>
        <v>C</v>
      </c>
      <c r="E160" s="10">
        <f>'11'!F10</f>
        <v>1</v>
      </c>
      <c r="F160" s="10">
        <f>'11'!G10</f>
        <v>3</v>
      </c>
    </row>
    <row r="161" spans="1:6" x14ac:dyDescent="0.35">
      <c r="A161" s="10">
        <f>'11'!A11</f>
        <v>11</v>
      </c>
      <c r="B161" s="10">
        <f>'11'!B11</f>
        <v>10</v>
      </c>
      <c r="C161" s="10" t="str">
        <f>'11'!D11</f>
        <v>economic (e)valuation approaches strongly focused the plot/local level - independently of water demand and supply sectors at the local, regional or even national level - no full economic welfare analysis</v>
      </c>
      <c r="D161" s="10" t="str">
        <f>'11'!E11</f>
        <v>B</v>
      </c>
      <c r="E161" s="10">
        <f>'11'!F11</f>
        <v>0</v>
      </c>
      <c r="F161" s="10">
        <f>'11'!G11</f>
        <v>1</v>
      </c>
    </row>
    <row r="162" spans="1:6" x14ac:dyDescent="0.35">
      <c r="A162" s="10">
        <f>'11'!A12</f>
        <v>11</v>
      </c>
      <c r="B162" s="10">
        <f>'11'!B12</f>
        <v>11</v>
      </c>
      <c r="C162" s="10" t="str">
        <f>'11'!D12</f>
        <v>impacts of climatic conditions on water availability/quality and potential changes in the demand for ecosystem goods and services  requires comprehensive integrated models and methods to guide policy and decision-making (not always existant).</v>
      </c>
      <c r="D162" s="10" t="str">
        <f>'11'!E12</f>
        <v>C</v>
      </c>
      <c r="E162" s="10">
        <f>'11'!F12</f>
        <v>3</v>
      </c>
      <c r="F162" s="10">
        <f>'11'!G12</f>
        <v>1</v>
      </c>
    </row>
    <row r="163" spans="1:6" x14ac:dyDescent="0.35">
      <c r="A163" s="10">
        <f>'11'!A13</f>
        <v>11</v>
      </c>
      <c r="B163" s="10">
        <f>'11'!B13</f>
        <v>12</v>
      </c>
      <c r="C163" s="10" t="str">
        <f>'11'!D13</f>
        <v xml:space="preserve"> Integreted ecohydrological and economic modelling challenged by limited availability of geo-referenced data and information, including confidentialcost and price data</v>
      </c>
      <c r="D163" s="10" t="str">
        <f>'11'!E13</f>
        <v>C</v>
      </c>
      <c r="E163" s="10">
        <f>'11'!F13</f>
        <v>1</v>
      </c>
      <c r="F163" s="10">
        <f>'11'!G13</f>
        <v>1</v>
      </c>
    </row>
    <row r="164" spans="1:6" x14ac:dyDescent="0.35">
      <c r="A164" s="10">
        <f>'11'!A14</f>
        <v>11</v>
      </c>
      <c r="B164" s="10">
        <f>'11'!B14</f>
        <v>13</v>
      </c>
      <c r="C164" s="10" t="str">
        <f>'11'!D14</f>
        <v xml:space="preserve">uncertainties and potential errors  arise when using  value transfer method  for price setting. </v>
      </c>
      <c r="D164" s="10" t="str">
        <f>'11'!E14</f>
        <v>B</v>
      </c>
      <c r="E164" s="10">
        <f>'11'!F14</f>
        <v>0</v>
      </c>
      <c r="F164" s="10">
        <f>'11'!G14</f>
        <v>2</v>
      </c>
    </row>
    <row r="165" spans="1:6" x14ac:dyDescent="0.35">
      <c r="A165" s="10">
        <f>'11'!A15</f>
        <v>11</v>
      </c>
      <c r="B165" s="10">
        <f>'11'!B15</f>
        <v>14</v>
      </c>
      <c r="C165" s="10" t="str">
        <f>'11'!D15</f>
        <v xml:space="preserve"> integration of more detailed eco-hydrological models to simulate forest and water interactions into existing multi-sectoral hydro-economic models will become increasingly important to inform decision-making, especially at larger spatial and temporal scales. </v>
      </c>
      <c r="D165" s="10" t="str">
        <f>'11'!E15</f>
        <v>C</v>
      </c>
      <c r="E165" s="10">
        <f>'11'!F15</f>
        <v>3</v>
      </c>
      <c r="F165" s="10">
        <f>'11'!G15</f>
        <v>1</v>
      </c>
    </row>
    <row r="166" spans="1:6" x14ac:dyDescent="0.35">
      <c r="A166" s="10">
        <f>'11'!A16</f>
        <v>11</v>
      </c>
      <c r="B166" s="10">
        <f>'11'!B16</f>
        <v>15</v>
      </c>
      <c r="C166" s="10" t="str">
        <f>'11'!D16</f>
        <v xml:space="preserve"> Many non-market  and  regulating services currently underexposed in existing coupled models. </v>
      </c>
      <c r="D166" s="10" t="str">
        <f>'11'!E16</f>
        <v>C</v>
      </c>
      <c r="E166" s="10">
        <f>'11'!F16</f>
        <v>3</v>
      </c>
      <c r="F166" s="10">
        <f>'11'!G16</f>
        <v>1</v>
      </c>
    </row>
    <row r="167" spans="1:6" x14ac:dyDescent="0.35">
      <c r="A167" s="10">
        <f>'11'!A17</f>
        <v>11</v>
      </c>
      <c r="B167" s="10">
        <f>'11'!B17</f>
        <v>16</v>
      </c>
      <c r="C167" s="10" t="str">
        <f>'11'!D17</f>
        <v xml:space="preserve">complex environmental-economic interactions deal with uncertainties accumulating across disciplinary domains but also at spatial and temporal scales - how to account for and quantify the accumulation of different sources of un- certainties in the integrated decision-support tools. </v>
      </c>
      <c r="D167" s="10" t="str">
        <f>'11'!E17</f>
        <v>C</v>
      </c>
      <c r="E167" s="10">
        <f>'11'!F17</f>
        <v>3</v>
      </c>
      <c r="F167" s="10">
        <f>'11'!G17</f>
        <v>1</v>
      </c>
    </row>
    <row r="168" spans="1:6" x14ac:dyDescent="0.35">
      <c r="A168" s="10">
        <f>'12'!A2</f>
        <v>12</v>
      </c>
      <c r="B168" s="10">
        <f>'12'!B2</f>
        <v>1</v>
      </c>
      <c r="C168" s="10" t="str">
        <f>'12'!D2</f>
        <v>lack of robust and  science-based evidence of the effectiveness of NBS for HMHs in current  and future climate scenarios</v>
      </c>
      <c r="D168" s="10" t="str">
        <f>'12'!E2</f>
        <v>C</v>
      </c>
      <c r="E168" s="10">
        <f>'12'!F2</f>
        <v>1</v>
      </c>
      <c r="F168" s="10">
        <f>'12'!G2</f>
        <v>1</v>
      </c>
    </row>
    <row r="169" spans="1:6" x14ac:dyDescent="0.35">
      <c r="A169" s="10">
        <f>'12'!A3</f>
        <v>12</v>
      </c>
      <c r="B169" s="10">
        <f>'12'!B3</f>
        <v>2</v>
      </c>
      <c r="C169" s="10" t="str">
        <f>'12'!D3</f>
        <v>more tangible evidence on the  economic benefits, monitoring by field measurement and key performance indicators (KPI) are needed to demonstrate the multiple benefits  NBS can provide in both short- and long-term</v>
      </c>
      <c r="D169" s="10" t="str">
        <f>'12'!E3</f>
        <v>C</v>
      </c>
      <c r="E169" s="10">
        <f>'12'!F3</f>
        <v>1</v>
      </c>
      <c r="F169" s="10">
        <f>'12'!G3</f>
        <v>3</v>
      </c>
    </row>
    <row r="170" spans="1:6" x14ac:dyDescent="0.35">
      <c r="A170" s="10">
        <f>'12'!A4</f>
        <v>12</v>
      </c>
      <c r="B170" s="10">
        <f>'12'!B4</f>
        <v>3</v>
      </c>
      <c r="C170" s="10" t="str">
        <f>'12'!D4</f>
        <v>application of NBS into practice requires a strong integration  of stakeholders from different sectors (science, policy and practice) to  set a solid evidence base</v>
      </c>
      <c r="D170" s="10" t="str">
        <f>'12'!E4</f>
        <v>F</v>
      </c>
      <c r="E170" s="10">
        <f>'12'!F4</f>
        <v>1</v>
      </c>
      <c r="F170" s="10">
        <f>'12'!G4</f>
        <v>2</v>
      </c>
    </row>
    <row r="171" spans="1:6" x14ac:dyDescent="0.35">
      <c r="A171" s="10">
        <f>'12'!A5</f>
        <v>12</v>
      </c>
      <c r="B171" s="10">
        <f>'12'!B5</f>
        <v>4</v>
      </c>
      <c r="C171" s="10" t="str">
        <f>'12'!D5</f>
        <v>Different types of knowledge that  are brought together are scientific, local and traditional knowledge to  create understanding regarding the current social-ecological system,  scenarios of the future including the knowledge and perceptions of  the risks</v>
      </c>
      <c r="D171" s="10" t="str">
        <f>'12'!E5</f>
        <v>C</v>
      </c>
      <c r="E171" s="10">
        <f>'12'!F5</f>
        <v>2</v>
      </c>
      <c r="F171" s="10">
        <f>'12'!G5</f>
        <v>2</v>
      </c>
    </row>
    <row r="172" spans="1:6" x14ac:dyDescent="0.35">
      <c r="A172" s="10">
        <f>'12'!A6</f>
        <v>12</v>
      </c>
      <c r="B172" s="10">
        <f>'12'!B6</f>
        <v>5</v>
      </c>
      <c r="C172" s="10" t="str">
        <f>'12'!D6</f>
        <v xml:space="preserve">Planning of NBS  may require a long-term (even some years) commitment in the process  which may be restricted due to resources (time and funds) and social  capabilities of the stakeholders </v>
      </c>
      <c r="D172" s="10" t="str">
        <f>'12'!E6</f>
        <v>A</v>
      </c>
      <c r="E172" s="10">
        <f>'12'!F6</f>
        <v>1</v>
      </c>
      <c r="F172" s="10">
        <f>'12'!G6</f>
        <v>2</v>
      </c>
    </row>
    <row r="173" spans="1:6" x14ac:dyDescent="0.35">
      <c r="A173" s="10">
        <f>'12'!A7</f>
        <v>12</v>
      </c>
      <c r="B173" s="10">
        <f>'12'!B7</f>
        <v>6</v>
      </c>
      <c r="C173" s="10" t="str">
        <f>'12'!D7</f>
        <v>Conflicting interests are mentioned as an issue. For example, in the case of agriculture  and forestry, where the short-term economic gains may have a conflict with the environmental goals.</v>
      </c>
      <c r="D173" s="10" t="str">
        <f>'12'!E7</f>
        <v>F</v>
      </c>
      <c r="E173" s="10">
        <f>'12'!F7</f>
        <v>5</v>
      </c>
      <c r="F173" s="10">
        <f>'12'!G7</f>
        <v>2</v>
      </c>
    </row>
    <row r="174" spans="1:6" x14ac:dyDescent="0.35">
      <c r="A174" s="10">
        <f>'12'!A8</f>
        <v>12</v>
      </c>
      <c r="B174" s="10">
        <f>'12'!B8</f>
        <v>7</v>
      </c>
      <c r="C174" s="10" t="str">
        <f>'12'!D8</f>
        <v xml:space="preserve"> implementation of NBS at any spatial scale of interest requires strong integration of numerous local, national and international policy/decision-making processes,  which is challenging to achieve within a short timescale</v>
      </c>
      <c r="D174" s="10" t="str">
        <f>'12'!E8</f>
        <v>F</v>
      </c>
      <c r="E174" s="10">
        <f>'12'!F8</f>
        <v>1</v>
      </c>
      <c r="F174" s="10">
        <f>'12'!G8</f>
        <v>2</v>
      </c>
    </row>
    <row r="175" spans="1:6" x14ac:dyDescent="0.35">
      <c r="A175" s="10">
        <f>'12'!A9</f>
        <v>12</v>
      </c>
      <c r="B175" s="10">
        <f>'12'!B9</f>
        <v>8</v>
      </c>
      <c r="C175" s="10" t="str">
        <f>'12'!D9</f>
        <v>participation can be restricted due to complexity (technological aspects requiring special expertise and understanding of the terms) or  the physical environment of the planned NBS (difficult to reach or dangerous work)</v>
      </c>
      <c r="D175" s="10" t="str">
        <f>'12'!E9</f>
        <v>C</v>
      </c>
      <c r="E175" s="10">
        <f>'12'!F9</f>
        <v>3</v>
      </c>
      <c r="F175" s="10">
        <f>'12'!G9</f>
        <v>2</v>
      </c>
    </row>
    <row r="176" spans="1:6" x14ac:dyDescent="0.35">
      <c r="A176" s="10">
        <f>'12'!A10</f>
        <v>12</v>
      </c>
      <c r="B176" s="10">
        <f>'12'!B10</f>
        <v>9</v>
      </c>
      <c r="C176" s="10" t="str">
        <f>'12'!D10</f>
        <v>fundamental tool to improve the consideration of NBS in policy-making process and practice is the engagement of citizens and organizations throughout the life cycle of NBS  projects which creates trust, ownership and stewardship among them</v>
      </c>
      <c r="D176" s="10" t="str">
        <f>'12'!E10</f>
        <v>C</v>
      </c>
      <c r="E176" s="10">
        <f>'12'!F10</f>
        <v>2</v>
      </c>
      <c r="F176" s="10">
        <f>'12'!G10</f>
        <v>2</v>
      </c>
    </row>
    <row r="177" spans="1:6" x14ac:dyDescent="0.35">
      <c r="A177" s="10">
        <f>'12'!A11</f>
        <v>12</v>
      </c>
      <c r="B177" s="10">
        <f>'12'!B11</f>
        <v>10</v>
      </c>
      <c r="C177" s="10" t="str">
        <f>'12'!D11</f>
        <v>lack of acceptance of NBS can hinder the wider uptake  of NBS in practice. As an example, gaps exist between modellers and  the public at large as models are often built with assumptions without  the direct involvement of stakeholders</v>
      </c>
      <c r="D177" s="10" t="str">
        <f>'12'!E11</f>
        <v>C</v>
      </c>
      <c r="E177" s="10">
        <f>'12'!F11</f>
        <v>2</v>
      </c>
      <c r="F177" s="10">
        <f>'12'!G11</f>
        <v>2</v>
      </c>
    </row>
    <row r="178" spans="1:6" x14ac:dyDescent="0.35">
      <c r="A178" s="10">
        <f>'12'!A12</f>
        <v>12</v>
      </c>
      <c r="B178" s="10">
        <f>'12'!B12</f>
        <v>11</v>
      </c>
      <c r="C178" s="10" t="str">
        <f>'12'!D12</f>
        <v xml:space="preserve">Trust may enable or disable a successful design and implementation of NBS. Trust acts both as a condition for and a result of cocreation. There might be trust or mistrust, due to previous projects  and collaboration or science in general </v>
      </c>
      <c r="D178" s="10" t="str">
        <f>'12'!E12</f>
        <v>D</v>
      </c>
      <c r="E178" s="10">
        <f>'12'!F12</f>
        <v>0</v>
      </c>
      <c r="F178" s="10">
        <f>'12'!G12</f>
        <v>5</v>
      </c>
    </row>
    <row r="179" spans="1:6" x14ac:dyDescent="0.35">
      <c r="A179" s="10">
        <f>'12'!A13</f>
        <v>12</v>
      </c>
      <c r="B179" s="10">
        <f>'12'!B13</f>
        <v>12</v>
      </c>
      <c r="C179" s="10" t="str">
        <f>'12'!D13</f>
        <v xml:space="preserve">European policies have played a leading role in funding and advocating the implementation of NBS </v>
      </c>
      <c r="D179" s="10" t="str">
        <f>'12'!E13</f>
        <v>A</v>
      </c>
      <c r="E179" s="10">
        <f>'12'!F13</f>
        <v>1</v>
      </c>
      <c r="F179" s="10">
        <f>'12'!G13</f>
        <v>1</v>
      </c>
    </row>
    <row r="180" spans="1:6" x14ac:dyDescent="0.35">
      <c r="A180" s="10">
        <f>'12'!A14</f>
        <v>12</v>
      </c>
      <c r="B180" s="10">
        <f>'12'!B14</f>
        <v>13</v>
      </c>
      <c r="C180" s="10" t="str">
        <f>'12'!D14</f>
        <v>preference for “fast solutions” hinders  the competitiveness of NBS against grey approaches</v>
      </c>
      <c r="D180" s="10" t="str">
        <f>'12'!E14</f>
        <v>A</v>
      </c>
      <c r="E180" s="10">
        <f>'12'!F14</f>
        <v>1</v>
      </c>
      <c r="F180" s="10">
        <f>'12'!G14</f>
        <v>1</v>
      </c>
    </row>
    <row r="181" spans="1:6" x14ac:dyDescent="0.35">
      <c r="A181" s="10">
        <f>'12'!A15</f>
        <v>12</v>
      </c>
      <c r="B181" s="10">
        <f>'12'!B15</f>
        <v>14</v>
      </c>
      <c r="C181" s="10" t="str">
        <f>'12'!D15</f>
        <v>ad-hoc tools of communication,  as well as know-how transfer mechanisms which can bridge science,  community and policy knowledge together.</v>
      </c>
      <c r="D181" s="10" t="str">
        <f>'12'!E15</f>
        <v>C</v>
      </c>
      <c r="E181" s="10">
        <f>'12'!F15</f>
        <v>2</v>
      </c>
      <c r="F181" s="10">
        <f>'12'!G15</f>
        <v>2</v>
      </c>
    </row>
    <row r="182" spans="1:6" x14ac:dyDescent="0.35">
      <c r="A182" s="10">
        <f>'12'!A16</f>
        <v>12</v>
      </c>
      <c r="B182" s="10">
        <f>'12'!B16</f>
        <v>15</v>
      </c>
      <c r="C182" s="10" t="str">
        <f>'12'!D16</f>
        <v>availability and adequacy of data, therefore, represent one of the  “hidden” challenges in the process of NBS acceptance and assessment as long as common, well-established and documented practices and  metrics of NBS evaluation and monitoring are missing</v>
      </c>
      <c r="D182" s="10" t="str">
        <f>'12'!E16</f>
        <v>C</v>
      </c>
      <c r="E182" s="10">
        <f>'12'!F16</f>
        <v>1</v>
      </c>
      <c r="F182" s="10">
        <f>'12'!G16</f>
        <v>1</v>
      </c>
    </row>
    <row r="183" spans="1:6" x14ac:dyDescent="0.35">
      <c r="A183" s="10">
        <f>'12'!A17</f>
        <v>12</v>
      </c>
      <c r="B183" s="10">
        <f>'12'!B17</f>
        <v>16</v>
      </c>
      <c r="C183" s="10" t="str">
        <f>'12'!D17</f>
        <v>To assess the efficiency and effectiveness of the  NBS, their performance in terms of socio-ecological benefits should be  monitored for compliance with the design brief.</v>
      </c>
      <c r="D183" s="10" t="str">
        <f>'12'!E17</f>
        <v>C</v>
      </c>
      <c r="E183" s="10">
        <f>'12'!F17</f>
        <v>1</v>
      </c>
      <c r="F183" s="10">
        <f>'12'!G17</f>
        <v>1</v>
      </c>
    </row>
    <row r="184" spans="1:6" x14ac:dyDescent="0.35">
      <c r="A184" s="10">
        <f>'13'!A2</f>
        <v>13</v>
      </c>
      <c r="B184" s="10">
        <f>'13'!B2</f>
        <v>1</v>
      </c>
      <c r="C184" s="10" t="str">
        <f>'13'!D2</f>
        <v>lack of knowledge/awareness  at local the local level</v>
      </c>
      <c r="D184" s="10" t="str">
        <f>'13'!E2</f>
        <v>D</v>
      </c>
      <c r="E184" s="10">
        <f>'13'!F2</f>
        <v>0</v>
      </c>
      <c r="F184" s="10">
        <f>'13'!G2</f>
        <v>3</v>
      </c>
    </row>
    <row r="185" spans="1:6" x14ac:dyDescent="0.35">
      <c r="A185" s="10">
        <f>'13'!A3</f>
        <v>13</v>
      </c>
      <c r="B185" s="10">
        <f>'13'!B3</f>
        <v>2</v>
      </c>
      <c r="C185" s="10" t="str">
        <f>'13'!D3</f>
        <v>Knowledge gaps vary between actors/stakeholders</v>
      </c>
      <c r="D185" s="10" t="str">
        <f>'13'!E3</f>
        <v>D</v>
      </c>
      <c r="E185" s="10">
        <f>'13'!F3</f>
        <v>0</v>
      </c>
      <c r="F185" s="10">
        <f>'13'!G3</f>
        <v>3</v>
      </c>
    </row>
    <row r="186" spans="1:6" x14ac:dyDescent="0.35">
      <c r="A186" s="10">
        <f>'13'!A4</f>
        <v>13</v>
      </c>
      <c r="B186" s="10">
        <f>'13'!B4</f>
        <v>3</v>
      </c>
      <c r="C186" s="10" t="str">
        <f>'13'!D4</f>
        <v xml:space="preserve">resistance to change as a result of ancestral influence </v>
      </c>
      <c r="D186" s="10" t="str">
        <f>'13'!E4</f>
        <v>D</v>
      </c>
      <c r="E186" s="10">
        <f>'13'!F4</f>
        <v>0</v>
      </c>
      <c r="F186" s="10">
        <f>'13'!G4</f>
        <v>5</v>
      </c>
    </row>
    <row r="187" spans="1:6" x14ac:dyDescent="0.35">
      <c r="A187" s="10">
        <f>'13'!A5</f>
        <v>13</v>
      </c>
      <c r="B187" s="10">
        <f>'13'!B5</f>
        <v>4</v>
      </c>
      <c r="C187" s="10" t="str">
        <f>'13'!D5</f>
        <v>spatial disconnect between upstream measure and downstream effect</v>
      </c>
      <c r="D187" s="10" t="str">
        <f>'13'!E5</f>
        <v>B</v>
      </c>
      <c r="E187" s="10">
        <f>'13'!F5</f>
        <v>0</v>
      </c>
      <c r="F187" s="10">
        <f>'13'!G5</f>
        <v>1</v>
      </c>
    </row>
    <row r="188" spans="1:6" x14ac:dyDescent="0.35">
      <c r="A188" s="10">
        <f>'13'!A6</f>
        <v>13</v>
      </c>
      <c r="B188" s="10">
        <f>'13'!B6</f>
        <v>5</v>
      </c>
      <c r="C188" s="10" t="str">
        <f>'13'!D6</f>
        <v xml:space="preserve"> land loss and a loss of income as a result of NFM implementation and lack of compensation afor this loss</v>
      </c>
      <c r="D188" s="10" t="str">
        <f>'13'!E6</f>
        <v>B</v>
      </c>
      <c r="E188" s="10">
        <f>'13'!F6</f>
        <v>0</v>
      </c>
      <c r="F188" s="10">
        <f>'13'!G6</f>
        <v>1</v>
      </c>
    </row>
    <row r="189" spans="1:6" x14ac:dyDescent="0.35">
      <c r="A189" s="10">
        <f>'13'!A7</f>
        <v>13</v>
      </c>
      <c r="B189" s="10">
        <f>'13'!B7</f>
        <v>6</v>
      </c>
      <c r="C189" s="10" t="str">
        <f>'13'!D7</f>
        <v>implementation should occur where measures have the greatest potential</v>
      </c>
      <c r="D189" s="10" t="str">
        <f>'13'!E7</f>
        <v>B</v>
      </c>
      <c r="E189" s="10">
        <f>'13'!F7</f>
        <v>0</v>
      </c>
      <c r="F189" s="10">
        <f>'13'!G7</f>
        <v>1</v>
      </c>
    </row>
    <row r="190" spans="1:6" x14ac:dyDescent="0.35">
      <c r="A190" s="10">
        <f>'13'!A8</f>
        <v>13</v>
      </c>
      <c r="B190" s="10">
        <f>'13'!B8</f>
        <v>7</v>
      </c>
      <c r="C190" s="10" t="str">
        <f>'13'!D8</f>
        <v>public per-ception of NFM may be too positive and create reliance upon it as a FRM measure</v>
      </c>
      <c r="D190" s="10" t="str">
        <f>'13'!E8</f>
        <v>B</v>
      </c>
      <c r="E190" s="10">
        <f>'13'!F8</f>
        <v>0</v>
      </c>
      <c r="F190" s="10">
        <f>'13'!G8</f>
        <v>5</v>
      </c>
    </row>
    <row r="191" spans="1:6" x14ac:dyDescent="0.35">
      <c r="A191" s="10">
        <f>'13'!A9</f>
        <v>13</v>
      </c>
      <c r="B191" s="10">
        <f>'13'!B9</f>
        <v>8</v>
      </c>
      <c r="C191" s="10" t="str">
        <f>'13'!D9</f>
        <v>previous floods reduces trust in effectiveness of measures</v>
      </c>
      <c r="D191" s="10" t="str">
        <f>'13'!E9</f>
        <v>D</v>
      </c>
      <c r="E191" s="10">
        <f>'13'!F9</f>
        <v>0</v>
      </c>
      <c r="F191" s="10">
        <f>'13'!G9</f>
        <v>5</v>
      </c>
    </row>
    <row r="192" spans="1:6" x14ac:dyDescent="0.35">
      <c r="A192" s="10">
        <f>'13'!A10</f>
        <v>13</v>
      </c>
      <c r="B192" s="10">
        <f>'13'!B10</f>
        <v>9</v>
      </c>
      <c r="C192" s="10" t="str">
        <f>'13'!D10</f>
        <v>lack of knowledge of farming practices</v>
      </c>
      <c r="D192" s="10" t="str">
        <f>'13'!E10</f>
        <v>C</v>
      </c>
      <c r="E192" s="10">
        <f>'13'!F10</f>
        <v>2</v>
      </c>
      <c r="F192" s="10">
        <f>'13'!G10</f>
        <v>1</v>
      </c>
    </row>
    <row r="193" spans="1:6" x14ac:dyDescent="0.35">
      <c r="A193" s="10">
        <f>'13'!A11</f>
        <v>13</v>
      </c>
      <c r="B193" s="10">
        <f>'13'!B11</f>
        <v>10</v>
      </c>
      <c r="C193" s="10" t="str">
        <f>'13'!D11</f>
        <v>dominant engineering background - reluctance to change to other approaches</v>
      </c>
      <c r="D193" s="10" t="str">
        <f>'13'!E11</f>
        <v>C</v>
      </c>
      <c r="E193" s="10">
        <f>'13'!F11</f>
        <v>3</v>
      </c>
      <c r="F193" s="10">
        <f>'13'!G11</f>
        <v>2</v>
      </c>
    </row>
    <row r="194" spans="1:6" x14ac:dyDescent="0.35">
      <c r="A194" s="10">
        <f>'13'!A12</f>
        <v>13</v>
      </c>
      <c r="B194" s="10">
        <f>'13'!B12</f>
        <v>11</v>
      </c>
      <c r="C194" s="10" t="str">
        <f>'13'!D12</f>
        <v>lack of funding for maintenance -  present NFM measures are not within the EA asset register, meaning that the structures cannot be included within maintenance plans</v>
      </c>
      <c r="D194" s="10" t="str">
        <f>'13'!E12</f>
        <v>A</v>
      </c>
      <c r="E194" s="10">
        <f>'13'!F12</f>
        <v>1</v>
      </c>
      <c r="F194" s="10">
        <f>'13'!G12</f>
        <v>4</v>
      </c>
    </row>
    <row r="195" spans="1:6" x14ac:dyDescent="0.35">
      <c r="A195" s="10">
        <f>'13'!A13</f>
        <v>13</v>
      </c>
      <c r="B195" s="10">
        <f>'13'!B13</f>
        <v>12</v>
      </c>
      <c r="C195" s="10" t="str">
        <f>'13'!D13</f>
        <v xml:space="preserve">projects require local ownership over longer periods of time - not always best carried out by responsible organistion. </v>
      </c>
      <c r="D195" s="10" t="str">
        <f>'13'!E13</f>
        <v>F</v>
      </c>
      <c r="E195" s="10">
        <f>'13'!F13</f>
        <v>3</v>
      </c>
      <c r="F195" s="10">
        <f>'13'!G13</f>
        <v>3</v>
      </c>
    </row>
    <row r="196" spans="1:6" x14ac:dyDescent="0.35">
      <c r="A196" s="10">
        <f>'13'!A14</f>
        <v>13</v>
      </c>
      <c r="B196" s="10">
        <f>'13'!B14</f>
        <v>13</v>
      </c>
      <c r="C196" s="10" t="str">
        <f>'13'!D14</f>
        <v>NGOs should be more involved as they have more flexibility with their objectives and can bring in external financial support.</v>
      </c>
      <c r="D196" s="10" t="str">
        <f>'13'!E14</f>
        <v>F</v>
      </c>
      <c r="E196" s="10">
        <f>'13'!F14</f>
        <v>3</v>
      </c>
      <c r="F196" s="10">
        <f>'13'!G14</f>
        <v>3</v>
      </c>
    </row>
    <row r="197" spans="1:6" x14ac:dyDescent="0.35">
      <c r="A197" s="10">
        <f>'13'!A15</f>
        <v>13</v>
      </c>
      <c r="B197" s="10">
        <f>'13'!B15</f>
        <v>14</v>
      </c>
      <c r="C197" s="10" t="str">
        <f>'13'!D15</f>
        <v>Transboundary catchment challenges, between national or administrative boundaries</v>
      </c>
      <c r="D197" s="10" t="str">
        <f>'13'!E15</f>
        <v>F</v>
      </c>
      <c r="E197" s="10">
        <f>'13'!F15</f>
        <v>1</v>
      </c>
      <c r="F197" s="10">
        <f>'13'!G15</f>
        <v>1</v>
      </c>
    </row>
    <row r="198" spans="1:6" x14ac:dyDescent="0.35">
      <c r="A198" s="10">
        <f>'13'!A16</f>
        <v>13</v>
      </c>
      <c r="B198" s="10">
        <f>'13'!B16</f>
        <v>15</v>
      </c>
      <c r="C198" s="10" t="str">
        <f>'13'!D16</f>
        <v>if NFM was to be used, better planning should take place within the downstream settlement to prevent development in at-risk areas</v>
      </c>
      <c r="D198" s="10" t="str">
        <f>'13'!E16</f>
        <v>F</v>
      </c>
      <c r="E198" s="10">
        <f>'13'!F16</f>
        <v>1</v>
      </c>
      <c r="F198" s="10">
        <f>'13'!G16</f>
        <v>1</v>
      </c>
    </row>
    <row r="199" spans="1:6" x14ac:dyDescent="0.35">
      <c r="A199" s="10">
        <f>'13'!A17</f>
        <v>13</v>
      </c>
      <c r="B199" s="10">
        <f>'13'!B17</f>
        <v>16</v>
      </c>
      <c r="C199" s="10" t="str">
        <f>'13'!D17</f>
        <v>policy requires a cost–benefit ratio  as well as the number of properties that will have a lower flood risk as a result of FRM. Can not be doen without evidence.</v>
      </c>
      <c r="D199" s="10" t="str">
        <f>'13'!E17</f>
        <v>F</v>
      </c>
      <c r="E199" s="10">
        <f>'13'!F17</f>
        <v>2</v>
      </c>
      <c r="F199" s="10">
        <f>'13'!G17</f>
        <v>1</v>
      </c>
    </row>
    <row r="200" spans="1:6" x14ac:dyDescent="0.35">
      <c r="A200" s="10">
        <f>'13'!A18</f>
        <v>13</v>
      </c>
      <c r="B200" s="10">
        <f>'13'!B18</f>
        <v>17</v>
      </c>
      <c r="C200" s="10" t="str">
        <f>'13'!D18</f>
        <v>NFM benefits such as flood risk reduction and eco- system services are complex to calculate and are often not tan- gible,</v>
      </c>
      <c r="D200" s="10" t="str">
        <f>'13'!E18</f>
        <v>B</v>
      </c>
      <c r="E200" s="10">
        <f>'13'!F18</f>
        <v>0</v>
      </c>
      <c r="F200" s="10">
        <f>'13'!G18</f>
        <v>1</v>
      </c>
    </row>
    <row r="201" spans="1:6" x14ac:dyDescent="0.35">
      <c r="A201" s="10">
        <f>'13'!A19</f>
        <v>13</v>
      </c>
      <c r="B201" s="10">
        <f>'13'!B19</f>
        <v>18</v>
      </c>
      <c r="C201" s="10" t="str">
        <f>'13'!D19</f>
        <v xml:space="preserve"> structural measures allow for flood risk reduction to be calculated through standard hydrological and hydraulic modelling approaches and therefor more likely to receive funding when compared to NbS</v>
      </c>
      <c r="D201" s="10" t="str">
        <f>'13'!E19</f>
        <v>F</v>
      </c>
      <c r="E201" s="10">
        <f>'13'!F19</f>
        <v>4</v>
      </c>
      <c r="F201" s="10">
        <f>'13'!G19</f>
        <v>1</v>
      </c>
    </row>
    <row r="202" spans="1:6" x14ac:dyDescent="0.35">
      <c r="A202" s="10">
        <f>'13'!A20</f>
        <v>13</v>
      </c>
      <c r="B202" s="10">
        <f>'13'!B20</f>
        <v>19</v>
      </c>
      <c r="C202" s="10" t="str">
        <f>'13'!D20</f>
        <v>greater scientific evidence needed for uptake</v>
      </c>
      <c r="D202" s="10" t="str">
        <f>'13'!E20</f>
        <v>C</v>
      </c>
      <c r="E202" s="10">
        <f>'13'!F20</f>
        <v>1</v>
      </c>
      <c r="F202" s="10">
        <f>'13'!G20</f>
        <v>1</v>
      </c>
    </row>
    <row r="203" spans="1:6" x14ac:dyDescent="0.35">
      <c r="A203" s="10">
        <f>'13'!A21</f>
        <v>13</v>
      </c>
      <c r="B203" s="10">
        <f>'13'!B21</f>
        <v>20</v>
      </c>
      <c r="C203" s="10" t="str">
        <f>'13'!D21</f>
        <v>lack of funding for capital works &amp; lack of funding for monitoring and maintenance of current projects</v>
      </c>
      <c r="D203" s="10" t="str">
        <f>'13'!E21</f>
        <v>A</v>
      </c>
      <c r="E203" s="10">
        <f>'13'!F21</f>
        <v>1</v>
      </c>
      <c r="F203" s="10">
        <f>'13'!G21</f>
        <v>1</v>
      </c>
    </row>
    <row r="204" spans="1:6" x14ac:dyDescent="0.35">
      <c r="A204" s="10">
        <f>'13'!A22</f>
        <v>13</v>
      </c>
      <c r="B204" s="10">
        <f>'13'!B22</f>
        <v>21</v>
      </c>
      <c r="C204" s="10" t="str">
        <f>'13'!D22</f>
        <v>existing policies supporting nbs</v>
      </c>
      <c r="D204" s="10" t="str">
        <f>'13'!E22</f>
        <v>F</v>
      </c>
      <c r="E204" s="10">
        <f>'13'!F22</f>
        <v>2</v>
      </c>
      <c r="F204" s="10">
        <f>'13'!G22</f>
        <v>2</v>
      </c>
    </row>
    <row r="205" spans="1:6" x14ac:dyDescent="0.35">
      <c r="A205" s="10">
        <f>'13'!A23</f>
        <v>13</v>
      </c>
      <c r="B205" s="10">
        <f>'13'!B23</f>
        <v>22</v>
      </c>
      <c r="C205" s="10" t="str">
        <f>'13'!D23</f>
        <v xml:space="preserve">topography / infratsructure limiting the spatial opportunity for intervention </v>
      </c>
      <c r="D205" s="10" t="str">
        <f>'13'!E23</f>
        <v>F</v>
      </c>
      <c r="E205" s="10">
        <f>'13'!F23</f>
        <v>5</v>
      </c>
      <c r="F205" s="10">
        <f>'13'!G23</f>
        <v>2</v>
      </c>
    </row>
    <row r="206" spans="1:6" x14ac:dyDescent="0.35">
      <c r="A206" s="10">
        <f>'14'!A2</f>
        <v>14</v>
      </c>
      <c r="B206" s="10">
        <f>'14'!B2</f>
        <v>1</v>
      </c>
      <c r="C206" s="10" t="str">
        <f>'14'!D2</f>
        <v xml:space="preserve">Actual vs perceived effects on  performance of restoration/sustainable land  management practices - need communication and education  and rural advisory services. 
</v>
      </c>
      <c r="D206" s="10" t="str">
        <f>'14'!E2</f>
        <v>B</v>
      </c>
      <c r="E206" s="10">
        <f>'14'!F2</f>
        <v>0</v>
      </c>
      <c r="F206" s="10">
        <f>'14'!G2</f>
        <v>5</v>
      </c>
    </row>
    <row r="207" spans="1:6" x14ac:dyDescent="0.35">
      <c r="A207" s="10">
        <f>'14'!A3</f>
        <v>14</v>
      </c>
      <c r="B207" s="10">
        <f>'14'!B3</f>
        <v>2</v>
      </c>
      <c r="C207" s="10" t="str">
        <f>'14'!D3</f>
        <v xml:space="preserve">Traditions, practices -  need for communication and engagement with stakeholders
</v>
      </c>
      <c r="D207" s="10" t="str">
        <f>'14'!E3</f>
        <v>B</v>
      </c>
      <c r="E207" s="10">
        <f>'14'!F3</f>
        <v>0</v>
      </c>
      <c r="F207" s="10">
        <f>'14'!G3</f>
        <v>1</v>
      </c>
    </row>
    <row r="208" spans="1:6" x14ac:dyDescent="0.35">
      <c r="A208" s="10">
        <f>'14'!A4</f>
        <v>14</v>
      </c>
      <c r="B208" s="10">
        <f>'14'!B4</f>
        <v>4</v>
      </c>
      <c r="C208" s="10" t="str">
        <f>'14'!D4</f>
        <v>Costs of adoption</v>
      </c>
      <c r="D208" s="10" t="str">
        <f>'14'!E4</f>
        <v>A</v>
      </c>
      <c r="E208" s="10">
        <f>'14'!F4</f>
        <v>3</v>
      </c>
      <c r="F208" s="10">
        <f>'14'!G4</f>
        <v>1</v>
      </c>
    </row>
    <row r="209" spans="1:6" x14ac:dyDescent="0.35">
      <c r="A209" s="10">
        <f>'14'!A5</f>
        <v>14</v>
      </c>
      <c r="B209" s="10">
        <f>'14'!B5</f>
        <v>5</v>
      </c>
      <c r="C209" s="10" t="str">
        <f>'14'!D5</f>
        <v>lack of access  to credit</v>
      </c>
      <c r="D209" s="10" t="str">
        <f>'14'!E5</f>
        <v>A</v>
      </c>
      <c r="E209" s="10">
        <f>'14'!F5</f>
        <v>2</v>
      </c>
      <c r="F209" s="10">
        <f>'14'!G5</f>
        <v>1</v>
      </c>
    </row>
    <row r="210" spans="1:6" x14ac:dyDescent="0.35">
      <c r="A210" s="10">
        <f>'14'!A6</f>
        <v>14</v>
      </c>
      <c r="B210" s="10">
        <f>'14'!B6</f>
        <v>6</v>
      </c>
      <c r="C210" s="10" t="str">
        <f>'14'!D6</f>
        <v>need for investment support</v>
      </c>
      <c r="D210" s="10" t="str">
        <f>'14'!E6</f>
        <v>A</v>
      </c>
      <c r="E210" s="10">
        <f>'14'!F6</f>
        <v>2</v>
      </c>
      <c r="F210" s="10">
        <f>'14'!G6</f>
        <v>7</v>
      </c>
    </row>
    <row r="211" spans="1:6" x14ac:dyDescent="0.35">
      <c r="A211" s="10">
        <f>'14'!A7</f>
        <v>14</v>
      </c>
      <c r="B211" s="10">
        <f>'14'!B7</f>
        <v>7</v>
      </c>
      <c r="C211" s="10" t="str">
        <f>'14'!D7</f>
        <v xml:space="preserve">Transaction costs - need for simplifying regulations
</v>
      </c>
      <c r="D211" s="10" t="str">
        <f>'14'!E7</f>
        <v>A</v>
      </c>
      <c r="E211" s="10">
        <f>'14'!F7</f>
        <v>3</v>
      </c>
      <c r="F211" s="10">
        <f>'14'!G7</f>
        <v>3</v>
      </c>
    </row>
    <row r="212" spans="1:6" x14ac:dyDescent="0.35">
      <c r="A212" s="10">
        <f>'14'!A8</f>
        <v>14</v>
      </c>
      <c r="B212" s="10">
        <f>'14'!B8</f>
        <v>8</v>
      </c>
      <c r="C212" s="10" t="str">
        <f>'14'!D8</f>
        <v>Perverse subsidies</v>
      </c>
      <c r="D212" s="10" t="str">
        <f>'14'!E8</f>
        <v>F</v>
      </c>
      <c r="E212" s="10">
        <f>'14'!F8</f>
        <v>5</v>
      </c>
      <c r="F212" s="10">
        <f>'14'!G8</f>
        <v>3</v>
      </c>
    </row>
    <row r="213" spans="1:6" x14ac:dyDescent="0.35">
      <c r="A213" s="10">
        <f>'14'!A9</f>
        <v>14</v>
      </c>
      <c r="B213" s="10">
        <f>'14'!B9</f>
        <v>9</v>
      </c>
      <c r="C213" s="10" t="str">
        <f>'14'!D9</f>
        <v xml:space="preserve">Diverse lobby groups
</v>
      </c>
      <c r="D213" s="10" t="str">
        <f>'14'!E9</f>
        <v>F</v>
      </c>
      <c r="E213" s="10">
        <f>'14'!F9</f>
        <v>3</v>
      </c>
      <c r="F213" s="10">
        <f>'14'!G9</f>
        <v>2</v>
      </c>
    </row>
    <row r="214" spans="1:6" x14ac:dyDescent="0.35">
      <c r="A214" s="10">
        <f>'14'!A10</f>
        <v>14</v>
      </c>
      <c r="B214" s="10">
        <f>'14'!B10</f>
        <v>10</v>
      </c>
      <c r="C214" s="10" t="str">
        <f>'14'!D10</f>
        <v>Lack of adequate spatial planning</v>
      </c>
      <c r="D214" s="10" t="str">
        <f>'14'!E10</f>
        <v>F</v>
      </c>
      <c r="E214" s="10">
        <f>'14'!F10</f>
        <v>5</v>
      </c>
      <c r="F214" s="10">
        <f>'14'!G10</f>
        <v>2</v>
      </c>
    </row>
    <row r="215" spans="1:6" x14ac:dyDescent="0.35">
      <c r="A215" s="10">
        <f>'14'!A11</f>
        <v>14</v>
      </c>
      <c r="B215" s="10">
        <f>'14'!B11</f>
        <v>11</v>
      </c>
      <c r="C215" s="10" t="str">
        <f>'14'!D11</f>
        <v xml:space="preserve">Uncertain land tenure - need for appropriate regulations and engagement with stakeholders
</v>
      </c>
      <c r="D215" s="10" t="str">
        <f>'14'!E11</f>
        <v>F</v>
      </c>
      <c r="E215" s="10">
        <f>'14'!F11</f>
        <v>2</v>
      </c>
      <c r="F215" s="10">
        <f>'14'!G11</f>
        <v>2</v>
      </c>
    </row>
    <row r="216" spans="1:6" x14ac:dyDescent="0.35">
      <c r="A216" s="10">
        <f>'14'!A12</f>
        <v>14</v>
      </c>
      <c r="B216" s="10">
        <f>'14'!B12</f>
        <v>12</v>
      </c>
      <c r="C216" s="10" t="str">
        <f>'14'!D12</f>
        <v xml:space="preserve">Lack of political incentives
</v>
      </c>
      <c r="D216" s="10" t="str">
        <f>'14'!E12</f>
        <v>E</v>
      </c>
      <c r="E216" s="10">
        <f>'14'!F12</f>
        <v>0</v>
      </c>
      <c r="F216" s="10">
        <f>'14'!G12</f>
        <v>1</v>
      </c>
    </row>
    <row r="217" spans="1:6" x14ac:dyDescent="0.35">
      <c r="A217" s="10">
        <f>'14'!A13</f>
        <v>14</v>
      </c>
      <c r="B217" s="10">
        <f>'14'!B13</f>
        <v>13</v>
      </c>
      <c r="C217" s="10" t="str">
        <f>'14'!D13</f>
        <v xml:space="preserve">Actual and perceived financial benefits differ and requires need ofr communication </v>
      </c>
      <c r="D217" s="10" t="str">
        <f>'14'!E13</f>
        <v>B</v>
      </c>
      <c r="E217" s="10">
        <f>'14'!F13</f>
        <v>0</v>
      </c>
      <c r="F217" s="10">
        <f>'14'!G13</f>
        <v>5</v>
      </c>
    </row>
    <row r="218" spans="1:6" x14ac:dyDescent="0.35">
      <c r="A218" s="10">
        <f>'14'!A14</f>
        <v>14</v>
      </c>
      <c r="B218" s="10">
        <f>'14'!B14</f>
        <v>14</v>
      </c>
      <c r="C218" s="10" t="str">
        <f>'14'!D14</f>
        <v xml:space="preserve">Lack of access to input and  output markets - need for transportation infrastructure, labeling, and financial incentives </v>
      </c>
      <c r="D218" s="10" t="str">
        <f>'14'!E14</f>
        <v>A</v>
      </c>
      <c r="E218" s="10">
        <f>'14'!F14</f>
        <v>1</v>
      </c>
      <c r="F218" s="10">
        <f>'14'!G14</f>
        <v>11</v>
      </c>
    </row>
    <row r="219" spans="1:6" x14ac:dyDescent="0.35">
      <c r="A219" s="10">
        <f>'15'!A2</f>
        <v>15</v>
      </c>
      <c r="B219" s="10">
        <f>'15'!B2</f>
        <v>1</v>
      </c>
      <c r="C219" s="10" t="str">
        <f>'15'!D2</f>
        <v xml:space="preserve">ecomarketing might offset part of environmental benefits due to increased consumption </v>
      </c>
      <c r="D219" s="10" t="str">
        <f>'15'!E2</f>
        <v>B</v>
      </c>
      <c r="E219" s="10">
        <f>'15'!F2</f>
        <v>0</v>
      </c>
      <c r="F219" s="10">
        <f>'15'!G2</f>
        <v>4</v>
      </c>
    </row>
    <row r="220" spans="1:6" x14ac:dyDescent="0.35">
      <c r="A220" s="10">
        <f>'15'!A3</f>
        <v>15</v>
      </c>
      <c r="B220" s="10">
        <f>'15'!B3</f>
        <v>2</v>
      </c>
      <c r="C220" s="10" t="str">
        <f>'15'!D3</f>
        <v>To safeguard against such “greenwashing,”  certification of products or corporations which facilitate FLR  could be used, such as the B-corporation certification presented  in our review.</v>
      </c>
      <c r="D220" s="10" t="str">
        <f>'15'!E3</f>
        <v>A</v>
      </c>
      <c r="E220" s="10">
        <f>'15'!F3</f>
        <v>1</v>
      </c>
      <c r="F220" s="10">
        <f>'15'!G3</f>
        <v>10</v>
      </c>
    </row>
    <row r="221" spans="1:6" x14ac:dyDescent="0.35">
      <c r="A221" s="10">
        <f>'15'!A4</f>
        <v>15</v>
      </c>
      <c r="B221" s="10">
        <f>'15'!B4</f>
        <v>3</v>
      </c>
      <c r="C221" s="10" t="str">
        <f>'15'!D4</f>
        <v xml:space="preserve">awareness around the merits of natural regeneration  </v>
      </c>
      <c r="D221" s="10" t="str">
        <f>'15'!E4</f>
        <v>D</v>
      </c>
      <c r="E221" s="10">
        <f>'15'!F4</f>
        <v>0</v>
      </c>
      <c r="F221" s="10">
        <f>'15'!G4</f>
        <v>3</v>
      </c>
    </row>
    <row r="222" spans="1:6" x14ac:dyDescent="0.35">
      <c r="A222" s="10">
        <f>'15'!A5</f>
        <v>15</v>
      </c>
      <c r="B222" s="10">
        <f>'15'!B5</f>
        <v>4</v>
      </c>
      <c r="C222" s="10" t="str">
        <f>'15'!D5</f>
        <v>Awareness of diversity of intervention types can leverage more funding</v>
      </c>
      <c r="D222" s="10" t="str">
        <f>'15'!E5</f>
        <v>A</v>
      </c>
      <c r="E222" s="10">
        <f>'15'!F5</f>
        <v>1</v>
      </c>
      <c r="F222" s="10">
        <f>'15'!G5</f>
        <v>7</v>
      </c>
    </row>
    <row r="223" spans="1:6" x14ac:dyDescent="0.35">
      <c r="A223" s="10">
        <f>'15'!A6</f>
        <v>15</v>
      </c>
      <c r="B223" s="10">
        <f>'15'!B6</f>
        <v>5</v>
      </c>
      <c r="C223" s="10" t="str">
        <f>'15'!D6</f>
        <v>The funding mechanism behind a restoration project is  likely to influence the type of intervention that is promoted.</v>
      </c>
      <c r="D223" s="10" t="str">
        <f>'15'!E6</f>
        <v>A</v>
      </c>
      <c r="E223" s="10">
        <f>'15'!F6</f>
        <v>1</v>
      </c>
      <c r="F223" s="10">
        <f>'15'!G6</f>
        <v>10</v>
      </c>
    </row>
    <row r="224" spans="1:6" x14ac:dyDescent="0.35">
      <c r="A224" s="10">
        <f>'15'!A7</f>
        <v>15</v>
      </c>
      <c r="B224" s="10">
        <f>'15'!B7</f>
        <v>6</v>
      </c>
      <c r="C224" s="10" t="str">
        <f>'15'!D7</f>
        <v xml:space="preserve">funders favor interventions that  do not align with what is ecologically, environmentally, and  socially optimal </v>
      </c>
      <c r="D224" s="10" t="str">
        <f>'15'!E7</f>
        <v>A</v>
      </c>
      <c r="E224" s="10">
        <f>'15'!F7</f>
        <v>1</v>
      </c>
      <c r="F224" s="10">
        <f>'15'!G7</f>
        <v>10</v>
      </c>
    </row>
    <row r="225" spans="1:6" x14ac:dyDescent="0.35">
      <c r="A225" s="10">
        <f>'15'!A8</f>
        <v>15</v>
      </c>
      <c r="B225" s="10">
        <f>'15'!B8</f>
        <v>7</v>
      </c>
      <c r="C225" s="10" t="str">
        <f>'15'!D8</f>
        <v>make sure on-the-ground context is understood before a  restoration project is executed</v>
      </c>
      <c r="D225" s="10" t="str">
        <f>'15'!E8</f>
        <v>C</v>
      </c>
      <c r="E225" s="10">
        <f>'15'!F8</f>
        <v>2</v>
      </c>
      <c r="F225" s="10">
        <f>'15'!G8</f>
        <v>2</v>
      </c>
    </row>
    <row r="226" spans="1:6" x14ac:dyDescent="0.35">
      <c r="A226" s="10">
        <f>'15'!A9</f>
        <v>15</v>
      </c>
      <c r="B226" s="10">
        <f>'15'!B9</f>
        <v>8</v>
      </c>
      <c r="C226" s="10" t="str">
        <f>'15'!D9</f>
        <v xml:space="preserve">the role of maintenance in succes of intervention… </v>
      </c>
      <c r="D226" s="10" t="str">
        <f>'15'!E9</f>
        <v>A</v>
      </c>
      <c r="E226" s="10">
        <f>'15'!F9</f>
        <v>1</v>
      </c>
      <c r="F226" s="10">
        <f>'15'!G9</f>
        <v>2</v>
      </c>
    </row>
    <row r="227" spans="1:6" x14ac:dyDescent="0.35">
      <c r="A227" s="10">
        <f>'16'!A2</f>
        <v>16</v>
      </c>
      <c r="B227" s="10">
        <f>'16'!B2</f>
        <v>1</v>
      </c>
      <c r="C227" s="10" t="str">
        <f>'16'!D2</f>
        <v>Migrations of people to urban areas leads to abandoned, previously cultivated and inhabited lands, is opportunity for  restoration</v>
      </c>
      <c r="D227" s="10" t="str">
        <f>'16'!E2</f>
        <v>F</v>
      </c>
      <c r="E227" s="10">
        <f>'16'!F2</f>
        <v>5</v>
      </c>
      <c r="F227" s="10">
        <f>'16'!G2</f>
        <v>2</v>
      </c>
    </row>
    <row r="228" spans="1:6" x14ac:dyDescent="0.35">
      <c r="A228" s="10">
        <f>'16'!A3</f>
        <v>16</v>
      </c>
      <c r="B228" s="10">
        <f>'16'!B3</f>
        <v>2</v>
      </c>
      <c r="C228" s="10" t="str">
        <f>'16'!D3</f>
        <v xml:space="preserve"> Motivations to restore damaged ecosystem are multiple</v>
      </c>
      <c r="D228" s="10" t="str">
        <f>'16'!E3</f>
        <v>D</v>
      </c>
      <c r="E228" s="10">
        <f>'16'!F3</f>
        <v>0</v>
      </c>
      <c r="F228" s="10">
        <f>'16'!G3</f>
        <v>3</v>
      </c>
    </row>
    <row r="229" spans="1:6" x14ac:dyDescent="0.35">
      <c r="A229" s="10">
        <f>'16'!A4</f>
        <v>16</v>
      </c>
      <c r="B229" s="10">
        <f>'16'!B4</f>
        <v>3</v>
      </c>
      <c r="C229" s="10" t="str">
        <f>'16'!D4</f>
        <v>Tropical mountain restoration research reveals strong geographical and research nodes.</v>
      </c>
      <c r="D229" s="10" t="str">
        <f>'16'!E4</f>
        <v>C</v>
      </c>
      <c r="E229" s="10">
        <f>'16'!F4</f>
        <v>1</v>
      </c>
      <c r="F229" s="10">
        <f>'16'!G4</f>
        <v>1</v>
      </c>
    </row>
    <row r="230" spans="1:6" x14ac:dyDescent="0.35">
      <c r="A230" s="10">
        <f>'16'!A5</f>
        <v>16</v>
      </c>
      <c r="B230" s="10">
        <f>'16'!B5</f>
        <v>4</v>
      </c>
      <c r="C230" s="10" t="str">
        <f>'16'!D5</f>
        <v>Strong focus on montane and cloud forests.</v>
      </c>
      <c r="D230" s="10" t="str">
        <f>'16'!E5</f>
        <v>C</v>
      </c>
      <c r="E230" s="10">
        <f>'16'!F5</f>
        <v>1</v>
      </c>
      <c r="F230" s="10">
        <f>'16'!G5</f>
        <v>1</v>
      </c>
    </row>
    <row r="231" spans="1:6" x14ac:dyDescent="0.35">
      <c r="A231" s="10">
        <f>'16'!A6</f>
        <v>16</v>
      </c>
      <c r="B231" s="10">
        <f>'16'!B6</f>
        <v>5</v>
      </c>
      <c r="C231" s="10" t="str">
        <f>'16'!D6</f>
        <v>Bias towards short temporal and small spatial study scales.</v>
      </c>
      <c r="D231" s="10" t="str">
        <f>'16'!E6</f>
        <v>C</v>
      </c>
      <c r="E231" s="10">
        <f>'16'!F6</f>
        <v>1</v>
      </c>
      <c r="F231" s="10">
        <f>'16'!G6</f>
        <v>1</v>
      </c>
    </row>
    <row r="232" spans="1:6" x14ac:dyDescent="0.35">
      <c r="A232" s="10">
        <f>'16'!A7</f>
        <v>16</v>
      </c>
      <c r="B232" s="10">
        <f>'16'!B7</f>
        <v>6</v>
      </c>
      <c r="C232" s="10" t="str">
        <f>'16'!D7</f>
        <v>Dominance of ecological goals and metrics.</v>
      </c>
      <c r="D232" s="10" t="str">
        <f>'16'!E7</f>
        <v>C</v>
      </c>
      <c r="E232" s="10">
        <f>'16'!F7</f>
        <v>1</v>
      </c>
      <c r="F232" s="10">
        <f>'16'!G7</f>
        <v>3</v>
      </c>
    </row>
    <row r="233" spans="1:6" x14ac:dyDescent="0.35">
      <c r="A233" s="10">
        <f>'16'!A8</f>
        <v>16</v>
      </c>
      <c r="B233" s="10">
        <f>'16'!B8</f>
        <v>7</v>
      </c>
      <c r="C233" s="10" t="str">
        <f>'16'!D8</f>
        <v xml:space="preserve"> Initial degradation is however site-specific and result in intricate ecological effects </v>
      </c>
      <c r="D233" s="10" t="str">
        <f>'16'!E8</f>
        <v>B</v>
      </c>
      <c r="E233" s="10">
        <f>'16'!F8</f>
        <v>0</v>
      </c>
      <c r="F233" s="10">
        <f>'16'!G8</f>
        <v>4</v>
      </c>
    </row>
    <row r="234" spans="1:6" x14ac:dyDescent="0.35">
      <c r="A234" s="10">
        <f>'16'!A9</f>
        <v>16</v>
      </c>
      <c r="B234" s="10">
        <f>'16'!B9</f>
        <v>8</v>
      </c>
      <c r="C234" s="10" t="str">
        <f>'16'!D9</f>
        <v xml:space="preserve"> knowledge of tropical mountain grassland restoration seems to be at an early stage compared to tropical mountain forest restoration</v>
      </c>
      <c r="D234" s="10" t="str">
        <f>'16'!E9</f>
        <v>C</v>
      </c>
      <c r="E234" s="10">
        <f>'16'!F9</f>
        <v>1</v>
      </c>
      <c r="F234" s="10">
        <f>'16'!G9</f>
        <v>1</v>
      </c>
    </row>
    <row r="235" spans="1:6" x14ac:dyDescent="0.35">
      <c r="A235" s="10">
        <f>'16'!A10</f>
        <v>16</v>
      </c>
      <c r="B235" s="10">
        <f>'16'!B10</f>
        <v>9</v>
      </c>
      <c r="C235" s="10" t="str">
        <f>'16'!D10</f>
        <v xml:space="preserve">  top promoting factors for restoration success were facilitation and vegetation composition and structure that promotes plant establishment and growth</v>
      </c>
      <c r="D235" s="10" t="str">
        <f>'16'!E10</f>
        <v>C</v>
      </c>
      <c r="E235" s="10">
        <f>'16'!F10</f>
        <v>3</v>
      </c>
      <c r="F235" s="10">
        <f>'16'!G10</f>
        <v>1</v>
      </c>
    </row>
    <row r="236" spans="1:6" x14ac:dyDescent="0.35">
      <c r="A236" s="10">
        <f>'16'!A11</f>
        <v>16</v>
      </c>
      <c r="B236" s="10">
        <f>'16'!B11</f>
        <v>10</v>
      </c>
      <c r="C236" s="10" t="str">
        <f>'16'!D11</f>
        <v>variables related to removing disturbance, such as eradication of invasive  promote success</v>
      </c>
      <c r="D236" s="10" t="str">
        <f>'16'!E11</f>
        <v>C</v>
      </c>
      <c r="E236" s="10">
        <f>'16'!F11</f>
        <v>2</v>
      </c>
      <c r="F236" s="10">
        <f>'16'!G11</f>
        <v>1</v>
      </c>
    </row>
    <row r="237" spans="1:6" x14ac:dyDescent="0.35">
      <c r="A237" s="10">
        <f>'16'!A12</f>
        <v>16</v>
      </c>
      <c r="B237" s="10">
        <f>'16'!B12</f>
        <v>11</v>
      </c>
      <c r="C237" s="10" t="str">
        <f>'16'!D12</f>
        <v xml:space="preserve"> Climate-related limitations such as habitat and recruitment constraints are already a prevalent limiting factor</v>
      </c>
      <c r="D237" s="10" t="str">
        <f>'16'!E12</f>
        <v>F</v>
      </c>
      <c r="E237" s="10">
        <f>'16'!F12</f>
        <v>5</v>
      </c>
      <c r="F237" s="10">
        <f>'16'!G12</f>
        <v>2</v>
      </c>
    </row>
    <row r="238" spans="1:6" x14ac:dyDescent="0.35">
      <c r="A238" s="10">
        <f>'16'!A13</f>
        <v>16</v>
      </c>
      <c r="B238" s="10">
        <f>'16'!B13</f>
        <v>12</v>
      </c>
      <c r="C238" s="10" t="str">
        <f>'16'!D13</f>
        <v xml:space="preserve"> research on large-scale restoration will be needed to scale up mountain restoration to a landscape level</v>
      </c>
      <c r="D238" s="10" t="str">
        <f>'16'!E13</f>
        <v>C</v>
      </c>
      <c r="E238" s="10">
        <f>'16'!F13</f>
        <v>1</v>
      </c>
      <c r="F238" s="10">
        <f>'16'!G13</f>
        <v>1</v>
      </c>
    </row>
    <row r="239" spans="1:6" x14ac:dyDescent="0.35">
      <c r="A239" s="10">
        <f>'16'!A14</f>
        <v>16</v>
      </c>
      <c r="B239" s="10">
        <f>'16'!B14</f>
        <v>13</v>
      </c>
      <c r="C239" s="10" t="str">
        <f>'16'!D14</f>
        <v xml:space="preserve"> Studies on the social dimensions of restoration in tropical mountains are still scarce</v>
      </c>
      <c r="D239" s="10" t="str">
        <f>'16'!E14</f>
        <v>C</v>
      </c>
      <c r="E239" s="10">
        <f>'16'!F14</f>
        <v>1</v>
      </c>
      <c r="F239" s="10">
        <f>'16'!G14</f>
        <v>1</v>
      </c>
    </row>
    <row r="240" spans="1:6" x14ac:dyDescent="0.35">
      <c r="A240" s="10">
        <f>'16'!A15</f>
        <v>16</v>
      </c>
      <c r="B240" s="10">
        <f>'16'!B15</f>
        <v>14</v>
      </c>
      <c r="C240" s="10" t="str">
        <f>'16'!D15</f>
        <v xml:space="preserve"> Monitoring efforts are a key</v>
      </c>
      <c r="D240" s="10" t="str">
        <f>'16'!E15</f>
        <v>C</v>
      </c>
      <c r="E240" s="10">
        <f>'16'!F15</f>
        <v>1</v>
      </c>
      <c r="F240" s="10">
        <f>'16'!G15</f>
        <v>2</v>
      </c>
    </row>
    <row r="241" spans="1:6" x14ac:dyDescent="0.35">
      <c r="A241" s="10">
        <f>'16'!A16</f>
        <v>16</v>
      </c>
      <c r="B241" s="10">
        <f>'16'!B16</f>
        <v>15</v>
      </c>
      <c r="C241" s="10" t="str">
        <f>'16'!D16</f>
        <v xml:space="preserve">  tailor restoration interventions to a dynamic future</v>
      </c>
      <c r="D241" s="10" t="str">
        <f>'16'!E16</f>
        <v>C</v>
      </c>
      <c r="E241" s="10">
        <f>'16'!F16</f>
        <v>1</v>
      </c>
      <c r="F241" s="10">
        <f>'16'!G16</f>
        <v>1</v>
      </c>
    </row>
    <row r="242" spans="1:6" x14ac:dyDescent="0.35">
      <c r="A242" s="10">
        <f>'16'!A17</f>
        <v>16</v>
      </c>
      <c r="B242" s="10">
        <f>'16'!B17</f>
        <v>16</v>
      </c>
      <c r="C242" s="10" t="str">
        <f>'16'!D17</f>
        <v xml:space="preserve">  calls for a better inclusion of these underrepresented systems in future research</v>
      </c>
      <c r="D242" s="10" t="str">
        <f>'16'!E17</f>
        <v>C</v>
      </c>
      <c r="E242" s="10">
        <f>'16'!F17</f>
        <v>1</v>
      </c>
      <c r="F242" s="10">
        <f>'16'!G17</f>
        <v>1</v>
      </c>
    </row>
    <row r="243" spans="1:6" x14ac:dyDescent="0.35">
      <c r="A243" s="10">
        <f>'17'!A2</f>
        <v>17</v>
      </c>
      <c r="B243" s="10">
        <f>'17'!B2</f>
        <v>1</v>
      </c>
      <c r="C243" s="10" t="str">
        <f>'17'!D2</f>
        <v xml:space="preserve">Lack of evaluation, monitoring, and documentation
</v>
      </c>
      <c r="D243" s="10" t="str">
        <f>'17'!E2</f>
        <v>C</v>
      </c>
      <c r="E243" s="10">
        <f>'17'!F2</f>
        <v>1</v>
      </c>
      <c r="F243" s="10">
        <f>'17'!G2</f>
        <v>2</v>
      </c>
    </row>
    <row r="244" spans="1:6" x14ac:dyDescent="0.35">
      <c r="A244" s="10">
        <f>'17'!A3</f>
        <v>17</v>
      </c>
      <c r="B244" s="10">
        <f>'17'!B3</f>
        <v>2</v>
      </c>
      <c r="C244" s="10" t="str">
        <f>'17'!D3</f>
        <v xml:space="preserve">Lack of relevant ecological knowledge and experience
</v>
      </c>
      <c r="D244" s="10" t="str">
        <f>'17'!E3</f>
        <v>C</v>
      </c>
      <c r="E244" s="10">
        <f>'17'!F3</f>
        <v>2</v>
      </c>
      <c r="F244" s="10">
        <f>'17'!G3</f>
        <v>1</v>
      </c>
    </row>
    <row r="245" spans="1:6" x14ac:dyDescent="0.35">
      <c r="A245" s="10">
        <f>'17'!A4</f>
        <v>17</v>
      </c>
      <c r="B245" s="10">
        <f>'17'!B4</f>
        <v>3</v>
      </c>
      <c r="C245" s="10" t="str">
        <f>'17'!D4</f>
        <v xml:space="preserve">Lack of knowledge about soils
</v>
      </c>
      <c r="D245" s="10" t="str">
        <f>'17'!E4</f>
        <v>C</v>
      </c>
      <c r="E245" s="10">
        <f>'17'!F4</f>
        <v>2</v>
      </c>
      <c r="F245" s="10">
        <f>'17'!G4</f>
        <v>1</v>
      </c>
    </row>
    <row r="246" spans="1:6" x14ac:dyDescent="0.35">
      <c r="A246" s="10">
        <f>'17'!A5</f>
        <v>17</v>
      </c>
      <c r="B246" s="10">
        <f>'17'!B5</f>
        <v>4</v>
      </c>
      <c r="C246" s="10" t="str">
        <f>'17'!D5</f>
        <v>Lack of effective knowledge exchange</v>
      </c>
      <c r="D246" s="10" t="str">
        <f>'17'!E5</f>
        <v>C</v>
      </c>
      <c r="E246" s="10">
        <f>'17'!F5</f>
        <v>3</v>
      </c>
      <c r="F246" s="10">
        <f>'17'!G5</f>
        <v>2</v>
      </c>
    </row>
    <row r="247" spans="1:6" x14ac:dyDescent="0.35">
      <c r="A247" s="10">
        <f>'17'!A6</f>
        <v>17</v>
      </c>
      <c r="B247" s="10">
        <f>'17'!B6</f>
        <v>5</v>
      </c>
      <c r="C247" s="10" t="str">
        <f>'17'!D6</f>
        <v xml:space="preserve">Lack of skilled professionals to perform restoration
</v>
      </c>
      <c r="D247" s="10" t="str">
        <f>'17'!E6</f>
        <v>C</v>
      </c>
      <c r="E247" s="10">
        <f>'17'!F6</f>
        <v>3</v>
      </c>
      <c r="F247" s="10">
        <f>'17'!G6</f>
        <v>2</v>
      </c>
    </row>
    <row r="248" spans="1:6" x14ac:dyDescent="0.35">
      <c r="A248" s="10">
        <f>'17'!A7</f>
        <v>17</v>
      </c>
      <c r="B248" s="10">
        <f>'17'!B7</f>
        <v>6</v>
      </c>
      <c r="C248" s="10" t="str">
        <f>'17'!D7</f>
        <v>Low political priority for restoration</v>
      </c>
      <c r="D248" s="10" t="str">
        <f>'17'!E7</f>
        <v>E</v>
      </c>
      <c r="E248" s="10">
        <f>'17'!F7</f>
        <v>0</v>
      </c>
      <c r="F248" s="10">
        <f>'17'!G7</f>
        <v>1</v>
      </c>
    </row>
    <row r="249" spans="1:6" x14ac:dyDescent="0.35">
      <c r="A249" s="10">
        <f>'17'!A8</f>
        <v>17</v>
      </c>
      <c r="B249" s="10">
        <f>'17'!B8</f>
        <v>7</v>
      </c>
      <c r="C249" s="10" t="str">
        <f>'17'!D8</f>
        <v>Lack of motivation in decision-makers to incorporate innovation</v>
      </c>
      <c r="D249" s="10" t="str">
        <f>'17'!E8</f>
        <v>E</v>
      </c>
      <c r="E249" s="10">
        <f>'17'!F8</f>
        <v>0</v>
      </c>
      <c r="F249" s="10">
        <f>'17'!G8</f>
        <v>2</v>
      </c>
    </row>
    <row r="250" spans="1:6" x14ac:dyDescent="0.35">
      <c r="A250" s="10">
        <f>'17'!A9</f>
        <v>17</v>
      </c>
      <c r="B250" s="10">
        <f>'17'!B9</f>
        <v>8</v>
      </c>
      <c r="C250" s="10" t="str">
        <f>'17'!D9</f>
        <v>Insufficient funding</v>
      </c>
      <c r="D250" s="10" t="str">
        <f>'17'!E9</f>
        <v>A</v>
      </c>
      <c r="E250" s="10">
        <f>'17'!F9</f>
        <v>1</v>
      </c>
      <c r="F250" s="10">
        <f>'17'!G9</f>
        <v>1</v>
      </c>
    </row>
    <row r="251" spans="1:6" x14ac:dyDescent="0.35">
      <c r="A251" s="10">
        <f>'17'!A10</f>
        <v>17</v>
      </c>
      <c r="B251" s="10">
        <f>'17'!B10</f>
        <v>9</v>
      </c>
      <c r="C251" s="10" t="str">
        <f>'17'!D10</f>
        <v xml:space="preserve">Lack of involvement of the private sector
</v>
      </c>
      <c r="D251" s="10" t="str">
        <f>'17'!E10</f>
        <v>F</v>
      </c>
      <c r="E251" s="10">
        <f>'17'!F10</f>
        <v>3</v>
      </c>
      <c r="F251" s="10">
        <f>'17'!G10</f>
        <v>1</v>
      </c>
    </row>
    <row r="252" spans="1:6" x14ac:dyDescent="0.35">
      <c r="A252" s="10">
        <f>'17'!A11</f>
        <v>17</v>
      </c>
      <c r="B252" s="10">
        <f>'17'!B11</f>
        <v>10</v>
      </c>
      <c r="C252" s="10" t="str">
        <f>'17'!D11</f>
        <v>Lack of appropriate compensation and financial returns on restoration</v>
      </c>
      <c r="D252" s="10" t="str">
        <f>'17'!E11</f>
        <v>A</v>
      </c>
      <c r="E252" s="10">
        <f>'17'!F11</f>
        <v>1</v>
      </c>
      <c r="F252" s="10">
        <f>'17'!G11</f>
        <v>8</v>
      </c>
    </row>
    <row r="253" spans="1:6" x14ac:dyDescent="0.35">
      <c r="A253" s="10">
        <f>'17'!A12</f>
        <v>17</v>
      </c>
      <c r="B253" s="10">
        <f>'17'!B12</f>
        <v>11</v>
      </c>
      <c r="C253" s="10" t="str">
        <f>'17'!D12</f>
        <v>Harmful subsidies favoring degradation</v>
      </c>
      <c r="D253" s="10" t="str">
        <f>'17'!E12</f>
        <v>F</v>
      </c>
      <c r="E253" s="10">
        <f>'17'!F12</f>
        <v>5</v>
      </c>
      <c r="F253" s="10">
        <f>'17'!G12</f>
        <v>3</v>
      </c>
    </row>
    <row r="254" spans="1:6" x14ac:dyDescent="0.35">
      <c r="A254" s="10">
        <f>'17'!A13</f>
        <v>17</v>
      </c>
      <c r="B254" s="10">
        <f>'17'!B13</f>
        <v>12</v>
      </c>
      <c r="C254" s="10" t="str">
        <f>'17'!D13</f>
        <v>Conflicting interests of different stakeholders</v>
      </c>
      <c r="D254" s="10" t="str">
        <f>'17'!E13</f>
        <v>F</v>
      </c>
      <c r="E254" s="10">
        <f>'17'!F13</f>
        <v>1</v>
      </c>
      <c r="F254" s="10">
        <f>'17'!G13</f>
        <v>1</v>
      </c>
    </row>
    <row r="255" spans="1:6" x14ac:dyDescent="0.35">
      <c r="A255" s="10">
        <f>'17'!A14</f>
        <v>17</v>
      </c>
      <c r="B255" s="10">
        <f>'17'!B14</f>
        <v>13</v>
      </c>
      <c r="C255" s="10" t="str">
        <f>'17'!D14</f>
        <v xml:space="preserve">Conflicts between restoration goals, e.g. biodiversity, climate change  mitigation, nutrient retention
</v>
      </c>
      <c r="D255" s="10" t="str">
        <f>'17'!E14</f>
        <v>F</v>
      </c>
      <c r="E255" s="10">
        <f>'17'!F14</f>
        <v>1</v>
      </c>
      <c r="F255" s="10">
        <f>'17'!G14</f>
        <v>1</v>
      </c>
    </row>
    <row r="256" spans="1:6" x14ac:dyDescent="0.35">
      <c r="A256" s="10">
        <f>'17'!A15</f>
        <v>17</v>
      </c>
      <c r="B256" s="10">
        <f>'17'!B15</f>
        <v>14</v>
      </c>
      <c r="C256" s="10" t="str">
        <f>'17'!D15</f>
        <v xml:space="preserve">Lack of collaboration between different stakeholders
</v>
      </c>
      <c r="D256" s="10" t="str">
        <f>'17'!E15</f>
        <v>F</v>
      </c>
      <c r="E256" s="10">
        <f>'17'!F15</f>
        <v>1</v>
      </c>
      <c r="F256" s="10">
        <f>'17'!G15</f>
        <v>2</v>
      </c>
    </row>
    <row r="257" spans="1:6" x14ac:dyDescent="0.35">
      <c r="A257" s="10">
        <f>'17'!A16</f>
        <v>17</v>
      </c>
      <c r="B257" s="10">
        <f>'17'!B16</f>
        <v>15</v>
      </c>
      <c r="C257" s="10" t="str">
        <f>'17'!D16</f>
        <v>Lack of understanding and collaboration across different aspects of  restoration, e.g., ecology, engineering, social sciences, etc.</v>
      </c>
      <c r="D257" s="10" t="str">
        <f>'17'!E16</f>
        <v>C</v>
      </c>
      <c r="E257" s="10">
        <f>'17'!F16</f>
        <v>2</v>
      </c>
      <c r="F257" s="10">
        <f>'17'!G16</f>
        <v>2</v>
      </c>
    </row>
    <row r="258" spans="1:6" x14ac:dyDescent="0.35">
      <c r="A258" s="10">
        <f>'17'!A17</f>
        <v>17</v>
      </c>
      <c r="B258" s="10">
        <f>'17'!B17</f>
        <v>16</v>
      </c>
      <c r="C258" s="10" t="str">
        <f>'17'!D17</f>
        <v>Difficulty in obtaining legal or property rights over the area to implement  restoration</v>
      </c>
      <c r="D258" s="10" t="str">
        <f>'17'!E17</f>
        <v>F</v>
      </c>
      <c r="E258" s="10">
        <f>'17'!F17</f>
        <v>5</v>
      </c>
      <c r="F258" s="10">
        <f>'17'!G17</f>
        <v>2</v>
      </c>
    </row>
    <row r="259" spans="1:6" x14ac:dyDescent="0.35">
      <c r="A259" s="10">
        <f>'17'!A18</f>
        <v>17</v>
      </c>
      <c r="B259" s="10">
        <f>'17'!B18</f>
        <v>17</v>
      </c>
      <c r="C259" s="10" t="str">
        <f>'17'!D18</f>
        <v xml:space="preserve">Lack of quality plant material (including lack of suitable species and genotypes)
</v>
      </c>
      <c r="D259" s="10" t="str">
        <f>'17'!E18</f>
        <v>C</v>
      </c>
      <c r="E259" s="10">
        <f>'17'!F18</f>
        <v>3</v>
      </c>
      <c r="F259" s="10">
        <f>'17'!G18</f>
        <v>1</v>
      </c>
    </row>
    <row r="260" spans="1:6" x14ac:dyDescent="0.35">
      <c r="A260" s="10">
        <f>'17'!A19</f>
        <v>17</v>
      </c>
      <c r="B260" s="10">
        <f>'17'!B19</f>
        <v>18</v>
      </c>
      <c r="C260" s="10" t="str">
        <f>'17'!D19</f>
        <v>Lack of integrated land use planning</v>
      </c>
      <c r="D260" s="10" t="str">
        <f>'17'!E19</f>
        <v>F</v>
      </c>
      <c r="E260" s="10">
        <f>'17'!F19</f>
        <v>1</v>
      </c>
      <c r="F260" s="10">
        <f>'17'!G19</f>
        <v>1</v>
      </c>
    </row>
    <row r="261" spans="1:6" x14ac:dyDescent="0.35">
      <c r="A261" s="10">
        <f>'17'!A20</f>
        <v>17</v>
      </c>
      <c r="B261" s="10">
        <f>'17'!B20</f>
        <v>19</v>
      </c>
      <c r="C261" s="10" t="str">
        <f>'17'!D20</f>
        <v>Lack of coordination between decision-makers in different domains and  administrative departments</v>
      </c>
      <c r="D261" s="10" t="str">
        <f>'17'!E20</f>
        <v>F</v>
      </c>
      <c r="E261" s="10">
        <f>'17'!F20</f>
        <v>1</v>
      </c>
      <c r="F261" s="10">
        <f>'17'!G20</f>
        <v>1</v>
      </c>
    </row>
    <row r="262" spans="1:6" x14ac:dyDescent="0.35">
      <c r="A262" s="10">
        <f>'17'!A21</f>
        <v>17</v>
      </c>
      <c r="B262" s="10">
        <f>'17'!B21</f>
        <v>20</v>
      </c>
      <c r="C262" s="10" t="str">
        <f>'17'!D21</f>
        <v>Inadequate implementation of current policies</v>
      </c>
      <c r="D262" s="10" t="str">
        <f>'17'!E21</f>
        <v>F</v>
      </c>
      <c r="E262" s="10">
        <f>'17'!F21</f>
        <v>2</v>
      </c>
      <c r="F262" s="10">
        <f>'17'!G21</f>
        <v>2</v>
      </c>
    </row>
    <row r="263" spans="1:6" x14ac:dyDescent="0.35">
      <c r="A263" s="10">
        <f>'17'!A22</f>
        <v>17</v>
      </c>
      <c r="B263" s="10">
        <f>'17'!B22</f>
        <v>21</v>
      </c>
      <c r="C263" s="10" t="str">
        <f>'17'!D22</f>
        <v xml:space="preserve">Unrealistic or unclear project goals
</v>
      </c>
      <c r="D263" s="10" t="str">
        <f>'17'!E22</f>
        <v>F</v>
      </c>
      <c r="E263" s="10">
        <f>'17'!F22</f>
        <v>2</v>
      </c>
      <c r="F263" s="10">
        <f>'17'!G22</f>
        <v>2</v>
      </c>
    </row>
    <row r="264" spans="1:6" x14ac:dyDescent="0.35">
      <c r="A264" s="10">
        <f>'17'!A23</f>
        <v>17</v>
      </c>
      <c r="B264" s="10">
        <f>'17'!B23</f>
        <v>22</v>
      </c>
      <c r="C264" s="10" t="str">
        <f>'17'!D23</f>
        <v>Lack of standards against which progress can be measured</v>
      </c>
      <c r="D264" s="10" t="str">
        <f>'17'!E23</f>
        <v>F</v>
      </c>
      <c r="E264" s="10">
        <f>'17'!F23</f>
        <v>2</v>
      </c>
      <c r="F264" s="10">
        <f>'17'!G23</f>
        <v>2</v>
      </c>
    </row>
    <row r="265" spans="1:6" x14ac:dyDescent="0.35">
      <c r="A265" s="10">
        <f>'17'!A24</f>
        <v>17</v>
      </c>
      <c r="B265" s="10">
        <f>'17'!B24</f>
        <v>23</v>
      </c>
      <c r="C265" s="10" t="str">
        <f>'17'!D24</f>
        <v xml:space="preserve">Complexity of the legal framework
</v>
      </c>
      <c r="D265" s="10" t="str">
        <f>'17'!E24</f>
        <v>F</v>
      </c>
      <c r="E265" s="10">
        <f>'17'!F24</f>
        <v>2</v>
      </c>
      <c r="F265" s="10">
        <f>'17'!G24</f>
        <v>2</v>
      </c>
    </row>
    <row r="266" spans="1:6" x14ac:dyDescent="0.35">
      <c r="A266" s="10">
        <f>'17'!A25</f>
        <v>17</v>
      </c>
      <c r="B266" s="10">
        <f>'17'!B25</f>
        <v>24</v>
      </c>
      <c r="C266" s="10" t="str">
        <f>'17'!D25</f>
        <v xml:space="preserve">Unsuitable policies and lack of enabling policy instruments
</v>
      </c>
      <c r="D266" s="10" t="str">
        <f>'17'!E25</f>
        <v>F</v>
      </c>
      <c r="E266" s="10">
        <f>'17'!F25</f>
        <v>2</v>
      </c>
      <c r="F266" s="10">
        <f>'17'!G25</f>
        <v>2</v>
      </c>
    </row>
    <row r="267" spans="1:6" x14ac:dyDescent="0.35">
      <c r="A267" s="10">
        <f>'17'!A26</f>
        <v>17</v>
      </c>
      <c r="B267" s="10">
        <f>'17'!B26</f>
        <v>25</v>
      </c>
      <c r="C267" s="10" t="str">
        <f>'17'!D26</f>
        <v>Constraints due to biotic challenges, e.g. concerning species dispersal rates, interspecific interactions, etc.</v>
      </c>
      <c r="D267" s="10" t="str">
        <f>'17'!E26</f>
        <v>C</v>
      </c>
      <c r="E267" s="10">
        <f>'17'!F26</f>
        <v>3</v>
      </c>
      <c r="F267" s="10">
        <f>'17'!G26</f>
        <v>1</v>
      </c>
    </row>
    <row r="268" spans="1:6" x14ac:dyDescent="0.35">
      <c r="A268" s="10">
        <f>'17'!A27</f>
        <v>17</v>
      </c>
      <c r="B268" s="10">
        <f>'17'!B27</f>
        <v>26</v>
      </c>
      <c r="C268" s="10" t="str">
        <f>'17'!D27</f>
        <v xml:space="preserve">Lack of societal awareness and engagement
</v>
      </c>
      <c r="D268" s="10" t="str">
        <f>'17'!E27</f>
        <v>D</v>
      </c>
      <c r="E268" s="10">
        <f>'17'!F27</f>
        <v>0</v>
      </c>
      <c r="F268" s="10">
        <f>'17'!G27</f>
        <v>1</v>
      </c>
    </row>
    <row r="269" spans="1:6" x14ac:dyDescent="0.35">
      <c r="A269" s="10">
        <f>'17'!A28</f>
        <v>17</v>
      </c>
      <c r="B269" s="10">
        <f>'17'!B28</f>
        <v>27</v>
      </c>
      <c r="C269" s="10" t="str">
        <f>'17'!D28</f>
        <v xml:space="preserve">Perceived complexity of implementing restoration
</v>
      </c>
      <c r="D269" s="10" t="str">
        <f>'17'!E28</f>
        <v>D</v>
      </c>
      <c r="E269" s="10">
        <f>'17'!F28</f>
        <v>0</v>
      </c>
      <c r="F269" s="10">
        <f>'17'!G28</f>
        <v>5</v>
      </c>
    </row>
    <row r="270" spans="1:6" x14ac:dyDescent="0.35">
      <c r="A270" s="10">
        <f>'17'!A29</f>
        <v>17</v>
      </c>
      <c r="B270" s="10">
        <f>'17'!B29</f>
        <v>28</v>
      </c>
      <c r="C270" s="10" t="str">
        <f>'17'!D29</f>
        <v xml:space="preserve">Constraints due to abiotic characteristics of the area, e.g. climate,  topography, water availability
</v>
      </c>
      <c r="D270" s="10" t="str">
        <f>'17'!E29</f>
        <v>C</v>
      </c>
      <c r="E270" s="10">
        <f>'17'!F29</f>
        <v>3</v>
      </c>
      <c r="F270" s="10">
        <f>'17'!G29</f>
        <v>1</v>
      </c>
    </row>
    <row r="271" spans="1:6" x14ac:dyDescent="0.35">
      <c r="A271" s="10">
        <f>'17'!A30</f>
        <v>17</v>
      </c>
      <c r="B271" s="10">
        <f>'17'!B30</f>
        <v>29</v>
      </c>
      <c r="C271" s="10" t="str">
        <f>'17'!D30</f>
        <v xml:space="preserve">Lack of sense of identity, attachment to the landscape
</v>
      </c>
      <c r="D271" s="10" t="str">
        <f>'17'!E30</f>
        <v>B</v>
      </c>
      <c r="E271" s="10">
        <f>'17'!F30</f>
        <v>1</v>
      </c>
      <c r="F271" s="10">
        <f>'17'!G30</f>
        <v>1</v>
      </c>
    </row>
    <row r="272" spans="1:6" x14ac:dyDescent="0.35">
      <c r="A272" s="10">
        <f>'17'!A31</f>
        <v>17</v>
      </c>
      <c r="B272" s="10">
        <f>'17'!B31</f>
        <v>30</v>
      </c>
      <c r="C272" s="10" t="str">
        <f>'17'!D31</f>
        <v xml:space="preserve">Lack of suitable technology
</v>
      </c>
      <c r="D272" s="10" t="str">
        <f>'17'!E31</f>
        <v>C</v>
      </c>
      <c r="E272" s="10">
        <f>'17'!F31</f>
        <v>3</v>
      </c>
      <c r="F272" s="10">
        <f>'17'!G31</f>
        <v>1</v>
      </c>
    </row>
    <row r="273" spans="1:6" x14ac:dyDescent="0.35">
      <c r="A273" s="10">
        <f>'18'!A2</f>
        <v>18</v>
      </c>
      <c r="B273" s="10">
        <f>'18'!B2</f>
        <v>1</v>
      </c>
      <c r="C273" s="10" t="str">
        <f>'18'!D2</f>
        <v>Environmental awareness results in higher willingness to pay  and changing demand</v>
      </c>
      <c r="D273" s="10" t="str">
        <f>'18'!E2</f>
        <v>D</v>
      </c>
      <c r="E273" s="10">
        <f>'18'!F2</f>
        <v>0</v>
      </c>
      <c r="F273" s="10">
        <f>'18'!G2</f>
        <v>1</v>
      </c>
    </row>
    <row r="274" spans="1:6" x14ac:dyDescent="0.35">
      <c r="A274" s="10">
        <f>'18'!A3</f>
        <v>18</v>
      </c>
      <c r="B274" s="10">
        <f>'18'!B3</f>
        <v>2</v>
      </c>
      <c r="C274" s="10" t="str">
        <f>'18'!D3</f>
        <v>drivers of demand for NBS are the climate and biodiversity crises</v>
      </c>
      <c r="D274" s="10" t="str">
        <f>'18'!E3</f>
        <v>D</v>
      </c>
      <c r="E274" s="10">
        <f>'18'!F3</f>
        <v>0</v>
      </c>
      <c r="F274" s="10">
        <f>'18'!G3</f>
        <v>1</v>
      </c>
    </row>
    <row r="275" spans="1:6" x14ac:dyDescent="0.35">
      <c r="A275" s="10">
        <f>'18'!A4</f>
        <v>18</v>
      </c>
      <c r="B275" s="10">
        <f>'18'!B4</f>
        <v>3</v>
      </c>
      <c r="C275" s="10" t="str">
        <f>'18'!D4</f>
        <v>Uncertainty as regards the technical performance and cost-effectiveness  of NBS as well as their resilience to climate change</v>
      </c>
      <c r="D275" s="10" t="str">
        <f>'18'!E4</f>
        <v>B</v>
      </c>
      <c r="E275" s="10">
        <f>'18'!F4</f>
        <v>0</v>
      </c>
      <c r="F275" s="10">
        <f>'18'!G4</f>
        <v>3</v>
      </c>
    </row>
    <row r="276" spans="1:6" x14ac:dyDescent="0.35">
      <c r="A276" s="10">
        <f>'18'!A5</f>
        <v>18</v>
      </c>
      <c r="B276" s="10">
        <f>'18'!B5</f>
        <v>4</v>
      </c>
      <c r="C276" s="10" t="str">
        <f>'18'!D5</f>
        <v>NBS resilience to  climate change is uncertain</v>
      </c>
      <c r="D276" s="10" t="str">
        <f>'18'!E5</f>
        <v>B</v>
      </c>
      <c r="E276" s="10">
        <f>'18'!F5</f>
        <v>0</v>
      </c>
      <c r="F276" s="10">
        <f>'18'!G5</f>
        <v>3</v>
      </c>
    </row>
    <row r="277" spans="1:6" x14ac:dyDescent="0.35">
      <c r="A277" s="10">
        <f>'18'!A6</f>
        <v>18</v>
      </c>
      <c r="B277" s="10">
        <f>'18'!B6</f>
        <v>5</v>
      </c>
      <c r="C277" s="10" t="str">
        <f>'18'!D6</f>
        <v>Capacity gaps relating to measuring NBS impact (enabler and barrier)</v>
      </c>
      <c r="D277" s="10" t="str">
        <f>'18'!E6</f>
        <v>C</v>
      </c>
      <c r="E277" s="10">
        <f>'18'!F6</f>
        <v>3</v>
      </c>
      <c r="F277" s="10">
        <f>'18'!G6</f>
        <v>1</v>
      </c>
    </row>
    <row r="278" spans="1:6" x14ac:dyDescent="0.35">
      <c r="A278" s="10">
        <f>'18'!A7</f>
        <v>18</v>
      </c>
      <c r="B278" s="10">
        <f>'18'!B7</f>
        <v>6</v>
      </c>
      <c r="C278" s="10" t="str">
        <f>'18'!D7</f>
        <v>lack of evidence of the effectiveness  of NBS in combating climate change and biodiversity loss</v>
      </c>
      <c r="D278" s="10" t="str">
        <f>'18'!E7</f>
        <v>C</v>
      </c>
      <c r="E278" s="10">
        <f>'18'!F7</f>
        <v>1</v>
      </c>
      <c r="F278" s="10">
        <f>'18'!G7</f>
        <v>1</v>
      </c>
    </row>
    <row r="279" spans="1:6" x14ac:dyDescent="0.35">
      <c r="A279" s="10">
        <f>'18'!A8</f>
        <v>18</v>
      </c>
      <c r="B279" s="10">
        <f>'18'!B8</f>
        <v>7</v>
      </c>
      <c r="C279" s="10" t="str">
        <f>'18'!D8</f>
        <v xml:space="preserve">technical trainings meeting practical needs. </v>
      </c>
      <c r="D279" s="10" t="str">
        <f>'18'!E8</f>
        <v>C</v>
      </c>
      <c r="E279" s="10">
        <f>'18'!F8</f>
        <v>3</v>
      </c>
      <c r="F279" s="10">
        <f>'18'!G8</f>
        <v>3</v>
      </c>
    </row>
    <row r="280" spans="1:6" x14ac:dyDescent="0.35">
      <c r="A280" s="10">
        <f>'18'!A9</f>
        <v>18</v>
      </c>
      <c r="B280" s="10">
        <f>'18'!B9</f>
        <v>8</v>
      </c>
      <c r="C280" s="10" t="str">
        <f>'18'!D9</f>
        <v xml:space="preserve">education on sustainability in business schools - </v>
      </c>
      <c r="D280" s="10" t="str">
        <f>'18'!E9</f>
        <v>D</v>
      </c>
      <c r="E280" s="10">
        <f>'18'!F9</f>
        <v>0</v>
      </c>
      <c r="F280" s="10">
        <f>'18'!G9</f>
        <v>3</v>
      </c>
    </row>
    <row r="281" spans="1:6" x14ac:dyDescent="0.35">
      <c r="A281" s="10">
        <f>'18'!A10</f>
        <v>18</v>
      </c>
      <c r="B281" s="10">
        <f>'18'!B10</f>
        <v>9</v>
      </c>
      <c r="C281" s="10" t="str">
        <f>'18'!D10</f>
        <v>lack of awareness and understanding of  the cost structure of NBS, the multi-functional benefits of NBS and the difficulties measuring effectiveness</v>
      </c>
      <c r="D281" s="10" t="str">
        <f>'18'!E10</f>
        <v>C</v>
      </c>
      <c r="E281" s="10">
        <f>'18'!F10</f>
        <v>3</v>
      </c>
      <c r="F281" s="10">
        <f>'18'!G10</f>
        <v>4</v>
      </c>
    </row>
    <row r="282" spans="1:6" x14ac:dyDescent="0.35">
      <c r="A282" s="10">
        <f>'18'!A11</f>
        <v>18</v>
      </c>
      <c r="B282" s="10">
        <f>'18'!B11</f>
        <v>10</v>
      </c>
      <c r="C282" s="10" t="str">
        <f>'18'!D11</f>
        <v>corporations lacked the knowledge to compare the impacts  from tree planting with more complex but potentially more impactful solutions such as  rewilding</v>
      </c>
      <c r="D282" s="10" t="str">
        <f>'18'!E11</f>
        <v>A</v>
      </c>
      <c r="E282" s="10">
        <f>'18'!F11</f>
        <v>1</v>
      </c>
      <c r="F282" s="10">
        <f>'18'!G11</f>
        <v>7</v>
      </c>
    </row>
    <row r="283" spans="1:6" x14ac:dyDescent="0.35">
      <c r="A283" s="10">
        <f>'18'!A12</f>
        <v>18</v>
      </c>
      <c r="B283" s="10">
        <f>'18'!B12</f>
        <v>11</v>
      </c>
      <c r="C283" s="10" t="str">
        <f>'18'!D12</f>
        <v xml:space="preserve">long-term nature of nbs not alligned with short ter, electoral cycles and gment planning cycles </v>
      </c>
      <c r="D283" s="10" t="str">
        <f>'18'!E12</f>
        <v>E</v>
      </c>
      <c r="E283" s="10">
        <f>'18'!F12</f>
        <v>0</v>
      </c>
      <c r="F283" s="10">
        <f>'18'!G12</f>
        <v>3</v>
      </c>
    </row>
    <row r="284" spans="1:6" x14ac:dyDescent="0.35">
      <c r="A284" s="10">
        <f>'18'!A13</f>
        <v>18</v>
      </c>
      <c r="B284" s="10">
        <f>'18'!B13</f>
        <v>12</v>
      </c>
      <c r="C284" s="10" t="str">
        <f>'18'!D13</f>
        <v>sources of private funding  for start-up capital, certification and capacity building are limited</v>
      </c>
      <c r="D284" s="10" t="str">
        <f>'18'!E13</f>
        <v>A</v>
      </c>
      <c r="E284" s="10">
        <f>'18'!F13</f>
        <v>1</v>
      </c>
      <c r="F284" s="10">
        <f>'18'!G13</f>
        <v>1</v>
      </c>
    </row>
    <row r="285" spans="1:6" x14ac:dyDescent="0.35">
      <c r="A285" s="10">
        <f>'18'!A14</f>
        <v>18</v>
      </c>
      <c r="B285" s="10">
        <f>'18'!B14</f>
        <v>13</v>
      </c>
      <c r="C285" s="10" t="str">
        <f>'18'!D14</f>
        <v>availability of funding instruments such as grants and subsidies  was recognised as an enabler</v>
      </c>
      <c r="D285" s="10" t="str">
        <f>'18'!E14</f>
        <v>A</v>
      </c>
      <c r="E285" s="10">
        <f>'18'!F14</f>
        <v>1</v>
      </c>
      <c r="F285" s="10">
        <f>'18'!G14</f>
        <v>1</v>
      </c>
    </row>
    <row r="286" spans="1:6" x14ac:dyDescent="0.35">
      <c r="A286" s="10">
        <f>'18'!A15</f>
        <v>18</v>
      </c>
      <c r="B286" s="10">
        <f>'18'!B15</f>
        <v>14</v>
      </c>
      <c r="C286" s="10" t="str">
        <f>'18'!D15</f>
        <v>longer timeframe required for return  on investment in NBS does not correspond well with short-term political cycles</v>
      </c>
      <c r="D286" s="10" t="str">
        <f>'18'!E15</f>
        <v>A</v>
      </c>
      <c r="E286" s="10">
        <f>'18'!F15</f>
        <v>1</v>
      </c>
      <c r="F286" s="10">
        <f>'18'!G15</f>
        <v>2</v>
      </c>
    </row>
    <row r="287" spans="1:6" x14ac:dyDescent="0.35">
      <c r="A287" s="10">
        <f>'18'!A16</f>
        <v>18</v>
      </c>
      <c r="B287" s="10">
        <f>'18'!B16</f>
        <v>15</v>
      </c>
      <c r="C287" s="10" t="str">
        <f>'18'!D16</f>
        <v>Lack of funding/support in the public and private sector for novel NBS approaches</v>
      </c>
      <c r="D287" s="10" t="str">
        <f>'18'!E16</f>
        <v>A</v>
      </c>
      <c r="E287" s="10">
        <f>'18'!F16</f>
        <v>1</v>
      </c>
      <c r="F287" s="10">
        <f>'18'!G16</f>
        <v>6</v>
      </c>
    </row>
    <row r="288" spans="1:6" x14ac:dyDescent="0.35">
      <c r="A288" s="10">
        <f>'18'!A17</f>
        <v>18</v>
      </c>
      <c r="B288" s="10">
        <f>'18'!B17</f>
        <v>16</v>
      </c>
      <c r="C288" s="10" t="str">
        <f>'18'!D17</f>
        <v>uncertainty in business ecosystem service related revenue resulting from climate change and declining natural resources</v>
      </c>
      <c r="D288" s="10" t="str">
        <f>'18'!E17</f>
        <v>A</v>
      </c>
      <c r="E288" s="10">
        <f>'18'!F17</f>
        <v>1</v>
      </c>
      <c r="F288" s="10">
        <f>'18'!G17</f>
        <v>8</v>
      </c>
    </row>
    <row r="289" spans="1:6" x14ac:dyDescent="0.35">
      <c r="A289" s="10">
        <f>'18'!A18</f>
        <v>18</v>
      </c>
      <c r="B289" s="10">
        <f>'18'!B18</f>
        <v>17</v>
      </c>
      <c r="C289" s="10" t="str">
        <f>'18'!D18</f>
        <v>Reputational value</v>
      </c>
      <c r="D289" s="10" t="str">
        <f>'18'!E18</f>
        <v>A</v>
      </c>
      <c r="E289" s="10">
        <f>'18'!F18</f>
        <v>1</v>
      </c>
      <c r="F289" s="10">
        <f>'18'!G18</f>
        <v>9</v>
      </c>
    </row>
    <row r="290" spans="1:6" x14ac:dyDescent="0.35">
      <c r="A290" s="10">
        <f>'18'!A19</f>
        <v>18</v>
      </c>
      <c r="B290" s="10">
        <f>'18'!B19</f>
        <v>18</v>
      </c>
      <c r="C290" s="10" t="str">
        <f>'18'!D19</f>
        <v>public funding as a source of revenu for eneterprises - enabler and risky</v>
      </c>
      <c r="D290" s="10" t="str">
        <f>'18'!E19</f>
        <v>A</v>
      </c>
      <c r="E290" s="10">
        <f>'18'!F19</f>
        <v>1</v>
      </c>
      <c r="F290" s="10">
        <f>'18'!G19</f>
        <v>10</v>
      </c>
    </row>
    <row r="291" spans="1:6" x14ac:dyDescent="0.35">
      <c r="A291" s="10">
        <f>'18'!A20</f>
        <v>18</v>
      </c>
      <c r="B291" s="10">
        <f>'18'!B20</f>
        <v>19</v>
      </c>
      <c r="C291" s="10" t="str">
        <f>'18'!D20</f>
        <v>Industry networks for market development (enabler)</v>
      </c>
      <c r="D291" s="10" t="str">
        <f>'18'!E20</f>
        <v>A</v>
      </c>
      <c r="E291" s="10">
        <f>'18'!F20</f>
        <v>1</v>
      </c>
      <c r="F291" s="10">
        <f>'18'!G20</f>
        <v>11</v>
      </c>
    </row>
    <row r="292" spans="1:6" x14ac:dyDescent="0.35">
      <c r="A292" s="10">
        <f>'18'!A21</f>
        <v>18</v>
      </c>
      <c r="B292" s="10">
        <f>'18'!B21</f>
        <v>20</v>
      </c>
      <c r="C292" s="10" t="str">
        <f>'18'!D21</f>
        <v>Social enterprise networks identified as  helpful</v>
      </c>
      <c r="D292" s="10" t="str">
        <f>'18'!E21</f>
        <v>A</v>
      </c>
      <c r="E292" s="10">
        <f>'18'!F21</f>
        <v>1</v>
      </c>
      <c r="F292" s="10">
        <f>'18'!G21</f>
        <v>11</v>
      </c>
    </row>
    <row r="293" spans="1:6" x14ac:dyDescent="0.35">
      <c r="A293" s="10">
        <f>'18'!A22</f>
        <v>18</v>
      </c>
      <c r="B293" s="10">
        <f>'18'!B22</f>
        <v>21</v>
      </c>
      <c r="C293" s="10" t="str">
        <f>'18'!D22</f>
        <v>lack of private  sector investment due to  lack of credible performance data in comparison with ‘grey alternatives leading to high risk profiles</v>
      </c>
      <c r="D293" s="10" t="str">
        <f>'18'!E22</f>
        <v>A</v>
      </c>
      <c r="E293" s="10">
        <f>'18'!F22</f>
        <v>2</v>
      </c>
      <c r="F293" s="10">
        <f>'18'!G22</f>
        <v>5</v>
      </c>
    </row>
    <row r="294" spans="1:6" x14ac:dyDescent="0.35">
      <c r="A294" s="10">
        <f>'18'!A23</f>
        <v>18</v>
      </c>
      <c r="B294" s="10">
        <f>'18'!B23</f>
        <v>22</v>
      </c>
      <c r="C294" s="10" t="str">
        <f>'18'!D23</f>
        <v>Inadequate financing resulting from over reliance on public sector funding</v>
      </c>
      <c r="D294" s="10" t="str">
        <f>'18'!E23</f>
        <v>A</v>
      </c>
      <c r="E294" s="10">
        <f>'18'!F23</f>
        <v>2</v>
      </c>
      <c r="F294" s="10">
        <f>'18'!G23</f>
        <v>4</v>
      </c>
    </row>
    <row r="295" spans="1:6" x14ac:dyDescent="0.35">
      <c r="A295" s="10">
        <f>'18'!A24</f>
        <v>18</v>
      </c>
      <c r="B295" s="10">
        <f>'18'!B24</f>
        <v>23</v>
      </c>
      <c r="C295" s="10" t="str">
        <f>'18'!D24</f>
        <v>Inadequate financing resulting from  competing priorities for land use</v>
      </c>
      <c r="D295" s="10" t="str">
        <f>'18'!E24</f>
        <v>F</v>
      </c>
      <c r="E295" s="10">
        <f>'18'!F24</f>
        <v>5</v>
      </c>
      <c r="F295" s="10">
        <f>'18'!G24</f>
        <v>2</v>
      </c>
    </row>
    <row r="296" spans="1:6" x14ac:dyDescent="0.35">
      <c r="A296" s="10">
        <f>'18'!A25</f>
        <v>18</v>
      </c>
      <c r="B296" s="10">
        <f>'18'!B25</f>
        <v>24</v>
      </c>
      <c r="C296" s="10" t="str">
        <f>'18'!D25</f>
        <v xml:space="preserve"> lack of financing of NBS rather than a lack of financing for nature-based enterprises</v>
      </c>
      <c r="D296" s="10" t="str">
        <f>'18'!E25</f>
        <v>A</v>
      </c>
      <c r="E296" s="10">
        <f>'18'!F25</f>
        <v>2</v>
      </c>
      <c r="F296" s="10">
        <f>'18'!G25</f>
        <v>3</v>
      </c>
    </row>
    <row r="297" spans="1:6" x14ac:dyDescent="0.35">
      <c r="A297" s="10">
        <f>'18'!A26</f>
        <v>18</v>
      </c>
      <c r="B297" s="10">
        <f>'18'!B26</f>
        <v>25</v>
      </c>
      <c r="C297" s="10" t="str">
        <f>'18'!D26</f>
        <v>NBEs reported difficulties in financing but primarily due to their small size or a lack of  market awareness</v>
      </c>
      <c r="D297" s="10" t="str">
        <f>'18'!E26</f>
        <v>A</v>
      </c>
      <c r="E297" s="10">
        <f>'18'!F26</f>
        <v>2</v>
      </c>
      <c r="F297" s="10">
        <f>'18'!G26</f>
        <v>2</v>
      </c>
    </row>
    <row r="298" spans="1:6" x14ac:dyDescent="0.35">
      <c r="A298" s="10">
        <f>'18'!A27</f>
        <v>18</v>
      </c>
      <c r="B298" s="10">
        <f>'18'!B27</f>
        <v>26</v>
      </c>
      <c r="C298" s="10" t="str">
        <f>'18'!D27</f>
        <v>NBE wariness of financial institutions - banks simply would not understand their business / getting into debt given the project-by-project nature of their sector</v>
      </c>
      <c r="D298" s="10" t="str">
        <f>'18'!E27</f>
        <v>A</v>
      </c>
      <c r="E298" s="10">
        <f>'18'!F27</f>
        <v>2</v>
      </c>
      <c r="F298" s="10">
        <f>'18'!G27</f>
        <v>2</v>
      </c>
    </row>
    <row r="299" spans="1:6" x14ac:dyDescent="0.35">
      <c r="A299" s="10">
        <f>'18'!A28</f>
        <v>18</v>
      </c>
      <c r="B299" s="10">
        <f>'18'!B28</f>
        <v>27</v>
      </c>
      <c r="C299" s="10" t="str">
        <f>'18'!D28</f>
        <v>NBE preferring to rely on other ‘cheaper’ sources  of financing—such as impact investors or concessional financing</v>
      </c>
      <c r="D299" s="10" t="str">
        <f>'18'!E28</f>
        <v>A</v>
      </c>
      <c r="E299" s="10">
        <f>'18'!F28</f>
        <v>2</v>
      </c>
      <c r="F299" s="10">
        <f>'18'!G28</f>
        <v>2</v>
      </c>
    </row>
    <row r="300" spans="1:6" x14ac:dyDescent="0.35">
      <c r="A300" s="10">
        <f>'18'!A29</f>
        <v>18</v>
      </c>
      <c r="B300" s="10">
        <f>'18'!B29</f>
        <v>28</v>
      </c>
      <c r="C300" s="10" t="str">
        <f>'18'!D29</f>
        <v xml:space="preserve">Due dilligence process - measuring impact is difficult / higher transaction costs </v>
      </c>
      <c r="D300" s="10" t="str">
        <f>'18'!E29</f>
        <v>A</v>
      </c>
      <c r="E300" s="10">
        <f>'18'!F29</f>
        <v>3</v>
      </c>
      <c r="F300" s="10">
        <f>'18'!G29</f>
        <v>3</v>
      </c>
    </row>
    <row r="301" spans="1:6" x14ac:dyDescent="0.35">
      <c r="A301" s="10">
        <f>'18'!A30</f>
        <v>18</v>
      </c>
      <c r="B301" s="10">
        <f>'18'!B30</f>
        <v>29</v>
      </c>
      <c r="C301" s="10" t="str">
        <f>'18'!D30</f>
        <v xml:space="preserve"> cover the long-term costs of maintaining NBS</v>
      </c>
      <c r="D301" s="10" t="str">
        <f>'18'!E30</f>
        <v>A</v>
      </c>
      <c r="E301" s="10">
        <f>'18'!F30</f>
        <v>3</v>
      </c>
      <c r="F301" s="10">
        <f>'18'!G30</f>
        <v>4</v>
      </c>
    </row>
    <row r="302" spans="1:6" x14ac:dyDescent="0.35">
      <c r="A302" s="10">
        <f>'18'!A31</f>
        <v>18</v>
      </c>
      <c r="B302" s="10">
        <f>'18'!B31</f>
        <v>30</v>
      </c>
      <c r="C302" s="10" t="str">
        <f>'18'!D31</f>
        <v>lack  of understanding of the cost structure of an NBS and the need to plan for long-term  maintenance costs</v>
      </c>
      <c r="D302" s="10" t="str">
        <f>'18'!E31</f>
        <v>A</v>
      </c>
      <c r="E302" s="10">
        <f>'18'!F31</f>
        <v>3</v>
      </c>
      <c r="F302" s="10">
        <f>'18'!G31</f>
        <v>4</v>
      </c>
    </row>
    <row r="303" spans="1:6" x14ac:dyDescent="0.35">
      <c r="A303" s="10">
        <f>'18'!A32</f>
        <v>18</v>
      </c>
      <c r="B303" s="10">
        <f>'18'!B32</f>
        <v>31</v>
      </c>
      <c r="C303" s="10" t="str">
        <f>'18'!D32</f>
        <v>Lack of incentives  or conflicting incentives can hamper uptake</v>
      </c>
      <c r="D303" s="10" t="str">
        <f>'18'!E32</f>
        <v>F</v>
      </c>
      <c r="E303" s="10">
        <f>'18'!F32</f>
        <v>1</v>
      </c>
      <c r="F303" s="10">
        <f>'18'!G32</f>
        <v>2</v>
      </c>
    </row>
    <row r="304" spans="1:6" x14ac:dyDescent="0.35">
      <c r="A304" s="10">
        <f>'18'!A33</f>
        <v>18</v>
      </c>
      <c r="B304" s="10">
        <f>'18'!B33</f>
        <v>32</v>
      </c>
      <c r="C304" s="10" t="str">
        <f>'18'!D33</f>
        <v xml:space="preserve">high levels of bureaucracy in public  procurement - difficult for SME's </v>
      </c>
      <c r="D304" s="10" t="str">
        <f>'18'!E33</f>
        <v>F</v>
      </c>
      <c r="E304" s="10">
        <f>'18'!F33</f>
        <v>2</v>
      </c>
      <c r="F304" s="10">
        <f>'18'!G33</f>
        <v>4</v>
      </c>
    </row>
    <row r="305" spans="1:6" x14ac:dyDescent="0.35">
      <c r="A305" s="10">
        <f>'18'!A34</f>
        <v>18</v>
      </c>
      <c r="B305" s="10">
        <f>'18'!B34</f>
        <v>33</v>
      </c>
      <c r="C305" s="10" t="str">
        <f>'18'!D34</f>
        <v>Public procurement policy decisions clearly affect market potential</v>
      </c>
      <c r="D305" s="10" t="str">
        <f>'18'!E34</f>
        <v>F</v>
      </c>
      <c r="E305" s="10">
        <f>'18'!F34</f>
        <v>2</v>
      </c>
      <c r="F305" s="10">
        <f>'18'!G34</f>
        <v>4</v>
      </c>
    </row>
    <row r="306" spans="1:6" x14ac:dyDescent="0.35">
      <c r="A306" s="10">
        <f>'18'!A35</f>
        <v>18</v>
      </c>
      <c r="B306" s="10">
        <f>'18'!B35</f>
        <v>34</v>
      </c>
      <c r="C306" s="10" t="str">
        <f>'18'!D35</f>
        <v xml:space="preserve"> reluctance to bid for public  contracts expressing a preference for private sector contracts due to faster decision making  timeframes and less bureaucracy</v>
      </c>
      <c r="D306" s="10" t="str">
        <f>'18'!E35</f>
        <v>F</v>
      </c>
      <c r="E306" s="10">
        <f>'18'!F35</f>
        <v>2</v>
      </c>
      <c r="F306" s="10">
        <f>'18'!G35</f>
        <v>4</v>
      </c>
    </row>
    <row r="307" spans="1:6" x14ac:dyDescent="0.35">
      <c r="A307" s="10">
        <f>'18'!A36</f>
        <v>18</v>
      </c>
      <c r="B307" s="10">
        <f>'18'!B36</f>
        <v>35</v>
      </c>
      <c r="C307" s="10" t="str">
        <f>'18'!D36</f>
        <v>lack of competition  for public tenders</v>
      </c>
      <c r="D307" s="10" t="str">
        <f>'18'!E36</f>
        <v>F</v>
      </c>
      <c r="E307" s="10">
        <f>'18'!F36</f>
        <v>2</v>
      </c>
      <c r="F307" s="10">
        <f>'18'!G36</f>
        <v>4</v>
      </c>
    </row>
    <row r="308" spans="1:6" x14ac:dyDescent="0.35">
      <c r="A308" s="10">
        <f>'18'!A37</f>
        <v>18</v>
      </c>
      <c r="B308" s="10">
        <f>'18'!B37</f>
        <v>36</v>
      </c>
      <c r="C308" s="10" t="str">
        <f>'18'!D37</f>
        <v>complexity of governance - requires consensusbuilding among multiple stakeholders</v>
      </c>
      <c r="D308" s="10" t="str">
        <f>'18'!E37</f>
        <v>F</v>
      </c>
      <c r="E308" s="10">
        <f>'18'!F37</f>
        <v>3</v>
      </c>
      <c r="F308" s="10">
        <f>'18'!G37</f>
        <v>3</v>
      </c>
    </row>
    <row r="309" spans="1:6" x14ac:dyDescent="0.35">
      <c r="A309" s="10">
        <f>'18'!A38</f>
        <v>18</v>
      </c>
      <c r="B309" s="10">
        <f>'18'!B38</f>
        <v>37</v>
      </c>
      <c r="C309" s="10" t="str">
        <f>'18'!D38</f>
        <v>Co-production of NBS with the local  community and entrepreneurs is seen as critical to achieve equitable distribution</v>
      </c>
      <c r="D309" s="10" t="str">
        <f>'18'!E38</f>
        <v>F</v>
      </c>
      <c r="E309" s="10">
        <f>'18'!F38</f>
        <v>1</v>
      </c>
      <c r="F309" s="10">
        <f>'18'!G38</f>
        <v>2</v>
      </c>
    </row>
    <row r="310" spans="1:6" x14ac:dyDescent="0.35">
      <c r="A310" s="10">
        <f>'18'!A39</f>
        <v>18</v>
      </c>
      <c r="B310" s="10">
        <f>'18'!B39</f>
        <v>38</v>
      </c>
      <c r="C310" s="10" t="str">
        <f>'18'!D39</f>
        <v>lack of skilled suppliers can hamper uptake</v>
      </c>
      <c r="D310" s="10" t="str">
        <f>'18'!E39</f>
        <v>C</v>
      </c>
      <c r="E310" s="10">
        <f>'18'!F39</f>
        <v>3</v>
      </c>
      <c r="F310" s="10">
        <f>'18'!G39</f>
        <v>2</v>
      </c>
    </row>
    <row r="311" spans="1:6" x14ac:dyDescent="0.35">
      <c r="A311" s="10">
        <f>'18'!A40</f>
        <v>18</v>
      </c>
      <c r="B311" s="10">
        <f>'18'!B40</f>
        <v>39</v>
      </c>
      <c r="C311" s="10" t="str">
        <f>'18'!D40</f>
        <v>public procurement procedures are not designed  for nature-based solutions which require considerable pre-delivery services related to  stakeholder engagement and post-delivery services such as monitoring and stewardship</v>
      </c>
      <c r="D311" s="10" t="str">
        <f>'18'!E40</f>
        <v>F</v>
      </c>
      <c r="E311" s="10">
        <f>'18'!F40</f>
        <v>2</v>
      </c>
      <c r="F311" s="10">
        <f>'18'!G40</f>
        <v>4</v>
      </c>
    </row>
    <row r="312" spans="1:6" x14ac:dyDescent="0.35">
      <c r="A312" s="10">
        <f>'18'!A41</f>
        <v>18</v>
      </c>
      <c r="B312" s="10">
        <f>'18'!B41</f>
        <v>40</v>
      </c>
      <c r="C312" s="10" t="str">
        <f>'18'!D41</f>
        <v xml:space="preserve">collaborative governance not alligned with traditional forms of administration </v>
      </c>
      <c r="D312" s="10" t="str">
        <f>'18'!E41</f>
        <v>F</v>
      </c>
      <c r="E312" s="10">
        <f>'18'!F41</f>
        <v>1</v>
      </c>
      <c r="F312" s="10">
        <f>'18'!G41</f>
        <v>2</v>
      </c>
    </row>
    <row r="313" spans="1:6" x14ac:dyDescent="0.35">
      <c r="A313" s="10">
        <f>'18'!A42</f>
        <v>18</v>
      </c>
      <c r="B313" s="10">
        <f>'18'!B42</f>
        <v>41</v>
      </c>
      <c r="C313" s="10" t="str">
        <f>'18'!D42</f>
        <v>NBS planning (financing, business models,  governance) is often considered as an integral part of urban planning taking into account  local needs, optimal locations and scale to ensure optimal and equitable distribution of  benefits</v>
      </c>
      <c r="D313" s="10" t="str">
        <f>'18'!E42</f>
        <v>F</v>
      </c>
      <c r="E313" s="10">
        <f>'18'!F42</f>
        <v>1</v>
      </c>
      <c r="F313" s="10">
        <f>'18'!G42</f>
        <v>2</v>
      </c>
    </row>
    <row r="314" spans="1:6" x14ac:dyDescent="0.35">
      <c r="A314" s="10">
        <f>'18'!A43</f>
        <v>18</v>
      </c>
      <c r="B314" s="10">
        <f>'18'!B43</f>
        <v>42</v>
      </c>
      <c r="C314" s="10" t="str">
        <f>'18'!D43</f>
        <v>knowledge brokers/intermediaries have emerged as enabler</v>
      </c>
      <c r="D314" s="10" t="str">
        <f>'18'!E43</f>
        <v>C</v>
      </c>
      <c r="E314" s="10">
        <f>'18'!F43</f>
        <v>2</v>
      </c>
      <c r="F314" s="10">
        <f>'18'!G43</f>
        <v>3</v>
      </c>
    </row>
    <row r="315" spans="1:6" x14ac:dyDescent="0.35">
      <c r="A315" s="10">
        <f>'18'!A44</f>
        <v>18</v>
      </c>
      <c r="B315" s="10">
        <f>'18'!B44</f>
        <v>43</v>
      </c>
      <c r="C315" s="10" t="str">
        <f>'18'!D44</f>
        <v xml:space="preserve"> Public policy and regulations—on both EU and national  levels—could be an important driver for business by setting the goals and frameworks for  sustainability criteria (e.g. biodiversitydamage compensation ) </v>
      </c>
      <c r="D315" s="10" t="str">
        <f>'18'!E44</f>
        <v>F</v>
      </c>
      <c r="E315" s="10">
        <f>'18'!F44</f>
        <v>2</v>
      </c>
      <c r="F315" s="10">
        <f>'18'!G44</f>
        <v>2</v>
      </c>
    </row>
    <row r="316" spans="1:6" x14ac:dyDescent="0.35">
      <c r="A316" s="10">
        <f>'18'!A45</f>
        <v>18</v>
      </c>
      <c r="B316" s="10">
        <f>'18'!B45</f>
        <v>44</v>
      </c>
      <c r="C316" s="10" t="str">
        <f>'18'!D45</f>
        <v>lack of private sector regulation and inconsistent policies on NBS</v>
      </c>
      <c r="D316" s="10" t="str">
        <f>'18'!E45</f>
        <v>F</v>
      </c>
      <c r="E316" s="10">
        <f>'18'!F45</f>
        <v>2</v>
      </c>
      <c r="F316" s="10">
        <f>'18'!G45</f>
        <v>2</v>
      </c>
    </row>
    <row r="317" spans="1:6" x14ac:dyDescent="0.35">
      <c r="A317" s="10">
        <f>'18'!A46</f>
        <v>18</v>
      </c>
      <c r="B317" s="10">
        <f>'18'!B46</f>
        <v>45</v>
      </c>
      <c r="C317" s="10" t="str">
        <f>'18'!D46</f>
        <v>need for  industry standards to be developed as NBS market grows</v>
      </c>
      <c r="D317" s="10" t="str">
        <f>'18'!E46</f>
        <v>F</v>
      </c>
      <c r="E317" s="10">
        <f>'18'!F46</f>
        <v>2</v>
      </c>
      <c r="F317" s="10">
        <f>'18'!G46</f>
        <v>3</v>
      </c>
    </row>
    <row r="318" spans="1:6" x14ac:dyDescent="0.35">
      <c r="A318" s="10">
        <f>'18'!A47</f>
        <v>18</v>
      </c>
      <c r="B318" s="10">
        <f>'18'!B47</f>
        <v>46</v>
      </c>
      <c r="C318" s="10" t="str">
        <f>'18'!D47</f>
        <v xml:space="preserve">Complex to develop industry standards for NBS </v>
      </c>
      <c r="D318" s="10" t="str">
        <f>'18'!E47</f>
        <v>F</v>
      </c>
      <c r="E318" s="10">
        <f>'18'!F47</f>
        <v>2</v>
      </c>
      <c r="F318" s="10">
        <f>'18'!G47</f>
        <v>3</v>
      </c>
    </row>
    <row r="319" spans="1:6" x14ac:dyDescent="0.35">
      <c r="A319" s="10">
        <f>'18'!A48</f>
        <v>18</v>
      </c>
      <c r="B319" s="10">
        <f>'18'!B48</f>
        <v>47</v>
      </c>
      <c r="C319" s="10" t="str">
        <f>'18'!D48</f>
        <v xml:space="preserve">Need for awareness of industry standards and nbs principles among buyers of NBS </v>
      </c>
      <c r="D319" s="10" t="str">
        <f>'18'!E48</f>
        <v>F</v>
      </c>
      <c r="E319" s="10">
        <f>'18'!F48</f>
        <v>2</v>
      </c>
      <c r="F319" s="10">
        <f>'18'!G48</f>
        <v>3</v>
      </c>
    </row>
    <row r="320" spans="1:6" x14ac:dyDescent="0.35">
      <c r="A320" s="10">
        <f>'18'!A49</f>
        <v>18</v>
      </c>
      <c r="B320" s="10">
        <f>'18'!B49</f>
        <v>48</v>
      </c>
      <c r="C320" s="10" t="str">
        <f>'18'!D49</f>
        <v>public procurement criteria tend to be too narrowly focused on financial criteria and  do not adequately take into account the multiple benefits</v>
      </c>
      <c r="D320" s="10" t="str">
        <f>'18'!E49</f>
        <v>F</v>
      </c>
      <c r="E320" s="10">
        <f>'18'!F49</f>
        <v>2</v>
      </c>
      <c r="F320" s="10">
        <f>'18'!G49</f>
        <v>4</v>
      </c>
    </row>
    <row r="321" spans="1:6" x14ac:dyDescent="0.35">
      <c r="A321" s="10">
        <f>'18'!A50</f>
        <v>18</v>
      </c>
      <c r="B321" s="10">
        <f>'18'!B50</f>
        <v>49</v>
      </c>
      <c r="C321" s="10" t="str">
        <f>'18'!D50</f>
        <v xml:space="preserve"> lack of focus on environmental criteria in  public/private procurement policies</v>
      </c>
      <c r="D321" s="10" t="str">
        <f>'18'!E50</f>
        <v>F</v>
      </c>
      <c r="E321" s="10">
        <f>'18'!F50</f>
        <v>2</v>
      </c>
      <c r="F321" s="10">
        <f>'18'!G50</f>
        <v>4</v>
      </c>
    </row>
    <row r="322" spans="1:6" x14ac:dyDescent="0.35">
      <c r="A322" s="10">
        <f>'18'!A51</f>
        <v>18</v>
      </c>
      <c r="B322" s="10">
        <f>'18'!B51</f>
        <v>50</v>
      </c>
      <c r="C322" s="10" t="str">
        <f>'18'!D51</f>
        <v>conventional indicators of economic success</v>
      </c>
      <c r="D322" s="10" t="str">
        <f>'18'!E51</f>
        <v>F</v>
      </c>
      <c r="E322" s="10">
        <f>'18'!F51</f>
        <v>2</v>
      </c>
      <c r="F322" s="10">
        <f>'18'!G51</f>
        <v>4</v>
      </c>
    </row>
    <row r="323" spans="1:6" x14ac:dyDescent="0.35">
      <c r="A323" s="10">
        <f>'18'!A52</f>
        <v>18</v>
      </c>
      <c r="B323" s="10">
        <f>'18'!B52</f>
        <v>51</v>
      </c>
      <c r="C323" s="10" t="str">
        <f>'18'!D52</f>
        <v>risk aversion  to innovative solutions - reluctance of the public sector to commit to large-scale, longer-term investments</v>
      </c>
      <c r="D323" s="10" t="str">
        <f>'18'!E52</f>
        <v>F</v>
      </c>
      <c r="E323" s="10">
        <f>'18'!F52</f>
        <v>4</v>
      </c>
      <c r="F323" s="10">
        <f>'18'!G52</f>
        <v>2</v>
      </c>
    </row>
    <row r="324" spans="1:6" x14ac:dyDescent="0.35">
      <c r="A324" s="10">
        <f>'18'!A53</f>
        <v>18</v>
      </c>
      <c r="B324" s="10">
        <f>'18'!B53</f>
        <v>52</v>
      </c>
      <c r="C324" s="10" t="str">
        <f>'18'!D53</f>
        <v>scale is  often needed from the outset to achieve impact but public sector tends to roll out smaller pilots and gradually scale up</v>
      </c>
      <c r="D324" s="10" t="str">
        <f>'18'!E53</f>
        <v>F</v>
      </c>
      <c r="E324" s="10">
        <f>'18'!F53</f>
        <v>4</v>
      </c>
      <c r="F324" s="10">
        <f>'18'!G53</f>
        <v>2</v>
      </c>
    </row>
    <row r="325" spans="1:6" x14ac:dyDescent="0.35">
      <c r="A325" s="10">
        <f>'18'!A54</f>
        <v>18</v>
      </c>
      <c r="B325" s="10">
        <f>'18'!B54</f>
        <v>53</v>
      </c>
      <c r="C325" s="10" t="str">
        <f>'18'!D54</f>
        <v xml:space="preserve"> lack of alignment on success criteria with business  support structures prioritising economic performance indicators such as revenue or job  creation over environmental or social impact</v>
      </c>
      <c r="D325" s="10" t="str">
        <f>'18'!E54</f>
        <v>A</v>
      </c>
      <c r="E325" s="10">
        <f>'18'!F54</f>
        <v>1</v>
      </c>
      <c r="F325" s="10">
        <f>'18'!G54</f>
        <v>5</v>
      </c>
    </row>
    <row r="326" spans="1:6" x14ac:dyDescent="0.35">
      <c r="A326" s="10">
        <f>'18'!A55</f>
        <v>18</v>
      </c>
      <c r="B326" s="10">
        <f>'18'!B55</f>
        <v>54</v>
      </c>
      <c r="C326" s="10" t="str">
        <f>'18'!D55</f>
        <v>challenging markets for new products and services</v>
      </c>
      <c r="D326" s="10" t="str">
        <f>'18'!E55</f>
        <v>A</v>
      </c>
      <c r="E326" s="10">
        <f>'18'!F55</f>
        <v>1</v>
      </c>
      <c r="F326" s="10">
        <f>'18'!G55</f>
        <v>11</v>
      </c>
    </row>
    <row r="327" spans="1:6" x14ac:dyDescent="0.35">
      <c r="A327" s="10">
        <f>'18'!A56</f>
        <v>18</v>
      </c>
      <c r="B327" s="10">
        <f>'18'!B56</f>
        <v>55</v>
      </c>
      <c r="C327" s="10" t="str">
        <f>'18'!D56</f>
        <v xml:space="preserve">Investor confidence - lack off evidence base / no track record </v>
      </c>
      <c r="D327" s="10" t="str">
        <f>'18'!E56</f>
        <v>A</v>
      </c>
      <c r="E327" s="10">
        <f>'18'!F56</f>
        <v>2</v>
      </c>
      <c r="F327" s="10">
        <f>'18'!G56</f>
        <v>5</v>
      </c>
    </row>
    <row r="328" spans="1:6" x14ac:dyDescent="0.35">
      <c r="A328" s="10">
        <f>'18'!A57</f>
        <v>18</v>
      </c>
      <c r="B328" s="10">
        <f>'18'!B57</f>
        <v>56</v>
      </c>
      <c r="C328" s="10" t="str">
        <f>'18'!D57</f>
        <v xml:space="preserve">support from society/local communities = essential for new enetrepreneurs </v>
      </c>
      <c r="D328" s="10" t="str">
        <f>'18'!E57</f>
        <v>A</v>
      </c>
      <c r="E328" s="10">
        <f>'18'!F57</f>
        <v>1</v>
      </c>
      <c r="F328" s="10">
        <f>'18'!G57</f>
        <v>11</v>
      </c>
    </row>
    <row r="329" spans="1:6" x14ac:dyDescent="0.35">
      <c r="A329" s="10">
        <f>'18'!A58</f>
        <v>18</v>
      </c>
      <c r="B329" s="10">
        <f>'18'!B58</f>
        <v>57</v>
      </c>
      <c r="C329" s="10" t="str">
        <f>'18'!D58</f>
        <v xml:space="preserve">Presence of infrastructure (Enabling condition for business/enterprises) </v>
      </c>
      <c r="D329" s="10" t="str">
        <f>'18'!E58</f>
        <v>A</v>
      </c>
      <c r="E329" s="10">
        <f>'18'!F58</f>
        <v>1</v>
      </c>
      <c r="F329" s="10">
        <f>'18'!G58</f>
        <v>11</v>
      </c>
    </row>
    <row r="330" spans="1:6" x14ac:dyDescent="0.35">
      <c r="A330" s="10">
        <f>'18'!A59</f>
        <v>18</v>
      </c>
      <c r="B330" s="10">
        <f>'18'!B59</f>
        <v>58</v>
      </c>
      <c r="C330" s="10" t="str">
        <f>'18'!D59</f>
        <v xml:space="preserve">measuring impact and valuation  of outcomes for business/enterprise </v>
      </c>
      <c r="D330" s="10" t="str">
        <f>'18'!E59</f>
        <v>A</v>
      </c>
      <c r="E330" s="10">
        <f>'18'!F59</f>
        <v>1</v>
      </c>
      <c r="F330" s="10">
        <f>'18'!G59</f>
        <v>8</v>
      </c>
    </row>
    <row r="331" spans="1:6" x14ac:dyDescent="0.35">
      <c r="A331" s="10">
        <f>'18'!A60</f>
        <v>18</v>
      </c>
      <c r="B331" s="10">
        <f>'18'!B60</f>
        <v>59</v>
      </c>
      <c r="C331" s="10" t="str">
        <f>'18'!D60</f>
        <v>policy commitments not always resulting into action and investment due to lack of urgency, competition, silos</v>
      </c>
      <c r="D331" s="10" t="str">
        <f>'18'!E60</f>
        <v>F</v>
      </c>
      <c r="E331" s="10">
        <f>'18'!F60</f>
        <v>2</v>
      </c>
      <c r="F331" s="10">
        <f>'18'!G60</f>
        <v>2</v>
      </c>
    </row>
    <row r="332" spans="1:6" x14ac:dyDescent="0.35">
      <c r="A332" s="10">
        <f>'18'!A61</f>
        <v>18</v>
      </c>
      <c r="B332" s="10">
        <f>'18'!B61</f>
        <v>60</v>
      </c>
      <c r="C332" s="10" t="str">
        <f>'18'!D61</f>
        <v>difficult to use public procurement to implement nbs projects</v>
      </c>
      <c r="D332" s="10" t="str">
        <f>'18'!E61</f>
        <v>F</v>
      </c>
      <c r="E332" s="10">
        <f>'18'!F61</f>
        <v>2</v>
      </c>
      <c r="F332" s="10">
        <f>'18'!G61</f>
        <v>4</v>
      </c>
    </row>
    <row r="333" spans="1:6" x14ac:dyDescent="0.35">
      <c r="A333" s="10">
        <f>'18'!A62</f>
        <v>18</v>
      </c>
      <c r="B333" s="10">
        <f>'18'!B62</f>
        <v>61</v>
      </c>
      <c r="C333" s="10" t="str">
        <f>'18'!D62</f>
        <v xml:space="preserve">lack of specific regulation for a particular sector or fragmented/inconsistent regulation for  NBS </v>
      </c>
      <c r="D333" s="10" t="str">
        <f>'18'!E62</f>
        <v>F</v>
      </c>
      <c r="E333" s="10">
        <f>'18'!F62</f>
        <v>2</v>
      </c>
      <c r="F333" s="10">
        <f>'18'!G62</f>
        <v>3</v>
      </c>
    </row>
    <row r="334" spans="1:6" x14ac:dyDescent="0.35">
      <c r="A334" s="10">
        <f>'18'!A63</f>
        <v>18</v>
      </c>
      <c r="B334" s="10">
        <f>'18'!B63</f>
        <v>62</v>
      </c>
      <c r="C334" s="10" t="str">
        <f>'18'!D63</f>
        <v>NBE's report increase in enquiries  from corporates in nbs but level  of awareness seems quite superficial and low conversion rate from enquiries  to sales.</v>
      </c>
      <c r="D334" s="10" t="str">
        <f>'18'!E63</f>
        <v>A</v>
      </c>
      <c r="E334" s="10">
        <f>'18'!F63</f>
        <v>1</v>
      </c>
      <c r="F334" s="10">
        <f>'18'!G63</f>
        <v>7</v>
      </c>
    </row>
    <row r="335" spans="1:6" x14ac:dyDescent="0.35">
      <c r="A335" s="10">
        <f>'18'!A64</f>
        <v>18</v>
      </c>
      <c r="B335" s="10">
        <f>'18'!B64</f>
        <v>63</v>
      </c>
      <c r="C335" s="10" t="str">
        <f>'18'!D64</f>
        <v xml:space="preserve"> Levels of environmental awareness among the general public were more often identified as an enabler than a barrier by NBEs</v>
      </c>
      <c r="D335" s="10" t="str">
        <f>'18'!E64</f>
        <v>A</v>
      </c>
      <c r="E335" s="10">
        <f>'18'!F64</f>
        <v>1</v>
      </c>
      <c r="F335" s="10">
        <f>'18'!G64</f>
        <v>11</v>
      </c>
    </row>
    <row r="336" spans="1:6" x14ac:dyDescent="0.35">
      <c r="A336" s="10">
        <f>'18'!A65</f>
        <v>18</v>
      </c>
      <c r="B336" s="10">
        <f>'18'!B65</f>
        <v>64</v>
      </c>
      <c r="C336" s="10" t="str">
        <f>'18'!D65</f>
        <v>a lack of formal scientific research measuring the impacts of NBS and therefore a lack  of knowledge about effectiveness of NBS</v>
      </c>
      <c r="D336" s="10" t="str">
        <f>'18'!E65</f>
        <v>C</v>
      </c>
      <c r="E336" s="10">
        <f>'18'!F65</f>
        <v>1</v>
      </c>
      <c r="F336" s="10">
        <f>'18'!G65</f>
        <v>1</v>
      </c>
    </row>
    <row r="337" spans="1:6" x14ac:dyDescent="0.35">
      <c r="A337" s="10">
        <f>'18'!A66</f>
        <v>18</v>
      </c>
      <c r="B337" s="10">
        <f>'18'!B66</f>
        <v>65</v>
      </c>
      <c r="C337" s="10" t="str">
        <f>'18'!D66</f>
        <v>challenging to build a business case for NBS  relying on  anecdotal, informal evidence rather than scientific data</v>
      </c>
      <c r="D337" s="10" t="str">
        <f>'18'!E66</f>
        <v>C</v>
      </c>
      <c r="E337" s="10">
        <f>'18'!F66</f>
        <v>1</v>
      </c>
      <c r="F337" s="10">
        <f>'18'!G66</f>
        <v>1</v>
      </c>
    </row>
    <row r="338" spans="1:6" x14ac:dyDescent="0.35">
      <c r="A338" s="10">
        <f>'19'!A2</f>
        <v>19</v>
      </c>
      <c r="B338" s="10">
        <f>'19'!B2</f>
        <v>1</v>
      </c>
      <c r="C338" s="10" t="str">
        <f>'19'!D2</f>
        <v>allign with local (ecological) knowledge and cultural values</v>
      </c>
      <c r="D338" s="10" t="str">
        <f>'19'!E2</f>
        <v>C</v>
      </c>
      <c r="E338" s="10">
        <f>'19'!F2</f>
        <v>2</v>
      </c>
      <c r="F338" s="10">
        <f>'19'!G2</f>
        <v>2</v>
      </c>
    </row>
    <row r="339" spans="1:6" x14ac:dyDescent="0.35">
      <c r="A339" s="10">
        <f>'19'!A3</f>
        <v>19</v>
      </c>
      <c r="B339" s="10">
        <f>'19'!B3</f>
        <v>2</v>
      </c>
      <c r="C339" s="10" t="str">
        <f>'19'!D3</f>
        <v>integrating blue carbon into nationally determined contributions (NDC) requires mapping and quantifying location and abundance of BC habitats and amounts</v>
      </c>
      <c r="D339" s="10" t="str">
        <f>'19'!E3</f>
        <v>C</v>
      </c>
      <c r="E339" s="10">
        <f>'19'!F3</f>
        <v>2</v>
      </c>
      <c r="F339" s="10">
        <f>'19'!G3</f>
        <v>2</v>
      </c>
    </row>
    <row r="340" spans="1:6" x14ac:dyDescent="0.35">
      <c r="A340" s="10">
        <f>'19'!A4</f>
        <v>19</v>
      </c>
      <c r="B340" s="10">
        <f>'19'!B4</f>
        <v>3</v>
      </c>
      <c r="C340" s="10" t="str">
        <f>'19'!D4</f>
        <v>allignment of blue carbon ecosystem management with local knowledge and values</v>
      </c>
      <c r="D340" s="10" t="str">
        <f>'19'!E4</f>
        <v>C</v>
      </c>
      <c r="E340" s="10">
        <f>'19'!F4</f>
        <v>2</v>
      </c>
      <c r="F340" s="10">
        <f>'19'!G4</f>
        <v>2</v>
      </c>
    </row>
    <row r="341" spans="1:6" x14ac:dyDescent="0.35">
      <c r="A341" s="10">
        <f>'19'!A5</f>
        <v>19</v>
      </c>
      <c r="B341" s="10">
        <f>'19'!B5</f>
        <v>4</v>
      </c>
      <c r="C341" s="10" t="str">
        <f>'19'!D5</f>
        <v xml:space="preserve">lack of understanding by policymakers of how socio-ecological  resilience can be integrated into current environmental  governance frameworks leads to underutilization of existing environmental laws </v>
      </c>
      <c r="D341" s="10" t="str">
        <f>'19'!E5</f>
        <v>C</v>
      </c>
      <c r="E341" s="10">
        <f>'19'!F5</f>
        <v>3</v>
      </c>
      <c r="F341" s="10">
        <f>'19'!G5</f>
        <v>2</v>
      </c>
    </row>
    <row r="342" spans="1:6" x14ac:dyDescent="0.35">
      <c r="A342" s="10">
        <f>'19'!A6</f>
        <v>19</v>
      </c>
      <c r="B342" s="10">
        <f>'19'!B6</f>
        <v>5</v>
      </c>
      <c r="C342" s="10" t="str">
        <f>'19'!D6</f>
        <v>mobilize finance(private &amp; public) in allignment with preserving national sovereignity/social and cultural values in market valuations, and not increasing debt burdens</v>
      </c>
      <c r="D342" s="10" t="str">
        <f>'19'!E6</f>
        <v>A</v>
      </c>
      <c r="E342" s="10">
        <f>'19'!F6</f>
        <v>4</v>
      </c>
      <c r="F342" s="10">
        <f>'19'!G6</f>
        <v>3</v>
      </c>
    </row>
    <row r="343" spans="1:6" x14ac:dyDescent="0.35">
      <c r="A343" s="10">
        <f>'19'!A7</f>
        <v>19</v>
      </c>
      <c r="B343" s="10">
        <f>'19'!B7</f>
        <v>6</v>
      </c>
      <c r="C343" s="10" t="str">
        <f>'19'!D7</f>
        <v>public finance form developed to developing countries has fallen short of what is needed/promissed</v>
      </c>
      <c r="D343" s="10" t="str">
        <f>'19'!E7</f>
        <v>A</v>
      </c>
      <c r="E343" s="10">
        <f>'19'!F7</f>
        <v>4</v>
      </c>
      <c r="F343" s="10">
        <f>'19'!G7</f>
        <v>1</v>
      </c>
    </row>
    <row r="344" spans="1:6" x14ac:dyDescent="0.35">
      <c r="A344" s="10">
        <f>'19'!A8</f>
        <v>19</v>
      </c>
      <c r="B344" s="10">
        <f>'19'!B8</f>
        <v>7</v>
      </c>
      <c r="C344" s="10" t="str">
        <f>'19'!D8</f>
        <v>type or souce of financing not specified in paris agreement</v>
      </c>
      <c r="D344" s="10" t="str">
        <f>'19'!E8</f>
        <v>A</v>
      </c>
      <c r="E344" s="10">
        <f>'19'!F8</f>
        <v>4</v>
      </c>
      <c r="F344" s="10">
        <f>'19'!G8</f>
        <v>2</v>
      </c>
    </row>
    <row r="345" spans="1:6" x14ac:dyDescent="0.35">
      <c r="A345" s="10">
        <f>'19'!A9</f>
        <v>19</v>
      </c>
      <c r="B345" s="10">
        <f>'19'!B9</f>
        <v>8</v>
      </c>
      <c r="C345" s="10" t="str">
        <f>'19'!D9</f>
        <v>no agreed methodology for tracking climate finance - makes it difficult to hold developed countries accountable to meet their obligations</v>
      </c>
      <c r="D345" s="10" t="str">
        <f>'19'!E9</f>
        <v>A</v>
      </c>
      <c r="E345" s="10">
        <f>'19'!F9</f>
        <v>4</v>
      </c>
      <c r="F345" s="10">
        <f>'19'!G9</f>
        <v>2</v>
      </c>
    </row>
    <row r="346" spans="1:6" x14ac:dyDescent="0.35">
      <c r="A346" s="10">
        <f>'19'!A10</f>
        <v>19</v>
      </c>
      <c r="B346" s="10">
        <f>'19'!B10</f>
        <v>9</v>
      </c>
      <c r="C346" s="10" t="str">
        <f>'19'!D10</f>
        <v>allignement of specific strategies (eg. Blue carbon) with laws, policies, community needs and co-governance structures</v>
      </c>
      <c r="D346" s="10" t="str">
        <f>'19'!E10</f>
        <v>F</v>
      </c>
      <c r="E346" s="10">
        <f>'19'!F10</f>
        <v>3</v>
      </c>
      <c r="F346" s="10">
        <f>'19'!G10</f>
        <v>3</v>
      </c>
    </row>
    <row r="347" spans="1:6" x14ac:dyDescent="0.35">
      <c r="A347" s="10">
        <f>'19'!A11</f>
        <v>19</v>
      </c>
      <c r="B347" s="10">
        <f>'19'!B11</f>
        <v>10</v>
      </c>
      <c r="C347" s="10" t="str">
        <f>'19'!D11</f>
        <v>Existing law and policy boundaries can be  synthesized toward identifying areas that provide flexibility for  the inclusion of blue carbon science into policy</v>
      </c>
      <c r="D347" s="10" t="str">
        <f>'19'!E11</f>
        <v>F</v>
      </c>
      <c r="E347" s="10">
        <f>'19'!F11</f>
        <v>2</v>
      </c>
      <c r="F347" s="10">
        <f>'19'!G11</f>
        <v>2</v>
      </c>
    </row>
    <row r="348" spans="1:6" x14ac:dyDescent="0.35">
      <c r="A348" s="10">
        <f>'19'!A12</f>
        <v>19</v>
      </c>
      <c r="B348" s="10">
        <f>'19'!B12</f>
        <v>11</v>
      </c>
      <c r="C348" s="10" t="str">
        <f>'19'!D12</f>
        <v xml:space="preserve"> laws and policies could center further on the  rights of the communities disproportionately more vulnerable to  major disturbances</v>
      </c>
      <c r="D348" s="10" t="str">
        <f>'19'!E12</f>
        <v>F</v>
      </c>
      <c r="E348" s="10">
        <f>'19'!F12</f>
        <v>2</v>
      </c>
      <c r="F348" s="10">
        <f>'19'!G12</f>
        <v>2</v>
      </c>
    </row>
    <row r="349" spans="1:6" x14ac:dyDescent="0.35">
      <c r="A349" s="10">
        <f>'19'!A13</f>
        <v>19</v>
      </c>
      <c r="B349" s="10">
        <f>'19'!B13</f>
        <v>12</v>
      </c>
      <c r="C349" s="10" t="str">
        <f>'19'!D13</f>
        <v xml:space="preserve">laws and policies for the uptake of blue carbon require further allignment with community-defined needs. </v>
      </c>
      <c r="D349" s="10" t="str">
        <f>'19'!E13</f>
        <v>F</v>
      </c>
      <c r="E349" s="10">
        <f>'19'!F13</f>
        <v>2</v>
      </c>
      <c r="F349" s="10">
        <f>'19'!G13</f>
        <v>2</v>
      </c>
    </row>
    <row r="350" spans="1:6" x14ac:dyDescent="0.35">
      <c r="A350" s="10">
        <f>'19'!A14</f>
        <v>19</v>
      </c>
      <c r="B350" s="10">
        <f>'19'!B14</f>
        <v>13</v>
      </c>
      <c r="C350" s="10" t="str">
        <f>'19'!D14</f>
        <v>public  and private sector climate-just financing should acknowledge  the legacy of colonialism</v>
      </c>
      <c r="D350" s="10" t="str">
        <f>'19'!E14</f>
        <v>A</v>
      </c>
      <c r="E350" s="10">
        <f>'19'!F14</f>
        <v>4</v>
      </c>
      <c r="F350" s="10">
        <f>'19'!G14</f>
        <v>3</v>
      </c>
    </row>
    <row r="351" spans="1:6" x14ac:dyDescent="0.35">
      <c r="A351" s="10">
        <f>'19'!A15</f>
        <v>19</v>
      </c>
      <c r="B351" s="10">
        <f>'19'!B15</f>
        <v>14</v>
      </c>
      <c r="C351" s="10" t="str">
        <f>'19'!D15</f>
        <v>price of carbon too low (climate finance context) leaving funding gap for ecosystgem conservation</v>
      </c>
      <c r="D351" s="10" t="str">
        <f>'19'!E15</f>
        <v>A</v>
      </c>
      <c r="E351" s="10">
        <f>'19'!F15</f>
        <v>4</v>
      </c>
      <c r="F351" s="10">
        <f>'19'!G15</f>
        <v>3</v>
      </c>
    </row>
    <row r="352" spans="1:6" x14ac:dyDescent="0.35">
      <c r="A352" s="10">
        <f>'19'!A16</f>
        <v>19</v>
      </c>
      <c r="B352" s="10">
        <f>'19'!B16</f>
        <v>15</v>
      </c>
      <c r="C352" s="10" t="str">
        <f>'19'!D16</f>
        <v xml:space="preserve">resistance to commodification and sale of ESS </v>
      </c>
      <c r="D352" s="10" t="str">
        <f>'19'!E16</f>
        <v>A</v>
      </c>
      <c r="E352" s="10">
        <f>'19'!F16</f>
        <v>4</v>
      </c>
      <c r="F352" s="10">
        <f>'19'!G16</f>
        <v>3</v>
      </c>
    </row>
    <row r="353" spans="1:6" x14ac:dyDescent="0.35">
      <c r="A353" s="10">
        <f>'20'!A2</f>
        <v>20</v>
      </c>
      <c r="B353" s="10">
        <f>'20'!B2</f>
        <v>1</v>
      </c>
      <c r="C353" s="10" t="str">
        <f>'20'!D2</f>
        <v>NBS often represent local public goods - benefiting some citizen groups more than others - impacting election success of public actors</v>
      </c>
      <c r="D353" s="10" t="str">
        <f>'20'!E2</f>
        <v>E</v>
      </c>
      <c r="E353" s="10">
        <f>'20'!F2</f>
        <v>0</v>
      </c>
      <c r="F353" s="10">
        <f>'20'!G2</f>
        <v>1</v>
      </c>
    </row>
    <row r="354" spans="1:6" x14ac:dyDescent="0.35">
      <c r="A354" s="10">
        <f>'20'!A3</f>
        <v>20</v>
      </c>
      <c r="B354" s="10">
        <f>'20'!B3</f>
        <v>2</v>
      </c>
      <c r="C354" s="10" t="str">
        <f>'20'!D3</f>
        <v>limited municipal spending autonomy and lack of fiscal transfers to a local level, leading to municipal budget constraints and low NBS public investment level</v>
      </c>
      <c r="D354" s="10" t="str">
        <f>'20'!E3</f>
        <v>A</v>
      </c>
      <c r="E354" s="10">
        <f>'20'!F3</f>
        <v>1</v>
      </c>
      <c r="F354" s="10">
        <f>'20'!G3</f>
        <v>2</v>
      </c>
    </row>
    <row r="355" spans="1:6" x14ac:dyDescent="0.35">
      <c r="A355" s="10">
        <f>'20'!A4</f>
        <v>20</v>
      </c>
      <c r="B355" s="10">
        <f>'20'!B4</f>
        <v>3</v>
      </c>
      <c r="C355" s="10" t="str">
        <f>'20'!D4</f>
        <v xml:space="preserve"> Lack of entry of large, traditional players may slow the scaling up</v>
      </c>
      <c r="D355" s="10" t="str">
        <f>'20'!E4</f>
        <v>A</v>
      </c>
      <c r="E355" s="10">
        <f>'20'!F4</f>
        <v>2</v>
      </c>
      <c r="F355" s="10">
        <f>'20'!G4</f>
        <v>1</v>
      </c>
    </row>
    <row r="356" spans="1:6" x14ac:dyDescent="0.35">
      <c r="A356" s="10">
        <f>'20'!A5</f>
        <v>20</v>
      </c>
      <c r="B356" s="10">
        <f>'20'!B5</f>
        <v>4</v>
      </c>
      <c r="C356" s="10" t="str">
        <f>'20'!D5</f>
        <v xml:space="preserve"> multiple benefits that are generated by NBS make it difficult to finance, as all need to be considered to show the ‘superiority’ of the NBS as an intervention as opposed to other (grey) infrastructure investments</v>
      </c>
      <c r="D356" s="10" t="str">
        <f>'20'!E5</f>
        <v>A</v>
      </c>
      <c r="E356" s="10">
        <f>'20'!F5</f>
        <v>2</v>
      </c>
      <c r="F356" s="10">
        <f>'20'!G5</f>
        <v>4</v>
      </c>
    </row>
    <row r="357" spans="1:6" x14ac:dyDescent="0.35">
      <c r="A357" s="10">
        <f>'20'!A6</f>
        <v>20</v>
      </c>
      <c r="B357" s="10">
        <f>'20'!B6</f>
        <v>5</v>
      </c>
      <c r="C357" s="10" t="str">
        <f>'20'!D6</f>
        <v>urban regeneration projects are often perceived by private investors as high risk due to a lack of information about the underlying value of assets</v>
      </c>
      <c r="D357" s="10" t="str">
        <f>'20'!E6</f>
        <v>A</v>
      </c>
      <c r="E357" s="10">
        <f>'20'!F6</f>
        <v>2</v>
      </c>
      <c r="F357" s="10">
        <f>'20'!G6</f>
        <v>4</v>
      </c>
    </row>
    <row r="358" spans="1:6" x14ac:dyDescent="0.35">
      <c r="A358" s="10">
        <f>'20'!A7</f>
        <v>20</v>
      </c>
      <c r="B358" s="10">
        <f>'20'!B7</f>
        <v>6</v>
      </c>
      <c r="C358" s="10" t="str">
        <f>'20'!D7</f>
        <v xml:space="preserve">profit making acticvities prioritized (by government and private porject developers) favouring real estate devlopment over infrastructure </v>
      </c>
      <c r="D358" s="10" t="str">
        <f>'20'!E7</f>
        <v>F</v>
      </c>
      <c r="E358" s="10">
        <f>'20'!F7</f>
        <v>5</v>
      </c>
      <c r="F358" s="10">
        <f>'20'!G7</f>
        <v>1</v>
      </c>
    </row>
    <row r="359" spans="1:6" x14ac:dyDescent="0.35">
      <c r="A359" s="10">
        <f>'20'!A8</f>
        <v>20</v>
      </c>
      <c r="B359" s="10">
        <f>'20'!B8</f>
        <v>7</v>
      </c>
      <c r="C359" s="10" t="str">
        <f>'20'!D8</f>
        <v xml:space="preserve"> departments within a local governments often have a singular societal objective, which by itself ren- ders NBS an unattractive investment option</v>
      </c>
      <c r="D359" s="10" t="str">
        <f>'20'!E8</f>
        <v>F</v>
      </c>
      <c r="E359" s="10">
        <f>'20'!F8</f>
        <v>1</v>
      </c>
      <c r="F359" s="10">
        <f>'20'!G8</f>
        <v>1</v>
      </c>
    </row>
    <row r="360" spans="1:6" x14ac:dyDescent="0.35">
      <c r="A360" s="10">
        <f>'20'!A9</f>
        <v>20</v>
      </c>
      <c r="B360" s="10">
        <f>'20'!B9</f>
        <v>8</v>
      </c>
      <c r="C360" s="10" t="str">
        <f>'20'!D9</f>
        <v>private bodies have a higher incentive to provide standard solutions at reliable profits than to present innovative solutions.</v>
      </c>
      <c r="D360" s="10" t="str">
        <f>'20'!E9</f>
        <v>A</v>
      </c>
      <c r="E360" s="10">
        <f>'20'!F9</f>
        <v>1</v>
      </c>
      <c r="F360" s="10">
        <f>'20'!G9</f>
        <v>6</v>
      </c>
    </row>
    <row r="361" spans="1:6" x14ac:dyDescent="0.35">
      <c r="A361" s="10">
        <f>'20'!A10</f>
        <v>20</v>
      </c>
      <c r="B361" s="10">
        <f>'20'!B10</f>
        <v>9</v>
      </c>
      <c r="C361" s="10" t="str">
        <f>'20'!D10</f>
        <v>private actor involvement tends to be motivated by effeciency - faster and better delivery of such public services</v>
      </c>
      <c r="D361" s="10" t="str">
        <f>'20'!E10</f>
        <v>A</v>
      </c>
      <c r="E361" s="10">
        <f>'20'!F10</f>
        <v>1</v>
      </c>
      <c r="F361" s="10">
        <f>'20'!G10</f>
        <v>6</v>
      </c>
    </row>
    <row r="362" spans="1:6" x14ac:dyDescent="0.35">
      <c r="A362" s="10">
        <f>'20'!A11</f>
        <v>20</v>
      </c>
      <c r="B362" s="10">
        <f>'20'!B11</f>
        <v>10</v>
      </c>
      <c r="C362" s="10" t="str">
        <f>'20'!D11</f>
        <v>private actor involvement can allow for different mechanisms - levying user charges would create better incentives between providers and consumers</v>
      </c>
      <c r="D362" s="10" t="str">
        <f>'20'!E11</f>
        <v>F</v>
      </c>
      <c r="E362" s="10">
        <f>'20'!F11</f>
        <v>3</v>
      </c>
      <c r="F362" s="10">
        <f>'20'!G11</f>
        <v>3</v>
      </c>
    </row>
    <row r="363" spans="1:6" x14ac:dyDescent="0.35">
      <c r="A363" s="10">
        <f>'20'!A12</f>
        <v>20</v>
      </c>
      <c r="B363" s="10">
        <f>'20'!B12</f>
        <v>11</v>
      </c>
      <c r="C363" s="10" t="str">
        <f>'20'!D12</f>
        <v>private actor involvement allows for better risk sharing of long-term, illiquid infrastructure investments</v>
      </c>
      <c r="D363" s="10" t="str">
        <f>'20'!E12</f>
        <v>F</v>
      </c>
      <c r="E363" s="10">
        <f>'20'!F12</f>
        <v>3</v>
      </c>
      <c r="F363" s="10">
        <f>'20'!G12</f>
        <v>3</v>
      </c>
    </row>
    <row r="364" spans="1:6" x14ac:dyDescent="0.35">
      <c r="A364" s="10">
        <f>'20'!A13</f>
        <v>20</v>
      </c>
      <c r="B364" s="10">
        <f>'20'!B13</f>
        <v>12</v>
      </c>
      <c r="C364" s="10" t="str">
        <f>'20'!D13</f>
        <v>privatization of public infrastructure could lead to higher costs for citizens</v>
      </c>
      <c r="D364" s="10" t="str">
        <f>'20'!E13</f>
        <v>A</v>
      </c>
      <c r="E364" s="10">
        <f>'20'!F13</f>
        <v>1</v>
      </c>
      <c r="F364" s="10">
        <f>'20'!G13</f>
        <v>10</v>
      </c>
    </row>
    <row r="365" spans="1:6" x14ac:dyDescent="0.35">
      <c r="A365" s="10">
        <f>'20'!A14</f>
        <v>20</v>
      </c>
      <c r="B365" s="10">
        <f>'20'!B14</f>
        <v>13</v>
      </c>
      <c r="C365" s="10" t="str">
        <f>'20'!D14</f>
        <v xml:space="preserve"> dominant valuation and accounting methodologies inable to value and account for benefits created by NBS interventions</v>
      </c>
      <c r="D365" s="10" t="str">
        <f>'20'!E14</f>
        <v>F</v>
      </c>
      <c r="E365" s="10">
        <f>'20'!F14</f>
        <v>2</v>
      </c>
      <c r="F365" s="10">
        <f>'20'!G14</f>
        <v>1</v>
      </c>
    </row>
    <row r="366" spans="1:6" x14ac:dyDescent="0.35">
      <c r="A366" s="10">
        <f>'20'!A15</f>
        <v>20</v>
      </c>
      <c r="B366" s="10">
        <f>'20'!B15</f>
        <v>14</v>
      </c>
      <c r="C366" s="10" t="str">
        <f>'20'!D15</f>
        <v xml:space="preserve"> discounting of future values implies that the long-term benefit is often not weighted strongly in current financing decisions, which leads to economic, sus- tainability and ethical considerations</v>
      </c>
      <c r="D366" s="10" t="str">
        <f>'20'!E15</f>
        <v>F</v>
      </c>
      <c r="E366" s="10">
        <f>'20'!F15</f>
        <v>2</v>
      </c>
      <c r="F366" s="10">
        <f>'20'!G15</f>
        <v>1</v>
      </c>
    </row>
    <row r="367" spans="1:6" x14ac:dyDescent="0.35">
      <c r="A367" s="10">
        <f>'20'!A16</f>
        <v>20</v>
      </c>
      <c r="B367" s="10">
        <f>'20'!B16</f>
        <v>15</v>
      </c>
      <c r="C367" s="10" t="str">
        <f>'20'!D16</f>
        <v xml:space="preserve"> ‘new public management’, where the government takes a step back to outsource to, or partner with, private entities - expectation of more efficient and innovative delivery modes of public services</v>
      </c>
      <c r="D367" s="10" t="str">
        <f>'20'!E16</f>
        <v>F</v>
      </c>
      <c r="E367" s="10">
        <f>'20'!F16</f>
        <v>3</v>
      </c>
      <c r="F367" s="10">
        <f>'20'!G16</f>
        <v>3</v>
      </c>
    </row>
    <row r="368" spans="1:6" x14ac:dyDescent="0.35">
      <c r="A368" s="10">
        <f>'20'!A17</f>
        <v>20</v>
      </c>
      <c r="B368" s="10">
        <f>'20'!B17</f>
        <v>16</v>
      </c>
      <c r="C368" s="10" t="str">
        <f>'20'!D17</f>
        <v>volatile rental markets in regenation areas create insecurity regarding ex- pected profits.</v>
      </c>
      <c r="D368" s="10" t="str">
        <f>'20'!E17</f>
        <v>A</v>
      </c>
      <c r="E368" s="10">
        <f>'20'!F17</f>
        <v>1</v>
      </c>
      <c r="F368" s="10">
        <f>'20'!G17</f>
        <v>11</v>
      </c>
    </row>
    <row r="369" spans="1:6" x14ac:dyDescent="0.35">
      <c r="A369" s="10">
        <f>'20'!A18</f>
        <v>20</v>
      </c>
      <c r="B369" s="10">
        <f>'20'!B18</f>
        <v>17</v>
      </c>
      <c r="C369" s="10" t="str">
        <f>'20'!D18</f>
        <v>difficulty of translating NBS benefits into monetary units leading to underinvestment in and overexploitation of natural resources</v>
      </c>
      <c r="D369" s="10" t="str">
        <f>'20'!E18</f>
        <v>A</v>
      </c>
      <c r="E369" s="10">
        <f>'20'!F18</f>
        <v>1</v>
      </c>
      <c r="F369" s="10">
        <f>'20'!G18</f>
        <v>8</v>
      </c>
    </row>
    <row r="370" spans="1:6" x14ac:dyDescent="0.35">
      <c r="A370" s="10">
        <f>'20'!A19</f>
        <v>20</v>
      </c>
      <c r="B370" s="10">
        <f>'20'!B19</f>
        <v>18</v>
      </c>
      <c r="C370" s="10" t="str">
        <f>'20'!D19</f>
        <v xml:space="preserve">creating better reporting and accounting frameworks may lead to reinforces business as usual </v>
      </c>
      <c r="D370" s="10" t="str">
        <f>'20'!E19</f>
        <v>A</v>
      </c>
      <c r="E370" s="10">
        <f>'20'!F19</f>
        <v>1</v>
      </c>
      <c r="F370" s="10">
        <f>'20'!G19</f>
        <v>4</v>
      </c>
    </row>
    <row r="371" spans="1:6" x14ac:dyDescent="0.35">
      <c r="A371" s="10">
        <f>'20'!A20</f>
        <v>20</v>
      </c>
      <c r="B371" s="10">
        <f>'20'!B20</f>
        <v>19</v>
      </c>
      <c r="C371" s="10" t="str">
        <f>'20'!D20</f>
        <v xml:space="preserve">Resistance to alternative investment strategies of traditional financial players (such as pension funds) </v>
      </c>
      <c r="D371" s="10" t="str">
        <f>'20'!E20</f>
        <v>A</v>
      </c>
      <c r="E371" s="10">
        <f>'20'!F20</f>
        <v>2</v>
      </c>
      <c r="F371" s="10">
        <f>'20'!G20</f>
        <v>6</v>
      </c>
    </row>
    <row r="372" spans="1:6" x14ac:dyDescent="0.35">
      <c r="A372" s="10">
        <f>'21'!A2</f>
        <v>21</v>
      </c>
      <c r="B372" s="10">
        <f>'21'!B2</f>
        <v>1</v>
      </c>
      <c r="C372" s="10" t="str">
        <f>'21'!D2</f>
        <v>limited awareness of the relevance of urban NBS for several policy goals</v>
      </c>
      <c r="D372" s="10" t="str">
        <f>'21'!E2</f>
        <v>D</v>
      </c>
      <c r="E372" s="10">
        <f>'21'!F2</f>
        <v>0</v>
      </c>
      <c r="F372" s="10">
        <f>'21'!G2</f>
        <v>3</v>
      </c>
    </row>
    <row r="373" spans="1:6" x14ac:dyDescent="0.35">
      <c r="A373" s="10">
        <f>'21'!A3</f>
        <v>21</v>
      </c>
      <c r="B373" s="10">
        <f>'21'!B3</f>
        <v>2</v>
      </c>
      <c r="C373" s="10" t="str">
        <f>'21'!D3</f>
        <v xml:space="preserve"> lack of knowledge and   knowledge exchange on urban NBS   performance</v>
      </c>
      <c r="D373" s="10" t="str">
        <f>'21'!E3</f>
        <v>C</v>
      </c>
      <c r="E373" s="10">
        <f>'21'!F3</f>
        <v>1</v>
      </c>
      <c r="F373" s="10">
        <f>'21'!G3</f>
        <v>1</v>
      </c>
    </row>
    <row r="374" spans="1:6" x14ac:dyDescent="0.35">
      <c r="A374" s="10">
        <f>'21'!A4</f>
        <v>21</v>
      </c>
      <c r="B374" s="10">
        <f>'21'!B4</f>
        <v>3</v>
      </c>
      <c r="C374" s="10" t="str">
        <f>'21'!D4</f>
        <v xml:space="preserve"> lack of public funding and municipal capacity.</v>
      </c>
      <c r="D374" s="10" t="str">
        <f>'21'!E4</f>
        <v>A</v>
      </c>
      <c r="E374" s="10">
        <f>'21'!F4</f>
        <v>1</v>
      </c>
      <c r="F374" s="10">
        <f>'21'!G4</f>
        <v>1</v>
      </c>
    </row>
    <row r="375" spans="1:6" x14ac:dyDescent="0.35">
      <c r="A375" s="10">
        <f>'21'!A5</f>
        <v>21</v>
      </c>
      <c r="B375" s="10">
        <f>'21'!B5</f>
        <v>4</v>
      </c>
      <c r="C375" s="10" t="str">
        <f>'21'!D5</f>
        <v>funding   and access to resources is often identified as an important enabler of   sustainability transitions</v>
      </c>
      <c r="D375" s="10" t="str">
        <f>'21'!E5</f>
        <v>A</v>
      </c>
      <c r="E375" s="10">
        <f>'21'!F5</f>
        <v>1</v>
      </c>
      <c r="F375" s="10">
        <f>'21'!G5</f>
        <v>1</v>
      </c>
    </row>
    <row r="376" spans="1:6" x14ac:dyDescent="0.35">
      <c r="A376" s="10">
        <f>'21'!A6</f>
        <v>21</v>
      </c>
      <c r="B376" s="10">
        <f>'21'!B6</f>
        <v>5</v>
      </c>
      <c r="C376" s="10" t="str">
        <f>'21'!D6</f>
        <v xml:space="preserve"> NBS implementation, maintenance, and   mainstreaming often suffer from a lack of   public funding and municipal capacity.</v>
      </c>
      <c r="D376" s="10" t="str">
        <f>'21'!E6</f>
        <v>A</v>
      </c>
      <c r="E376" s="10">
        <f>'21'!F6</f>
        <v>1</v>
      </c>
      <c r="F376" s="10">
        <f>'21'!G6</f>
        <v>1</v>
      </c>
    </row>
    <row r="377" spans="1:6" x14ac:dyDescent="0.35">
      <c r="A377" s="10">
        <f>'21'!A7</f>
        <v>21</v>
      </c>
      <c r="B377" s="10">
        <f>'21'!B7</f>
        <v>6</v>
      </c>
      <c r="C377" s="10" t="str">
        <f>'21'!D7</f>
        <v>sceptical about costs, performance, and profitable business models of NBS and are therefore less willing to engage or invest.</v>
      </c>
      <c r="D377" s="10" t="str">
        <f>'21'!E7</f>
        <v>A</v>
      </c>
      <c r="E377" s="10">
        <f>'21'!F7</f>
        <v>2</v>
      </c>
      <c r="F377" s="10">
        <f>'21'!G7</f>
        <v>5</v>
      </c>
    </row>
    <row r="378" spans="1:6" x14ac:dyDescent="0.35">
      <c r="A378" s="10">
        <f>'21'!A8</f>
        <v>21</v>
      </c>
      <c r="B378" s="10">
        <f>'21'!B8</f>
        <v>7</v>
      </c>
      <c r="C378" s="10" t="str">
        <f>'21'!D8</f>
        <v xml:space="preserve">financial system as a separate functional domain with its own selection environment,   actors, practices, rules and routines . Mainstream selection processes in the financial sector, such as risk assessment   methodologies, can prevent the break-through of innovations </v>
      </c>
      <c r="D378" s="10" t="str">
        <f>'21'!E8</f>
        <v>A</v>
      </c>
      <c r="E378" s="10">
        <f>'21'!F8</f>
        <v>2</v>
      </c>
      <c r="F378" s="10">
        <f>'21'!G8</f>
        <v>6</v>
      </c>
    </row>
    <row r="379" spans="1:6" x14ac:dyDescent="0.35">
      <c r="A379" s="10">
        <f>'21'!A9</f>
        <v>21</v>
      </c>
      <c r="B379" s="10">
        <f>'21'!B9</f>
        <v>8</v>
      </c>
      <c r="C379" s="10" t="str">
        <f>'21'!D9</f>
        <v xml:space="preserve">competition  over land use in dense urban environment with other functions innovations  </v>
      </c>
      <c r="D379" s="10" t="str">
        <f>'21'!E9</f>
        <v>F</v>
      </c>
      <c r="E379" s="10">
        <f>'21'!F9</f>
        <v>5</v>
      </c>
      <c r="F379" s="10">
        <f>'21'!G9</f>
        <v>2</v>
      </c>
    </row>
    <row r="380" spans="1:6" x14ac:dyDescent="0.35">
      <c r="A380" s="10">
        <f>'21'!A10</f>
        <v>21</v>
      </c>
      <c r="B380" s="10">
        <f>'21'!B10</f>
        <v>9</v>
      </c>
      <c r="C380" s="10" t="str">
        <f>'21'!D10</f>
        <v>Competition over urban space NBS may compete with other urban   functions and sustainability innovations   over land use in dense urban   environments.</v>
      </c>
      <c r="D380" s="10" t="str">
        <f>'21'!E10</f>
        <v>F</v>
      </c>
      <c r="E380" s="10">
        <f>'21'!F10</f>
        <v>5</v>
      </c>
      <c r="F380" s="10">
        <f>'21'!G10</f>
        <v>2</v>
      </c>
    </row>
    <row r="381" spans="1:6" x14ac:dyDescent="0.35">
      <c r="A381" s="10">
        <f>'21'!A11</f>
        <v>21</v>
      </c>
      <c r="B381" s="10">
        <f>'21'!B11</f>
        <v>10</v>
      </c>
      <c r="C381" s="10" t="str">
        <f>'21'!D11</f>
        <v>joint action needed to invest in and develop NBS as the deliver multiple benefits simultaneously and tend to cross organisational and jurisdictional boundaries</v>
      </c>
      <c r="D381" s="10" t="str">
        <f>'21'!E11</f>
        <v>F</v>
      </c>
      <c r="E381" s="10">
        <f>'21'!F11</f>
        <v>1</v>
      </c>
      <c r="F381" s="10">
        <f>'21'!G11</f>
        <v>1</v>
      </c>
    </row>
    <row r="382" spans="1:6" x14ac:dyDescent="0.35">
      <c r="A382" s="10">
        <f>'21'!A12</f>
        <v>21</v>
      </c>
      <c r="B382" s="10">
        <f>'21'!B12</f>
        <v>11</v>
      </c>
      <c r="C382" s="10" t="str">
        <f>'21'!D12</f>
        <v xml:space="preserve">necessary citizen engagement to align NBS to environmental, physical and social context is insufficient </v>
      </c>
      <c r="D382" s="10" t="str">
        <f>'21'!E12</f>
        <v>C</v>
      </c>
      <c r="E382" s="10">
        <f>'21'!F12</f>
        <v>2</v>
      </c>
      <c r="F382" s="10">
        <f>'21'!G12</f>
        <v>2</v>
      </c>
    </row>
    <row r="383" spans="1:6" x14ac:dyDescent="0.35">
      <c r="A383" s="10">
        <f>'21'!A13</f>
        <v>21</v>
      </c>
      <c r="B383" s="10">
        <f>'21'!B13</f>
        <v>13</v>
      </c>
      <c r="C383" s="10" t="str">
        <f>'21'!D13</f>
        <v>NBS deliver multiple benefits   simultaneously and tend to cross   organisational and jurisdictional   boundaries. The joint action needed to   invest in and develop NBS is considered   challenging and/or lacking.</v>
      </c>
      <c r="D383" s="10" t="str">
        <f>'21'!E13</f>
        <v>F</v>
      </c>
      <c r="E383" s="10">
        <f>'21'!F13</f>
        <v>1</v>
      </c>
      <c r="F383" s="10">
        <f>'21'!G13</f>
        <v>1</v>
      </c>
    </row>
    <row r="384" spans="1:6" x14ac:dyDescent="0.35">
      <c r="A384" s="10">
        <f>'21'!A14</f>
        <v>21</v>
      </c>
      <c r="B384" s="10">
        <f>'21'!B14</f>
        <v>14</v>
      </c>
      <c r="C384" s="10" t="str">
        <f>'21'!D14</f>
        <v xml:space="preserve"> trust in ‘engineering’ practices -  exacerbated stakeholder silos, it   promoted the development of codes, standards, and knowledge paradigms eschewing ‘soft’ NBS benefits and performance, and it incentivised innovation in engineering-heavy technologies</v>
      </c>
      <c r="D384" s="10" t="str">
        <f>'21'!E14</f>
        <v>F</v>
      </c>
      <c r="E384" s="10">
        <f>'21'!F14</f>
        <v>4</v>
      </c>
      <c r="F384" s="10">
        <f>'21'!G14</f>
        <v>1</v>
      </c>
    </row>
    <row r="385" spans="1:6" x14ac:dyDescent="0.35">
      <c r="A385" s="10">
        <f>'21'!A15</f>
        <v>21</v>
      </c>
      <c r="B385" s="10">
        <f>'21'!B15</f>
        <v>15</v>
      </c>
      <c r="C385" s="10" t="str">
        <f>'21'!D15</f>
        <v xml:space="preserve"> There is limited awareness of the   relevance of urban NBS for several policy   goals</v>
      </c>
      <c r="D385" s="10" t="str">
        <f>'21'!E15</f>
        <v>D</v>
      </c>
      <c r="E385" s="10">
        <f>'21'!F15</f>
        <v>0</v>
      </c>
      <c r="F385" s="10">
        <f>'21'!G15</f>
        <v>3</v>
      </c>
    </row>
    <row r="386" spans="1:6" x14ac:dyDescent="0.35">
      <c r="A386" s="10">
        <f>'21'!A16</f>
        <v>21</v>
      </c>
      <c r="B386" s="10">
        <f>'21'!B16</f>
        <v>16</v>
      </c>
      <c r="C386" s="10" t="str">
        <f>'21'!D16</f>
        <v>Actors in the urban development sector   are sceptical about costs, performance,   and profitable business models of NBS   and are therefore less willing to engage or   invest</v>
      </c>
      <c r="D386" s="10" t="str">
        <f>'21'!E16</f>
        <v>A</v>
      </c>
      <c r="E386" s="10">
        <f>'21'!F16</f>
        <v>2</v>
      </c>
      <c r="F386" s="10">
        <f>'21'!G16</f>
        <v>5</v>
      </c>
    </row>
    <row r="387" spans="1:6" x14ac:dyDescent="0.35">
      <c r="A387" s="10">
        <f>'21'!A17</f>
        <v>21</v>
      </c>
      <c r="B387" s="10">
        <f>'21'!B17</f>
        <v>17</v>
      </c>
      <c r="C387" s="10" t="str">
        <f>'21'!D17</f>
        <v>Insufficient policy development,   implementation and enforcement   oriented at NBS   NBS policy development, enforcement,   and monitoring are sometimes   insufficient and/or challenging.</v>
      </c>
      <c r="D387" s="10" t="str">
        <f>'21'!E17</f>
        <v>F</v>
      </c>
      <c r="E387" s="10">
        <f>'21'!F17</f>
        <v>2</v>
      </c>
      <c r="F387" s="10">
        <f>'21'!G17</f>
        <v>2</v>
      </c>
    </row>
    <row r="388" spans="1:6" x14ac:dyDescent="0.35">
      <c r="A388" s="10">
        <f>'22'!A2</f>
        <v>22</v>
      </c>
      <c r="B388" s="10">
        <f>'22'!B2</f>
        <v>1</v>
      </c>
      <c r="C388" s="10" t="str">
        <f>'22'!D2</f>
        <v>people  prioritize other issues such as terrorism, health or the economy over biodiversity</v>
      </c>
      <c r="D388" s="10" t="str">
        <f>'22'!E2</f>
        <v>D</v>
      </c>
      <c r="E388" s="10">
        <f>'22'!F2</f>
        <v>0</v>
      </c>
      <c r="F388" s="10">
        <f>'22'!G2</f>
        <v>1</v>
      </c>
    </row>
    <row r="389" spans="1:6" x14ac:dyDescent="0.35">
      <c r="A389" s="10">
        <f>'22'!A3</f>
        <v>22</v>
      </c>
      <c r="B389" s="10">
        <f>'22'!B3</f>
        <v>2</v>
      </c>
      <c r="C389" s="10" t="str">
        <f>'22'!D3</f>
        <v xml:space="preserve">fear of nature related to uncertainty/unknown </v>
      </c>
      <c r="D389" s="10" t="str">
        <f>'22'!E3</f>
        <v>D</v>
      </c>
      <c r="E389" s="10">
        <f>'22'!F3</f>
        <v>0</v>
      </c>
      <c r="F389" s="10">
        <f>'22'!G3</f>
        <v>5</v>
      </c>
    </row>
    <row r="390" spans="1:6" x14ac:dyDescent="0.35">
      <c r="A390" s="10">
        <f>'22'!A4</f>
        <v>22</v>
      </c>
      <c r="B390" s="10">
        <f>'22'!B4</f>
        <v>3</v>
      </c>
      <c r="C390" s="10" t="str">
        <f>'22'!D4</f>
        <v xml:space="preserve"> fear of nature related to ecosystem disservices</v>
      </c>
      <c r="D390" s="10" t="str">
        <f>'22'!E4</f>
        <v>D</v>
      </c>
      <c r="E390" s="10">
        <f>'22'!F4</f>
        <v>0</v>
      </c>
      <c r="F390" s="10">
        <f>'22'!G4</f>
        <v>5</v>
      </c>
    </row>
    <row r="391" spans="1:6" x14ac:dyDescent="0.35">
      <c r="A391" s="10">
        <f>'22'!A5</f>
        <v>22</v>
      </c>
      <c r="B391" s="10">
        <f>'22'!B5</f>
        <v>4</v>
      </c>
      <c r="C391" s="10" t="str">
        <f>'22'!D5</f>
        <v>It is difficult to evaluate the gains resulting from NBS, especially when taking into account all the costs and benefits, and not just the targeted problem</v>
      </c>
      <c r="D391" s="10" t="str">
        <f>'22'!E5</f>
        <v>B</v>
      </c>
      <c r="E391" s="10">
        <f>'22'!F5</f>
        <v>0</v>
      </c>
      <c r="F391" s="10">
        <f>'22'!G5</f>
        <v>1</v>
      </c>
    </row>
    <row r="392" spans="1:6" x14ac:dyDescent="0.35">
      <c r="A392" s="10">
        <f>'22'!A6</f>
        <v>22</v>
      </c>
      <c r="B392" s="10">
        <f>'22'!B6</f>
        <v>5</v>
      </c>
      <c r="C392" s="10" t="str">
        <f>'22'!D6</f>
        <v>lack of political will</v>
      </c>
      <c r="D392" s="10" t="str">
        <f>'22'!E6</f>
        <v>E</v>
      </c>
      <c r="E392" s="10">
        <f>'22'!F6</f>
        <v>0</v>
      </c>
      <c r="F392" s="10">
        <f>'22'!G6</f>
        <v>1</v>
      </c>
    </row>
    <row r="393" spans="1:6" x14ac:dyDescent="0.35">
      <c r="A393" s="10">
        <f>'22'!A7</f>
        <v>22</v>
      </c>
      <c r="B393" s="10">
        <f>'22'!B7</f>
        <v>6</v>
      </c>
      <c r="C393" s="10" t="str">
        <f>'22'!D7</f>
        <v xml:space="preserve">changing administration - officials in favor or against can quickly change. </v>
      </c>
      <c r="D393" s="10" t="str">
        <f>'22'!E7</f>
        <v>E</v>
      </c>
      <c r="E393" s="10">
        <f>'22'!F7</f>
        <v>0</v>
      </c>
      <c r="F393" s="10">
        <f>'22'!G7</f>
        <v>3</v>
      </c>
    </row>
    <row r="394" spans="1:6" x14ac:dyDescent="0.35">
      <c r="A394" s="10">
        <f>'22'!A8</f>
        <v>22</v>
      </c>
      <c r="B394" s="10">
        <f>'22'!B8</f>
        <v>7</v>
      </c>
      <c r="C394" s="10" t="str">
        <f>'22'!D8</f>
        <v xml:space="preserve"> the lack of dedicated funding for NBS implementation in cities</v>
      </c>
      <c r="D394" s="10" t="str">
        <f>'22'!E8</f>
        <v>A</v>
      </c>
      <c r="E394" s="10">
        <f>'22'!F8</f>
        <v>1</v>
      </c>
      <c r="F394" s="10">
        <f>'22'!G8</f>
        <v>1</v>
      </c>
    </row>
    <row r="395" spans="1:6" x14ac:dyDescent="0.35">
      <c r="A395" s="10">
        <f>'22'!A9</f>
        <v>22</v>
      </c>
      <c r="B395" s="10">
        <f>'22'!B9</f>
        <v>8</v>
      </c>
      <c r="C395" s="10" t="str">
        <f>'22'!D9</f>
        <v>hard to obtain a quick return on investment</v>
      </c>
      <c r="D395" s="10" t="str">
        <f>'22'!E9</f>
        <v>A</v>
      </c>
      <c r="E395" s="10">
        <f>'22'!F9</f>
        <v>2</v>
      </c>
      <c r="F395" s="10">
        <f>'22'!G9</f>
        <v>4</v>
      </c>
    </row>
    <row r="396" spans="1:6" x14ac:dyDescent="0.35">
      <c r="A396" s="10">
        <f>'22'!A10</f>
        <v>22</v>
      </c>
      <c r="B396" s="10">
        <f>'22'!B10</f>
        <v>9</v>
      </c>
      <c r="C396" s="10" t="str">
        <f>'22'!D10</f>
        <v xml:space="preserve">uncertainty about the cost of NBS and dont want long term responsibility </v>
      </c>
      <c r="D396" s="10" t="str">
        <f>'22'!E10</f>
        <v>A</v>
      </c>
      <c r="E396" s="10">
        <f>'22'!F10</f>
        <v>3</v>
      </c>
      <c r="F396" s="10">
        <f>'22'!G10</f>
        <v>2</v>
      </c>
    </row>
    <row r="397" spans="1:6" x14ac:dyDescent="0.35">
      <c r="A397" s="10">
        <f>'22'!A11</f>
        <v>22</v>
      </c>
      <c r="B397" s="10">
        <f>'22'!B11</f>
        <v>10</v>
      </c>
      <c r="C397" s="10" t="str">
        <f>'22'!D11</f>
        <v xml:space="preserve">within 'nature' agencies biodiversity is not prioritized over climate adaptation and renewebal energy </v>
      </c>
      <c r="D397" s="10" t="str">
        <f>'22'!E11</f>
        <v>F</v>
      </c>
      <c r="E397" s="10">
        <f>'22'!F11</f>
        <v>1</v>
      </c>
      <c r="F397" s="10">
        <f>'22'!G11</f>
        <v>1</v>
      </c>
    </row>
    <row r="398" spans="1:6" x14ac:dyDescent="0.35">
      <c r="A398" s="10">
        <f>'22'!A12</f>
        <v>22</v>
      </c>
      <c r="B398" s="10">
        <f>'22'!B12</f>
        <v>11</v>
      </c>
      <c r="C398" s="10" t="str">
        <f>'22'!D12</f>
        <v xml:space="preserve">scarcity and high prices of land - competition </v>
      </c>
      <c r="D398" s="10" t="str">
        <f>'22'!E12</f>
        <v>F</v>
      </c>
      <c r="E398" s="10">
        <f>'22'!F12</f>
        <v>5</v>
      </c>
      <c r="F398" s="10">
        <f>'22'!G12</f>
        <v>2</v>
      </c>
    </row>
    <row r="399" spans="1:6" x14ac:dyDescent="0.35">
      <c r="A399" s="10">
        <f>'22'!A13</f>
        <v>22</v>
      </c>
      <c r="B399" s="10">
        <f>'22'!B13</f>
        <v>12</v>
      </c>
      <c r="C399" s="10" t="str">
        <f>'22'!D13</f>
        <v xml:space="preserve">NBS requires continuous maintenance and monitoring required - who will do this and  who will fund this? </v>
      </c>
      <c r="D399" s="10" t="str">
        <f>'22'!E13</f>
        <v>F</v>
      </c>
      <c r="E399" s="10">
        <f>'22'!F13</f>
        <v>3</v>
      </c>
      <c r="F399" s="10">
        <f>'22'!G13</f>
        <v>3</v>
      </c>
    </row>
    <row r="400" spans="1:6" x14ac:dyDescent="0.35">
      <c r="A400" s="10">
        <f>'22'!A14</f>
        <v>22</v>
      </c>
      <c r="B400" s="10">
        <f>'22'!B14</f>
        <v>13</v>
      </c>
      <c r="C400" s="10" t="str">
        <f>'22'!D14</f>
        <v xml:space="preserve">Regulations / planning processes do not provide space for alternative nbs solutions </v>
      </c>
      <c r="D400" s="10" t="str">
        <f>'22'!E14</f>
        <v>F</v>
      </c>
      <c r="E400" s="10">
        <f>'22'!F14</f>
        <v>2</v>
      </c>
      <c r="F400" s="10">
        <f>'22'!G14</f>
        <v>2</v>
      </c>
    </row>
    <row r="401" spans="1:6" x14ac:dyDescent="0.35">
      <c r="A401" s="10">
        <f>'22'!A15</f>
        <v>22</v>
      </c>
      <c r="B401" s="10">
        <f>'22'!B15</f>
        <v>14</v>
      </c>
      <c r="C401" s="10" t="str">
        <f>'22'!D15</f>
        <v>lack of concrete proof on returns ( specifically also on long-term impacts of nbs) makes it difficult to mobilize stakeholders</v>
      </c>
      <c r="D401" s="10" t="str">
        <f>'22'!E15</f>
        <v>C</v>
      </c>
      <c r="E401" s="10">
        <f>'22'!F15</f>
        <v>1</v>
      </c>
      <c r="F401" s="10">
        <f>'22'!G15</f>
        <v>1</v>
      </c>
    </row>
    <row r="402" spans="1:6" x14ac:dyDescent="0.35">
      <c r="A402" s="10">
        <f>'22'!A16</f>
        <v>22</v>
      </c>
      <c r="B402" s="10">
        <f>'22'!B16</f>
        <v>15</v>
      </c>
      <c r="C402" s="10" t="str">
        <f>'22'!D16</f>
        <v>ecological aspect of certain projects can be oversold and overused by the NBS concept term</v>
      </c>
      <c r="D402" s="10" t="str">
        <f>'22'!E16</f>
        <v>C</v>
      </c>
      <c r="E402" s="10">
        <f>'22'!F16</f>
        <v>1</v>
      </c>
      <c r="F402" s="10">
        <f>'22'!G16</f>
        <v>1</v>
      </c>
    </row>
    <row r="403" spans="1:6" x14ac:dyDescent="0.35">
      <c r="A403" s="10">
        <f>'22'!A17</f>
        <v>22</v>
      </c>
      <c r="B403" s="10">
        <f>'22'!B17</f>
        <v>16</v>
      </c>
      <c r="C403" s="10" t="str">
        <f>'22'!D17</f>
        <v xml:space="preserve"> fear ofusing nature versus grey infrastructure - we don't find them reliale</v>
      </c>
      <c r="D403" s="10" t="str">
        <f>'22'!E17</f>
        <v>F</v>
      </c>
      <c r="E403" s="10">
        <f>'22'!F17</f>
        <v>4</v>
      </c>
      <c r="F403" s="10">
        <f>'22'!G17</f>
        <v>2</v>
      </c>
    </row>
    <row r="404" spans="1:6" x14ac:dyDescent="0.35">
      <c r="A404" s="10">
        <f>'23'!A2</f>
        <v>23</v>
      </c>
      <c r="B404" s="10">
        <f>'23'!B2</f>
        <v>1</v>
      </c>
      <c r="C404" s="10" t="str">
        <f>'23'!D2</f>
        <v>challenging to assessing how proposed interventions (or non-intervention) are likely to affect the diverse social and cultural values, uses and  benefits for those groups that associate with the Reef</v>
      </c>
      <c r="D404" s="10" t="str">
        <f>'23'!E2</f>
        <v>B</v>
      </c>
      <c r="E404" s="10">
        <f>'23'!F2</f>
        <v>0</v>
      </c>
      <c r="F404" s="10">
        <f>'23'!G2</f>
        <v>1</v>
      </c>
    </row>
    <row r="405" spans="1:6" x14ac:dyDescent="0.35">
      <c r="A405" s="10">
        <f>'23'!A3</f>
        <v>23</v>
      </c>
      <c r="B405" s="10">
        <f>'23'!B3</f>
        <v>2</v>
      </c>
      <c r="C405" s="10" t="str">
        <f>'23'!D3</f>
        <v>demonstrating that active restoration can play a  meaningful role in improving reef condition through supporting resilience and increasing  adaptation when other, less interventionist, management strategies have not worked</v>
      </c>
      <c r="D405" s="10" t="str">
        <f>'23'!E3</f>
        <v>C</v>
      </c>
      <c r="E405" s="10">
        <f>'23'!F3</f>
        <v>1</v>
      </c>
      <c r="F405" s="10">
        <f>'23'!G3</f>
        <v>1</v>
      </c>
    </row>
    <row r="406" spans="1:6" x14ac:dyDescent="0.35">
      <c r="A406" s="10">
        <f>'23'!A4</f>
        <v>23</v>
      </c>
      <c r="B406" s="10">
        <f>'23'!B4</f>
        <v>3</v>
      </c>
      <c r="C406" s="10" t="str">
        <f>'23'!D4</f>
        <v xml:space="preserve"> insights point to some of the negative social implications of damaged ecosystems and also encourage the consideration of social benefits (i.e. psychological, collective and cultural) that are possible through restoring coral reef ecosystems -  calls in the restoration ecology literature for a better understanding of (and capacity to  measure) the social benefits of restoration projects</v>
      </c>
      <c r="D406" s="10" t="str">
        <f>'23'!E4</f>
        <v>C</v>
      </c>
      <c r="E406" s="10">
        <f>'23'!F4</f>
        <v>1</v>
      </c>
      <c r="F406" s="10">
        <f>'23'!G4</f>
        <v>2</v>
      </c>
    </row>
    <row r="407" spans="1:6" x14ac:dyDescent="0.35">
      <c r="A407" s="10">
        <f>'23'!A5</f>
        <v>23</v>
      </c>
      <c r="B407" s="10">
        <f>'23'!B5</f>
        <v>4</v>
      </c>
      <c r="C407" s="10" t="str">
        <f>'23'!D5</f>
        <v>It has  been reported, that translating local activity and outcomes into broader strategic  management impacts for marine ecosystems can be problematic.</v>
      </c>
      <c r="D407" s="10" t="str">
        <f>'23'!E5</f>
        <v>C</v>
      </c>
      <c r="E407" s="10">
        <f>'23'!F5</f>
        <v>2</v>
      </c>
      <c r="F407" s="10">
        <f>'23'!G5</f>
        <v>2</v>
      </c>
    </row>
    <row r="408" spans="1:6" x14ac:dyDescent="0.35">
      <c r="A408" s="10">
        <f>'23'!A6</f>
        <v>23</v>
      </c>
      <c r="B408" s="10">
        <f>'23'!B6</f>
        <v>5</v>
      </c>
      <c r="C408" s="10" t="str">
        <f>'23'!D6</f>
        <v>understanding social acceptance, assessing likely impacts on diverse values, and designing  appropriate engagement processes are important. They are normatively important because  there are democratic, moral and ethical obligations to involve people in decisions and actions  that may affect their livelihoods or future well-being. They are also instrumentally important  in that good participation or co-design can lead to enhanced performance of the planned  environmental intervention through better tailoring to local conditions, the use of local and  traditional knowledge and reduced stakeholder conflict</v>
      </c>
      <c r="D408" s="10" t="str">
        <f>'23'!E6</f>
        <v>C</v>
      </c>
      <c r="E408" s="10">
        <f>'23'!F6</f>
        <v>2</v>
      </c>
      <c r="F408" s="10">
        <f>'23'!G6</f>
        <v>3</v>
      </c>
    </row>
    <row r="409" spans="1:6" x14ac:dyDescent="0.35">
      <c r="A409" s="10">
        <f>'23'!A7</f>
        <v>23</v>
      </c>
      <c r="B409" s="10">
        <f>'23'!B7</f>
        <v>6</v>
      </c>
      <c r="C409" s="10" t="str">
        <f>'23'!D7</f>
        <v>coral restoration and adaptation interventions do not take away the need for urgent reductions in greenhouse gas emissions.</v>
      </c>
      <c r="D409" s="10" t="str">
        <f>'23'!E7</f>
        <v>F</v>
      </c>
      <c r="E409" s="10">
        <f>'23'!F7</f>
        <v>1</v>
      </c>
      <c r="F409" s="10">
        <f>'23'!G7</f>
        <v>1</v>
      </c>
    </row>
    <row r="410" spans="1:6" x14ac:dyDescent="0.35">
      <c r="A410" s="10">
        <f>'23'!A8</f>
        <v>23</v>
      </c>
      <c r="B410" s="10">
        <f>'23'!B8</f>
        <v>7</v>
      </c>
      <c r="C410" s="10" t="str">
        <f>'23'!D8</f>
        <v xml:space="preserve"> citizen-science practice can provide community voice and influence in  decisions about managing long-term ‘landscape-level’ environmental changes  and may  contribute to a social licence for marine conservation research and intervention. </v>
      </c>
      <c r="D410" s="10" t="str">
        <f>'23'!E8</f>
        <v>F</v>
      </c>
      <c r="E410" s="10">
        <f>'23'!F8</f>
        <v>1</v>
      </c>
      <c r="F410" s="10">
        <f>'23'!G8</f>
        <v>2</v>
      </c>
    </row>
    <row r="411" spans="1:6" x14ac:dyDescent="0.35">
      <c r="A411" s="10">
        <f>'23'!A9</f>
        <v>23</v>
      </c>
      <c r="B411" s="10">
        <f>'23'!B9</f>
        <v>8</v>
      </c>
      <c r="C411" s="10" t="str">
        <f>'23'!D9</f>
        <v>need to develop appropriate and meaningful ways to engage different groups and interests in the design, deployment  and evaluation of proposed interventions or technologies over time</v>
      </c>
      <c r="D411" s="10" t="str">
        <f>'23'!E9</f>
        <v>C</v>
      </c>
      <c r="E411" s="10">
        <f>'23'!F9</f>
        <v>2</v>
      </c>
      <c r="F411" s="10">
        <f>'23'!G9</f>
        <v>3</v>
      </c>
    </row>
    <row r="412" spans="1:6" x14ac:dyDescent="0.35">
      <c r="A412" s="10">
        <f>'23'!A10</f>
        <v>23</v>
      </c>
      <c r="B412" s="10">
        <f>'23'!B10</f>
        <v>9</v>
      </c>
      <c r="C412" s="10" t="str">
        <f>'23'!D10</f>
        <v xml:space="preserve"> scientific conflicts and debates over the “facts”; social and governance  challenges; epistemic challenges, and ontological conflicts</v>
      </c>
      <c r="D412" s="10" t="str">
        <f>'23'!E10</f>
        <v>C</v>
      </c>
      <c r="E412" s="10">
        <f>'23'!F10</f>
        <v>3</v>
      </c>
      <c r="F412" s="10">
        <f>'23'!G10</f>
        <v>2</v>
      </c>
    </row>
    <row r="413" spans="1:6" x14ac:dyDescent="0.35">
      <c r="A413" s="10">
        <f>'23'!A11</f>
        <v>23</v>
      </c>
      <c r="B413" s="10">
        <f>'23'!B11</f>
        <v>10</v>
      </c>
      <c r="C413" s="10" t="str">
        <f>'23'!D11</f>
        <v>required shift from research and development to implementation - requires research partnerships that span beyond the coral research space to include Traditional  Owners, engineers, social scientists, modellers, economists, infrastructure development  experts, and project managers.</v>
      </c>
      <c r="D413" s="10" t="str">
        <f>'23'!E11</f>
        <v>F</v>
      </c>
      <c r="E413" s="10">
        <f>'23'!F11</f>
        <v>3</v>
      </c>
      <c r="F413" s="10">
        <f>'23'!G11</f>
        <v>3</v>
      </c>
    </row>
    <row r="414" spans="1:6" x14ac:dyDescent="0.35">
      <c r="A414" s="10">
        <f>'23'!A12</f>
        <v>23</v>
      </c>
      <c r="B414" s="10">
        <f>'23'!B12</f>
        <v>11</v>
      </c>
      <c r="C414" s="10" t="str">
        <f>'23'!D12</f>
        <v xml:space="preserve">Reef Restoration and Adaptation Program (RRAP) - feasibility study - funded by government </v>
      </c>
      <c r="D414" s="10" t="str">
        <f>'23'!E12</f>
        <v>A</v>
      </c>
      <c r="E414" s="10">
        <f>'23'!F12</f>
        <v>1</v>
      </c>
      <c r="F414" s="10">
        <f>'23'!G12</f>
        <v>1</v>
      </c>
    </row>
    <row r="415" spans="1:6" x14ac:dyDescent="0.35">
      <c r="A415" s="10">
        <f>'23'!A13</f>
        <v>23</v>
      </c>
      <c r="B415" s="10">
        <f>'23'!B13</f>
        <v>12</v>
      </c>
      <c r="C415" s="10" t="str">
        <f>'23'!D13</f>
        <v>shift in the use of coral restoration --&gt; away from assessing the feasibility and efficacy of individual  techniques, towards developing a holistic approach that includes coordinated and practical  solutions with specific objectives linked to long-term outcomes in a changing climate. In Australia, this shift is greatly facilitated by large investments through the RRAP Program</v>
      </c>
      <c r="D415" s="10" t="str">
        <f>'23'!E13</f>
        <v>F</v>
      </c>
      <c r="E415" s="10">
        <f>'23'!F13</f>
        <v>1</v>
      </c>
      <c r="F415" s="10">
        <f>'23'!G13</f>
        <v>1</v>
      </c>
    </row>
    <row r="416" spans="1:6" x14ac:dyDescent="0.35">
      <c r="A416" s="10">
        <f>'23'!A14</f>
        <v>23</v>
      </c>
      <c r="B416" s="10">
        <f>'23'!B14</f>
        <v>13</v>
      </c>
      <c r="C416" s="10" t="str">
        <f>'23'!D14</f>
        <v xml:space="preserve">politically and socially contested proposals such as large-scale restoration and adaptation of the GBR, lead to a number of complex social and institutional considerations - understanding the social acceptability </v>
      </c>
      <c r="D416" s="10" t="str">
        <f>'23'!E14</f>
        <v>B</v>
      </c>
      <c r="E416" s="10">
        <f>'23'!F14</f>
        <v>0</v>
      </c>
      <c r="F416" s="10">
        <f>'23'!G14</f>
        <v>1</v>
      </c>
    </row>
    <row r="417" spans="1:6" x14ac:dyDescent="0.35">
      <c r="A417" s="10">
        <f>'24'!A2</f>
        <v>24</v>
      </c>
      <c r="B417" s="10">
        <f>'24'!B2</f>
        <v>1</v>
      </c>
      <c r="C417" s="10" t="str">
        <f>'24'!D2</f>
        <v>uncertainty and  complexity of proving NFM effectiveness</v>
      </c>
      <c r="D417" s="10" t="str">
        <f>'24'!E2</f>
        <v>C</v>
      </c>
      <c r="E417" s="10">
        <f>'24'!F2</f>
        <v>1</v>
      </c>
      <c r="F417" s="10">
        <f>'24'!G2</f>
        <v>1</v>
      </c>
    </row>
    <row r="418" spans="1:6" x14ac:dyDescent="0.35">
      <c r="A418" s="10">
        <f>'24'!A3</f>
        <v>24</v>
      </c>
      <c r="B418" s="10">
        <f>'24'!B3</f>
        <v>2</v>
      </c>
      <c r="C418" s="10" t="str">
        <f>'24'!D3</f>
        <v>structures often need to be significantly larger than many think initially,  and dense networks of RAFs are needed for any impact to be apparent at the scale of even  a small catchment</v>
      </c>
      <c r="D418" s="10" t="str">
        <f>'24'!E3</f>
        <v>C</v>
      </c>
      <c r="E418" s="10">
        <f>'24'!F3</f>
        <v>1</v>
      </c>
      <c r="F418" s="10">
        <f>'24'!G3</f>
        <v>1</v>
      </c>
    </row>
    <row r="419" spans="1:6" x14ac:dyDescent="0.35">
      <c r="A419" s="10">
        <f>'24'!A4</f>
        <v>24</v>
      </c>
      <c r="B419" s="10">
        <f>'24'!B4</f>
        <v>3</v>
      </c>
      <c r="C419" s="10" t="str">
        <f>'24'!D4</f>
        <v>critical mass of features is needed to address flood risk</v>
      </c>
      <c r="D419" s="10" t="str">
        <f>'24'!E4</f>
        <v>C</v>
      </c>
      <c r="E419" s="10">
        <f>'24'!F4</f>
        <v>1</v>
      </c>
      <c r="F419" s="10">
        <f>'24'!G4</f>
        <v>1</v>
      </c>
    </row>
    <row r="420" spans="1:6" x14ac:dyDescent="0.35">
      <c r="A420" s="10">
        <f>'24'!A5</f>
        <v>24</v>
      </c>
      <c r="B420" s="10">
        <f>'24'!B5</f>
        <v>4</v>
      </c>
      <c r="C420" s="10" t="str">
        <f>'24'!D5</f>
        <v>There are few studies, other than at the local scale, where confidence is gained that a  network of RAFs can reduce flood risk.</v>
      </c>
      <c r="D420" s="10" t="str">
        <f>'24'!E5</f>
        <v>C</v>
      </c>
      <c r="E420" s="10">
        <f>'24'!F5</f>
        <v>1</v>
      </c>
      <c r="F420" s="10">
        <f>'24'!G5</f>
        <v>1</v>
      </c>
    </row>
    <row r="421" spans="1:6" x14ac:dyDescent="0.35">
      <c r="A421" s="10">
        <f>'24'!A6</f>
        <v>24</v>
      </c>
      <c r="B421" s="10">
        <f>'24'!B6</f>
        <v>5</v>
      </c>
      <c r="C421" s="10" t="str">
        <f>'24'!D6</f>
        <v>better understanding of both the hydraulic functioning  (especially leakiness dynamics) of RAFs and the nature of groundwater interactions -  can only be done, for example, by using a combination of controlled experiments at the  laboratory scale and detailed forensic analysis of flow and water levels for a range of in  situ RAFs</v>
      </c>
      <c r="D421" s="10" t="str">
        <f>'24'!E6</f>
        <v>C</v>
      </c>
      <c r="E421" s="10">
        <f>'24'!F6</f>
        <v>2</v>
      </c>
      <c r="F421" s="10">
        <f>'24'!G6</f>
        <v>1</v>
      </c>
    </row>
    <row r="422" spans="1:6" x14ac:dyDescent="0.35">
      <c r="A422" s="10">
        <f>'24'!A7</f>
        <v>24</v>
      </c>
      <c r="B422" s="10">
        <f>'24'!B7</f>
        <v>6</v>
      </c>
      <c r="C422" s="10" t="str">
        <f>'24'!D7</f>
        <v>whilst we have modelling capability, the uncertainty is still too great</v>
      </c>
      <c r="D422" s="10" t="str">
        <f>'24'!E7</f>
        <v>B</v>
      </c>
      <c r="E422" s="10">
        <f>'24'!F7</f>
        <v>0</v>
      </c>
      <c r="F422" s="10">
        <f>'24'!G7</f>
        <v>3</v>
      </c>
    </row>
    <row r="423" spans="1:6" x14ac:dyDescent="0.35">
      <c r="A423" s="10">
        <f>'24'!A8</f>
        <v>24</v>
      </c>
      <c r="B423" s="10">
        <f>'24'!B8</f>
        <v>7</v>
      </c>
      <c r="C423" s="10" t="str">
        <f>'24'!D8</f>
        <v>intervention should fit into both natural and farmed landscapes  without causing great loss of land or food production and RAFs should not inundate land  for long durations</v>
      </c>
      <c r="D423" s="10" t="str">
        <f>'24'!E8</f>
        <v>F</v>
      </c>
      <c r="E423" s="10">
        <f>'24'!F8</f>
        <v>5</v>
      </c>
      <c r="F423" s="10">
        <f>'24'!G8</f>
        <v>2</v>
      </c>
    </row>
    <row r="424" spans="1:6" x14ac:dyDescent="0.35">
      <c r="A424" s="10">
        <f>'24'!A9</f>
        <v>24</v>
      </c>
      <c r="B424" s="10">
        <f>'24'!B9</f>
        <v>8</v>
      </c>
      <c r="C424" s="10" t="str">
        <f>'24'!D9</f>
        <v>Uptake of RAFs will depend on imaginative payments, which will require extensive  consultation, demonstration activities and policy-making, all of which can act as a barrier  to uptake</v>
      </c>
      <c r="D424" s="10" t="str">
        <f>'24'!E9</f>
        <v>A</v>
      </c>
      <c r="E424" s="10">
        <f>'24'!F9</f>
        <v>1</v>
      </c>
      <c r="F424" s="10">
        <f>'24'!G9</f>
        <v>10</v>
      </c>
    </row>
    <row r="425" spans="1:6" x14ac:dyDescent="0.35">
      <c r="A425" s="10">
        <f>'24'!A10</f>
        <v>24</v>
      </c>
      <c r="B425" s="10">
        <f>'24'!B10</f>
        <v>9</v>
      </c>
      <c r="C425" s="10" t="str">
        <f>'24'!D10</f>
        <v xml:space="preserve"> communication tools  can play a significant role in promoting  stakeholder engagement and uptake</v>
      </c>
      <c r="D425" s="10" t="str">
        <f>'24'!E10</f>
        <v>C</v>
      </c>
      <c r="E425" s="10">
        <f>'24'!F10</f>
        <v>2</v>
      </c>
      <c r="F425" s="10">
        <f>'24'!G10</f>
        <v>3</v>
      </c>
    </row>
    <row r="426" spans="1:6" x14ac:dyDescent="0.35">
      <c r="A426" s="10">
        <f>'24'!A11</f>
        <v>24</v>
      </c>
      <c r="B426" s="10">
        <f>'24'!B11</f>
        <v>10</v>
      </c>
      <c r="C426" s="10" t="str">
        <f>'24'!D11</f>
        <v>scaling up RAFs (and NFM generally) to the larger catchment   scale needs more research. Better models and empirical evidence are needed</v>
      </c>
      <c r="D426" s="10" t="str">
        <f>'24'!E11</f>
        <v>C</v>
      </c>
      <c r="E426" s="10">
        <f>'24'!F11</f>
        <v>1</v>
      </c>
      <c r="F426" s="10">
        <f>'24'!G11</f>
        <v>1</v>
      </c>
    </row>
    <row r="427" spans="1:6" x14ac:dyDescent="0.35">
      <c r="A427" s="10">
        <f>'25'!A2</f>
        <v>25</v>
      </c>
      <c r="B427" s="10">
        <f>'25'!B2</f>
        <v>1</v>
      </c>
      <c r="C427" s="10" t="str">
        <f>'25'!D2</f>
        <v xml:space="preserve">Effect can be limited in one place and very positive in another  </v>
      </c>
      <c r="D427" s="10" t="str">
        <f>'25'!E2</f>
        <v>B</v>
      </c>
      <c r="E427" s="10">
        <f>'25'!F2</f>
        <v>0</v>
      </c>
      <c r="F427" s="10">
        <f>'25'!G2</f>
        <v>1</v>
      </c>
    </row>
    <row r="428" spans="1:6" x14ac:dyDescent="0.35">
      <c r="A428" s="10">
        <f>'25'!A3</f>
        <v>25</v>
      </c>
      <c r="B428" s="10">
        <f>'25'!B3</f>
        <v>2</v>
      </c>
      <c r="C428" s="10" t="str">
        <f>'25'!D3</f>
        <v>difficulties to calculate the value for compensation  for upstream-downstream effects of measures</v>
      </c>
      <c r="D428" s="10" t="str">
        <f>'25'!E3</f>
        <v>B</v>
      </c>
      <c r="E428" s="10">
        <f>'25'!F3</f>
        <v>0</v>
      </c>
      <c r="F428" s="10">
        <f>'25'!G3</f>
        <v>1</v>
      </c>
    </row>
    <row r="429" spans="1:6" x14ac:dyDescent="0.35">
      <c r="A429" s="10">
        <f>'25'!A4</f>
        <v>25</v>
      </c>
      <c r="B429" s="10">
        <f>'25'!B4</f>
        <v>3</v>
      </c>
      <c r="C429" s="10" t="str">
        <f>'25'!D4</f>
        <v xml:space="preserve"> variability of the effects of NBS across spatial and temporal scales</v>
      </c>
      <c r="D429" s="10" t="str">
        <f>'25'!E4</f>
        <v>C</v>
      </c>
      <c r="E429" s="10">
        <f>'25'!F4</f>
        <v>1</v>
      </c>
      <c r="F429" s="10">
        <f>'25'!G4</f>
        <v>2</v>
      </c>
    </row>
    <row r="430" spans="1:6" x14ac:dyDescent="0.35">
      <c r="A430" s="10">
        <f>'25'!A5</f>
        <v>25</v>
      </c>
      <c r="B430" s="10">
        <f>'25'!B5</f>
        <v>4</v>
      </c>
      <c r="C430" s="10" t="str">
        <f>'25'!D5</f>
        <v xml:space="preserve">lack of a common understanding basic on - objective - what are good soil properties </v>
      </c>
      <c r="D430" s="10" t="str">
        <f>'25'!E5</f>
        <v>C</v>
      </c>
      <c r="E430" s="10">
        <f>'25'!F5</f>
        <v>1</v>
      </c>
      <c r="F430" s="10">
        <f>'25'!G5</f>
        <v>3</v>
      </c>
    </row>
    <row r="431" spans="1:6" x14ac:dyDescent="0.35">
      <c r="A431" s="10">
        <f>'25'!A6</f>
        <v>25</v>
      </c>
      <c r="B431" s="10">
        <f>'25'!B6</f>
        <v>5</v>
      </c>
      <c r="C431" s="10" t="str">
        <f>'25'!D6</f>
        <v xml:space="preserve">epistemic lock-ins resulting from maintaining historical practices may undermine trust in new approaches (even if positive effect can be proven) </v>
      </c>
      <c r="D431" s="10" t="str">
        <f>'25'!E6</f>
        <v>C</v>
      </c>
      <c r="E431" s="10">
        <f>'25'!F6</f>
        <v>3</v>
      </c>
      <c r="F431" s="10">
        <f>'25'!G6</f>
        <v>2</v>
      </c>
    </row>
    <row r="432" spans="1:6" x14ac:dyDescent="0.35">
      <c r="A432" s="10">
        <f>'25'!A7</f>
        <v>25</v>
      </c>
      <c r="B432" s="10">
        <f>'25'!B7</f>
        <v>6</v>
      </c>
      <c r="C432" s="10" t="str">
        <f>'25'!D7</f>
        <v>generally low willingness to implement nbs due to their costs, strengthened by financial flood recovery schemes that do not support adaptive measures</v>
      </c>
      <c r="D432" s="10" t="str">
        <f>'25'!E7</f>
        <v>A</v>
      </c>
      <c r="E432" s="10">
        <f>'25'!F7</f>
        <v>3</v>
      </c>
      <c r="F432" s="10">
        <f>'25'!G7</f>
        <v>1</v>
      </c>
    </row>
    <row r="433" spans="1:6" x14ac:dyDescent="0.35">
      <c r="A433" s="10">
        <f>'25'!A8</f>
        <v>25</v>
      </c>
      <c r="B433" s="10">
        <f>'25'!B8</f>
        <v>7</v>
      </c>
      <c r="C433" s="10" t="str">
        <f>'25'!D8</f>
        <v>NBS may necessitate certain management practices</v>
      </c>
      <c r="D433" s="10" t="str">
        <f>'25'!E8</f>
        <v>F</v>
      </c>
      <c r="E433" s="10">
        <f>'25'!F8</f>
        <v>1</v>
      </c>
      <c r="F433" s="10">
        <f>'25'!G8</f>
        <v>2</v>
      </c>
    </row>
    <row r="434" spans="1:6" x14ac:dyDescent="0.35">
      <c r="A434" s="10">
        <f>'25'!A9</f>
        <v>25</v>
      </c>
      <c r="B434" s="10">
        <f>'25'!B9</f>
        <v>8</v>
      </c>
      <c r="C434" s="10" t="str">
        <f>'25'!D9</f>
        <v>coordination is most challenging   where many public and private ownershipmodels, administrative bodies,  and initiatives interact a</v>
      </c>
      <c r="D434" s="10" t="str">
        <f>'25'!E9</f>
        <v>F</v>
      </c>
      <c r="E434" s="10">
        <f>'25'!F9</f>
        <v>1</v>
      </c>
      <c r="F434" s="10">
        <f>'25'!G9</f>
        <v>2</v>
      </c>
    </row>
    <row r="435" spans="1:6" x14ac:dyDescent="0.35">
      <c r="A435" s="10">
        <f>'25'!A10</f>
        <v>25</v>
      </c>
      <c r="B435" s="10">
        <f>'25'!B10</f>
        <v>9</v>
      </c>
      <c r="C435" s="10" t="str">
        <f>'25'!D10</f>
        <v xml:space="preserve">level of trust/confidence can vary among stakeholders making coordination difficult. </v>
      </c>
      <c r="D435" s="10" t="str">
        <f>'25'!E10</f>
        <v>C</v>
      </c>
      <c r="E435" s="10">
        <f>'25'!F10</f>
        <v>3</v>
      </c>
      <c r="F435" s="10">
        <f>'25'!G10</f>
        <v>2</v>
      </c>
    </row>
    <row r="436" spans="1:6" x14ac:dyDescent="0.35">
      <c r="A436" s="10">
        <f>'25'!A11</f>
        <v>25</v>
      </c>
      <c r="B436" s="10">
        <f>'25'!B11</f>
        <v>10</v>
      </c>
      <c r="C436" s="10" t="str">
        <f>'25'!D11</f>
        <v xml:space="preserve"> limited availability of private-owned land leads to fragmented individual interventions</v>
      </c>
      <c r="D436" s="10" t="str">
        <f>'25'!E11</f>
        <v>F</v>
      </c>
      <c r="E436" s="10">
        <f>'25'!F11</f>
        <v>5</v>
      </c>
      <c r="F436" s="10">
        <f>'25'!G11</f>
        <v>2</v>
      </c>
    </row>
    <row r="437" spans="1:6" x14ac:dyDescent="0.35">
      <c r="A437" s="10">
        <f>'25'!A12</f>
        <v>25</v>
      </c>
      <c r="B437" s="10">
        <f>'25'!B12</f>
        <v>11</v>
      </c>
      <c r="C437" s="10" t="str">
        <f>'25'!D12</f>
        <v>difficulty in acquiring the land</v>
      </c>
      <c r="D437" s="10" t="str">
        <f>'25'!E12</f>
        <v>F</v>
      </c>
      <c r="E437" s="10">
        <f>'25'!F12</f>
        <v>5</v>
      </c>
      <c r="F437" s="10">
        <f>'25'!G12</f>
        <v>2</v>
      </c>
    </row>
    <row r="438" spans="1:6" x14ac:dyDescent="0.35">
      <c r="A438" s="10">
        <f>'25'!A13</f>
        <v>25</v>
      </c>
      <c r="B438" s="10">
        <f>'25'!B13</f>
        <v>12</v>
      </c>
      <c r="C438" s="10" t="str">
        <f>'25'!D13</f>
        <v>availability of land to implement measures is limited leading to exploring hybrid solutions</v>
      </c>
      <c r="D438" s="10" t="str">
        <f>'25'!E13</f>
        <v>F</v>
      </c>
      <c r="E438" s="10">
        <f>'25'!F13</f>
        <v>5</v>
      </c>
      <c r="F438" s="10">
        <f>'25'!G13</f>
        <v>2</v>
      </c>
    </row>
    <row r="439" spans="1:6" x14ac:dyDescent="0.35">
      <c r="A439" s="10">
        <f>'25'!A14</f>
        <v>25</v>
      </c>
      <c r="B439" s="10">
        <f>'25'!B14</f>
        <v>13</v>
      </c>
      <c r="C439" s="10" t="str">
        <f>'25'!D14</f>
        <v>lack of distribution of responsibilities to design, incentivize, and implement NBS</v>
      </c>
      <c r="D439" s="10" t="str">
        <f>'25'!E14</f>
        <v>F</v>
      </c>
      <c r="E439" s="10">
        <f>'25'!F14</f>
        <v>1</v>
      </c>
      <c r="F439" s="10">
        <f>'25'!G14</f>
        <v>1</v>
      </c>
    </row>
    <row r="440" spans="1:6" x14ac:dyDescent="0.35">
      <c r="A440" s="10">
        <f>'25'!A15</f>
        <v>25</v>
      </c>
      <c r="B440" s="10">
        <f>'25'!B15</f>
        <v>14</v>
      </c>
      <c r="C440" s="10" t="str">
        <f>'25'!D15</f>
        <v>ability to prove the positive effects of NBS is a legal requirement</v>
      </c>
      <c r="D440" s="10" t="str">
        <f>'25'!E15</f>
        <v>F</v>
      </c>
      <c r="E440" s="10">
        <f>'25'!F15</f>
        <v>2</v>
      </c>
      <c r="F440" s="10">
        <f>'25'!G15</f>
        <v>1</v>
      </c>
    </row>
    <row r="441" spans="1:6" x14ac:dyDescent="0.35">
      <c r="A441" s="10">
        <f>'25'!A16</f>
        <v>25</v>
      </c>
      <c r="B441" s="10">
        <f>'25'!B16</f>
        <v>15</v>
      </c>
      <c r="C441" s="10" t="str">
        <f>'25'!D16</f>
        <v xml:space="preserve"> legislation requires  all new individual housing developments to implement rainfall infiltration measures ( homeowners are motivated by cost savings) </v>
      </c>
      <c r="D441" s="10" t="str">
        <f>'25'!E16</f>
        <v>F</v>
      </c>
      <c r="E441" s="10">
        <f>'25'!F16</f>
        <v>2</v>
      </c>
      <c r="F441" s="10">
        <f>'25'!G16</f>
        <v>3</v>
      </c>
    </row>
    <row r="442" spans="1:6" x14ac:dyDescent="0.35">
      <c r="A442" s="10">
        <f>'25'!A17</f>
        <v>25</v>
      </c>
      <c r="B442" s="10">
        <f>'25'!B17</f>
        <v>16</v>
      </c>
      <c r="C442" s="10" t="str">
        <f>'25'!D17</f>
        <v xml:space="preserve"> lack of information on appropriate design and technical guidelines leads to lack of institutional and financial mechanisms</v>
      </c>
      <c r="D442" s="10" t="str">
        <f>'25'!E17</f>
        <v>F</v>
      </c>
      <c r="E442" s="10">
        <f>'25'!F17</f>
        <v>2</v>
      </c>
      <c r="F442" s="10">
        <f>'25'!G17</f>
        <v>3</v>
      </c>
    </row>
    <row r="443" spans="1:6" x14ac:dyDescent="0.35">
      <c r="A443" s="10">
        <f>'25'!A18</f>
        <v>25</v>
      </c>
      <c r="B443" s="10">
        <f>'25'!B18</f>
        <v>17</v>
      </c>
      <c r="C443" s="10" t="str">
        <f>'25'!D18</f>
        <v xml:space="preserve">NBS measures have rather uncertain effects at various scales and across environments - efficiency depends on many variables.. </v>
      </c>
      <c r="D443" s="10" t="str">
        <f>'25'!E18</f>
        <v>C</v>
      </c>
      <c r="E443" s="10">
        <f>'25'!F18</f>
        <v>1</v>
      </c>
      <c r="F443" s="10">
        <f>'25'!G18</f>
        <v>1</v>
      </c>
    </row>
    <row r="444" spans="1:6" x14ac:dyDescent="0.35">
      <c r="A444" s="10">
        <f>'25'!A19</f>
        <v>25</v>
      </c>
      <c r="B444" s="10">
        <f>'25'!B19</f>
        <v>18</v>
      </c>
      <c r="C444" s="10" t="str">
        <f>'25'!D19</f>
        <v>unknown extent of land that is necessary for the effective implementation of the individual NBS</v>
      </c>
      <c r="D444" s="10" t="str">
        <f>'25'!E19</f>
        <v>C</v>
      </c>
      <c r="E444" s="10">
        <f>'25'!F19</f>
        <v>2</v>
      </c>
      <c r="F444" s="10">
        <f>'25'!G19</f>
        <v>1</v>
      </c>
    </row>
    <row r="445" spans="1:6" x14ac:dyDescent="0.35">
      <c r="A445" s="10">
        <f>'25'!A20</f>
        <v>25</v>
      </c>
      <c r="B445" s="10">
        <f>'25'!B20</f>
        <v>19</v>
      </c>
      <c r="C445" s="10" t="str">
        <f>'25'!D20</f>
        <v xml:space="preserve">effects are unknown or vague, limiting land-use adjusments and limiting stakeholder trust </v>
      </c>
      <c r="D445" s="10" t="str">
        <f>'25'!E20</f>
        <v>D</v>
      </c>
      <c r="E445" s="10">
        <f>'25'!F20</f>
        <v>0</v>
      </c>
      <c r="F445" s="10">
        <f>'25'!G20</f>
        <v>5</v>
      </c>
    </row>
    <row r="446" spans="1:6" x14ac:dyDescent="0.35">
      <c r="A446" s="10">
        <f>'25'!A21</f>
        <v>25</v>
      </c>
      <c r="B446" s="10">
        <f>'25'!B21</f>
        <v>20</v>
      </c>
      <c r="C446" s="10" t="str">
        <f>'25'!D21</f>
        <v xml:space="preserve">lack of financial  and institutional  supporting mechanisms </v>
      </c>
      <c r="D446" s="10" t="str">
        <f>'25'!E21</f>
        <v>A</v>
      </c>
      <c r="E446" s="10">
        <f>'25'!F21</f>
        <v>1</v>
      </c>
      <c r="F446" s="10">
        <f>'25'!G21</f>
        <v>1</v>
      </c>
    </row>
    <row r="447" spans="1:6" x14ac:dyDescent="0.35">
      <c r="A447" s="10">
        <f>'25'!A22</f>
        <v>25</v>
      </c>
      <c r="B447" s="10">
        <f>'25'!B22</f>
        <v>21</v>
      </c>
      <c r="C447" s="10" t="str">
        <f>'25'!D22</f>
        <v xml:space="preserve">guidelines are yet missing in most countries, resulting from technical complexity and necessary considerations on costs and benefits in urban settings with high land prices </v>
      </c>
      <c r="D447" s="10" t="str">
        <f>'25'!E22</f>
        <v>F</v>
      </c>
      <c r="E447" s="10">
        <f>'25'!F22</f>
        <v>2</v>
      </c>
      <c r="F447" s="10">
        <f>'25'!G22</f>
        <v>2</v>
      </c>
    </row>
    <row r="448" spans="1:6" x14ac:dyDescent="0.35">
      <c r="A448" s="10">
        <f>'26'!A2</f>
        <v>26</v>
      </c>
      <c r="B448" s="10">
        <f>'26'!B2</f>
        <v>1</v>
      </c>
      <c r="C448" s="10" t="str">
        <f>'26'!D2</f>
        <v>Air quality does not constitute a major policy  challenge for the city</v>
      </c>
      <c r="D448" s="10" t="str">
        <f>'26'!E2</f>
        <v>E</v>
      </c>
      <c r="E448" s="10">
        <f>'26'!F2</f>
        <v>0</v>
      </c>
      <c r="F448" s="10">
        <f>'26'!G2</f>
        <v>1</v>
      </c>
    </row>
    <row r="449" spans="1:6" x14ac:dyDescent="0.35">
      <c r="A449" s="10">
        <f>'26'!A3</f>
        <v>26</v>
      </c>
      <c r="B449" s="10">
        <f>'26'!B3</f>
        <v>2</v>
      </c>
      <c r="C449" s="10" t="str">
        <f>'26'!D3</f>
        <v>civil society campaigns and awareness-raising actions are few  and far between</v>
      </c>
      <c r="D449" s="10" t="str">
        <f>'26'!E3</f>
        <v>D</v>
      </c>
      <c r="E449" s="10">
        <f>'26'!F3</f>
        <v>0</v>
      </c>
      <c r="F449" s="10">
        <f>'26'!G3</f>
        <v>4</v>
      </c>
    </row>
    <row r="450" spans="1:6" x14ac:dyDescent="0.35">
      <c r="A450" s="10">
        <f>'26'!A4</f>
        <v>26</v>
      </c>
      <c r="B450" s="10">
        <f>'26'!B4</f>
        <v>3</v>
      </c>
      <c r="C450" s="10" t="str">
        <f>'26'!D4</f>
        <v>scepticism regarding the efficacy</v>
      </c>
      <c r="D450" s="10" t="str">
        <f>'26'!E4</f>
        <v>A</v>
      </c>
      <c r="E450" s="10">
        <f>'26'!F4</f>
        <v>2</v>
      </c>
      <c r="F450" s="10">
        <f>'26'!G4</f>
        <v>5</v>
      </c>
    </row>
    <row r="451" spans="1:6" x14ac:dyDescent="0.35">
      <c r="A451" s="10">
        <f>'26'!A5</f>
        <v>26</v>
      </c>
      <c r="B451" s="10">
        <f>'26'!B5</f>
        <v>4</v>
      </c>
      <c r="C451" s="10" t="str">
        <f>'26'!D5</f>
        <v>Transitioning from grey to green practices is related to political will / government support</v>
      </c>
      <c r="D451" s="10" t="str">
        <f>'26'!E5</f>
        <v>E</v>
      </c>
      <c r="E451" s="10">
        <f>'26'!F5</f>
        <v>0</v>
      </c>
      <c r="F451" s="10">
        <f>'26'!G5</f>
        <v>1</v>
      </c>
    </row>
    <row r="452" spans="1:6" x14ac:dyDescent="0.35">
      <c r="A452" s="10">
        <f>'26'!A6</f>
        <v>26</v>
      </c>
      <c r="B452" s="10">
        <f>'26'!B6</f>
        <v>5</v>
      </c>
      <c r="C452" s="10" t="str">
        <f>'26'!D6</f>
        <v>Lack of clear financial incentives and dedicated resources</v>
      </c>
      <c r="D452" s="10" t="str">
        <f>'26'!E6</f>
        <v>A</v>
      </c>
      <c r="E452" s="10">
        <f>'26'!F6</f>
        <v>1</v>
      </c>
      <c r="F452" s="10">
        <f>'26'!G6</f>
        <v>1</v>
      </c>
    </row>
    <row r="453" spans="1:6" x14ac:dyDescent="0.35">
      <c r="A453" s="10">
        <f>'26'!A7</f>
        <v>26</v>
      </c>
      <c r="B453" s="10">
        <f>'26'!B7</f>
        <v>6</v>
      </c>
      <c r="C453" s="10" t="str">
        <f>'26'!D7</f>
        <v>lack of dedicated resources for the potentially high  up-front costs of GI investments as well as long-term maintenance costs</v>
      </c>
      <c r="D453" s="10" t="str">
        <f>'26'!E7</f>
        <v>A</v>
      </c>
      <c r="E453" s="10">
        <f>'26'!F7</f>
        <v>1</v>
      </c>
      <c r="F453" s="10">
        <f>'26'!G7</f>
        <v>1</v>
      </c>
    </row>
    <row r="454" spans="1:6" x14ac:dyDescent="0.35">
      <c r="A454" s="10">
        <f>'26'!A8</f>
        <v>26</v>
      </c>
      <c r="B454" s="10">
        <f>'26'!B8</f>
        <v>7</v>
      </c>
      <c r="C454" s="10" t="str">
        <f>'26'!D8</f>
        <v>evidencing air pollution beyond  what the city reports required costly imported equipment, which constituted an emergent  financial barrie</v>
      </c>
      <c r="D454" s="10" t="str">
        <f>'26'!E8</f>
        <v>A</v>
      </c>
      <c r="E454" s="10">
        <f>'26'!F8</f>
        <v>1</v>
      </c>
      <c r="F454" s="10">
        <f>'26'!G8</f>
        <v>1</v>
      </c>
    </row>
    <row r="455" spans="1:6" x14ac:dyDescent="0.35">
      <c r="A455" s="10">
        <f>'26'!A9</f>
        <v>26</v>
      </c>
      <c r="B455" s="10">
        <f>'26'!B9</f>
        <v>8</v>
      </c>
      <c r="C455" s="10" t="str">
        <f>'26'!D9</f>
        <v>Lack of political will manifests as prioritising other pressing issues such as poverty or  unemployment, aversion towards change, or simply not giving importance to GI as a multifunctional solution.</v>
      </c>
      <c r="D455" s="10" t="str">
        <f>'26'!E9</f>
        <v>E</v>
      </c>
      <c r="E455" s="10">
        <f>'26'!F9</f>
        <v>0</v>
      </c>
      <c r="F455" s="10">
        <f>'26'!G9</f>
        <v>1</v>
      </c>
    </row>
    <row r="456" spans="1:6" x14ac:dyDescent="0.35">
      <c r="A456" s="10">
        <f>'26'!A10</f>
        <v>26</v>
      </c>
      <c r="B456" s="10">
        <f>'26'!B10</f>
        <v>9</v>
      </c>
      <c r="C456" s="10" t="str">
        <f>'26'!D10</f>
        <v xml:space="preserve">prioritising immediate actions to solve the economic  recession </v>
      </c>
      <c r="D456" s="10" t="str">
        <f>'26'!E10</f>
        <v>E</v>
      </c>
      <c r="E456" s="10">
        <f>'26'!F10</f>
        <v>0</v>
      </c>
      <c r="F456" s="10">
        <f>'26'!G10</f>
        <v>1</v>
      </c>
    </row>
    <row r="457" spans="1:6" x14ac:dyDescent="0.35">
      <c r="A457" s="10">
        <f>'26'!A11</f>
        <v>26</v>
      </c>
      <c r="B457" s="10">
        <f>'26'!B11</f>
        <v>10</v>
      </c>
      <c r="C457" s="10" t="str">
        <f>'26'!D11</f>
        <v>multidisciplinary - entail challenges of  leadership and collaboration within and among the institutions involved. Each institution,  department, or stakeholder operates on its own terms (e.g., agenda, timeframe, and values). = sectroal silos</v>
      </c>
      <c r="D457" s="10" t="str">
        <f>'26'!E11</f>
        <v>F</v>
      </c>
      <c r="E457" s="10">
        <f>'26'!F11</f>
        <v>2</v>
      </c>
      <c r="F457" s="10">
        <f>'26'!G11</f>
        <v>1</v>
      </c>
    </row>
    <row r="458" spans="1:6" x14ac:dyDescent="0.35">
      <c r="A458" s="10">
        <f>'26'!A12</f>
        <v>26</v>
      </c>
      <c r="B458" s="10">
        <f>'26'!B12</f>
        <v>11</v>
      </c>
      <c r="C458" s="10" t="str">
        <f>'26'!D12</f>
        <v xml:space="preserve">Long-term engagement of all parties involved - Outcomes and impacts are usually measurable after a sustained period, </v>
      </c>
      <c r="D458" s="10" t="str">
        <f>'26'!E12</f>
        <v>A</v>
      </c>
      <c r="E458" s="10">
        <f>'26'!F12</f>
        <v>1</v>
      </c>
      <c r="F458" s="10">
        <f>'26'!G12</f>
        <v>2</v>
      </c>
    </row>
    <row r="459" spans="1:6" x14ac:dyDescent="0.35">
      <c r="A459" s="10">
        <f>'26'!A13</f>
        <v>26</v>
      </c>
      <c r="B459" s="10">
        <f>'26'!B13</f>
        <v>12</v>
      </c>
      <c r="C459" s="10" t="str">
        <f>'26'!D13</f>
        <v>engagement of social stakeholders in the GI planning process is often suboptimal due to funding and time limitations</v>
      </c>
      <c r="D459" s="10" t="str">
        <f>'26'!E13</f>
        <v>A</v>
      </c>
      <c r="E459" s="10">
        <f>'26'!F13</f>
        <v>1</v>
      </c>
      <c r="F459" s="10">
        <f>'26'!G13</f>
        <v>1</v>
      </c>
    </row>
    <row r="460" spans="1:6" x14ac:dyDescent="0.35">
      <c r="A460" s="10">
        <f>'26'!A14</f>
        <v>26</v>
      </c>
      <c r="B460" s="10">
        <f>'26'!B14</f>
        <v>13</v>
      </c>
      <c r="C460" s="10" t="str">
        <f>'26'!D14</f>
        <v>Poor communication among actors causes  misunderstanding of project ownership or lack of engagement, which is crucial for the  monitoring and maintenance of GI</v>
      </c>
      <c r="D460" s="10" t="str">
        <f>'26'!E14</f>
        <v>C</v>
      </c>
      <c r="E460" s="10">
        <f>'26'!F14</f>
        <v>2</v>
      </c>
      <c r="F460" s="10">
        <f>'26'!G14</f>
        <v>3</v>
      </c>
    </row>
    <row r="461" spans="1:6" x14ac:dyDescent="0.35">
      <c r="A461" s="10">
        <f>'26'!A15</f>
        <v>26</v>
      </c>
      <c r="B461" s="10">
        <f>'26'!B15</f>
        <v>14</v>
      </c>
      <c r="C461" s="10" t="str">
        <f>'26'!D15</f>
        <v>institutions may not have the capacity or expertise required - in  some geographical contexts, GI innovation has primarily remained in academia or at pilot  project level</v>
      </c>
      <c r="D461" s="10" t="str">
        <f>'26'!E15</f>
        <v>C</v>
      </c>
      <c r="E461" s="10">
        <f>'26'!F15</f>
        <v>3</v>
      </c>
      <c r="F461" s="10">
        <f>'26'!G15</f>
        <v>2</v>
      </c>
    </row>
    <row r="462" spans="1:6" x14ac:dyDescent="0.35">
      <c r="A462" s="10">
        <f>'26'!A16</f>
        <v>26</v>
      </c>
      <c r="B462" s="10">
        <f>'26'!B16</f>
        <v>15</v>
      </c>
      <c r="C462" s="10" t="str">
        <f>'26'!D16</f>
        <v>availability of suitable plants -Plant selection  relies upon scientific literature primarily generated in Europe, the US, Australia, Japan,  and China. - different species to the ones  commercially available in Buenos Aires, or they are considered a specialty in the local  market, which increases costs. - resistance to the use of species that are  not local and native to the region</v>
      </c>
      <c r="D462" s="10" t="str">
        <f>'26'!E16</f>
        <v>C</v>
      </c>
      <c r="E462" s="10">
        <f>'26'!F16</f>
        <v>3</v>
      </c>
      <c r="F462" s="10">
        <f>'26'!G16</f>
        <v>1</v>
      </c>
    </row>
    <row r="463" spans="1:6" x14ac:dyDescent="0.35">
      <c r="A463" s="10">
        <f>'26'!A17</f>
        <v>26</v>
      </c>
      <c r="B463" s="10">
        <f>'26'!B17</f>
        <v>16</v>
      </c>
      <c r="C463" s="10" t="str">
        <f>'26'!D17</f>
        <v xml:space="preserve"> Sectoral silos:  leadership and monitoring of GI projects may be hindered by an institution’s internal  governance issues or staff turnover</v>
      </c>
      <c r="D463" s="10" t="str">
        <f>'26'!E17</f>
        <v>F</v>
      </c>
      <c r="E463" s="10">
        <f>'26'!F17</f>
        <v>1</v>
      </c>
      <c r="F463" s="10">
        <f>'26'!G17</f>
        <v>1</v>
      </c>
    </row>
    <row r="464" spans="1:6" x14ac:dyDescent="0.35">
      <c r="A464" s="10">
        <f>'26'!A18</f>
        <v>26</v>
      </c>
      <c r="B464" s="10">
        <f>'26'!B18</f>
        <v>17</v>
      </c>
      <c r="C464" s="10" t="str">
        <f>'26'!D18</f>
        <v>no clear knowledge of the pathways or means for civil society to engage directly with  the government and propose GI projects expediently</v>
      </c>
      <c r="D464" s="10" t="str">
        <f>'26'!E18</f>
        <v>F</v>
      </c>
      <c r="E464" s="10">
        <f>'26'!F18</f>
        <v>1</v>
      </c>
      <c r="F464" s="10">
        <f>'26'!G18</f>
        <v>1</v>
      </c>
    </row>
    <row r="465" spans="1:6" x14ac:dyDescent="0.35">
      <c r="A465" s="10">
        <f>'26'!A19</f>
        <v>26</v>
      </c>
      <c r="B465" s="10">
        <f>'26'!B19</f>
        <v>18</v>
      </c>
      <c r="C465" s="10" t="str">
        <f>'26'!D19</f>
        <v>little guidance on the development, monitoring, and maintenance of GI - challenging to provide standards because the system is alive</v>
      </c>
      <c r="D465" s="10" t="str">
        <f>'26'!E19</f>
        <v>F</v>
      </c>
      <c r="E465" s="10">
        <f>'26'!F19</f>
        <v>2</v>
      </c>
      <c r="F465" s="10">
        <f>'26'!G19</f>
        <v>2</v>
      </c>
    </row>
    <row r="466" spans="1:6" x14ac:dyDescent="0.35">
      <c r="A466" s="10">
        <f>'26'!A20</f>
        <v>26</v>
      </c>
      <c r="B466" s="10">
        <f>'26'!B20</f>
        <v>19</v>
      </c>
      <c r="C466" s="10" t="str">
        <f>'26'!D20</f>
        <v>‘cultural heritage’ status of  certain school buildings with colonial features prohibits interventions that may change their  appearance - Planning and building  code constraints are a common barrier</v>
      </c>
      <c r="D466" s="10" t="str">
        <f>'26'!E20</f>
        <v>F</v>
      </c>
      <c r="E466" s="10">
        <f>'26'!F20</f>
        <v>1</v>
      </c>
      <c r="F466" s="10">
        <f>'26'!G20</f>
        <v>1</v>
      </c>
    </row>
    <row r="467" spans="1:6" x14ac:dyDescent="0.35">
      <c r="A467" s="10">
        <f>'26'!A21</f>
        <v>26</v>
      </c>
      <c r="B467" s="10">
        <f>'26'!B21</f>
        <v>20</v>
      </c>
      <c r="C467" s="10" t="str">
        <f>'26'!D21</f>
        <v>Past positive and negative experiences  with GI at different levels (government, private practice, residents) may create bias towards  their uptake or rejection, which is referred to as ‘path dependency’</v>
      </c>
      <c r="D467" s="10" t="str">
        <f>'26'!E21</f>
        <v>D</v>
      </c>
      <c r="E467" s="10">
        <f>'26'!F21</f>
        <v>0</v>
      </c>
      <c r="F467" s="10">
        <f>'26'!G21</f>
        <v>5</v>
      </c>
    </row>
    <row r="468" spans="1:6" x14ac:dyDescent="0.35">
      <c r="A468" s="10">
        <f>'26'!A22</f>
        <v>26</v>
      </c>
      <c r="B468" s="10">
        <f>'26'!B22</f>
        <v>21</v>
      </c>
      <c r="C468" s="10" t="str">
        <f>'26'!D22</f>
        <v xml:space="preserve"> land ownership determines the  activities that are possible in a place</v>
      </c>
      <c r="D468" s="10" t="str">
        <f>'26'!E22</f>
        <v>F</v>
      </c>
      <c r="E468" s="10">
        <f>'26'!F22</f>
        <v>5</v>
      </c>
      <c r="F468" s="10">
        <f>'26'!G22</f>
        <v>2</v>
      </c>
    </row>
    <row r="469" spans="1:6" x14ac:dyDescent="0.35">
      <c r="A469" s="10">
        <f>'26'!A23</f>
        <v>26</v>
      </c>
      <c r="B469" s="10">
        <f>'26'!B23</f>
        <v>22</v>
      </c>
      <c r="C469" s="10" t="str">
        <f>'26'!D23</f>
        <v>landscape morphology, available space, and built-up infrastructure pose technical  difficulties</v>
      </c>
      <c r="D469" s="10" t="str">
        <f>'26'!E23</f>
        <v>F</v>
      </c>
      <c r="E469" s="10">
        <f>'26'!F23</f>
        <v>5</v>
      </c>
      <c r="F469" s="10">
        <f>'26'!G23</f>
        <v>2</v>
      </c>
    </row>
    <row r="470" spans="1:6" x14ac:dyDescent="0.35">
      <c r="A470" s="10">
        <f>'26'!A24</f>
        <v>26</v>
      </c>
      <c r="B470" s="10">
        <f>'26'!B24</f>
        <v>23</v>
      </c>
      <c r="C470" s="10" t="str">
        <f>'26'!D24</f>
        <v>lack  of financial incentives</v>
      </c>
      <c r="D470" s="10" t="str">
        <f>'26'!E24</f>
        <v>A</v>
      </c>
      <c r="E470" s="10">
        <f>'26'!F24</f>
        <v>1</v>
      </c>
      <c r="F470" s="10">
        <f>'26'!G24</f>
        <v>8</v>
      </c>
    </row>
    <row r="471" spans="1:6" x14ac:dyDescent="0.35">
      <c r="A471" s="10">
        <f>'26'!A25</f>
        <v>26</v>
      </c>
      <c r="B471" s="10">
        <f>'26'!B25</f>
        <v>24</v>
      </c>
      <c r="C471" s="10" t="str">
        <f>'26'!D25</f>
        <v>development of  trust between ‘city and citizens’ and collaborative governance among local government  and other actors are important enablers</v>
      </c>
      <c r="D471" s="10" t="str">
        <f>'26'!E25</f>
        <v>F</v>
      </c>
      <c r="E471" s="10">
        <f>'26'!F25</f>
        <v>1</v>
      </c>
      <c r="F471" s="10">
        <f>'26'!G25</f>
        <v>1</v>
      </c>
    </row>
    <row r="472" spans="1:6" x14ac:dyDescent="0.35">
      <c r="A472" s="10">
        <f>'26'!A26</f>
        <v>26</v>
      </c>
      <c r="B472" s="10">
        <f>'26'!B26</f>
        <v>25</v>
      </c>
      <c r="C472" s="10" t="str">
        <f>'26'!D26</f>
        <v>lack of green policies</v>
      </c>
      <c r="D472" s="10" t="str">
        <f>'26'!E26</f>
        <v>F</v>
      </c>
      <c r="E472" s="10">
        <f>'26'!F26</f>
        <v>2</v>
      </c>
      <c r="F472" s="10">
        <f>'26'!G26</f>
        <v>2</v>
      </c>
    </row>
    <row r="473" spans="1:6" x14ac:dyDescent="0.35">
      <c r="A473" s="10">
        <f>'26'!A27</f>
        <v>26</v>
      </c>
      <c r="B473" s="10">
        <f>'26'!B27</f>
        <v>26</v>
      </c>
      <c r="C473" s="10" t="str">
        <f>'26'!D27</f>
        <v xml:space="preserve"> lack  of pre-existing NbS interventions to shape the agenda</v>
      </c>
      <c r="D473" s="10" t="str">
        <f>'26'!E27</f>
        <v>C</v>
      </c>
      <c r="E473" s="10">
        <f>'26'!F27</f>
        <v>1</v>
      </c>
      <c r="F473" s="10">
        <f>'26'!G27</f>
        <v>1</v>
      </c>
    </row>
    <row r="474" spans="1:6" x14ac:dyDescent="0.35">
      <c r="A474" s="10">
        <f>'26'!A28</f>
        <v>26</v>
      </c>
      <c r="B474" s="10">
        <f>'26'!B28</f>
        <v>27</v>
      </c>
      <c r="C474" s="10" t="str">
        <f>'26'!D28</f>
        <v>complies with local and international regulations on ‘environmental quality’ does not  consider pollution hotspots, which the public monitoring system is also unable to identify  and document</v>
      </c>
      <c r="D474" s="10" t="str">
        <f>'26'!E28</f>
        <v>D</v>
      </c>
      <c r="E474" s="10">
        <f>'26'!F28</f>
        <v>0</v>
      </c>
      <c r="F474" s="10">
        <f>'26'!G28</f>
        <v>5</v>
      </c>
    </row>
    <row r="475" spans="1:6" x14ac:dyDescent="0.35">
      <c r="A475" s="10">
        <f>'26'!A29</f>
        <v>26</v>
      </c>
      <c r="B475" s="10">
        <f>'26'!B29</f>
        <v>28</v>
      </c>
      <c r="C475" s="10" t="str">
        <f>'26'!D29</f>
        <v xml:space="preserve"> air pollution  is not sensorially evident citywide for extended periods of time, with numerous cases  of poor health symptoms</v>
      </c>
      <c r="D475" s="10" t="str">
        <f>'26'!E29</f>
        <v>D</v>
      </c>
      <c r="E475" s="10">
        <f>'26'!F29</f>
        <v>0</v>
      </c>
      <c r="F475" s="10">
        <f>'26'!G29</f>
        <v>5</v>
      </c>
    </row>
    <row r="476" spans="1:6" x14ac:dyDescent="0.35">
      <c r="A476" s="10">
        <f>'26'!A30</f>
        <v>26</v>
      </c>
      <c r="B476" s="10">
        <f>'26'!B30</f>
        <v>29</v>
      </c>
      <c r="C476" s="10" t="str">
        <f>'26'!D30</f>
        <v>process of monitoring and data collection encountered difficulties related to the lack of familiarity interventions among specialists and the need for them to adapt their techniques and research design to test the green fence’s efficacy</v>
      </c>
      <c r="D476" s="10" t="str">
        <f>'26'!E30</f>
        <v>C</v>
      </c>
      <c r="E476" s="10">
        <f>'26'!F30</f>
        <v>3</v>
      </c>
      <c r="F476" s="10">
        <f>'26'!G30</f>
        <v>2</v>
      </c>
    </row>
    <row r="477" spans="1:6" x14ac:dyDescent="0.35">
      <c r="A477" s="10">
        <f>'27'!A2</f>
        <v>27</v>
      </c>
      <c r="B477" s="10">
        <f>'27'!B2</f>
        <v>1</v>
      </c>
      <c r="C477" s="10" t="str">
        <f>'27'!D2</f>
        <v>Benefits of restoration are more uncertain than grey solutions</v>
      </c>
      <c r="D477" s="10" t="str">
        <f>'27'!E2</f>
        <v>C</v>
      </c>
      <c r="E477" s="10">
        <f>'27'!F2</f>
        <v>1</v>
      </c>
      <c r="F477" s="10">
        <f>'27'!G2</f>
        <v>1</v>
      </c>
    </row>
    <row r="478" spans="1:6" x14ac:dyDescent="0.35">
      <c r="A478" s="10">
        <f>'27'!A3</f>
        <v>27</v>
      </c>
      <c r="B478" s="10">
        <f>'27'!B3</f>
        <v>2</v>
      </c>
      <c r="C478" s="10" t="str">
        <f>'27'!D3</f>
        <v xml:space="preserve">public funding is limited </v>
      </c>
      <c r="D478" s="10" t="str">
        <f>'27'!E3</f>
        <v>A</v>
      </c>
      <c r="E478" s="10">
        <f>'27'!F3</f>
        <v>1</v>
      </c>
      <c r="F478" s="10">
        <f>'27'!G3</f>
        <v>1</v>
      </c>
    </row>
    <row r="479" spans="1:6" x14ac:dyDescent="0.35">
      <c r="A479" s="10">
        <f>'27'!A4</f>
        <v>27</v>
      </c>
      <c r="B479" s="10">
        <f>'27'!B4</f>
        <v>3</v>
      </c>
      <c r="C479" s="10" t="str">
        <f>'27'!D4</f>
        <v xml:space="preserve">private funding budgets also limited (non-commercial) </v>
      </c>
      <c r="D479" s="10" t="str">
        <f>'27'!E4</f>
        <v>A</v>
      </c>
      <c r="E479" s="10">
        <f>'27'!F4</f>
        <v>1</v>
      </c>
      <c r="F479" s="10">
        <f>'27'!G4</f>
        <v>1</v>
      </c>
    </row>
    <row r="480" spans="1:6" x14ac:dyDescent="0.35">
      <c r="A480" s="10">
        <f>'27'!A5</f>
        <v>27</v>
      </c>
      <c r="B480" s="10">
        <f>'27'!B5</f>
        <v>4</v>
      </c>
      <c r="C480" s="10" t="str">
        <f>'27'!D5</f>
        <v xml:space="preserve">high benefits cannot always be converted into cashflows (revenues)  due to public good character, dispersed distribution across multiple beneficiaries, stochastic nature. </v>
      </c>
      <c r="D480" s="10" t="str">
        <f>'27'!E5</f>
        <v>A</v>
      </c>
      <c r="E480" s="10">
        <f>'27'!F5</f>
        <v>1</v>
      </c>
      <c r="F480" s="10">
        <f>'27'!G5</f>
        <v>8</v>
      </c>
    </row>
    <row r="481" spans="1:6" x14ac:dyDescent="0.35">
      <c r="A481" s="10">
        <f>'27'!A6</f>
        <v>27</v>
      </c>
      <c r="B481" s="10">
        <f>'27'!B6</f>
        <v>5</v>
      </c>
      <c r="C481" s="10" t="str">
        <f>'27'!D6</f>
        <v xml:space="preserve">competing demands for public money </v>
      </c>
      <c r="D481" s="10" t="str">
        <f>'27'!E6</f>
        <v>F</v>
      </c>
      <c r="E481" s="10">
        <f>'27'!F6</f>
        <v>5</v>
      </c>
      <c r="F481" s="10">
        <f>'27'!G6</f>
        <v>1</v>
      </c>
    </row>
    <row r="482" spans="1:6" x14ac:dyDescent="0.35">
      <c r="A482" s="10">
        <f>'27'!A7</f>
        <v>27</v>
      </c>
      <c r="B482" s="10">
        <f>'27'!B7</f>
        <v>6</v>
      </c>
      <c r="C482" s="10" t="str">
        <f>'27'!D7</f>
        <v>Initiators of restoration projects often lack the expertise to put together business plans that are attractive to investors</v>
      </c>
      <c r="D482" s="10" t="str">
        <f>'27'!E7</f>
        <v>A</v>
      </c>
      <c r="E482" s="10">
        <f>'27'!F7</f>
        <v>2</v>
      </c>
      <c r="F482" s="10">
        <f>'27'!G7</f>
        <v>7</v>
      </c>
    </row>
    <row r="483" spans="1:6" x14ac:dyDescent="0.35">
      <c r="A483" s="10">
        <f>'27'!A8</f>
        <v>27</v>
      </c>
      <c r="B483" s="10">
        <f>'27'!B8</f>
        <v>7</v>
      </c>
      <c r="C483" s="10" t="str">
        <f>'27'!D8</f>
        <v xml:space="preserve">project appraisal methodology doesnt facilitate inclusion of NBS cobenefits, leading to favouring of grey infra projects </v>
      </c>
      <c r="D483" s="10" t="str">
        <f>'27'!E8</f>
        <v>F</v>
      </c>
      <c r="E483" s="10">
        <f>'27'!F8</f>
        <v>2</v>
      </c>
      <c r="F483" s="10">
        <f>'27'!G8</f>
        <v>1</v>
      </c>
    </row>
    <row r="484" spans="1:6" x14ac:dyDescent="0.35">
      <c r="A484" s="10">
        <f>'27'!A9</f>
        <v>27</v>
      </c>
      <c r="B484" s="10">
        <f>'27'!B9</f>
        <v>8</v>
      </c>
      <c r="C484" s="10" t="str">
        <f>'27'!D9</f>
        <v xml:space="preserve">project appraisals use discounting of future benefits, favouring projects with benefits occuring sooner, whilst NBS delivery of (all) benefits occurs over long time. </v>
      </c>
      <c r="D484" s="10" t="str">
        <f>'27'!E9</f>
        <v>F</v>
      </c>
      <c r="E484" s="10">
        <f>'27'!F9</f>
        <v>2</v>
      </c>
      <c r="F484" s="10">
        <f>'27'!G9</f>
        <v>1</v>
      </c>
    </row>
    <row r="485" spans="1:6" x14ac:dyDescent="0.35">
      <c r="A485" s="10">
        <f>'27'!A10</f>
        <v>27</v>
      </c>
      <c r="B485" s="10">
        <f>'27'!B10</f>
        <v>9</v>
      </c>
      <c r="C485" s="10" t="str">
        <f>'27'!D10</f>
        <v xml:space="preserve"> high option value of restoration seldom included in project appraisals favoring grey infrastructure solutions</v>
      </c>
      <c r="D485" s="10" t="str">
        <f>'27'!E10</f>
        <v>F</v>
      </c>
      <c r="E485" s="10">
        <f>'27'!F10</f>
        <v>2</v>
      </c>
      <c r="F485" s="10">
        <f>'27'!G10</f>
        <v>1</v>
      </c>
    </row>
    <row r="486" spans="1:6" x14ac:dyDescent="0.35">
      <c r="A486" s="10">
        <f>'28'!A2</f>
        <v>28</v>
      </c>
      <c r="B486" s="10">
        <f>'28'!B2</f>
        <v>1</v>
      </c>
      <c r="C486" s="10" t="str">
        <f>'28'!D2</f>
        <v xml:space="preserve"> Higher construction and maintenance costs than conventional pavements</v>
      </c>
      <c r="D486" s="10" t="str">
        <f>'28'!E2</f>
        <v>C</v>
      </c>
      <c r="E486" s="10">
        <f>'28'!F2</f>
        <v>3</v>
      </c>
      <c r="F486" s="10">
        <f>'28'!G2</f>
        <v>1</v>
      </c>
    </row>
    <row r="487" spans="1:6" x14ac:dyDescent="0.35">
      <c r="A487" s="10">
        <f>'28'!A3</f>
        <v>28</v>
      </c>
      <c r="B487" s="10">
        <f>'28'!B3</f>
        <v>2</v>
      </c>
      <c r="C487" s="10" t="str">
        <f>'28'!D3</f>
        <v>The quality of water stored gets deteriorated after a prolonged period of time,</v>
      </c>
      <c r="D487" s="10" t="str">
        <f>'28'!E3</f>
        <v>B</v>
      </c>
      <c r="E487" s="10">
        <f>'28'!F3</f>
        <v>0</v>
      </c>
      <c r="F487" s="10">
        <f>'28'!G3</f>
        <v>1</v>
      </c>
    </row>
    <row r="488" spans="1:6" x14ac:dyDescent="0.35">
      <c r="A488" s="10">
        <f>'28'!A4</f>
        <v>28</v>
      </c>
      <c r="B488" s="10">
        <f>'28'!B4</f>
        <v>3</v>
      </c>
      <c r="C488" s="10" t="str">
        <f>'28'!D4</f>
        <v>Require a considerable amount of space, making it unsuitable for densely populated areas</v>
      </c>
      <c r="D488" s="10" t="str">
        <f>'28'!E4</f>
        <v>F</v>
      </c>
      <c r="E488" s="10">
        <f>'28'!F4</f>
        <v>5</v>
      </c>
      <c r="F488" s="10">
        <f>'28'!G4</f>
        <v>2</v>
      </c>
    </row>
    <row r="489" spans="1:6" x14ac:dyDescent="0.35">
      <c r="A489" s="10">
        <f>'28'!A5</f>
        <v>28</v>
      </c>
      <c r="B489" s="10">
        <f>'28'!B5</f>
        <v>4</v>
      </c>
      <c r="C489" s="10" t="str">
        <f>'28'!D5</f>
        <v xml:space="preserve">safety and health concerns - May fail in case of higher pollutant loads 
</v>
      </c>
      <c r="D489" s="10" t="str">
        <f>'28'!E5</f>
        <v>B</v>
      </c>
      <c r="E489" s="10">
        <f>'28'!F5</f>
        <v>0</v>
      </c>
      <c r="F489" s="10">
        <f>'28'!G5</f>
        <v>1</v>
      </c>
    </row>
    <row r="490" spans="1:6" x14ac:dyDescent="0.35">
      <c r="A490" s="10">
        <f>'28'!A6</f>
        <v>28</v>
      </c>
      <c r="B490" s="10">
        <f>'28'!B6</f>
        <v>5</v>
      </c>
      <c r="C490" s="10" t="str">
        <f>'28'!D6</f>
        <v xml:space="preserve">demand constant inspection and removal of collected debris along with other remains from its inlet and outlet structures
</v>
      </c>
      <c r="D490" s="10" t="str">
        <f>'28'!E6</f>
        <v>A</v>
      </c>
      <c r="E490" s="10">
        <f>'28'!F6</f>
        <v>3</v>
      </c>
      <c r="F490" s="10">
        <f>'28'!G6</f>
        <v>3</v>
      </c>
    </row>
    <row r="491" spans="1:6" x14ac:dyDescent="0.35">
      <c r="A491" s="10">
        <f>'28'!A7</f>
        <v>28</v>
      </c>
      <c r="B491" s="10">
        <f>'28'!B7</f>
        <v>6</v>
      </c>
      <c r="C491" s="10" t="str">
        <f>'28'!D7</f>
        <v xml:space="preserve">Maintenance costs vary from moderate to high, Installation is expensive because of the high investment cost of labour </v>
      </c>
      <c r="D491" s="10" t="str">
        <f>'28'!E7</f>
        <v>C</v>
      </c>
      <c r="E491" s="10">
        <f>'28'!F7</f>
        <v>3</v>
      </c>
      <c r="F491" s="10">
        <f>'28'!G7</f>
        <v>3</v>
      </c>
    </row>
    <row r="492" spans="1:6" x14ac:dyDescent="0.35">
      <c r="A492" s="10">
        <f>'28'!A8</f>
        <v>28</v>
      </c>
      <c r="B492" s="10">
        <f>'28'!B8</f>
        <v>7</v>
      </c>
      <c r="C492" s="10" t="str">
        <f>'28'!D8</f>
        <v xml:space="preserve">limited research at a local level to find suitable native plants for the optimum performance of green roofs </v>
      </c>
      <c r="D492" s="10" t="str">
        <f>'28'!E8</f>
        <v>C</v>
      </c>
      <c r="E492" s="10">
        <f>'28'!F8</f>
        <v>3</v>
      </c>
      <c r="F492" s="10">
        <f>'28'!G8</f>
        <v>1</v>
      </c>
    </row>
    <row r="493" spans="1:6" x14ac:dyDescent="0.35">
      <c r="A493" s="10">
        <f>'28'!A9</f>
        <v>28</v>
      </c>
      <c r="B493" s="10">
        <f>'28'!B9</f>
        <v>8</v>
      </c>
      <c r="C493" s="10" t="str">
        <f>'28'!D9</f>
        <v>Initial high construction cost and require consistent maintenance</v>
      </c>
      <c r="D493" s="10" t="str">
        <f>'28'!E9</f>
        <v>C</v>
      </c>
      <c r="E493" s="10">
        <f>'28'!F9</f>
        <v>3</v>
      </c>
      <c r="F493" s="10">
        <f>'28'!G9</f>
        <v>1</v>
      </c>
    </row>
    <row r="494" spans="1:6" x14ac:dyDescent="0.35">
      <c r="A494" s="10">
        <f>'28'!A10</f>
        <v>28</v>
      </c>
      <c r="B494" s="10">
        <f>'28'!B10</f>
        <v>9</v>
      </c>
      <c r="C494" s="10" t="str">
        <f>'28'!D10</f>
        <v>Improper installation increases the probability of leakage and can even lead to structural failure of building</v>
      </c>
      <c r="D494" s="10" t="str">
        <f>'28'!E10</f>
        <v>C</v>
      </c>
      <c r="E494" s="10">
        <f>'28'!F10</f>
        <v>1</v>
      </c>
      <c r="F494" s="10">
        <f>'28'!G10</f>
        <v>1</v>
      </c>
    </row>
    <row r="495" spans="1:6" x14ac:dyDescent="0.35">
      <c r="A495" s="10">
        <f>'28'!A11</f>
        <v>28</v>
      </c>
      <c r="B495" s="10">
        <f>'28'!B11</f>
        <v>10</v>
      </c>
      <c r="C495" s="10" t="str">
        <f>'28'!D11</f>
        <v xml:space="preserve">Insufficient technical support ( skilled labour, knowledge on design standards, guidelines and performance) is one of the prime reasons for delayed GI implementation. </v>
      </c>
      <c r="D495" s="10" t="str">
        <f>'28'!E11</f>
        <v>C</v>
      </c>
      <c r="E495" s="10">
        <f>'28'!F11</f>
        <v>3</v>
      </c>
      <c r="F495" s="10">
        <f>'28'!G11</f>
        <v>1</v>
      </c>
    </row>
    <row r="496" spans="1:6" x14ac:dyDescent="0.35">
      <c r="A496" s="10">
        <f>'28'!A12</f>
        <v>28</v>
      </c>
      <c r="B496" s="10">
        <f>'28'!B12</f>
        <v>11</v>
      </c>
      <c r="C496" s="10" t="str">
        <f>'28'!D12</f>
        <v>available land space is scarce in densely populated areas.</v>
      </c>
      <c r="D496" s="10" t="str">
        <f>'28'!E12</f>
        <v>F</v>
      </c>
      <c r="E496" s="10">
        <f>'28'!F12</f>
        <v>5</v>
      </c>
      <c r="F496" s="10">
        <f>'28'!G12</f>
        <v>2</v>
      </c>
    </row>
    <row r="497" spans="1:6" x14ac:dyDescent="0.35">
      <c r="A497" s="10">
        <f>'28'!A13</f>
        <v>28</v>
      </c>
      <c r="B497" s="10">
        <f>'28'!B13</f>
        <v>12</v>
      </c>
      <c r="C497" s="10" t="str">
        <f>'28'!D13</f>
        <v xml:space="preserve">single GI solution cannot turn out to be effective in all places influenced by  factors such as land usage type, slope, size of the watershed, soil permeability, rainfall patterns, depth of water table and other natural characteristics </v>
      </c>
      <c r="D497" s="10" t="str">
        <f>'28'!E13</f>
        <v>B</v>
      </c>
      <c r="E497" s="10">
        <f>'28'!F13</f>
        <v>0</v>
      </c>
      <c r="F497" s="10">
        <f>'28'!G13</f>
        <v>4</v>
      </c>
    </row>
    <row r="498" spans="1:6" x14ac:dyDescent="0.35">
      <c r="A498" s="10">
        <f>'28'!A14</f>
        <v>28</v>
      </c>
      <c r="B498" s="10">
        <f>'28'!B14</f>
        <v>13</v>
      </c>
      <c r="C498" s="10" t="str">
        <f>'28'!D14</f>
        <v xml:space="preserve"> limited experimental and field data available related to performance</v>
      </c>
      <c r="D498" s="10" t="str">
        <f>'28'!E14</f>
        <v>C</v>
      </c>
      <c r="E498" s="10">
        <f>'28'!F14</f>
        <v>1</v>
      </c>
      <c r="F498" s="10">
        <f>'28'!G14</f>
        <v>1</v>
      </c>
    </row>
    <row r="499" spans="1:6" x14ac:dyDescent="0.35">
      <c r="A499" s="10">
        <f>'28'!A15</f>
        <v>28</v>
      </c>
      <c r="B499" s="10">
        <f>'28'!B15</f>
        <v>14</v>
      </c>
      <c r="C499" s="10" t="str">
        <f>'28'!D15</f>
        <v>In developing countries, the lack of topographical and hydrological data makes the designing and implementation process of reliable measures for flood-risk mitigation time-consuming.</v>
      </c>
      <c r="D499" s="10" t="str">
        <f>'28'!E15</f>
        <v>C</v>
      </c>
      <c r="E499" s="10">
        <f>'28'!F15</f>
        <v>2</v>
      </c>
      <c r="F499" s="10">
        <f>'28'!G15</f>
        <v>1</v>
      </c>
    </row>
    <row r="500" spans="1:6" x14ac:dyDescent="0.35">
      <c r="A500" s="10">
        <f>'28'!A16</f>
        <v>28</v>
      </c>
      <c r="B500" s="10">
        <f>'28'!B16</f>
        <v>15</v>
      </c>
      <c r="C500" s="10" t="str">
        <f>'28'!D16</f>
        <v xml:space="preserve">Insufficient hydrological data prevents a consistent estimation of expected flood events, whereas the absence of suitable topographical data results in defective hydraulic analysis. </v>
      </c>
      <c r="D500" s="10" t="str">
        <f>'28'!E16</f>
        <v>C</v>
      </c>
      <c r="E500" s="10">
        <f>'28'!F16</f>
        <v>2</v>
      </c>
      <c r="F500" s="10">
        <f>'28'!G16</f>
        <v>1</v>
      </c>
    </row>
    <row r="501" spans="1:6" x14ac:dyDescent="0.35">
      <c r="A501" s="10">
        <f>'28'!A17</f>
        <v>28</v>
      </c>
      <c r="B501" s="10">
        <f>'28'!B17</f>
        <v>16</v>
      </c>
      <c r="C501" s="10" t="str">
        <f>'28'!D17</f>
        <v xml:space="preserve">AHP and spatial analysis can be employed to improve flood risk management by using indicators like land use, soil texture, distance to rivers, population density, rainfall patterns etc. -this may come in handy in places that lack data to run hydraulic models, thus accelerating the simulation process of flood risk assessment maps </v>
      </c>
      <c r="D501" s="10" t="str">
        <f>'28'!E17</f>
        <v>C</v>
      </c>
      <c r="E501" s="10">
        <f>'28'!F17</f>
        <v>2</v>
      </c>
      <c r="F501" s="10">
        <f>'28'!G17</f>
        <v>1</v>
      </c>
    </row>
    <row r="502" spans="1:6" x14ac:dyDescent="0.35">
      <c r="A502" s="10">
        <f>'28'!A18</f>
        <v>28</v>
      </c>
      <c r="B502" s="10">
        <f>'28'!B18</f>
        <v>17</v>
      </c>
      <c r="C502" s="10" t="str">
        <f>'28'!D18</f>
        <v xml:space="preserve">due to lack of political and administrative will, there are no stringent laws and regulations for their application, supervision and maintenance </v>
      </c>
      <c r="D502" s="10" t="str">
        <f>'28'!E18</f>
        <v>E</v>
      </c>
      <c r="E502" s="10">
        <f>'28'!F18</f>
        <v>0</v>
      </c>
      <c r="F502" s="10">
        <f>'28'!G18</f>
        <v>1</v>
      </c>
    </row>
    <row r="503" spans="1:6" x14ac:dyDescent="0.35">
      <c r="A503" s="10">
        <f>'28'!A19</f>
        <v>28</v>
      </c>
      <c r="B503" s="10">
        <f>'28'!B19</f>
        <v>18</v>
      </c>
      <c r="C503" s="10" t="str">
        <f>'28'!D19</f>
        <v xml:space="preserve">modelling tools demand more exposure in terms of stakeholders’ participation. </v>
      </c>
      <c r="D503" s="10" t="str">
        <f>'28'!E19</f>
        <v>C</v>
      </c>
      <c r="E503" s="10">
        <f>'28'!F19</f>
        <v>2</v>
      </c>
      <c r="F503" s="10">
        <f>'28'!G19</f>
        <v>3</v>
      </c>
    </row>
    <row r="504" spans="1:6" x14ac:dyDescent="0.35">
      <c r="A504" s="10">
        <f>'28'!A20</f>
        <v>28</v>
      </c>
      <c r="B504" s="10">
        <f>'28'!B20</f>
        <v>19</v>
      </c>
      <c r="C504" s="10" t="str">
        <f>'28'!D20</f>
        <v xml:space="preserve"> absence of cooperation between the different departments, coupled with unclear responsibilities, hampering the process of execution, maintenance and supervision. </v>
      </c>
      <c r="D504" s="10" t="str">
        <f>'28'!E20</f>
        <v>F</v>
      </c>
      <c r="E504" s="10">
        <f>'28'!F20</f>
        <v>1</v>
      </c>
      <c r="F504" s="10">
        <f>'28'!G20</f>
        <v>1</v>
      </c>
    </row>
    <row r="505" spans="1:6" x14ac:dyDescent="0.35">
      <c r="A505" s="10">
        <f>'28'!A21</f>
        <v>28</v>
      </c>
      <c r="B505" s="10">
        <f>'28'!B21</f>
        <v>20</v>
      </c>
      <c r="C505" s="10" t="str">
        <f>'28'!D21</f>
        <v xml:space="preserve"> lack a framework for an effective flood risk assessment at local scales</v>
      </c>
      <c r="D505" s="10" t="str">
        <f>'28'!E21</f>
        <v>C</v>
      </c>
      <c r="E505" s="10">
        <f>'28'!F21</f>
        <v>3</v>
      </c>
      <c r="F505" s="10">
        <f>'28'!G21</f>
        <v>1</v>
      </c>
    </row>
    <row r="506" spans="1:6" x14ac:dyDescent="0.35">
      <c r="A506" s="10">
        <f>'28'!A22</f>
        <v>28</v>
      </c>
      <c r="B506" s="10">
        <f>'28'!B22</f>
        <v>21</v>
      </c>
      <c r="C506" s="10" t="str">
        <f>'28'!D22</f>
        <v xml:space="preserve"> improved understanding of the perception of flood risk, safety and risk communication methods could be immensely valuable for the present as well as future stakeholders</v>
      </c>
      <c r="D506" s="10" t="str">
        <f>'28'!E22</f>
        <v>B</v>
      </c>
      <c r="E506" s="10">
        <f>'28'!F22</f>
        <v>0</v>
      </c>
      <c r="F506" s="10">
        <f>'28'!G22</f>
        <v>4</v>
      </c>
    </row>
    <row r="507" spans="1:6" x14ac:dyDescent="0.35">
      <c r="A507" s="10">
        <f>'28'!A23</f>
        <v>28</v>
      </c>
      <c r="B507" s="10">
        <f>'28'!B23</f>
        <v>22</v>
      </c>
      <c r="C507" s="10" t="str">
        <f>'28'!D23</f>
        <v>urban planners and professionals can join in their efforts for improved and viable results</v>
      </c>
      <c r="D507" s="10" t="str">
        <f>'28'!E23</f>
        <v>F</v>
      </c>
      <c r="E507" s="10">
        <f>'28'!F23</f>
        <v>1</v>
      </c>
      <c r="F507" s="10">
        <f>'28'!G23</f>
        <v>2</v>
      </c>
    </row>
    <row r="508" spans="1:6" x14ac:dyDescent="0.35">
      <c r="A508" s="10">
        <f>'28'!A24</f>
        <v>28</v>
      </c>
      <c r="B508" s="10">
        <f>'28'!B24</f>
        <v>23</v>
      </c>
      <c r="C508" s="10" t="str">
        <f>'28'!D24</f>
        <v xml:space="preserve"> Formulating policies and technical standards concerning floodwater management pays off</v>
      </c>
      <c r="D508" s="10" t="str">
        <f>'28'!E24</f>
        <v>F</v>
      </c>
      <c r="E508" s="10">
        <f>'28'!F24</f>
        <v>2</v>
      </c>
      <c r="F508" s="10">
        <f>'28'!G24</f>
        <v>2</v>
      </c>
    </row>
    <row r="509" spans="1:6" x14ac:dyDescent="0.35">
      <c r="A509" s="10">
        <f>'28'!A25</f>
        <v>28</v>
      </c>
      <c r="B509" s="10">
        <f>'28'!B25</f>
        <v>24</v>
      </c>
      <c r="C509" s="10" t="str">
        <f>'28'!D25</f>
        <v>Evaluation of water-linked ecosystem services could be done using hydro-dynamic modelling and multi-objective optimisation both at regional levels as well as for a watershed for the purpose of municipal planning</v>
      </c>
      <c r="D509" s="10" t="str">
        <f>'28'!E25</f>
        <v>B</v>
      </c>
      <c r="E509" s="10">
        <f>'28'!F25</f>
        <v>0</v>
      </c>
      <c r="F509" s="10">
        <f>'28'!G25</f>
        <v>1</v>
      </c>
    </row>
    <row r="510" spans="1:6" x14ac:dyDescent="0.35">
      <c r="A510" s="10">
        <f>'28'!A26</f>
        <v>28</v>
      </c>
      <c r="B510" s="10">
        <f>'28'!B26</f>
        <v>25</v>
      </c>
      <c r="C510" s="10" t="str">
        <f>'28'!D26</f>
        <v>inadequate incentives</v>
      </c>
      <c r="D510" s="10" t="str">
        <f>'28'!E26</f>
        <v>A</v>
      </c>
      <c r="E510" s="10">
        <f>'28'!F26</f>
        <v>1</v>
      </c>
      <c r="F510" s="10">
        <f>'28'!G26</f>
        <v>8</v>
      </c>
    </row>
    <row r="511" spans="1:6" x14ac:dyDescent="0.35">
      <c r="A511" s="10">
        <f>'28'!A27</f>
        <v>28</v>
      </c>
      <c r="B511" s="10">
        <f>'28'!B27</f>
        <v>26</v>
      </c>
      <c r="C511" s="10" t="str">
        <f>'28'!D27</f>
        <v>limited investments</v>
      </c>
      <c r="D511" s="10" t="str">
        <f>'28'!E27</f>
        <v>A</v>
      </c>
      <c r="E511" s="10">
        <f>'28'!F27</f>
        <v>2</v>
      </c>
      <c r="F511" s="10">
        <f>'28'!G27</f>
        <v>1</v>
      </c>
    </row>
    <row r="512" spans="1:6" x14ac:dyDescent="0.35">
      <c r="A512" s="10">
        <f>'28'!A28</f>
        <v>28</v>
      </c>
      <c r="B512" s="10">
        <f>'28'!B28</f>
        <v>27</v>
      </c>
      <c r="C512" s="10" t="str">
        <f>'28'!D28</f>
        <v xml:space="preserve">construction costs, </v>
      </c>
      <c r="D512" s="10" t="str">
        <f>'28'!E28</f>
        <v>A</v>
      </c>
      <c r="E512" s="10">
        <f>'28'!F28</f>
        <v>3</v>
      </c>
      <c r="F512" s="10">
        <f>'28'!G28</f>
        <v>1</v>
      </c>
    </row>
    <row r="513" spans="1:6" x14ac:dyDescent="0.35">
      <c r="A513" s="10">
        <f>'28'!A29</f>
        <v>28</v>
      </c>
      <c r="B513" s="10">
        <f>'28'!B29</f>
        <v>28</v>
      </c>
      <c r="C513" s="10" t="str">
        <f>'28'!D29</f>
        <v>nitial price of introducing it in the landscape and maintenance costs post-construction</v>
      </c>
      <c r="D513" s="10" t="str">
        <f>'28'!E29</f>
        <v>A</v>
      </c>
      <c r="E513" s="10">
        <f>'28'!F29</f>
        <v>3</v>
      </c>
      <c r="F513" s="10">
        <f>'28'!G29</f>
        <v>3</v>
      </c>
    </row>
    <row r="514" spans="1:6" x14ac:dyDescent="0.35">
      <c r="A514" s="10">
        <f>'28'!A30</f>
        <v>28</v>
      </c>
      <c r="B514" s="10">
        <f>'28'!B30</f>
        <v>29</v>
      </c>
      <c r="C514" s="10" t="str">
        <f>'28'!D30</f>
        <v xml:space="preserve">Funding is also an obstacle in modelling the drainage systems -  Many open source and commercial software packages are presently but cost-effective open-source models offer weak technical support and commercial ones too expensive for extensive use  </v>
      </c>
      <c r="D514" s="10" t="str">
        <f>'28'!E30</f>
        <v>A</v>
      </c>
      <c r="E514" s="10">
        <f>'28'!F30</f>
        <v>1</v>
      </c>
      <c r="F514" s="10">
        <f>'28'!G30</f>
        <v>1</v>
      </c>
    </row>
    <row r="515" spans="1:6" x14ac:dyDescent="0.35">
      <c r="A515" s="10">
        <f>'28'!A31</f>
        <v>28</v>
      </c>
      <c r="B515" s="10">
        <f>'28'!B31</f>
        <v>30</v>
      </c>
      <c r="C515" s="10" t="str">
        <f>'28'!D31</f>
        <v xml:space="preserve">ecological and socio-economic attributes are often ignored aspects of flood management studies. </v>
      </c>
      <c r="D515" s="10" t="str">
        <f>'28'!E31</f>
        <v>C</v>
      </c>
      <c r="E515" s="10">
        <f>'28'!F31</f>
        <v>1</v>
      </c>
      <c r="F515" s="10">
        <f>'28'!G31</f>
        <v>1</v>
      </c>
    </row>
    <row r="516" spans="1:6" x14ac:dyDescent="0.35">
      <c r="A516" s="10">
        <f>'28'!A32</f>
        <v>28</v>
      </c>
      <c r="B516" s="10">
        <f>'28'!B32</f>
        <v>31</v>
      </c>
      <c r="C516" s="10" t="str">
        <f>'28'!D32</f>
        <v>many of the currently available modelling tools do not consider overall benefits of GI</v>
      </c>
      <c r="D516" s="10" t="str">
        <f>'28'!E32</f>
        <v>C</v>
      </c>
      <c r="E516" s="10">
        <f>'28'!F32</f>
        <v>3</v>
      </c>
      <c r="F516" s="10">
        <f>'28'!G32</f>
        <v>1</v>
      </c>
    </row>
    <row r="517" spans="1:6" x14ac:dyDescent="0.35">
      <c r="A517" s="10">
        <f>'28'!A33</f>
        <v>28</v>
      </c>
      <c r="B517" s="10">
        <f>'28'!B33</f>
        <v>32</v>
      </c>
      <c r="C517" s="10" t="str">
        <f>'28'!D33</f>
        <v xml:space="preserve">life-cycle management is repeatedly neglected but is imperative in developing adaptability to the uncertainties associated with flood risk </v>
      </c>
      <c r="D517" s="10" t="str">
        <f>'28'!E33</f>
        <v>B</v>
      </c>
      <c r="E517" s="10">
        <f>'28'!F33</f>
        <v>0</v>
      </c>
      <c r="F517" s="10">
        <f>'28'!G33</f>
        <v>4</v>
      </c>
    </row>
    <row r="518" spans="1:6" x14ac:dyDescent="0.35">
      <c r="A518" s="10">
        <f>'28'!A34</f>
        <v>28</v>
      </c>
      <c r="B518" s="10">
        <f>'28'!B34</f>
        <v>33</v>
      </c>
      <c r="C518" s="10" t="str">
        <f>'28'!D34</f>
        <v xml:space="preserve"> The emphasis is more on the physical damages caused to property, while in-depth knowledge of the vulnerability of critical infrastructure network can be of more value</v>
      </c>
      <c r="D518" s="10" t="str">
        <f>'28'!E34</f>
        <v>C</v>
      </c>
      <c r="E518" s="10">
        <f>'28'!F34</f>
        <v>1</v>
      </c>
      <c r="F518" s="10">
        <f>'28'!G34</f>
        <v>1</v>
      </c>
    </row>
    <row r="519" spans="1:6" x14ac:dyDescent="0.35">
      <c r="A519" s="10">
        <f>'28'!A35</f>
        <v>28</v>
      </c>
      <c r="B519" s="10">
        <f>'28'!B35</f>
        <v>34</v>
      </c>
      <c r="C519" s="10" t="str">
        <f>'28'!D35</f>
        <v>The process is crippled by the lack of data that either does not exist or is sensitive to be shared.</v>
      </c>
      <c r="D519" s="10" t="str">
        <f>'28'!E35</f>
        <v>C</v>
      </c>
      <c r="E519" s="10">
        <f>'28'!F35</f>
        <v>1</v>
      </c>
      <c r="F519" s="10">
        <f>'28'!G35</f>
        <v>1</v>
      </c>
    </row>
    <row r="520" spans="1:6" x14ac:dyDescent="0.35">
      <c r="A520" s="10">
        <f>'28'!A36</f>
        <v>28</v>
      </c>
      <c r="B520" s="10">
        <f>'28'!B36</f>
        <v>35</v>
      </c>
      <c r="C520" s="10" t="str">
        <f>'28'!D36</f>
        <v>The awareness of the benefits of GI is snowballing, but there is often a reluctance to pay, especially in places with low economic  status due to variances in household income, educational background and environmental awareness.</v>
      </c>
      <c r="D520" s="10" t="str">
        <f>'28'!E36</f>
        <v>D</v>
      </c>
      <c r="E520" s="10">
        <f>'28'!F36</f>
        <v>0</v>
      </c>
      <c r="F520" s="10">
        <f>'28'!G36</f>
        <v>3</v>
      </c>
    </row>
    <row r="521" spans="1:6" x14ac:dyDescent="0.35">
      <c r="A521" s="10">
        <f>'28'!A37</f>
        <v>28</v>
      </c>
      <c r="B521" s="10">
        <f>'28'!B37</f>
        <v>36</v>
      </c>
      <c r="C521" s="10" t="str">
        <f>'28'!D37</f>
        <v xml:space="preserve"> Lower levels of education can result in a limited understanding of the long-term benefits and cost savings associated with GI. Devoid of relevant knowledge and understanding, residents may not fully appreciate the worth of investing in such infrastructure.</v>
      </c>
      <c r="D521" s="10" t="str">
        <f>'28'!E37</f>
        <v>A</v>
      </c>
      <c r="E521" s="10">
        <f>'28'!F37</f>
        <v>1</v>
      </c>
      <c r="F521" s="10">
        <f>'28'!G37</f>
        <v>7</v>
      </c>
    </row>
    <row r="522" spans="1:6" x14ac:dyDescent="0.35">
      <c r="A522" s="10">
        <f>'28'!A38</f>
        <v>28</v>
      </c>
      <c r="B522" s="10">
        <f>'28'!B38</f>
        <v>37</v>
      </c>
      <c r="C522" s="10" t="str">
        <f>'28'!D38</f>
        <v xml:space="preserve"> affluent communities pay more attention to recreational activities and ensure a high quality of life (White</v>
      </c>
      <c r="D522" s="10" t="str">
        <f>'28'!E38</f>
        <v>D</v>
      </c>
      <c r="E522" s="10">
        <f>'28'!F38</f>
        <v>0</v>
      </c>
      <c r="F522" s="10">
        <f>'28'!G38</f>
        <v>3</v>
      </c>
    </row>
    <row r="523" spans="1:6" x14ac:dyDescent="0.35">
      <c r="A523" s="10">
        <f>'29'!A2</f>
        <v>29</v>
      </c>
      <c r="B523" s="10">
        <f>'29'!B2</f>
        <v>1</v>
      </c>
      <c r="C523" s="10" t="str">
        <f>'29'!D2</f>
        <v>lack of standardised evidence gathering approach to the performance of a wide range   of nature-based solutions</v>
      </c>
      <c r="D523" s="10" t="str">
        <f>'29'!E2</f>
        <v>C</v>
      </c>
      <c r="E523" s="10">
        <f>'29'!F2</f>
        <v>1</v>
      </c>
      <c r="F523" s="10">
        <f>'29'!G2</f>
        <v>2</v>
      </c>
    </row>
    <row r="524" spans="1:6" x14ac:dyDescent="0.35">
      <c r="A524" s="10">
        <f>'29'!A3</f>
        <v>29</v>
      </c>
      <c r="B524" s="10">
        <f>'29'!B3</f>
        <v>2</v>
      </c>
      <c r="C524" s="10" t="str">
        <f>'29'!D3</f>
        <v>complexity of dealing with trade-offs between ecosystem   service outcomes that can be achieved with different planning approaches and designs of nature-based solutions</v>
      </c>
      <c r="D524" s="10" t="str">
        <f>'29'!E3</f>
        <v>C</v>
      </c>
      <c r="E524" s="10">
        <f>'29'!F3</f>
        <v>2</v>
      </c>
      <c r="F524" s="10">
        <f>'29'!G3</f>
        <v>2</v>
      </c>
    </row>
    <row r="525" spans="1:6" x14ac:dyDescent="0.35">
      <c r="A525" s="10">
        <f>'29'!A4</f>
        <v>29</v>
      </c>
      <c r="B525" s="10">
        <f>'29'!B4</f>
        <v>3</v>
      </c>
      <c r="C525" s="10" t="str">
        <f>'29'!D4</f>
        <v xml:space="preserve">co-creation is not a   ‘ready-made’ and ‘easy-to-implement’ approach and past experiences   show that, if not properly designed and implemented, it can reinforce   disinterest and participation fatigue, mutual frustration, limited representation, and power imbalances </v>
      </c>
      <c r="D525" s="10" t="str">
        <f>'29'!E4</f>
        <v>C</v>
      </c>
      <c r="E525" s="10">
        <f>'29'!F4</f>
        <v>2</v>
      </c>
      <c r="F525" s="10">
        <f>'29'!G4</f>
        <v>3</v>
      </c>
    </row>
    <row r="526" spans="1:6" x14ac:dyDescent="0.35">
      <c r="A526" s="10">
        <f>'29'!A5</f>
        <v>29</v>
      </c>
      <c r="B526" s="10">
        <f>'29'!B5</f>
        <v>4</v>
      </c>
      <c r="C526" s="10" t="str">
        <f>'29'!D5</f>
        <v xml:space="preserve"> Facilitating governance for cross-sectoral, multi-scale and inclusive nature-based solutions can be a significant challenge to the ‘business as usual’ way of working within city governments   and other organisations, that are used to working in (e.g. departmental)   silos and not involving the broader public, resulting in dispersed   knowledge, resources and priorities </v>
      </c>
      <c r="D526" s="10" t="str">
        <f>'29'!E5</f>
        <v>F</v>
      </c>
      <c r="E526" s="10">
        <f>'29'!F5</f>
        <v>1</v>
      </c>
      <c r="F526" s="10">
        <f>'29'!G5</f>
        <v>2</v>
      </c>
    </row>
    <row r="527" spans="1:6" x14ac:dyDescent="0.35">
      <c r="A527" s="10">
        <f>'29'!A6</f>
        <v>29</v>
      </c>
      <c r="B527" s="10">
        <f>'29'!B6</f>
        <v>5</v>
      </c>
      <c r="C527" s="10" t="str">
        <f>'29'!D6</f>
        <v>complexity of   nature-based solutions further challenges the tendency of urban planning professionals and decision-makers to predefine problems and solutions, requiring more reflexive and adaptive approaches that allow an   open-ended and iterative process of learning-by-doing and   doing-by-learning --&gt; deemed necessary to create and trial a novel process</v>
      </c>
      <c r="D527" s="10" t="str">
        <f>'29'!E6</f>
        <v>F</v>
      </c>
      <c r="E527" s="10">
        <f>'29'!F6</f>
        <v>4</v>
      </c>
      <c r="F527" s="10">
        <f>'29'!G6</f>
        <v>3</v>
      </c>
    </row>
    <row r="528" spans="1:6" x14ac:dyDescent="0.35">
      <c r="A528" s="10">
        <f>'30'!A2</f>
        <v>30</v>
      </c>
      <c r="B528" s="10">
        <f>'30'!B2</f>
        <v>1</v>
      </c>
      <c r="C528" s="10" t="str">
        <f>'30'!D2</f>
        <v>(monetary) valuation techniques being ill equipped to account for the value of NBS</v>
      </c>
      <c r="D528" s="10" t="str">
        <f>'30'!E2</f>
        <v>B</v>
      </c>
      <c r="E528" s="10">
        <f>'30'!F2</f>
        <v>0</v>
      </c>
      <c r="F528" s="10">
        <f>'30'!G2</f>
        <v>2</v>
      </c>
    </row>
    <row r="529" spans="1:6" x14ac:dyDescent="0.35">
      <c r="A529" s="10">
        <f>'30'!A3</f>
        <v>30</v>
      </c>
      <c r="B529" s="10">
        <f>'30'!B3</f>
        <v>2</v>
      </c>
      <c r="C529" s="10" t="str">
        <f>'30'!D3</f>
        <v>dearth of   (accessible) techniques to monetize and forecast the value of NBS. private actors expect a strong evidence   base for payments, such as utility fees and developer obligations</v>
      </c>
      <c r="D529" s="10" t="str">
        <f>'30'!E3</f>
        <v>B</v>
      </c>
      <c r="E529" s="10">
        <f>'30'!F3</f>
        <v>0</v>
      </c>
      <c r="F529" s="10">
        <f>'30'!G3</f>
        <v>2</v>
      </c>
    </row>
    <row r="530" spans="1:6" x14ac:dyDescent="0.35">
      <c r="A530" s="10">
        <f>'30'!A4</f>
        <v>30</v>
      </c>
      <c r="B530" s="10">
        <f>'30'!B4</f>
        <v>3</v>
      </c>
      <c r="C530" s="10" t="str">
        <f>'30'!D4</f>
        <v>models are often informed by average cost calculations rather than   actual costs incurred, rendering cost–benefit forecasts inaccurate</v>
      </c>
      <c r="D530" s="10" t="str">
        <f>'30'!E4</f>
        <v>B</v>
      </c>
      <c r="E530" s="10">
        <f>'30'!F4</f>
        <v>0</v>
      </c>
      <c r="F530" s="10">
        <f>'30'!G4</f>
        <v>2</v>
      </c>
    </row>
    <row r="531" spans="1:6" x14ac:dyDescent="0.35">
      <c r="A531" s="10">
        <f>'30'!A5</f>
        <v>30</v>
      </c>
      <c r="B531" s="10">
        <f>'30'!B5</f>
        <v>4</v>
      </c>
      <c r="C531" s="10" t="str">
        <f>'30'!D5</f>
        <v xml:space="preserve"> lack   of efficiency in market systems</v>
      </c>
      <c r="D531" s="10" t="str">
        <f>'30'!E5</f>
        <v>F</v>
      </c>
      <c r="E531" s="10">
        <f>'30'!F5</f>
        <v>3</v>
      </c>
      <c r="F531" s="10">
        <f>'30'!G5</f>
        <v>1</v>
      </c>
    </row>
    <row r="532" spans="1:6" x14ac:dyDescent="0.35">
      <c r="A532" s="10">
        <f>'30'!A6</f>
        <v>30</v>
      </c>
      <c r="B532" s="10">
        <f>'30'!B6</f>
        <v>5</v>
      </c>
      <c r="C532" s="10" t="str">
        <f>'30'!D6</f>
        <v xml:space="preserve">lack  blended finance techniques. </v>
      </c>
      <c r="D532" s="10" t="str">
        <f>'30'!E6</f>
        <v>A</v>
      </c>
      <c r="E532" s="10">
        <f>'30'!F6</f>
        <v>1</v>
      </c>
      <c r="F532" s="10">
        <f>'30'!G6</f>
        <v>1</v>
      </c>
    </row>
    <row r="533" spans="1:6" x14ac:dyDescent="0.35">
      <c r="A533" s="10">
        <f>'30'!A7</f>
        <v>30</v>
      </c>
      <c r="B533" s="10">
        <f>'30'!B7</f>
        <v>6</v>
      </c>
      <c r="C533" s="10" t="str">
        <f>'30'!D7</f>
        <v xml:space="preserve">Pricing of NbS </v>
      </c>
      <c r="D533" s="10" t="str">
        <f>'30'!E7</f>
        <v>B</v>
      </c>
      <c r="E533" s="10">
        <f>'30'!F7</f>
        <v>0</v>
      </c>
      <c r="F533" s="10">
        <f>'30'!G7</f>
        <v>1</v>
      </c>
    </row>
    <row r="534" spans="1:6" x14ac:dyDescent="0.35">
      <c r="A534" s="10">
        <f>'30'!A8</f>
        <v>30</v>
      </c>
      <c r="B534" s="10">
        <f>'30'!B8</f>
        <v>7</v>
      </c>
      <c r="C534" s="10" t="str">
        <f>'30'!D8</f>
        <v>price volatilities</v>
      </c>
      <c r="D534" s="10" t="str">
        <f>'30'!E8</f>
        <v>A</v>
      </c>
      <c r="E534" s="10">
        <f>'30'!F8</f>
        <v>1</v>
      </c>
      <c r="F534" s="10">
        <f>'30'!G8</f>
        <v>11</v>
      </c>
    </row>
    <row r="535" spans="1:6" x14ac:dyDescent="0.35">
      <c r="A535" s="10">
        <f>'30'!A9</f>
        <v>30</v>
      </c>
      <c r="B535" s="10">
        <f>'30'!B9</f>
        <v>8</v>
      </c>
      <c r="C535" s="10" t="str">
        <f>'30'!D9</f>
        <v>prohibitively high transaction costs</v>
      </c>
      <c r="D535" s="10" t="str">
        <f>'30'!E9</f>
        <v>A</v>
      </c>
      <c r="E535" s="10">
        <f>'30'!F9</f>
        <v>3</v>
      </c>
      <c r="F535" s="10">
        <f>'30'!G9</f>
        <v>3</v>
      </c>
    </row>
    <row r="536" spans="1:6" x14ac:dyDescent="0.35">
      <c r="A536" s="10">
        <f>'30'!A10</f>
        <v>30</v>
      </c>
      <c r="B536" s="10">
        <f>'30'!B10</f>
        <v>9</v>
      </c>
      <c r="C536" s="10" t="str">
        <f>'30'!D10</f>
        <v>prohibitively high opportunity costs</v>
      </c>
      <c r="D536" s="10" t="str">
        <f>'30'!E10</f>
        <v>F</v>
      </c>
      <c r="E536" s="10">
        <f>'30'!F10</f>
        <v>5</v>
      </c>
      <c r="F536" s="10">
        <f>'30'!G10</f>
        <v>3</v>
      </c>
    </row>
    <row r="537" spans="1:6" x14ac:dyDescent="0.35">
      <c r="A537" s="10">
        <f>'30'!A11</f>
        <v>30</v>
      </c>
      <c r="B537" s="10">
        <f>'30'!B11</f>
        <v>10</v>
      </c>
      <c r="C537" s="10" t="str">
        <f>'30'!D11</f>
        <v xml:space="preserve"> local   market failures</v>
      </c>
      <c r="D537" s="10" t="str">
        <f>'30'!E11</f>
        <v>F</v>
      </c>
      <c r="E537" s="10">
        <f>'30'!F11</f>
        <v>3</v>
      </c>
      <c r="F537" s="10">
        <f>'30'!G11</f>
        <v>1</v>
      </c>
    </row>
    <row r="538" spans="1:6" x14ac:dyDescent="0.35">
      <c r="A538" s="10">
        <f>'30'!A12</f>
        <v>30</v>
      </c>
      <c r="B538" s="10">
        <f>'30'!B12</f>
        <v>11</v>
      </c>
      <c r="C538" s="10" t="str">
        <f>'30'!D12</f>
        <v>temporal barriers</v>
      </c>
      <c r="D538" s="10" t="str">
        <f>'30'!E12</f>
        <v>A</v>
      </c>
      <c r="E538" s="10">
        <f>'30'!F12</f>
        <v>1</v>
      </c>
      <c r="F538" s="10">
        <f>'30'!G12</f>
        <v>2</v>
      </c>
    </row>
    <row r="539" spans="1:6" x14ac:dyDescent="0.35">
      <c r="A539" s="10">
        <f>'30'!A13</f>
        <v>30</v>
      </c>
      <c r="B539" s="10">
        <f>'30'!B13</f>
        <v>12</v>
      </c>
      <c r="C539" s="10" t="str">
        <f>'30'!D13</f>
        <v>market opacity concerning demand and supply conditions</v>
      </c>
      <c r="D539" s="10" t="str">
        <f>'30'!E13</f>
        <v>A</v>
      </c>
      <c r="E539" s="10">
        <f>'30'!F13</f>
        <v>1</v>
      </c>
      <c r="F539" s="10">
        <f>'30'!G13</f>
        <v>11</v>
      </c>
    </row>
    <row r="540" spans="1:6" x14ac:dyDescent="0.35">
      <c r="A540" s="10">
        <f>'30'!A14</f>
        <v>30</v>
      </c>
      <c r="B540" s="10">
        <f>'30'!B14</f>
        <v>13</v>
      </c>
      <c r="C540" s="10" t="str">
        <f>'30'!D14</f>
        <v xml:space="preserve"> risk-averse political attitudes and   dominant socio-economically oriented agendas, preference remains for   existing financial instruments and proven technologies</v>
      </c>
      <c r="D540" s="10" t="str">
        <f>'30'!E14</f>
        <v>E</v>
      </c>
      <c r="E540" s="10">
        <f>'30'!F14</f>
        <v>0</v>
      </c>
      <c r="F540" s="10">
        <f>'30'!G14</f>
        <v>4</v>
      </c>
    </row>
    <row r="541" spans="1:6" x14ac:dyDescent="0.35">
      <c r="A541" s="10">
        <f>'30'!A15</f>
        <v>30</v>
      </c>
      <c r="B541" s="10">
        <f>'30'!B15</f>
        <v>14</v>
      </c>
      <c r="C541" s="10" t="str">
        <f>'30'!D15</f>
        <v xml:space="preserve"> NBS   plans often fail to materialize due to public budget shortfalls</v>
      </c>
      <c r="D541" s="10" t="str">
        <f>'30'!E15</f>
        <v>A</v>
      </c>
      <c r="E541" s="10">
        <f>'30'!F15</f>
        <v>1</v>
      </c>
      <c r="F541" s="10">
        <f>'30'!G15</f>
        <v>1</v>
      </c>
    </row>
    <row r="542" spans="1:6" x14ac:dyDescent="0.35">
      <c r="A542" s="10">
        <f>'30'!A16</f>
        <v>30</v>
      </c>
      <c r="B542" s="10">
        <f>'30'!B16</f>
        <v>15</v>
      </c>
      <c r="C542" s="10" t="str">
        <f>'30'!D16</f>
        <v xml:space="preserve">governments restrict their budget  allocation to investments related to legal obligations and political priorities, neither of which traditionally account for NBS </v>
      </c>
      <c r="D542" s="10" t="str">
        <f>'30'!E16</f>
        <v>A</v>
      </c>
      <c r="E542" s="10">
        <f>'30'!F16</f>
        <v>1</v>
      </c>
      <c r="F542" s="10">
        <f>'30'!G16</f>
        <v>5</v>
      </c>
    </row>
    <row r="543" spans="1:6" x14ac:dyDescent="0.35">
      <c r="A543" s="10">
        <f>'30'!A17</f>
        <v>30</v>
      </c>
      <c r="B543" s="10">
        <f>'30'!B17</f>
        <v>16</v>
      </c>
      <c r="C543" s="10" t="str">
        <f>'30'!D17</f>
        <v xml:space="preserve"> NBS projects generate widespread public benefits but do not produce immediate revenue streams to   support the high sunk costs they often entail</v>
      </c>
      <c r="D543" s="10" t="str">
        <f>'30'!E17</f>
        <v>A</v>
      </c>
      <c r="E543" s="10">
        <f>'30'!F17</f>
        <v>3</v>
      </c>
      <c r="F543" s="10">
        <f>'30'!G17</f>
        <v>1</v>
      </c>
    </row>
    <row r="544" spans="1:6" x14ac:dyDescent="0.35">
      <c r="A544" s="10">
        <f>'30'!A18</f>
        <v>30</v>
      </c>
      <c r="B544" s="10">
        <f>'30'!B18</f>
        <v>17</v>
      </c>
      <c r="C544" s="10" t="str">
        <f>'30'!D18</f>
        <v xml:space="preserve"> low revenue potential</v>
      </c>
      <c r="D544" s="10" t="str">
        <f>'30'!E18</f>
        <v>A</v>
      </c>
      <c r="E544" s="10">
        <f>'30'!F18</f>
        <v>1</v>
      </c>
      <c r="F544" s="10">
        <f>'30'!G18</f>
        <v>8</v>
      </c>
    </row>
    <row r="545" spans="1:6" x14ac:dyDescent="0.35">
      <c r="A545" s="10">
        <f>'30'!A19</f>
        <v>30</v>
      </c>
      <c r="B545" s="10">
        <f>'30'!B19</f>
        <v>18</v>
      </c>
      <c r="C545" s="10" t="str">
        <f>'30'!D19</f>
        <v xml:space="preserve"> susceptibility to market failures such as   freeriding</v>
      </c>
      <c r="D545" s="10" t="str">
        <f>'30'!E19</f>
        <v>F</v>
      </c>
      <c r="E545" s="10">
        <f>'30'!F19</f>
        <v>3</v>
      </c>
      <c r="F545" s="10">
        <f>'30'!G19</f>
        <v>1</v>
      </c>
    </row>
    <row r="546" spans="1:6" x14ac:dyDescent="0.35">
      <c r="A546" s="10">
        <f>'30'!A20</f>
        <v>30</v>
      </c>
      <c r="B546" s="10">
        <f>'30'!B20</f>
        <v>19</v>
      </c>
      <c r="C546" s="10" t="str">
        <f>'30'!D20</f>
        <v>Continuous austerity   policies, however, have spurred governments to restrict their budget   allocation to investments related to legal obligations and political priorities</v>
      </c>
      <c r="D546" s="10" t="str">
        <f>'30'!E20</f>
        <v>A</v>
      </c>
      <c r="E546" s="10">
        <f>'30'!F20</f>
        <v>1</v>
      </c>
      <c r="F546" s="10">
        <f>'30'!G20</f>
        <v>5</v>
      </c>
    </row>
    <row r="547" spans="1:6" x14ac:dyDescent="0.35">
      <c r="A547" s="10">
        <f>'30'!A21</f>
        <v>30</v>
      </c>
      <c r="B547" s="10">
        <f>'30'!B21</f>
        <v>20</v>
      </c>
      <c r="C547" s="10" t="str">
        <f>'30'!D21</f>
        <v>inability of public accountancy praxis to account for the economic   value of natural assets</v>
      </c>
      <c r="D547" s="10" t="str">
        <f>'30'!E21</f>
        <v>A</v>
      </c>
      <c r="E547" s="10">
        <f>'30'!F21</f>
        <v>1</v>
      </c>
      <c r="F547" s="10">
        <f>'30'!G21</f>
        <v>4</v>
      </c>
    </row>
    <row r="548" spans="1:6" x14ac:dyDescent="0.35">
      <c r="A548" s="10">
        <f>'30'!A22</f>
        <v>30</v>
      </c>
      <c r="B548" s="10">
        <f>'30'!B22</f>
        <v>21</v>
      </c>
      <c r="C548" s="10" t="str">
        <f>'30'!D22</f>
        <v xml:space="preserve"> demand for NBS-specific finance is quite low relative to the   overall demand for sustainable investment </v>
      </c>
      <c r="D548" s="10" t="str">
        <f>'30'!E22</f>
        <v>A</v>
      </c>
      <c r="E548" s="10">
        <f>'30'!F22</f>
        <v>2</v>
      </c>
      <c r="F548" s="10">
        <f>'30'!G22</f>
        <v>2</v>
      </c>
    </row>
    <row r="549" spans="1:6" x14ac:dyDescent="0.35">
      <c r="A549" s="10">
        <f>'30'!A23</f>
        <v>30</v>
      </c>
      <c r="B549" s="10">
        <f>'30'!B23</f>
        <v>22</v>
      </c>
      <c r="C549" s="10" t="str">
        <f>'30'!D23</f>
        <v xml:space="preserve">difficulties of maintaining sufficiently stable policies in political praxis hindering uptake of financial (debt) instruments </v>
      </c>
      <c r="D549" s="10" t="str">
        <f>'30'!E23</f>
        <v>E</v>
      </c>
      <c r="E549" s="10">
        <f>'30'!F23</f>
        <v>0</v>
      </c>
      <c r="F549" s="10">
        <f>'30'!G23</f>
        <v>3</v>
      </c>
    </row>
    <row r="550" spans="1:6" x14ac:dyDescent="0.35">
      <c r="A550" s="10">
        <f>'30'!A24</f>
        <v>30</v>
      </c>
      <c r="B550" s="10">
        <f>'30'!B24</f>
        <v>23</v>
      </c>
      <c r="C550" s="10" t="str">
        <f>'30'!D24</f>
        <v xml:space="preserve"> transaction costs, life-cycle costs, and   pre-financing needs</v>
      </c>
      <c r="D550" s="10" t="str">
        <f>'30'!E24</f>
        <v>A</v>
      </c>
      <c r="E550" s="10">
        <f>'30'!F24</f>
        <v>3</v>
      </c>
      <c r="F550" s="10">
        <f>'30'!G24</f>
        <v>3</v>
      </c>
    </row>
    <row r="551" spans="1:6" x14ac:dyDescent="0.35">
      <c r="A551" s="10">
        <f>'30'!A25</f>
        <v>30</v>
      </c>
      <c r="B551" s="10">
        <f>'30'!B25</f>
        <v>24</v>
      </c>
      <c r="C551" s="10" t="str">
        <f>'30'!D25</f>
        <v xml:space="preserve">additional cost   cimpact on risk–return balances </v>
      </c>
      <c r="D551" s="10" t="str">
        <f>'30'!E25</f>
        <v>A</v>
      </c>
      <c r="E551" s="10">
        <f>'30'!F25</f>
        <v>2</v>
      </c>
      <c r="F551" s="10">
        <f>'30'!G25</f>
        <v>3</v>
      </c>
    </row>
    <row r="552" spans="1:6" x14ac:dyDescent="0.35">
      <c r="A552" s="10">
        <f>'30'!A26</f>
        <v>30</v>
      </c>
      <c r="B552" s="10">
        <f>'30'!B26</f>
        <v>25</v>
      </c>
      <c r="C552" s="10" t="str">
        <f>'30'!D26</f>
        <v xml:space="preserve"> for models relying on conditional payments,   cost-effective monitoring methods are essential to verify cash flows and   limit transaction costs</v>
      </c>
      <c r="D552" s="10" t="str">
        <f>'30'!E26</f>
        <v>A</v>
      </c>
      <c r="E552" s="10">
        <f>'30'!F26</f>
        <v>3</v>
      </c>
      <c r="F552" s="10">
        <f>'30'!G26</f>
        <v>3</v>
      </c>
    </row>
    <row r="553" spans="1:6" x14ac:dyDescent="0.35">
      <c r="A553" s="10">
        <f>'30'!A27</f>
        <v>30</v>
      </c>
      <c r="B553" s="10">
        <f>'30'!B27</f>
        <v>26</v>
      </c>
      <c r="C553" s="10" t="str">
        <f>'30'!D27</f>
        <v xml:space="preserve"> land-use conditions affect the exploitation potential of land   and thus highly influence the potential opportunity costs with which AF   models must compete</v>
      </c>
      <c r="D553" s="10" t="str">
        <f>'30'!E27</f>
        <v>F</v>
      </c>
      <c r="E553" s="10">
        <f>'30'!F27</f>
        <v>5</v>
      </c>
      <c r="F553" s="10">
        <f>'30'!G27</f>
        <v>2</v>
      </c>
    </row>
    <row r="554" spans="1:6" x14ac:dyDescent="0.35">
      <c r="A554" s="10">
        <f>'30'!A28</f>
        <v>30</v>
      </c>
      <c r="B554" s="10">
        <f>'30'!B28</f>
        <v>27</v>
      </c>
      <c r="C554" s="10" t="str">
        <f>'30'!D28</f>
        <v>lack of design standards</v>
      </c>
      <c r="D554" s="10" t="str">
        <f>'30'!E28</f>
        <v>F</v>
      </c>
      <c r="E554" s="10">
        <f>'30'!F28</f>
        <v>2</v>
      </c>
      <c r="F554" s="10">
        <f>'30'!G28</f>
        <v>3</v>
      </c>
    </row>
    <row r="555" spans="1:6" x14ac:dyDescent="0.35">
      <c r="A555" s="10">
        <f>'30'!A29</f>
        <v>30</v>
      </c>
      <c r="B555" s="10">
        <f>'30'!B29</f>
        <v>28</v>
      </c>
      <c r="C555" s="10" t="str">
        <f>'30'!D29</f>
        <v xml:space="preserve">political unwillingness, </v>
      </c>
      <c r="D555" s="10" t="str">
        <f>'30'!E29</f>
        <v>E</v>
      </c>
      <c r="E555" s="10">
        <f>'30'!F29</f>
        <v>0</v>
      </c>
      <c r="F555" s="10">
        <f>'30'!G29</f>
        <v>1</v>
      </c>
    </row>
    <row r="556" spans="1:6" x14ac:dyDescent="0.35">
      <c r="A556" s="10">
        <f>'30'!A30</f>
        <v>30</v>
      </c>
      <c r="B556" s="10">
        <f>'30'!B30</f>
        <v>29</v>
      </c>
      <c r="C556" s="10" t="str">
        <f>'30'!D30</f>
        <v xml:space="preserve"> Sectoral approaches to   NBS</v>
      </c>
      <c r="D556" s="10" t="str">
        <f>'30'!E30</f>
        <v>F</v>
      </c>
      <c r="E556" s="10">
        <f>'30'!F30</f>
        <v>1</v>
      </c>
      <c r="F556" s="10">
        <f>'30'!G30</f>
        <v>1</v>
      </c>
    </row>
    <row r="557" spans="1:6" x14ac:dyDescent="0.35">
      <c r="A557" s="10">
        <f>'30'!A31</f>
        <v>30</v>
      </c>
      <c r="B557" s="10">
        <f>'30'!B31</f>
        <v>30</v>
      </c>
      <c r="C557" s="10" t="str">
        <f>'30'!D31</f>
        <v>path dependencies</v>
      </c>
      <c r="D557" s="10" t="str">
        <f>'30'!E31</f>
        <v>B</v>
      </c>
      <c r="E557" s="10">
        <f>'30'!F31</f>
        <v>0</v>
      </c>
      <c r="F557" s="10">
        <f>'30'!G31</f>
        <v>5</v>
      </c>
    </row>
    <row r="558" spans="1:6" x14ac:dyDescent="0.35">
      <c r="A558" s="10">
        <f>'30'!A32</f>
        <v>30</v>
      </c>
      <c r="B558" s="10">
        <f>'30'!B32</f>
        <v>31</v>
      </c>
      <c r="C558" s="10" t="str">
        <f>'30'!D32</f>
        <v xml:space="preserve">technological uncertainty, </v>
      </c>
      <c r="D558" s="10" t="str">
        <f>'30'!E32</f>
        <v>B</v>
      </c>
      <c r="E558" s="10">
        <f>'30'!F32</f>
        <v>0</v>
      </c>
      <c r="F558" s="10">
        <f>'30'!G32</f>
        <v>3</v>
      </c>
    </row>
    <row r="559" spans="1:6" x14ac:dyDescent="0.35">
      <c r="A559" s="10">
        <f>'30'!A33</f>
        <v>30</v>
      </c>
      <c r="B559" s="10">
        <f>'30'!B33</f>
        <v>32</v>
      </c>
      <c r="C559" s="10" t="str">
        <f>'30'!D33</f>
        <v>the unavailability of   funds,</v>
      </c>
      <c r="D559" s="10" t="str">
        <f>'30'!E33</f>
        <v>A</v>
      </c>
      <c r="E559" s="10">
        <f>'30'!F33</f>
        <v>1</v>
      </c>
      <c r="F559" s="10">
        <f>'30'!G33</f>
        <v>1</v>
      </c>
    </row>
    <row r="560" spans="1:6" x14ac:dyDescent="0.35">
      <c r="A560" s="10">
        <f>'30'!A34</f>
        <v>30</v>
      </c>
      <c r="B560" s="10">
        <f>'30'!B34</f>
        <v>33</v>
      </c>
      <c r="C560" s="10" t="str">
        <f>'30'!D34</f>
        <v xml:space="preserve"> insufficient institutional capacities, </v>
      </c>
      <c r="D560" s="10" t="str">
        <f>'30'!E34</f>
        <v>C</v>
      </c>
      <c r="E560" s="10">
        <f>'30'!F34</f>
        <v>3</v>
      </c>
      <c r="F560" s="10">
        <f>'30'!G34</f>
        <v>2</v>
      </c>
    </row>
    <row r="561" spans="1:6" x14ac:dyDescent="0.35">
      <c r="A561" s="10">
        <f>'30'!A35</f>
        <v>30</v>
      </c>
      <c r="B561" s="10">
        <f>'30'!B35</f>
        <v>34</v>
      </c>
      <c r="C561" s="10" t="str">
        <f>'30'!D35</f>
        <v xml:space="preserve">and the lack of legal basis to   enforce NBS policy </v>
      </c>
      <c r="D561" s="10" t="str">
        <f>'30'!E35</f>
        <v>F</v>
      </c>
      <c r="E561" s="10">
        <f>'30'!F35</f>
        <v>2</v>
      </c>
      <c r="F561" s="10">
        <f>'30'!G35</f>
        <v>1</v>
      </c>
    </row>
    <row r="562" spans="1:6" x14ac:dyDescent="0.35">
      <c r="A562" s="10">
        <f>'30'!A36</f>
        <v>30</v>
      </c>
      <c r="B562" s="10">
        <f>'30'!B36</f>
        <v>35</v>
      </c>
      <c r="C562" s="10" t="str">
        <f>'30'!D36</f>
        <v xml:space="preserve"> public divestment derives from   the inability of public accountancy praxis to account for the economic   value of natural assets</v>
      </c>
      <c r="D562" s="10" t="str">
        <f>'30'!E36</f>
        <v>A</v>
      </c>
      <c r="E562" s="10">
        <f>'30'!F36</f>
        <v>1</v>
      </c>
      <c r="F562" s="10">
        <f>'30'!G36</f>
        <v>4</v>
      </c>
    </row>
    <row r="563" spans="1:6" x14ac:dyDescent="0.35">
      <c r="A563" s="10">
        <f>'30'!A37</f>
        <v>30</v>
      </c>
      <c r="B563" s="10">
        <f>'30'!B37</f>
        <v>36</v>
      </c>
      <c r="C563" s="10" t="str">
        <f>'30'!D37</f>
        <v>no “one-size-fits-all” AF solutions - subject to three  main concerns: place-based societal configurations, the types of NBS   under scrutiny, and their specific financial profiles</v>
      </c>
      <c r="D563" s="10" t="str">
        <f>'30'!E37</f>
        <v>B</v>
      </c>
      <c r="E563" s="10">
        <f>'30'!F37</f>
        <v>0</v>
      </c>
      <c r="F563" s="10">
        <f>'30'!G37</f>
        <v>4</v>
      </c>
    </row>
    <row r="564" spans="1:6" x14ac:dyDescent="0.35">
      <c r="A564" s="10">
        <f>'30'!A38</f>
        <v>30</v>
      </c>
      <c r="B564" s="10">
        <f>'30'!B38</f>
        <v>37</v>
      </c>
      <c r="C564" s="10" t="str">
        <f>'30'!D38</f>
        <v xml:space="preserve"> part and parcel of financial uncertainty is the way AF models   are designed and how costs and benefits are computed and forecast.</v>
      </c>
      <c r="D564" s="10" t="str">
        <f>'30'!E38</f>
        <v>B</v>
      </c>
      <c r="E564" s="10">
        <f>'30'!F38</f>
        <v>0</v>
      </c>
      <c r="F564" s="10">
        <f>'30'!G38</f>
        <v>2</v>
      </c>
    </row>
    <row r="565" spans="1:6" x14ac:dyDescent="0.35">
      <c r="A565" s="10">
        <f>'30'!A39</f>
        <v>30</v>
      </c>
      <c r="B565" s="10">
        <f>'30'!B39</f>
        <v>38</v>
      </c>
      <c r="C565" s="10" t="str">
        <f>'30'!D39</f>
        <v>AF models require significant policy changes and political guidance vis-a-vis ` a willingness to reorient municipal policies</v>
      </c>
      <c r="D565" s="10" t="str">
        <f>'30'!E39</f>
        <v>E</v>
      </c>
      <c r="E565" s="10">
        <f>'30'!F39</f>
        <v>0</v>
      </c>
      <c r="F565" s="10">
        <f>'30'!G39</f>
        <v>4</v>
      </c>
    </row>
    <row r="566" spans="1:6" x14ac:dyDescent="0.35">
      <c r="A566" s="10">
        <f>'30'!A40</f>
        <v>30</v>
      </c>
      <c r="B566" s="10">
        <f>'30'!B40</f>
        <v>39</v>
      </c>
      <c r="C566" s="10" t="str">
        <f>'30'!D40</f>
        <v>AF models are   acceptable when the local ideology is accommodating to privately   financed NBS with a public goods character  H</v>
      </c>
      <c r="D566" s="10" t="str">
        <f>'30'!E40</f>
        <v>E</v>
      </c>
      <c r="E566" s="10">
        <f>'30'!F40</f>
        <v>0</v>
      </c>
      <c r="F566" s="10">
        <f>'30'!G40</f>
        <v>4</v>
      </c>
    </row>
    <row r="567" spans="1:6" x14ac:dyDescent="0.35">
      <c r="A567" s="10">
        <f>'30'!A41</f>
        <v>30</v>
      </c>
      <c r="B567" s="10">
        <f>'30'!B41</f>
        <v>40</v>
      </c>
      <c r="C567" s="10" t="str">
        <f>'30'!D41</f>
        <v xml:space="preserve">various models rely   on economic cycles in their revenue capacities (e.g. real estate markets) </v>
      </c>
      <c r="D567" s="10" t="str">
        <f>'30'!E41</f>
        <v>A</v>
      </c>
      <c r="E567" s="10">
        <f>'30'!F41</f>
        <v>1</v>
      </c>
      <c r="F567" s="10">
        <f>'30'!G41</f>
        <v>11</v>
      </c>
    </row>
    <row r="568" spans="1:6" x14ac:dyDescent="0.35">
      <c r="A568" s="10">
        <f>'30'!A42</f>
        <v>30</v>
      </c>
      <c r="B568" s="10">
        <f>'30'!B42</f>
        <v>41</v>
      </c>
      <c r="C568" s="10" t="str">
        <f>'30'!D42</f>
        <v xml:space="preserve"> who ultimately bears the   costs and risks when using AF models for NBS and are these burdens are justified</v>
      </c>
      <c r="D568" s="10" t="str">
        <f>'30'!E42</f>
        <v>A</v>
      </c>
      <c r="E568" s="10">
        <f>'30'!F42</f>
        <v>1</v>
      </c>
      <c r="F568" s="10">
        <f>'30'!G42</f>
        <v>10</v>
      </c>
    </row>
    <row r="569" spans="1:6" x14ac:dyDescent="0.35">
      <c r="A569" s="10">
        <f>'31'!A2</f>
        <v>31</v>
      </c>
      <c r="B569" s="10">
        <f>'31'!B2</f>
        <v>1</v>
      </c>
      <c r="C569" s="10" t="str">
        <f>'31'!D2</f>
        <v xml:space="preserve">The process requires transdisciplinary and cross-actor collaboration </v>
      </c>
      <c r="D569" s="10" t="str">
        <f>'31'!E2</f>
        <v>F</v>
      </c>
      <c r="E569" s="10">
        <f>'31'!F2</f>
        <v>1</v>
      </c>
      <c r="F569" s="10">
        <f>'31'!G2</f>
        <v>2</v>
      </c>
    </row>
    <row r="570" spans="1:6" x14ac:dyDescent="0.35">
      <c r="A570" s="10">
        <f>'31'!A3</f>
        <v>31</v>
      </c>
      <c r="B570" s="10">
        <f>'31'!B3</f>
        <v>2</v>
      </c>
      <c r="C570" s="10" t="str">
        <f>'31'!D3</f>
        <v>lack of acceptance and motivation for GF implementation</v>
      </c>
      <c r="D570" s="10" t="str">
        <f>'31'!E3</f>
        <v>E</v>
      </c>
      <c r="E570" s="10">
        <f>'31'!F3</f>
        <v>0</v>
      </c>
      <c r="F570" s="10">
        <f>'31'!G3</f>
        <v>2</v>
      </c>
    </row>
    <row r="571" spans="1:6" x14ac:dyDescent="0.35">
      <c r="A571" s="10">
        <f>'31'!A4</f>
        <v>31</v>
      </c>
      <c r="B571" s="10">
        <f>'31'!B4</f>
        <v>3</v>
      </c>
      <c r="C571" s="10" t="str">
        <f>'31'!D4</f>
        <v>insufficient political support for GF.</v>
      </c>
      <c r="D571" s="10" t="str">
        <f>'31'!E4</f>
        <v>E</v>
      </c>
      <c r="E571" s="10">
        <f>'31'!F4</f>
        <v>0</v>
      </c>
      <c r="F571" s="10">
        <f>'31'!G4</f>
        <v>2</v>
      </c>
    </row>
    <row r="572" spans="1:6" x14ac:dyDescent="0.35">
      <c r="A572" s="10">
        <f>'31'!A5</f>
        <v>31</v>
      </c>
      <c r="B572" s="10">
        <f>'31'!B5</f>
        <v>4</v>
      </c>
      <c r="C572" s="10" t="str">
        <f>'31'!D5</f>
        <v>insufficient financial support for GF.</v>
      </c>
      <c r="D572" s="10" t="str">
        <f>'31'!E5</f>
        <v>A</v>
      </c>
      <c r="E572" s="10">
        <f>'31'!F5</f>
        <v>1</v>
      </c>
      <c r="F572" s="10">
        <f>'31'!G5</f>
        <v>1</v>
      </c>
    </row>
    <row r="573" spans="1:6" x14ac:dyDescent="0.35">
      <c r="A573" s="10">
        <f>'31'!A6</f>
        <v>31</v>
      </c>
      <c r="B573" s="10">
        <f>'31'!B6</f>
        <v>5</v>
      </c>
      <c r="C573" s="10" t="str">
        <f>'31'!D6</f>
        <v xml:space="preserve"> lack of (objective) information </v>
      </c>
      <c r="D573" s="10" t="str">
        <f>'31'!E6</f>
        <v>F</v>
      </c>
      <c r="E573" s="10">
        <f>'31'!F6</f>
        <v>2</v>
      </c>
      <c r="F573" s="10">
        <f>'31'!G6</f>
        <v>2</v>
      </c>
    </row>
    <row r="574" spans="1:6" x14ac:dyDescent="0.35">
      <c r="A574" s="10">
        <f>'31'!A7</f>
        <v>31</v>
      </c>
      <c r="B574" s="10">
        <f>'31'!B7</f>
        <v>6</v>
      </c>
      <c r="C574" s="10" t="str">
        <f>'31'!D7</f>
        <v>lack of awareness or knowledge about the existence, cost and benefit</v>
      </c>
      <c r="D574" s="10" t="str">
        <f>'31'!E7</f>
        <v>D</v>
      </c>
      <c r="E574" s="10">
        <f>'31'!F7</f>
        <v>0</v>
      </c>
      <c r="F574" s="10">
        <f>'31'!G7</f>
        <v>3</v>
      </c>
    </row>
    <row r="575" spans="1:6" x14ac:dyDescent="0.35">
      <c r="A575" s="10">
        <f>'31'!A8</f>
        <v>31</v>
      </c>
      <c r="B575" s="10">
        <f>'31'!B8</f>
        <v>7</v>
      </c>
      <c r="C575" s="10" t="str">
        <f>'31'!D8</f>
        <v xml:space="preserve"> lack of knowledge about practical-technical execution of GF </v>
      </c>
      <c r="D575" s="10" t="str">
        <f>'31'!E8</f>
        <v>C</v>
      </c>
      <c r="E575" s="10">
        <f>'31'!F8</f>
        <v>2</v>
      </c>
      <c r="F575" s="10">
        <f>'31'!G8</f>
        <v>1</v>
      </c>
    </row>
    <row r="576" spans="1:6" x14ac:dyDescent="0.35">
      <c r="A576" s="10">
        <f>'31'!A9</f>
        <v>31</v>
      </c>
      <c r="B576" s="10">
        <f>'31'!B9</f>
        <v>8</v>
      </c>
      <c r="C576" s="10" t="str">
        <f>'31'!D9</f>
        <v>not properly properly implemented GF negatively influences the perception of the involved actor</v>
      </c>
      <c r="D576" s="10" t="str">
        <f>'31'!E9</f>
        <v>D</v>
      </c>
      <c r="E576" s="10">
        <f>'31'!F9</f>
        <v>0</v>
      </c>
      <c r="F576" s="10">
        <f>'31'!G9</f>
        <v>5</v>
      </c>
    </row>
    <row r="577" spans="1:6" x14ac:dyDescent="0.35">
      <c r="A577" s="10">
        <f>'31'!A10</f>
        <v>31</v>
      </c>
      <c r="B577" s="10">
        <f>'31'!B10</f>
        <v>9</v>
      </c>
      <c r="C577" s="10" t="str">
        <f>'31'!D10</f>
        <v xml:space="preserve">practical-technical complexity </v>
      </c>
      <c r="D577" s="10" t="str">
        <f>'31'!E10</f>
        <v>C</v>
      </c>
      <c r="E577" s="10">
        <f>'31'!F10</f>
        <v>2</v>
      </c>
      <c r="F577" s="10">
        <f>'31'!G10</f>
        <v>1</v>
      </c>
    </row>
    <row r="578" spans="1:6" x14ac:dyDescent="0.35">
      <c r="A578" s="10">
        <f>'31'!A11</f>
        <v>31</v>
      </c>
      <c r="B578" s="10">
        <f>'31'!B11</f>
        <v>10</v>
      </c>
      <c r="C578" s="10" t="str">
        <f>'31'!D11</f>
        <v xml:space="preserve">maintenance effort are perceived as a hurdle for GF implementation </v>
      </c>
      <c r="D578" s="10" t="str">
        <f>'31'!E11</f>
        <v>A</v>
      </c>
      <c r="E578" s="10">
        <f>'31'!F11</f>
        <v>3</v>
      </c>
      <c r="F578" s="10">
        <f>'31'!G11</f>
        <v>3</v>
      </c>
    </row>
    <row r="579" spans="1:6" x14ac:dyDescent="0.35">
      <c r="A579" s="10">
        <f>'31'!A12</f>
        <v>31</v>
      </c>
      <c r="B579" s="10">
        <f>'31'!B12</f>
        <v>11</v>
      </c>
      <c r="C579" s="10" t="str">
        <f>'31'!D12</f>
        <v xml:space="preserve">cost perceived as a hurdle for GF implementation </v>
      </c>
      <c r="D579" s="10" t="str">
        <f>'31'!E12</f>
        <v>A</v>
      </c>
      <c r="E579" s="10">
        <f>'31'!F12</f>
        <v>3</v>
      </c>
      <c r="F579" s="10">
        <f>'31'!G12</f>
        <v>1</v>
      </c>
    </row>
    <row r="580" spans="1:6" x14ac:dyDescent="0.35">
      <c r="A580" s="10">
        <f>'31'!A13</f>
        <v>31</v>
      </c>
      <c r="B580" s="10">
        <f>'31'!B13</f>
        <v>12</v>
      </c>
      <c r="C580" s="10" t="str">
        <f>'31'!D13</f>
        <v>teamwork between multiple actors often insufficient</v>
      </c>
      <c r="D580" s="10" t="str">
        <f>'31'!E13</f>
        <v>F</v>
      </c>
      <c r="E580" s="10">
        <f>'31'!F13</f>
        <v>1</v>
      </c>
      <c r="F580" s="10">
        <f>'31'!G13</f>
        <v>2</v>
      </c>
    </row>
    <row r="581" spans="1:6" x14ac:dyDescent="0.35">
      <c r="A581" s="10">
        <f>'31'!A14</f>
        <v>31</v>
      </c>
      <c r="B581" s="10">
        <f>'31'!B14</f>
        <v>13</v>
      </c>
      <c r="C581" s="10" t="str">
        <f>'31'!D14</f>
        <v xml:space="preserve">subjective perception of aesthetics </v>
      </c>
      <c r="D581" s="10" t="str">
        <f>'31'!E14</f>
        <v>B</v>
      </c>
      <c r="E581" s="10">
        <f>'31'!F14</f>
        <v>0</v>
      </c>
      <c r="F581" s="10">
        <f>'31'!G14</f>
        <v>1</v>
      </c>
    </row>
    <row r="582" spans="1:6" x14ac:dyDescent="0.35">
      <c r="A582" s="10">
        <f>'31'!A15</f>
        <v>31</v>
      </c>
      <c r="B582" s="10">
        <f>'31'!B15</f>
        <v>14</v>
      </c>
      <c r="C582" s="10" t="str">
        <f>'31'!D15</f>
        <v>lack of ambition in politics and administration</v>
      </c>
      <c r="D582" s="10" t="str">
        <f>'31'!E15</f>
        <v>E</v>
      </c>
      <c r="E582" s="10">
        <f>'31'!F15</f>
        <v>0</v>
      </c>
      <c r="F582" s="10">
        <f>'31'!G15</f>
        <v>2</v>
      </c>
    </row>
    <row r="583" spans="1:6" x14ac:dyDescent="0.35">
      <c r="A583" s="10">
        <f>'31'!A16</f>
        <v>31</v>
      </c>
      <c r="B583" s="10">
        <f>'31'!B16</f>
        <v>15</v>
      </c>
      <c r="C583" s="10" t="str">
        <f>'31'!D16</f>
        <v>lack of distinct guiding principles specified within policy strategies and put into practice through binding regulations.</v>
      </c>
      <c r="D583" s="10" t="str">
        <f>'31'!E16</f>
        <v>F</v>
      </c>
      <c r="E583" s="10">
        <f>'31'!F16</f>
        <v>2</v>
      </c>
      <c r="F583" s="10">
        <f>'31'!G16</f>
        <v>3</v>
      </c>
    </row>
    <row r="584" spans="1:6" x14ac:dyDescent="0.35">
      <c r="A584" s="10">
        <f>'31'!A17</f>
        <v>31</v>
      </c>
      <c r="B584" s="10">
        <f>'31'!B17</f>
        <v>16</v>
      </c>
      <c r="C584" s="10" t="str">
        <f>'31'!D17</f>
        <v>his involves both self-imposed obligations (e.g., greening of municipal buildings) as well as external obligations (e.g., stipulations in urban land use planning).</v>
      </c>
      <c r="D584" s="10" t="str">
        <f>'31'!E17</f>
        <v>F</v>
      </c>
      <c r="E584" s="10">
        <f>'31'!F17</f>
        <v>2</v>
      </c>
      <c r="F584" s="10">
        <f>'31'!G17</f>
        <v>3</v>
      </c>
    </row>
    <row r="585" spans="1:6" x14ac:dyDescent="0.35">
      <c r="A585" s="10">
        <f>'31'!A18</f>
        <v>31</v>
      </c>
      <c r="B585" s="10">
        <f>'31'!B18</f>
        <v>17</v>
      </c>
      <c r="C585" s="10" t="str">
        <f>'31'!D18</f>
        <v>difficulties in the monitoring implementation of, and compliance with, regulations occur</v>
      </c>
      <c r="D585" s="10" t="str">
        <f>'31'!E18</f>
        <v>A</v>
      </c>
      <c r="E585" s="10">
        <f>'31'!F18</f>
        <v>1</v>
      </c>
      <c r="F585" s="10">
        <f>'31'!G18</f>
        <v>2</v>
      </c>
    </row>
    <row r="586" spans="1:6" x14ac:dyDescent="0.35">
      <c r="A586" s="10">
        <f>'31'!A19</f>
        <v>31</v>
      </c>
      <c r="B586" s="10">
        <f>'31'!B19</f>
        <v>18</v>
      </c>
      <c r="C586" s="10" t="str">
        <f>'31'!D19</f>
        <v xml:space="preserve">  lack of incentives and support   from the government by regulatory incentives </v>
      </c>
      <c r="D586" s="10" t="str">
        <f>'31'!E19</f>
        <v>A</v>
      </c>
      <c r="E586" s="10">
        <f>'31'!F19</f>
        <v>1</v>
      </c>
      <c r="F586" s="10">
        <f>'31'!G19</f>
        <v>1</v>
      </c>
    </row>
    <row r="587" spans="1:6" x14ac:dyDescent="0.35">
      <c r="A587" s="10">
        <f>'31'!A20</f>
        <v>31</v>
      </c>
      <c r="B587" s="10">
        <f>'31'!B20</f>
        <v>19</v>
      </c>
      <c r="C587" s="10" t="str">
        <f>'31'!D20</f>
        <v xml:space="preserve"> lack of incentives financial support through funding programs and tax relief    from the government </v>
      </c>
      <c r="D587" s="10" t="str">
        <f>'31'!E20</f>
        <v>F</v>
      </c>
      <c r="E587" s="10">
        <f>'31'!F20</f>
        <v>2</v>
      </c>
      <c r="F587" s="10">
        <f>'31'!G20</f>
        <v>2</v>
      </c>
    </row>
    <row r="588" spans="1:6" x14ac:dyDescent="0.35">
      <c r="A588" s="10">
        <f>'31'!A21</f>
        <v>31</v>
      </c>
      <c r="B588" s="10">
        <f>'31'!B21</f>
        <v>20</v>
      </c>
      <c r="C588" s="10" t="str">
        <f>'31'!D21</f>
        <v xml:space="preserve"> incentives insufficiently advertised</v>
      </c>
      <c r="D588" s="10" t="str">
        <f>'31'!E21</f>
        <v>A</v>
      </c>
      <c r="E588" s="10">
        <f>'31'!F21</f>
        <v>1</v>
      </c>
      <c r="F588" s="10">
        <f>'31'!G21</f>
        <v>1</v>
      </c>
    </row>
    <row r="589" spans="1:6" x14ac:dyDescent="0.35">
      <c r="A589" s="10">
        <f>'31'!A22</f>
        <v>31</v>
      </c>
      <c r="B589" s="10">
        <f>'31'!B22</f>
        <v>21</v>
      </c>
      <c r="C589" s="10" t="str">
        <f>'31'!D22</f>
        <v xml:space="preserve"> complex requirements and extensive procedures in politics and administration</v>
      </c>
      <c r="D589" s="10" t="str">
        <f>'31'!E22</f>
        <v>F</v>
      </c>
      <c r="E589" s="10">
        <f>'31'!F22</f>
        <v>1</v>
      </c>
      <c r="F589" s="10">
        <f>'31'!G22</f>
        <v>1</v>
      </c>
    </row>
    <row r="590" spans="1:6" x14ac:dyDescent="0.35">
      <c r="A590" s="10">
        <f>'31'!A23</f>
        <v>31</v>
      </c>
      <c r="B590" s="10">
        <f>'31'!B23</f>
        <v>22</v>
      </c>
      <c r="C590" s="10" t="str">
        <f>'31'!D23</f>
        <v xml:space="preserve">  procedures can require a great deal of bureaucratic, temporal, personnel, and financial effort, also affecting barriers on the economic and practical-technical level </v>
      </c>
      <c r="D590" s="10" t="str">
        <f>'31'!E23</f>
        <v>F</v>
      </c>
      <c r="E590" s="10">
        <f>'31'!F23</f>
        <v>1</v>
      </c>
      <c r="F590" s="10">
        <f>'31'!G23</f>
        <v>1</v>
      </c>
    </row>
    <row r="591" spans="1:6" x14ac:dyDescent="0.35">
      <c r="A591" s="10">
        <f>'31'!A24</f>
        <v>31</v>
      </c>
      <c r="B591" s="10">
        <f>'31'!B24</f>
        <v>23</v>
      </c>
      <c r="C591" s="10" t="str">
        <f>'31'!D24</f>
        <v xml:space="preserve"> lack of uniform constructional, technical, and design standards </v>
      </c>
      <c r="D591" s="10" t="str">
        <f>'31'!E24</f>
        <v>F</v>
      </c>
      <c r="E591" s="10">
        <f>'31'!F24</f>
        <v>2</v>
      </c>
      <c r="F591" s="10">
        <f>'31'!G24</f>
        <v>2</v>
      </c>
    </row>
    <row r="592" spans="1:6" x14ac:dyDescent="0.35">
      <c r="A592" s="10">
        <f>'31'!A25</f>
        <v>31</v>
      </c>
      <c r="B592" s="10">
        <f>'31'!B25</f>
        <v>24</v>
      </c>
      <c r="C592" s="10" t="str">
        <f>'31'!D25</f>
        <v xml:space="preserve">actors lack the  means or willingness to pay </v>
      </c>
      <c r="D592" s="10" t="str">
        <f>'31'!E25</f>
        <v>A</v>
      </c>
      <c r="E592" s="10">
        <f>'31'!F25</f>
        <v>1</v>
      </c>
      <c r="F592" s="10">
        <f>'31'!G25</f>
        <v>1</v>
      </c>
    </row>
    <row r="593" spans="1:6" x14ac:dyDescent="0.35">
      <c r="A593" s="10">
        <f>'31'!A26</f>
        <v>31</v>
      </c>
      <c r="B593" s="10">
        <f>'31'!B26</f>
        <v>25</v>
      </c>
      <c r="C593" s="10" t="str">
        <f>'31'!D26</f>
        <v xml:space="preserve"> expectation that others will bear the costs (especially persists between landlords and tenants)</v>
      </c>
      <c r="D593" s="10" t="str">
        <f>'31'!E26</f>
        <v>F</v>
      </c>
      <c r="E593" s="10">
        <f>'31'!F26</f>
        <v>3</v>
      </c>
      <c r="F593" s="10">
        <f>'31'!G26</f>
        <v>1</v>
      </c>
    </row>
    <row r="594" spans="1:6" x14ac:dyDescent="0.35">
      <c r="A594" s="10">
        <f>'31'!A27</f>
        <v>31</v>
      </c>
      <c r="B594" s="10">
        <f>'31'!B27</f>
        <v>26</v>
      </c>
      <c r="C594" s="10" t="str">
        <f>'31'!D27</f>
        <v>costs are often overestimated while the potential benefits of GFs are underestimated</v>
      </c>
      <c r="D594" s="10" t="str">
        <f>'31'!E27</f>
        <v>B</v>
      </c>
      <c r="E594" s="10">
        <f>'31'!F27</f>
        <v>0</v>
      </c>
      <c r="F594" s="10">
        <f>'31'!G27</f>
        <v>1</v>
      </c>
    </row>
    <row r="595" spans="1:6" x14ac:dyDescent="0.35">
      <c r="A595" s="10">
        <f>'31'!A28</f>
        <v>31</v>
      </c>
      <c r="B595" s="10">
        <f>'31'!B28</f>
        <v>27</v>
      </c>
      <c r="C595" s="10" t="str">
        <f>'31'!D28</f>
        <v xml:space="preserve"> additional  costs are linked to GF- acquisition costs and operating costs</v>
      </c>
      <c r="D595" s="10" t="str">
        <f>'31'!E28</f>
        <v>A</v>
      </c>
      <c r="E595" s="10">
        <f>'31'!F28</f>
        <v>3</v>
      </c>
      <c r="F595" s="10">
        <f>'31'!G28</f>
        <v>3</v>
      </c>
    </row>
    <row r="596" spans="1:6" x14ac:dyDescent="0.35">
      <c r="A596" s="10">
        <f>'31'!A29</f>
        <v>31</v>
      </c>
      <c r="B596" s="10">
        <f>'31'!B29</f>
        <v>28</v>
      </c>
      <c r="C596" s="10" t="str">
        <f>'31'!D29</f>
        <v>political-administrative framework conditions, e.g., monument conservation requirements and approval procedures during planning can add to costs</v>
      </c>
      <c r="D596" s="10" t="str">
        <f>'31'!E29</f>
        <v>A</v>
      </c>
      <c r="E596" s="10">
        <f>'31'!F29</f>
        <v>3</v>
      </c>
      <c r="F596" s="10">
        <f>'31'!G29</f>
        <v>3</v>
      </c>
    </row>
    <row r="597" spans="1:6" x14ac:dyDescent="0.35">
      <c r="A597" s="10">
        <f>'31'!A30</f>
        <v>31</v>
      </c>
      <c r="B597" s="10">
        <f>'31'!B30</f>
        <v>29</v>
      </c>
      <c r="C597" s="10" t="str">
        <f>'31'!D30</f>
        <v xml:space="preserve">insufficient return on investment </v>
      </c>
      <c r="D597" s="10" t="str">
        <f>'31'!E30</f>
        <v>A</v>
      </c>
      <c r="E597" s="10">
        <f>'31'!F30</f>
        <v>2</v>
      </c>
      <c r="F597" s="10">
        <f>'31'!G30</f>
        <v>4</v>
      </c>
    </row>
    <row r="598" spans="1:6" x14ac:dyDescent="0.35">
      <c r="A598" s="10">
        <f>'31'!A31</f>
        <v>31</v>
      </c>
      <c r="B598" s="10">
        <f>'31'!B31</f>
        <v>30</v>
      </c>
      <c r="C598" s="10" t="str">
        <f>'31'!D31</f>
        <v>lower ROIs than other measures and a relatively long payback period,</v>
      </c>
      <c r="D598" s="10" t="str">
        <f>'31'!E31</f>
        <v>A</v>
      </c>
      <c r="E598" s="10">
        <f>'31'!F31</f>
        <v>1</v>
      </c>
      <c r="F598" s="10">
        <f>'31'!G31</f>
        <v>8</v>
      </c>
    </row>
    <row r="599" spans="1:6" x14ac:dyDescent="0.35">
      <c r="A599" s="10">
        <f>'31'!A32</f>
        <v>31</v>
      </c>
      <c r="B599" s="10">
        <f>'31'!B32</f>
        <v>31</v>
      </c>
      <c r="C599" s="10" t="str">
        <f>'31'!D32</f>
        <v>implementation difficulties regarding the effort, the legal framework, and the availability of funds.</v>
      </c>
      <c r="D599" s="10" t="str">
        <f>'31'!E32</f>
        <v>A</v>
      </c>
      <c r="E599" s="10">
        <f>'31'!F32</f>
        <v>1</v>
      </c>
      <c r="F599" s="10">
        <f>'31'!G32</f>
        <v>10</v>
      </c>
    </row>
    <row r="600" spans="1:6" x14ac:dyDescent="0.35">
      <c r="A600" s="10">
        <f>'32'!A2</f>
        <v>32</v>
      </c>
      <c r="B600" s="10">
        <f>'32'!B2</f>
        <v>1</v>
      </c>
      <c r="C600" s="10" t="str">
        <f>'32'!D2</f>
        <v>pervasive lack of public awareness of the threats that ecosystem degradation and climate change pose  to our planet, and of the social, economic, and ecological benefits of restoring degraded ecosystems</v>
      </c>
      <c r="D600" s="10" t="str">
        <f>'32'!E2</f>
        <v>D</v>
      </c>
      <c r="E600" s="10">
        <f>'32'!F2</f>
        <v>0</v>
      </c>
      <c r="F600" s="10">
        <f>'32'!G2</f>
        <v>1</v>
      </c>
    </row>
    <row r="601" spans="1:6" x14ac:dyDescent="0.35">
      <c r="A601" s="10">
        <f>'32'!A3</f>
        <v>32</v>
      </c>
      <c r="B601" s="10">
        <f>'32'!B3</f>
        <v>2</v>
      </c>
      <c r="C601" s="10" t="str">
        <f>'32'!D3</f>
        <v>need for long-term scientific research devoted to understanding the restoration process,  from its social and biophysical dimensions to improving and innovating methods and strategies</v>
      </c>
      <c r="D601" s="10" t="str">
        <f>'32'!E3</f>
        <v>C</v>
      </c>
      <c r="E601" s="10">
        <f>'32'!F3</f>
        <v>2</v>
      </c>
      <c r="F601" s="10">
        <f>'32'!G3</f>
        <v>1</v>
      </c>
    </row>
    <row r="602" spans="1:6" x14ac:dyDescent="0.35">
      <c r="A602" s="10">
        <f>'32'!A4</f>
        <v>32</v>
      </c>
      <c r="B602" s="10">
        <f>'32'!B4</f>
        <v>3</v>
      </c>
      <c r="C602" s="10" t="str">
        <f>'32'!D4</f>
        <v xml:space="preserve"> relatively small portion contribution of the national budget that governments currently assign  to ecosystem restoration compared to the investments made in other areas, like energy and defense</v>
      </c>
      <c r="D602" s="10" t="str">
        <f>'32'!E4</f>
        <v>F</v>
      </c>
      <c r="E602" s="10">
        <f>'32'!F4</f>
        <v>5</v>
      </c>
      <c r="F602" s="10">
        <f>'32'!G4</f>
        <v>1</v>
      </c>
    </row>
    <row r="603" spans="1:6" x14ac:dyDescent="0.35">
      <c r="A603" s="10">
        <f>'32'!A5</f>
        <v>32</v>
      </c>
      <c r="B603" s="10">
        <f>'32'!B5</f>
        <v>4</v>
      </c>
      <c r="C603" s="10" t="str">
        <f>'32'!D5</f>
        <v xml:space="preserve"> prevalence of incentive mechanisms that promote degradation and, related to this, the lack or  poor enforcement of enabling legislative environments and policies that incentivize the restoration of  ecosystem</v>
      </c>
      <c r="D603" s="10" t="str">
        <f>'32'!E5</f>
        <v>F</v>
      </c>
      <c r="E603" s="10">
        <f>'32'!F5</f>
        <v>5</v>
      </c>
      <c r="F603" s="10">
        <f>'32'!G5</f>
        <v>3</v>
      </c>
    </row>
    <row r="604" spans="1:6" x14ac:dyDescent="0.35">
      <c r="A604" s="10">
        <f>'32'!A6</f>
        <v>32</v>
      </c>
      <c r="B604" s="10">
        <f>'32'!B6</f>
        <v>5</v>
      </c>
      <c r="C604" s="10" t="str">
        <f>'32'!D6</f>
        <v xml:space="preserve"> limited capacities among organizations, governments, private companies, and  communities in restoration initiatives.</v>
      </c>
      <c r="D604" s="10" t="str">
        <f>'32'!E6</f>
        <v>C</v>
      </c>
      <c r="E604" s="10">
        <f>'32'!F6</f>
        <v>3</v>
      </c>
      <c r="F604" s="10">
        <f>'32'!G6</f>
        <v>2</v>
      </c>
    </row>
    <row r="605" spans="1:6" x14ac:dyDescent="0.35">
      <c r="A605" s="10">
        <f>'32'!A7</f>
        <v>32</v>
      </c>
      <c r="B605" s="10">
        <f>'32'!B7</f>
        <v>6</v>
      </c>
      <c r="C605" s="10" t="str">
        <f>'32'!D7</f>
        <v>reduced amount of private investments in restoration, given the perceived risk of the activities  involved</v>
      </c>
      <c r="D605" s="10" t="str">
        <f>'32'!E7</f>
        <v>A</v>
      </c>
      <c r="E605" s="10">
        <f>'32'!F7</f>
        <v>2</v>
      </c>
      <c r="F605" s="10">
        <f>'32'!G7</f>
        <v>4</v>
      </c>
    </row>
    <row r="606" spans="1:6" x14ac:dyDescent="0.35">
      <c r="A606" s="10">
        <f>'33'!A2</f>
        <v>33</v>
      </c>
      <c r="B606" s="10">
        <f>'33'!B2</f>
        <v>1</v>
      </c>
      <c r="C606" s="10" t="str">
        <f>'33'!D2</f>
        <v xml:space="preserve">require the land area </v>
      </c>
      <c r="D606" s="10" t="str">
        <f>'33'!E2</f>
        <v>F</v>
      </c>
      <c r="E606" s="10">
        <f>'33'!F2</f>
        <v>5</v>
      </c>
      <c r="F606" s="10">
        <f>'33'!G2</f>
        <v>2</v>
      </c>
    </row>
    <row r="607" spans="1:6" x14ac:dyDescent="0.35">
      <c r="A607" s="10">
        <f>'33'!A3</f>
        <v>33</v>
      </c>
      <c r="B607" s="10">
        <f>'33'!B3</f>
        <v>2</v>
      </c>
      <c r="C607" s="10" t="str">
        <f>'33'!D3</f>
        <v xml:space="preserve">desired outcome requires package of structural and nonstructural interventions </v>
      </c>
      <c r="D607" s="10" t="str">
        <f>'33'!E3</f>
        <v>C</v>
      </c>
      <c r="E607" s="10">
        <f>'33'!F3</f>
        <v>2</v>
      </c>
      <c r="F607" s="10">
        <f>'33'!G3</f>
        <v>2</v>
      </c>
    </row>
    <row r="608" spans="1:6" x14ac:dyDescent="0.35">
      <c r="A608" s="10">
        <f>'33'!A4</f>
        <v>33</v>
      </c>
      <c r="B608" s="10">
        <f>'33'!B4</f>
        <v>3</v>
      </c>
      <c r="C608" s="10" t="str">
        <f>'33'!D4</f>
        <v>other types of strategies (education, regulations) are essential contributors to desired outcome</v>
      </c>
      <c r="D608" s="10" t="str">
        <f>'33'!E4</f>
        <v>C</v>
      </c>
      <c r="E608" s="10">
        <f>'33'!F4</f>
        <v>2</v>
      </c>
      <c r="F608" s="10">
        <f>'33'!G4</f>
        <v>2</v>
      </c>
    </row>
    <row r="609" spans="1:6" x14ac:dyDescent="0.35">
      <c r="A609" s="10">
        <f>'33'!A5</f>
        <v>33</v>
      </c>
      <c r="B609" s="10">
        <f>'33'!B5</f>
        <v>4</v>
      </c>
      <c r="C609" s="10" t="str">
        <f>'33'!D5</f>
        <v xml:space="preserve">non-structural measures often less costly than structural measures </v>
      </c>
      <c r="D609" s="10" t="str">
        <f>'33'!E5</f>
        <v>A</v>
      </c>
      <c r="E609" s="10">
        <f>'33'!F5</f>
        <v>3</v>
      </c>
      <c r="F609" s="10">
        <f>'33'!G5</f>
        <v>1</v>
      </c>
    </row>
    <row r="610" spans="1:6" x14ac:dyDescent="0.35">
      <c r="A610" s="10">
        <f>'33'!A6</f>
        <v>33</v>
      </c>
      <c r="B610" s="10">
        <f>'33'!B6</f>
        <v>5</v>
      </c>
      <c r="C610" s="10" t="str">
        <f>'33'!D6</f>
        <v>prevent building in areas prone to high flood risk</v>
      </c>
      <c r="D610" s="10" t="str">
        <f>'33'!E6</f>
        <v>F</v>
      </c>
      <c r="E610" s="10">
        <f>'33'!F6</f>
        <v>2</v>
      </c>
      <c r="F610" s="10">
        <f>'33'!G6</f>
        <v>2</v>
      </c>
    </row>
    <row r="611" spans="1:6" x14ac:dyDescent="0.35">
      <c r="A611" s="10">
        <f>'33'!A7</f>
        <v>33</v>
      </c>
      <c r="B611" s="10">
        <f>'33'!B7</f>
        <v>6</v>
      </c>
      <c r="C611" s="10" t="str">
        <f>'33'!D7</f>
        <v xml:space="preserve"> important to have strong local zoning and building code regulations</v>
      </c>
      <c r="D611" s="10" t="str">
        <f>'33'!E7</f>
        <v>F</v>
      </c>
      <c r="E611" s="10">
        <f>'33'!F7</f>
        <v>2</v>
      </c>
      <c r="F611" s="10">
        <f>'33'!G7</f>
        <v>2</v>
      </c>
    </row>
    <row r="612" spans="1:6" x14ac:dyDescent="0.35">
      <c r="A612" s="10">
        <f>'33'!A8</f>
        <v>33</v>
      </c>
      <c r="B612" s="10">
        <f>'33'!B8</f>
        <v>7</v>
      </c>
      <c r="C612" s="10" t="str">
        <f>'33'!D8</f>
        <v>The Act also provided the foundation for local programs to adopt new regulatory strategies to ameliorate flood risk</v>
      </c>
      <c r="D612" s="10" t="str">
        <f>'33'!E8</f>
        <v>F</v>
      </c>
      <c r="E612" s="10">
        <f>'33'!F8</f>
        <v>2</v>
      </c>
      <c r="F612" s="10">
        <f>'33'!G8</f>
        <v>2</v>
      </c>
    </row>
    <row r="613" spans="1:6" x14ac:dyDescent="0.35">
      <c r="A613" s="10">
        <f>'33'!A9</f>
        <v>33</v>
      </c>
      <c r="B613" s="10">
        <f>'33'!B9</f>
        <v>8</v>
      </c>
      <c r="C613" s="10" t="str">
        <f>'33'!D9</f>
        <v xml:space="preserve"> fund flood risk reduction projects to mitigate the additional property damage exposure</v>
      </c>
      <c r="D613" s="10" t="str">
        <f>'33'!E9</f>
        <v>A</v>
      </c>
      <c r="E613" s="10">
        <f>'33'!F9</f>
        <v>1</v>
      </c>
      <c r="F613" s="10">
        <f>'33'!G9</f>
        <v>8</v>
      </c>
    </row>
    <row r="614" spans="1:6" x14ac:dyDescent="0.35">
      <c r="A614" s="10">
        <f>'33'!A10</f>
        <v>33</v>
      </c>
      <c r="B614" s="10">
        <f>'33'!B10</f>
        <v>9</v>
      </c>
      <c r="C614" s="10" t="str">
        <f>'33'!D10</f>
        <v xml:space="preserve">  lower flood risk rating frequently result in lower insurance premiums and more complacency, which tends to spur additional development—the “levee paradox” </v>
      </c>
      <c r="D614" s="10" t="str">
        <f>'33'!E10</f>
        <v>B</v>
      </c>
      <c r="E614" s="10">
        <f>'33'!F10</f>
        <v>0</v>
      </c>
      <c r="F614" s="10">
        <f>'33'!G10</f>
        <v>4</v>
      </c>
    </row>
    <row r="615" spans="1:6" x14ac:dyDescent="0.35">
      <c r="A615" s="10">
        <f>'33'!A11</f>
        <v>33</v>
      </c>
      <c r="B615" s="10">
        <f>'33'!B11</f>
        <v>10</v>
      </c>
      <c r="C615" s="10" t="str">
        <f>'33'!D11</f>
        <v xml:space="preserve"> Public may lose interest in flood risk management</v>
      </c>
      <c r="D615" s="10" t="str">
        <f>'33'!E11</f>
        <v>d</v>
      </c>
      <c r="E615" s="10">
        <f>'33'!F11</f>
        <v>0</v>
      </c>
      <c r="F615" s="10">
        <f>'33'!G11</f>
        <v>1</v>
      </c>
    </row>
    <row r="616" spans="1:6" x14ac:dyDescent="0.35">
      <c r="A616" s="10">
        <f>'33'!A12</f>
        <v>33</v>
      </c>
      <c r="B616" s="10">
        <f>'33'!B12</f>
        <v>11</v>
      </c>
      <c r="C616" s="10" t="str">
        <f>'33'!D12</f>
        <v>Funding for levee improvement came sporadically and was limited in focus</v>
      </c>
      <c r="D616" s="10" t="str">
        <f>'33'!E12</f>
        <v>A</v>
      </c>
      <c r="E616" s="10">
        <f>'33'!F12</f>
        <v>1</v>
      </c>
      <c r="F616" s="10">
        <f>'33'!G12</f>
        <v>1</v>
      </c>
    </row>
    <row r="617" spans="1:6" x14ac:dyDescent="0.35">
      <c r="A617" s="10">
        <f>'33'!A13</f>
        <v>33</v>
      </c>
      <c r="B617" s="10">
        <f>'33'!B13</f>
        <v>12</v>
      </c>
      <c r="C617" s="10" t="str">
        <f>'33'!D13</f>
        <v xml:space="preserve"> untill Central Valley Flood Protection Act , leading to increased recognition that the State needed to enhance its financial contribution </v>
      </c>
      <c r="D617" s="10" t="str">
        <f>'33'!E13</f>
        <v>F</v>
      </c>
      <c r="E617" s="10">
        <f>'33'!F13</f>
        <v>1</v>
      </c>
      <c r="F617" s="10">
        <f>'33'!G13</f>
        <v>1</v>
      </c>
    </row>
    <row r="618" spans="1:6" x14ac:dyDescent="0.35">
      <c r="A618" s="10">
        <f>'33'!A14</f>
        <v>33</v>
      </c>
      <c r="B618" s="10">
        <f>'33'!B14</f>
        <v>13</v>
      </c>
      <c r="C618" s="10" t="str">
        <f>'33'!D14</f>
        <v>if structures were to be maintained and meet updated regulatory requirements</v>
      </c>
      <c r="D618" s="10" t="str">
        <f>'33'!E14</f>
        <v>F</v>
      </c>
      <c r="E618" s="10">
        <f>'33'!F14</f>
        <v>1</v>
      </c>
      <c r="F618" s="10">
        <f>'33'!G14</f>
        <v>1</v>
      </c>
    </row>
    <row r="619" spans="1:6" x14ac:dyDescent="0.35">
      <c r="A619" s="10">
        <f>'33'!A15</f>
        <v>33</v>
      </c>
      <c r="B619" s="10">
        <f>'33'!B15</f>
        <v>14</v>
      </c>
      <c r="C619" s="10" t="str">
        <f>'33'!D15</f>
        <v xml:space="preserve"> accomplished through partnerships</v>
      </c>
      <c r="D619" s="10" t="str">
        <f>'33'!E15</f>
        <v>F</v>
      </c>
      <c r="E619" s="10">
        <f>'33'!F15</f>
        <v>1</v>
      </c>
      <c r="F619" s="10">
        <f>'33'!G15</f>
        <v>2</v>
      </c>
    </row>
    <row r="620" spans="1:6" x14ac:dyDescent="0.35">
      <c r="A620" s="10">
        <f>'33'!A16</f>
        <v>33</v>
      </c>
      <c r="B620" s="10">
        <f>'33'!B16</f>
        <v>15</v>
      </c>
      <c r="C620" s="10" t="str">
        <f>'33'!D16</f>
        <v xml:space="preserve">  levee’s proximity to development and associated utilities. </v>
      </c>
      <c r="D620" s="10" t="str">
        <f>'33'!E16</f>
        <v>F</v>
      </c>
      <c r="E620" s="10">
        <f>'33'!F16</f>
        <v>5</v>
      </c>
      <c r="F620" s="10">
        <f>'33'!G16</f>
        <v>2</v>
      </c>
    </row>
    <row r="621" spans="1:6" x14ac:dyDescent="0.35">
      <c r="A621" s="10">
        <f>'33'!A17</f>
        <v>33</v>
      </c>
      <c r="B621" s="10">
        <f>'33'!B17</f>
        <v>16</v>
      </c>
      <c r="C621" s="10" t="str">
        <f>'33'!D17</f>
        <v xml:space="preserve"> additional land is needed, and all existing easements, including utilities, roadways, or other impediments, need to be relocated or negotiated </v>
      </c>
      <c r="D621" s="10" t="str">
        <f>'33'!E17</f>
        <v>F</v>
      </c>
      <c r="E621" s="10">
        <f>'33'!F17</f>
        <v>5</v>
      </c>
      <c r="F621" s="10">
        <f>'33'!G17</f>
        <v>2</v>
      </c>
    </row>
    <row r="622" spans="1:6" x14ac:dyDescent="0.35">
      <c r="A622" s="10">
        <f>'33'!A18</f>
        <v>33</v>
      </c>
      <c r="B622" s="10">
        <f>'33'!B18</f>
        <v>17</v>
      </c>
      <c r="C622" s="10" t="str">
        <f>'33'!D18</f>
        <v xml:space="preserve"> each have their own method for evaluating the costs and benefits of a project</v>
      </c>
      <c r="D622" s="10" t="str">
        <f>'33'!E18</f>
        <v>B</v>
      </c>
      <c r="E622" s="10">
        <f>'33'!F18</f>
        <v>0</v>
      </c>
      <c r="F622" s="10">
        <f>'33'!G18</f>
        <v>2</v>
      </c>
    </row>
    <row r="623" spans="1:6" x14ac:dyDescent="0.35">
      <c r="A623" s="10">
        <f>'33'!A19</f>
        <v>33</v>
      </c>
      <c r="B623" s="10">
        <f>'33'!B19</f>
        <v>18</v>
      </c>
      <c r="C623" s="10" t="str">
        <f>'33'!D19</f>
        <v>methods are influenced by the source of funding, agency priorities and policies, and regulatory considerations, among other factors</v>
      </c>
      <c r="D623" s="10" t="str">
        <f>'33'!E19</f>
        <v>A</v>
      </c>
      <c r="E623" s="10">
        <f>'33'!F19</f>
        <v>1</v>
      </c>
      <c r="F623" s="10">
        <f>'33'!G19</f>
        <v>10</v>
      </c>
    </row>
    <row r="624" spans="1:6" x14ac:dyDescent="0.35">
      <c r="A624" s="10">
        <f>'33'!A20</f>
        <v>33</v>
      </c>
      <c r="B624" s="10">
        <f>'33'!B20</f>
        <v>19</v>
      </c>
      <c r="C624" s="10" t="str">
        <f>'33'!D20</f>
        <v>funding can also be limited to specific actions, such as a feasibility study, design development, construction, or maintenanc</v>
      </c>
      <c r="D624" s="10" t="str">
        <f>'33'!E20</f>
        <v>A</v>
      </c>
      <c r="E624" s="10">
        <f>'33'!F20</f>
        <v>1</v>
      </c>
      <c r="F624" s="10">
        <f>'33'!G20</f>
        <v>1</v>
      </c>
    </row>
    <row r="625" spans="1:6" x14ac:dyDescent="0.35">
      <c r="A625" s="10">
        <f>'33'!A21</f>
        <v>33</v>
      </c>
      <c r="B625" s="10">
        <f>'33'!B21</f>
        <v>20</v>
      </c>
      <c r="C625" s="10" t="str">
        <f>'33'!D21</f>
        <v xml:space="preserve"> risk to communities; without accounting for the beneficial aspects offloods to provide benefits to ecology and water supply </v>
      </c>
      <c r="D625" s="10" t="str">
        <f>'33'!E21</f>
        <v>B</v>
      </c>
      <c r="E625" s="10">
        <f>'33'!F21</f>
        <v>0</v>
      </c>
      <c r="F625" s="10">
        <f>'33'!G21</f>
        <v>1</v>
      </c>
    </row>
    <row r="626" spans="1:6" x14ac:dyDescent="0.35">
      <c r="A626" s="10">
        <f>'33'!A22</f>
        <v>33</v>
      </c>
      <c r="B626" s="10">
        <f>'33'!B22</f>
        <v>21</v>
      </c>
      <c r="C626" s="10" t="str">
        <f>'33'!D22</f>
        <v xml:space="preserve"> term floodplain became synonymous with a more regulatory definition,  intact floodplains can also support thriving ecosystems, riparian forests, and seasonal marshes, that in turn support a wide range of native species</v>
      </c>
      <c r="D626" s="10" t="str">
        <f>'33'!E22</f>
        <v>C</v>
      </c>
      <c r="E626" s="10">
        <f>'33'!F22</f>
        <v>3</v>
      </c>
      <c r="F626" s="10">
        <f>'33'!G22</f>
        <v>3</v>
      </c>
    </row>
    <row r="627" spans="1:6" x14ac:dyDescent="0.35">
      <c r="A627" s="10">
        <f>'33'!A23</f>
        <v>33</v>
      </c>
      <c r="B627" s="10">
        <f>'33'!B23</f>
        <v>22</v>
      </c>
      <c r="C627" s="10" t="str">
        <f>'33'!D23</f>
        <v xml:space="preserve"> ad hoc stakeholder group became a successful forum to discuss issues and potential solutions and continues to meet as needed</v>
      </c>
      <c r="D627" s="10" t="str">
        <f>'33'!E23</f>
        <v>F</v>
      </c>
      <c r="E627" s="10">
        <f>'33'!F23</f>
        <v>1</v>
      </c>
      <c r="F627" s="10">
        <f>'33'!G23</f>
        <v>2</v>
      </c>
    </row>
    <row r="628" spans="1:6" x14ac:dyDescent="0.35">
      <c r="A628" s="10">
        <f>'33'!A24</f>
        <v>33</v>
      </c>
      <c r="B628" s="10">
        <f>'33'!B24</f>
        <v>23</v>
      </c>
      <c r="C628" s="10" t="str">
        <f>'33'!D24</f>
        <v xml:space="preserve"> Placing rocks to protect the levee sides wasn’t deemed an effective strategy because new invasive vegetation would cause environmental and operational problems.</v>
      </c>
      <c r="D628" s="10" t="str">
        <f>'33'!E24</f>
        <v>C</v>
      </c>
      <c r="E628" s="10">
        <f>'33'!F24</f>
        <v>1</v>
      </c>
      <c r="F628" s="10">
        <f>'33'!G24</f>
        <v>1</v>
      </c>
    </row>
    <row r="629" spans="1:6" x14ac:dyDescent="0.35">
      <c r="A629" s="10">
        <f>'33'!A25</f>
        <v>33</v>
      </c>
      <c r="B629" s="10">
        <f>'33'!B25</f>
        <v>24</v>
      </c>
      <c r="C629" s="10" t="str">
        <f>'33'!D25</f>
        <v xml:space="preserve">  flood and restoration benefits allowed the Project to secure funds from multiple sources.</v>
      </c>
      <c r="D629" s="10" t="str">
        <f>'33'!E25</f>
        <v>A</v>
      </c>
      <c r="E629" s="10">
        <f>'33'!F25</f>
        <v>1</v>
      </c>
      <c r="F629" s="10">
        <f>'33'!G25</f>
        <v>8</v>
      </c>
    </row>
    <row r="630" spans="1:6" x14ac:dyDescent="0.35">
      <c r="A630" s="10">
        <f>'33'!A26</f>
        <v>33</v>
      </c>
      <c r="B630" s="10">
        <f>'33'!B26</f>
        <v>25</v>
      </c>
      <c r="C630" s="10" t="str">
        <f>'33'!D26</f>
        <v xml:space="preserve"> innovative public-private partnership  can accelerate project delivery</v>
      </c>
      <c r="D630" s="10" t="str">
        <f>'33'!E26</f>
        <v>F</v>
      </c>
      <c r="E630" s="10">
        <f>'33'!F26</f>
        <v>1</v>
      </c>
      <c r="F630" s="10">
        <f>'33'!G26</f>
        <v>2</v>
      </c>
    </row>
    <row r="631" spans="1:6" x14ac:dyDescent="0.35">
      <c r="A631" s="10">
        <f>'33'!A27</f>
        <v>33</v>
      </c>
      <c r="B631" s="10">
        <f>'33'!B27</f>
        <v>26</v>
      </c>
      <c r="C631" s="10" t="str">
        <f>'33'!D27</f>
        <v>private company, EIP can purchase private properties more quickly than State agencies</v>
      </c>
      <c r="D631" s="10" t="str">
        <f>'33'!E27</f>
        <v>F</v>
      </c>
      <c r="E631" s="10">
        <f>'33'!F27</f>
        <v>1</v>
      </c>
      <c r="F631" s="10">
        <f>'33'!G27</f>
        <v>2</v>
      </c>
    </row>
    <row r="632" spans="1:6" x14ac:dyDescent="0.35">
      <c r="A632" s="10">
        <f>'33'!A28</f>
        <v>33</v>
      </c>
      <c r="B632" s="10">
        <f>'33'!B28</f>
        <v>27</v>
      </c>
      <c r="C632" s="10" t="str">
        <f>'33'!D28</f>
        <v xml:space="preserve"> Utilities, gas lines, and other infrastructure can be significant
obstacles for creating tidal and floodplain habitat that is periodically or permanently inundated</v>
      </c>
      <c r="D632" s="10" t="str">
        <f>'33'!E28</f>
        <v>F</v>
      </c>
      <c r="E632" s="10">
        <f>'33'!F28</f>
        <v>3</v>
      </c>
      <c r="F632" s="10">
        <f>'33'!G28</f>
        <v>3</v>
      </c>
    </row>
    <row r="633" spans="1:6" x14ac:dyDescent="0.35">
      <c r="A633" s="10">
        <f>'33'!A29</f>
        <v>33</v>
      </c>
      <c r="B633" s="10">
        <f>'33'!B29</f>
        <v>28</v>
      </c>
      <c r="C633" s="10" t="str">
        <f>'33'!D29</f>
        <v xml:space="preserve"> changing funding priorities, regulatory issues, the sites’ location, and ongoing flood risk. </v>
      </c>
      <c r="D633" s="10" t="str">
        <f>'33'!E29</f>
        <v>A</v>
      </c>
      <c r="E633" s="10">
        <f>'33'!F29</f>
        <v>1</v>
      </c>
      <c r="F633" s="10">
        <f>'33'!G29</f>
        <v>2</v>
      </c>
    </row>
    <row r="634" spans="1:6" x14ac:dyDescent="0.35">
      <c r="A634" s="10">
        <f>'33'!A30</f>
        <v>33</v>
      </c>
      <c r="B634" s="10">
        <f>'33'!B30</f>
        <v>29</v>
      </c>
      <c r="C634" s="10" t="str">
        <f>'33'!D30</f>
        <v xml:space="preserve"> importance of taking a
systemwide perspective when planning projects and the importance of hydrologic research/modeling to support planning</v>
      </c>
      <c r="D634" s="10" t="str">
        <f>'33'!E30</f>
        <v>C</v>
      </c>
      <c r="E634" s="10">
        <f>'33'!F30</f>
        <v>2</v>
      </c>
      <c r="F634" s="10">
        <f>'33'!G30</f>
        <v>2</v>
      </c>
    </row>
    <row r="635" spans="1:6" x14ac:dyDescent="0.35">
      <c r="A635" s="10">
        <f>'33'!A31</f>
        <v>33</v>
      </c>
      <c r="B635" s="10">
        <f>'33'!B31</f>
        <v>30</v>
      </c>
      <c r="C635" s="10" t="str">
        <f>'33'!D31</f>
        <v xml:space="preserve"> regulatory setting is complex and challenging to navigate </v>
      </c>
      <c r="D635" s="10" t="str">
        <f>'33'!E31</f>
        <v>A</v>
      </c>
      <c r="E635" s="10">
        <f>'33'!F31</f>
        <v>3</v>
      </c>
      <c r="F635" s="10">
        <f>'33'!G31</f>
        <v>3</v>
      </c>
    </row>
    <row r="636" spans="1:6" x14ac:dyDescent="0.35">
      <c r="A636" s="10">
        <f>'33'!A32</f>
        <v>33</v>
      </c>
      <c r="B636" s="10">
        <f>'33'!B32</f>
        <v>31</v>
      </c>
      <c r="C636" s="10" t="str">
        <f>'33'!D32</f>
        <v xml:space="preserve">maintenance activities part of the solution/design </v>
      </c>
      <c r="D636" s="10" t="str">
        <f>'33'!E32</f>
        <v>C</v>
      </c>
      <c r="E636" s="10">
        <f>'33'!F32</f>
        <v>2</v>
      </c>
      <c r="F636" s="10">
        <f>'33'!G32</f>
        <v>2</v>
      </c>
    </row>
    <row r="637" spans="1:6" x14ac:dyDescent="0.35">
      <c r="A637" s="10">
        <f>'34'!A2</f>
        <v>34</v>
      </c>
      <c r="B637" s="10">
        <f>'34'!B2</f>
        <v>1</v>
      </c>
      <c r="C637" s="10" t="str">
        <f>'34'!D2</f>
        <v>by engaging the (marginalized) public co-benefits can be daylighted</v>
      </c>
      <c r="D637" s="10" t="str">
        <f>'34'!E2</f>
        <v>C</v>
      </c>
      <c r="E637" s="10">
        <f>'34'!F2</f>
        <v>1</v>
      </c>
      <c r="F637" s="10">
        <f>'34'!G2</f>
        <v>1</v>
      </c>
    </row>
    <row r="638" spans="1:6" x14ac:dyDescent="0.35">
      <c r="A638" s="10">
        <f>'34'!A3</f>
        <v>34</v>
      </c>
      <c r="B638" s="10">
        <f>'34'!B3</f>
        <v>2</v>
      </c>
      <c r="C638" s="10" t="str">
        <f>'34'!D3</f>
        <v>unclear whether ecosystem services  frameworks can reduce funding-related barriers to NbS implementation  and management</v>
      </c>
      <c r="D638" s="10" t="str">
        <f>'34'!E3</f>
        <v>C</v>
      </c>
      <c r="E638" s="10">
        <f>'34'!F3</f>
        <v>2</v>
      </c>
      <c r="F638" s="10">
        <f>'34'!G3</f>
        <v>2</v>
      </c>
    </row>
    <row r="639" spans="1:6" x14ac:dyDescent="0.35">
      <c r="A639" s="10">
        <f>'34'!A4</f>
        <v>34</v>
      </c>
      <c r="B639" s="10">
        <f>'34'!B4</f>
        <v>3</v>
      </c>
      <c r="C639" s="10" t="str">
        <f>'34'!D4</f>
        <v>benefits provided by NbS varied by race, ethnicity, or income</v>
      </c>
      <c r="D639" s="10" t="str">
        <f>'34'!E4</f>
        <v>C</v>
      </c>
      <c r="E639" s="10">
        <f>'34'!F4</f>
        <v>2</v>
      </c>
      <c r="F639" s="10">
        <f>'34'!G4</f>
        <v>4</v>
      </c>
    </row>
    <row r="640" spans="1:6" x14ac:dyDescent="0.35">
      <c r="A640" s="10">
        <f>'34'!A5</f>
        <v>34</v>
      </c>
      <c r="B640" s="10">
        <f>'34'!B5</f>
        <v>4</v>
      </c>
      <c r="C640" s="10" t="str">
        <f>'34'!D5</f>
        <v>funding landscape is highly uneven, with most state and  nonprofit support accruing to middle-income areas. shrinking public budgets and philanthropic partners for  parks pose challenges for social justice, specifically if the public is not  involved in decision-making</v>
      </c>
      <c r="D640" s="10" t="str">
        <f>'34'!E5</f>
        <v>C</v>
      </c>
      <c r="E640" s="10">
        <f>'34'!F5</f>
        <v>2</v>
      </c>
      <c r="F640" s="10">
        <f>'34'!G5</f>
        <v>4</v>
      </c>
    </row>
    <row r="641" spans="1:6" x14ac:dyDescent="0.35">
      <c r="A641" s="10">
        <f>'34'!A6</f>
        <v>34</v>
      </c>
      <c r="B641" s="10">
        <f>'34'!B6</f>
        <v>5</v>
      </c>
      <c r="C641" s="10" t="str">
        <f>'34'!D6</f>
        <v xml:space="preserve"> connect urban green space distribution in Baltimore to historical redlining. Their results illustrate  that historical legacies influence future outcomes, and thus environmental justice research must consider long-term interactions between  distributive and procedural justice in cities</v>
      </c>
      <c r="D641" s="10" t="str">
        <f>'34'!E6</f>
        <v>C</v>
      </c>
      <c r="E641" s="10">
        <f>'34'!F6</f>
        <v>2</v>
      </c>
      <c r="F641" s="10">
        <f>'34'!G6</f>
        <v>4</v>
      </c>
    </row>
    <row r="642" spans="1:6" x14ac:dyDescent="0.35">
      <c r="A642" s="10">
        <f>'34'!A7</f>
        <v>34</v>
      </c>
      <c r="B642" s="10">
        <f>'34'!B7</f>
        <v>6</v>
      </c>
      <c r="C642" s="10" t="str">
        <f>'34'!D7</f>
        <v xml:space="preserve"> cities with less financial capacity allocate less money to NbS operations  and maintenance</v>
      </c>
      <c r="D642" s="10" t="str">
        <f>'34'!E7</f>
        <v>A</v>
      </c>
      <c r="E642" s="10">
        <f>'34'!F7</f>
        <v>1</v>
      </c>
      <c r="F642" s="10">
        <f>'34'!G7</f>
        <v>1</v>
      </c>
    </row>
    <row r="643" spans="1:6" x14ac:dyDescent="0.35">
      <c r="A643" s="10">
        <f>'34'!A8</f>
        <v>34</v>
      </c>
      <c r="B643" s="10">
        <f>'34'!B8</f>
        <v>7</v>
      </c>
      <c r="C643" s="10" t="str">
        <f>'34'!D8</f>
        <v>urban trees considered  infrastructure and are subject to politicking  and fluctuations in funding that traditional infrastructure is not.</v>
      </c>
      <c r="D643" s="10" t="str">
        <f>'34'!E8</f>
        <v>A</v>
      </c>
      <c r="E643" s="10">
        <f>'34'!F8</f>
        <v>1</v>
      </c>
      <c r="F643" s="10">
        <f>'34'!G8</f>
        <v>4</v>
      </c>
    </row>
    <row r="644" spans="1:6" x14ac:dyDescent="0.35">
      <c r="A644" s="10">
        <f>'34'!A9</f>
        <v>34</v>
      </c>
      <c r="B644" s="10">
        <f>'34'!B9</f>
        <v>8</v>
      </c>
      <c r="C644" s="10" t="str">
        <f>'34'!D9</f>
        <v xml:space="preserve">Areas that relied on donations and external support  cited challenges with reliable, long-term funding. While public-private partnership models are  popular tools, relying on nonprofits and volunteers may introduce too  much uncertainty to fully replace the public sector commitment to NbS. </v>
      </c>
      <c r="D644" s="10" t="str">
        <f>'34'!E9</f>
        <v>A</v>
      </c>
      <c r="E644" s="10">
        <f>'34'!F9</f>
        <v>1</v>
      </c>
      <c r="F644" s="10">
        <f>'34'!G9</f>
        <v>10</v>
      </c>
    </row>
    <row r="645" spans="1:6" x14ac:dyDescent="0.35">
      <c r="A645" s="10">
        <f>'34'!A10</f>
        <v>34</v>
      </c>
      <c r="B645" s="10">
        <f>'34'!B10</f>
        <v>9</v>
      </c>
      <c r="C645" s="10" t="str">
        <f>'34'!D10</f>
        <v xml:space="preserve">capital expenditures and operating expenditures are typically separated into distinct budgets. </v>
      </c>
      <c r="D645" s="10" t="str">
        <f>'34'!E10</f>
        <v>F</v>
      </c>
      <c r="E645" s="10">
        <f>'34'!F10</f>
        <v>1</v>
      </c>
      <c r="F645" s="10">
        <f>'34'!G10</f>
        <v>1</v>
      </c>
    </row>
    <row r="646" spans="1:6" x14ac:dyDescent="0.35">
      <c r="A646" s="10">
        <f>'34'!A11</f>
        <v>34</v>
      </c>
      <c r="B646" s="10">
        <f>'34'!B11</f>
        <v>10</v>
      </c>
      <c r="C646" s="10" t="str">
        <f>'34'!D11</f>
        <v>ecosystem services framework may help break down funding silos  across local government departments by funding GI according to its  broad public outcomes, instead of through a single department budget</v>
      </c>
      <c r="D646" s="10" t="str">
        <f>'34'!E11</f>
        <v>F</v>
      </c>
      <c r="E646" s="10">
        <f>'34'!F11</f>
        <v>1</v>
      </c>
      <c r="F646" s="10">
        <f>'34'!G11</f>
        <v>1</v>
      </c>
    </row>
    <row r="647" spans="1:6" x14ac:dyDescent="0.35">
      <c r="A647" s="10">
        <f>'34'!A12</f>
        <v>34</v>
      </c>
      <c r="B647" s="10">
        <f>'34'!B12</f>
        <v>11</v>
      </c>
      <c r="C647" s="10" t="str">
        <f>'34'!D12</f>
        <v>Capital projects tend to have a larger  number of payment mechanisms available as compared to operating  expenditures</v>
      </c>
      <c r="D647" s="10" t="str">
        <f>'34'!E12</f>
        <v>A</v>
      </c>
      <c r="E647" s="10">
        <f>'34'!F12</f>
        <v>1</v>
      </c>
      <c r="F647" s="10">
        <f>'34'!G12</f>
        <v>1</v>
      </c>
    </row>
    <row r="648" spans="1:6" x14ac:dyDescent="0.35">
      <c r="A648" s="10">
        <f>'34'!A13</f>
        <v>34</v>
      </c>
      <c r="B648" s="10">
        <f>'34'!B13</f>
        <v>12</v>
      </c>
      <c r="C648" s="10" t="str">
        <f>'34'!D13</f>
        <v>per capita park spending  in the US, revealing that predominantly white and affluent municipalities had higher quality parks than lower-income and minority municipalities</v>
      </c>
      <c r="D648" s="10" t="str">
        <f>'34'!E13</f>
        <v>A</v>
      </c>
      <c r="E648" s="10">
        <f>'34'!F13</f>
        <v>1</v>
      </c>
      <c r="F648" s="10">
        <f>'34'!G13</f>
        <v>1</v>
      </c>
    </row>
    <row r="649" spans="1:6" x14ac:dyDescent="0.35">
      <c r="A649" s="10">
        <f>'34'!A14</f>
        <v>34</v>
      </c>
      <c r="B649" s="10">
        <f>'34'!B14</f>
        <v>13</v>
      </c>
      <c r="C649" s="10" t="str">
        <f>'34'!D14</f>
        <v xml:space="preserve"> Understanding the ecological, social, and cultural context of a place is critical  to understanding outcomes.</v>
      </c>
      <c r="D649" s="10" t="str">
        <f>'34'!E14</f>
        <v>B</v>
      </c>
      <c r="E649" s="10">
        <f>'34'!F14</f>
        <v>0</v>
      </c>
      <c r="F649" s="10">
        <f>'34'!G14</f>
        <v>4</v>
      </c>
    </row>
    <row r="650" spans="1:6" x14ac:dyDescent="0.35">
      <c r="A650" s="16"/>
      <c r="B650" s="16"/>
      <c r="C650" s="16"/>
      <c r="D650" s="16"/>
      <c r="E650" s="16"/>
      <c r="F650" s="16"/>
    </row>
  </sheetData>
  <dataConsolidate>
    <dataRefs count="1">
      <dataRef ref="D1:D1048576" sheet="Full data set"/>
    </dataRefs>
  </dataConsolidate>
  <mergeCells count="1">
    <mergeCell ref="A1:B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75F1D-C834-4D64-9FCC-6A9F71D7BF74}">
  <dimension ref="A1"/>
  <sheetViews>
    <sheetView workbookViewId="0"/>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AF933-5BA9-4964-AF76-56D6BF7933E7}">
  <sheetPr>
    <tabColor rgb="FFFFC000"/>
  </sheetPr>
  <dimension ref="A1:K39"/>
  <sheetViews>
    <sheetView zoomScaleNormal="100" workbookViewId="0">
      <selection activeCell="C2" sqref="C2"/>
    </sheetView>
  </sheetViews>
  <sheetFormatPr defaultRowHeight="14.5" x14ac:dyDescent="0.35"/>
  <cols>
    <col min="1" max="1" width="6.81640625" customWidth="1"/>
    <col min="2" max="2" width="6.26953125" customWidth="1"/>
    <col min="3" max="3" width="53.6328125" customWidth="1"/>
    <col min="4" max="4" width="68.7265625" customWidth="1"/>
  </cols>
  <sheetData>
    <row r="1" spans="1:11" x14ac:dyDescent="0.35">
      <c r="A1" s="13" t="s">
        <v>1111</v>
      </c>
      <c r="B1" s="13" t="s">
        <v>1434</v>
      </c>
      <c r="C1" s="14" t="s">
        <v>7</v>
      </c>
      <c r="D1" s="14" t="s">
        <v>222</v>
      </c>
      <c r="E1" s="14" t="s">
        <v>223</v>
      </c>
      <c r="F1" s="14" t="s">
        <v>224</v>
      </c>
      <c r="G1" s="14" t="s">
        <v>225</v>
      </c>
      <c r="J1" s="2"/>
      <c r="K1" s="2"/>
    </row>
    <row r="2" spans="1:11" x14ac:dyDescent="0.35">
      <c r="A2" s="12">
        <v>1</v>
      </c>
      <c r="B2" s="12">
        <v>1</v>
      </c>
      <c r="C2" s="13" t="s">
        <v>1105</v>
      </c>
      <c r="D2" s="13" t="s">
        <v>1106</v>
      </c>
      <c r="E2" s="13" t="s">
        <v>270</v>
      </c>
      <c r="F2" s="13">
        <v>1</v>
      </c>
      <c r="G2" s="13">
        <v>2</v>
      </c>
    </row>
    <row r="3" spans="1:11" ht="14.5" customHeight="1" x14ac:dyDescent="0.35">
      <c r="A3" s="12">
        <v>1</v>
      </c>
      <c r="B3" s="12">
        <f>B2+1</f>
        <v>2</v>
      </c>
      <c r="C3" s="13" t="s">
        <v>1150</v>
      </c>
      <c r="D3" s="13" t="s">
        <v>1148</v>
      </c>
      <c r="E3" s="13" t="s">
        <v>270</v>
      </c>
      <c r="F3" s="13">
        <v>1</v>
      </c>
      <c r="G3" s="13">
        <v>8</v>
      </c>
    </row>
    <row r="4" spans="1:11" x14ac:dyDescent="0.35">
      <c r="A4" s="12">
        <v>1</v>
      </c>
      <c r="B4" s="12">
        <f t="shared" ref="B4:B39" si="0">B3+1</f>
        <v>3</v>
      </c>
      <c r="C4" s="13" t="s">
        <v>1152</v>
      </c>
      <c r="D4" s="13" t="s">
        <v>1153</v>
      </c>
      <c r="E4" s="13" t="s">
        <v>273</v>
      </c>
      <c r="F4" s="13">
        <v>0</v>
      </c>
      <c r="G4" s="13">
        <v>1</v>
      </c>
    </row>
    <row r="5" spans="1:11" x14ac:dyDescent="0.35">
      <c r="A5" s="12">
        <v>1</v>
      </c>
      <c r="B5" s="12">
        <f t="shared" si="0"/>
        <v>4</v>
      </c>
      <c r="C5" s="13" t="s">
        <v>1155</v>
      </c>
      <c r="D5" s="13" t="s">
        <v>873</v>
      </c>
      <c r="E5" s="13" t="s">
        <v>190</v>
      </c>
      <c r="F5" s="13">
        <v>3</v>
      </c>
      <c r="G5" s="13">
        <v>1</v>
      </c>
    </row>
    <row r="6" spans="1:11" x14ac:dyDescent="0.35">
      <c r="A6" s="12">
        <v>1</v>
      </c>
      <c r="B6" s="12">
        <f t="shared" si="0"/>
        <v>5</v>
      </c>
      <c r="C6" s="13" t="s">
        <v>874</v>
      </c>
      <c r="D6" s="13" t="s">
        <v>1149</v>
      </c>
      <c r="E6" s="13" t="s">
        <v>190</v>
      </c>
      <c r="F6" s="13">
        <v>2</v>
      </c>
      <c r="G6" s="13">
        <v>1</v>
      </c>
    </row>
    <row r="7" spans="1:11" x14ac:dyDescent="0.35">
      <c r="A7" s="12">
        <v>1</v>
      </c>
      <c r="B7" s="12">
        <f t="shared" si="0"/>
        <v>6</v>
      </c>
      <c r="C7" s="13" t="s">
        <v>876</v>
      </c>
      <c r="D7" s="13" t="s">
        <v>875</v>
      </c>
      <c r="E7" s="13" t="s">
        <v>190</v>
      </c>
      <c r="F7" s="13">
        <v>1</v>
      </c>
      <c r="G7" s="13">
        <v>2</v>
      </c>
    </row>
    <row r="8" spans="1:11" x14ac:dyDescent="0.35">
      <c r="A8" s="12">
        <v>1</v>
      </c>
      <c r="B8" s="12">
        <f t="shared" si="0"/>
        <v>7</v>
      </c>
      <c r="C8" s="13" t="s">
        <v>878</v>
      </c>
      <c r="D8" s="13" t="s">
        <v>877</v>
      </c>
      <c r="E8" s="13" t="s">
        <v>190</v>
      </c>
      <c r="F8" s="13">
        <v>1</v>
      </c>
      <c r="G8" s="13">
        <v>3</v>
      </c>
    </row>
    <row r="9" spans="1:11" x14ac:dyDescent="0.35">
      <c r="A9" s="12">
        <v>1</v>
      </c>
      <c r="B9" s="12">
        <f t="shared" si="0"/>
        <v>8</v>
      </c>
      <c r="C9" s="13" t="s">
        <v>878</v>
      </c>
      <c r="D9" s="13" t="s">
        <v>879</v>
      </c>
      <c r="E9" s="13" t="s">
        <v>190</v>
      </c>
      <c r="F9" s="13">
        <v>2</v>
      </c>
      <c r="G9" s="13">
        <v>2</v>
      </c>
    </row>
    <row r="10" spans="1:11" s="12" customFormat="1" x14ac:dyDescent="0.35">
      <c r="A10" s="12">
        <v>1</v>
      </c>
      <c r="B10" s="12">
        <f t="shared" si="0"/>
        <v>9</v>
      </c>
      <c r="C10" s="13" t="s">
        <v>880</v>
      </c>
      <c r="D10" s="13" t="s">
        <v>1157</v>
      </c>
      <c r="E10" s="13" t="s">
        <v>270</v>
      </c>
      <c r="F10" s="13">
        <v>1</v>
      </c>
      <c r="G10" s="13">
        <v>1</v>
      </c>
    </row>
    <row r="11" spans="1:11" s="12" customFormat="1" x14ac:dyDescent="0.35">
      <c r="A11" s="12">
        <v>1</v>
      </c>
      <c r="B11" s="12">
        <f t="shared" si="0"/>
        <v>10</v>
      </c>
      <c r="C11" s="13" t="s">
        <v>1160</v>
      </c>
      <c r="D11" s="13" t="s">
        <v>1158</v>
      </c>
      <c r="E11" s="13" t="s">
        <v>270</v>
      </c>
      <c r="F11" s="13">
        <v>1</v>
      </c>
      <c r="G11" s="13">
        <v>8</v>
      </c>
      <c r="H11" s="13"/>
    </row>
    <row r="12" spans="1:11" s="12" customFormat="1" x14ac:dyDescent="0.35">
      <c r="A12" s="12">
        <v>1</v>
      </c>
      <c r="B12" s="12">
        <f t="shared" si="0"/>
        <v>11</v>
      </c>
      <c r="C12" s="13" t="s">
        <v>1160</v>
      </c>
      <c r="D12" s="13" t="s">
        <v>1159</v>
      </c>
      <c r="E12" s="13" t="s">
        <v>270</v>
      </c>
      <c r="F12" s="13">
        <v>1</v>
      </c>
      <c r="G12" s="13">
        <v>8</v>
      </c>
    </row>
    <row r="13" spans="1:11" s="12" customFormat="1" x14ac:dyDescent="0.35">
      <c r="A13" s="12">
        <v>1</v>
      </c>
      <c r="B13" s="12">
        <f t="shared" si="0"/>
        <v>12</v>
      </c>
      <c r="C13" s="13" t="s">
        <v>1161</v>
      </c>
      <c r="D13" s="13" t="s">
        <v>1162</v>
      </c>
      <c r="E13" s="13" t="s">
        <v>270</v>
      </c>
      <c r="F13" s="13">
        <v>1</v>
      </c>
      <c r="G13" s="13">
        <v>10</v>
      </c>
    </row>
    <row r="14" spans="1:11" s="12" customFormat="1" x14ac:dyDescent="0.35">
      <c r="A14" s="12">
        <v>1</v>
      </c>
      <c r="B14" s="12">
        <f t="shared" si="0"/>
        <v>13</v>
      </c>
      <c r="C14" s="13" t="s">
        <v>1163</v>
      </c>
      <c r="D14" s="13" t="s">
        <v>881</v>
      </c>
      <c r="E14" s="13" t="s">
        <v>270</v>
      </c>
      <c r="F14" s="13">
        <v>1</v>
      </c>
      <c r="G14" s="13">
        <v>11</v>
      </c>
    </row>
    <row r="15" spans="1:11" s="12" customFormat="1" x14ac:dyDescent="0.35">
      <c r="A15" s="12">
        <v>1</v>
      </c>
      <c r="B15" s="12">
        <f t="shared" si="0"/>
        <v>14</v>
      </c>
      <c r="C15" s="13" t="s">
        <v>1164</v>
      </c>
      <c r="D15" s="13" t="s">
        <v>1165</v>
      </c>
      <c r="E15" s="13" t="s">
        <v>270</v>
      </c>
      <c r="F15" s="13">
        <v>2</v>
      </c>
      <c r="G15" s="13">
        <v>4</v>
      </c>
    </row>
    <row r="16" spans="1:11" s="12" customFormat="1" x14ac:dyDescent="0.35">
      <c r="A16" s="12">
        <v>1</v>
      </c>
      <c r="B16" s="12">
        <f t="shared" si="0"/>
        <v>15</v>
      </c>
      <c r="C16" s="13" t="s">
        <v>1164</v>
      </c>
      <c r="D16" s="13" t="s">
        <v>1166</v>
      </c>
      <c r="E16" s="13" t="s">
        <v>270</v>
      </c>
      <c r="F16" s="13">
        <v>1</v>
      </c>
      <c r="G16" s="13">
        <v>2</v>
      </c>
    </row>
    <row r="17" spans="1:7" s="12" customFormat="1" x14ac:dyDescent="0.35">
      <c r="A17" s="12">
        <v>1</v>
      </c>
      <c r="B17" s="12">
        <f t="shared" si="0"/>
        <v>16</v>
      </c>
      <c r="C17" s="13" t="s">
        <v>1168</v>
      </c>
      <c r="D17" s="13" t="s">
        <v>1167</v>
      </c>
      <c r="E17" s="13" t="s">
        <v>270</v>
      </c>
      <c r="F17" s="13">
        <v>1</v>
      </c>
      <c r="G17" s="13">
        <v>10</v>
      </c>
    </row>
    <row r="18" spans="1:7" x14ac:dyDescent="0.35">
      <c r="A18" s="12">
        <v>1</v>
      </c>
      <c r="B18" s="12">
        <f t="shared" si="0"/>
        <v>17</v>
      </c>
      <c r="C18" s="13" t="s">
        <v>1171</v>
      </c>
      <c r="D18" s="13" t="s">
        <v>1169</v>
      </c>
      <c r="E18" s="13" t="s">
        <v>273</v>
      </c>
      <c r="F18" s="13">
        <v>0</v>
      </c>
      <c r="G18" s="13">
        <v>4</v>
      </c>
    </row>
    <row r="19" spans="1:7" x14ac:dyDescent="0.35">
      <c r="A19" s="12">
        <v>1</v>
      </c>
      <c r="B19" s="12">
        <f t="shared" si="0"/>
        <v>18</v>
      </c>
      <c r="C19" s="13" t="s">
        <v>1171</v>
      </c>
      <c r="D19" s="13" t="s">
        <v>1170</v>
      </c>
      <c r="E19" s="13" t="s">
        <v>273</v>
      </c>
      <c r="F19" s="13">
        <v>0</v>
      </c>
      <c r="G19" s="13">
        <v>4</v>
      </c>
    </row>
    <row r="20" spans="1:7" s="12" customFormat="1" x14ac:dyDescent="0.35">
      <c r="A20" s="12">
        <v>1</v>
      </c>
      <c r="B20" s="12">
        <f t="shared" si="0"/>
        <v>19</v>
      </c>
      <c r="C20" s="13" t="s">
        <v>1174</v>
      </c>
      <c r="D20" s="13" t="s">
        <v>1173</v>
      </c>
      <c r="E20" s="13" t="s">
        <v>270</v>
      </c>
      <c r="F20" s="13">
        <v>3</v>
      </c>
      <c r="G20" s="13">
        <v>2</v>
      </c>
    </row>
    <row r="21" spans="1:7" s="12" customFormat="1" x14ac:dyDescent="0.35">
      <c r="A21" s="12">
        <v>1</v>
      </c>
      <c r="B21" s="12">
        <f t="shared" si="0"/>
        <v>20</v>
      </c>
      <c r="C21" s="13" t="s">
        <v>1175</v>
      </c>
      <c r="D21" s="13" t="s">
        <v>1172</v>
      </c>
      <c r="E21" s="13" t="s">
        <v>190</v>
      </c>
      <c r="F21" s="13">
        <v>1</v>
      </c>
      <c r="G21" s="13">
        <v>1</v>
      </c>
    </row>
    <row r="22" spans="1:7" x14ac:dyDescent="0.35">
      <c r="A22" s="12">
        <v>1</v>
      </c>
      <c r="B22" s="12">
        <f t="shared" si="0"/>
        <v>21</v>
      </c>
      <c r="C22" s="13" t="s">
        <v>883</v>
      </c>
      <c r="D22" s="13" t="s">
        <v>882</v>
      </c>
      <c r="E22" s="13" t="s">
        <v>270</v>
      </c>
      <c r="F22" s="13">
        <v>1</v>
      </c>
      <c r="G22" s="13">
        <v>10</v>
      </c>
    </row>
    <row r="23" spans="1:7" x14ac:dyDescent="0.35">
      <c r="A23" s="12">
        <v>1</v>
      </c>
      <c r="B23" s="12">
        <f t="shared" si="0"/>
        <v>22</v>
      </c>
      <c r="C23" s="13" t="s">
        <v>884</v>
      </c>
      <c r="D23" s="13" t="s">
        <v>1176</v>
      </c>
      <c r="E23" s="13" t="s">
        <v>270</v>
      </c>
      <c r="F23" s="13">
        <v>1</v>
      </c>
      <c r="G23" s="13">
        <v>7</v>
      </c>
    </row>
    <row r="24" spans="1:7" x14ac:dyDescent="0.35">
      <c r="A24" s="12">
        <v>1</v>
      </c>
      <c r="B24" s="12">
        <f t="shared" si="0"/>
        <v>23</v>
      </c>
      <c r="C24" s="13" t="s">
        <v>1177</v>
      </c>
      <c r="D24" s="13" t="s">
        <v>1178</v>
      </c>
      <c r="E24" s="13" t="s">
        <v>270</v>
      </c>
      <c r="F24" s="13">
        <v>3</v>
      </c>
      <c r="G24" s="13">
        <v>3</v>
      </c>
    </row>
    <row r="25" spans="1:7" s="13" customFormat="1" x14ac:dyDescent="0.35">
      <c r="A25" s="13">
        <v>1</v>
      </c>
      <c r="B25" s="12">
        <f t="shared" si="0"/>
        <v>24</v>
      </c>
      <c r="C25" s="13" t="s">
        <v>886</v>
      </c>
      <c r="D25" s="13" t="s">
        <v>885</v>
      </c>
      <c r="E25" s="13" t="s">
        <v>278</v>
      </c>
      <c r="F25" s="13">
        <v>0</v>
      </c>
      <c r="G25" s="13">
        <v>5</v>
      </c>
    </row>
    <row r="26" spans="1:7" s="13" customFormat="1" x14ac:dyDescent="0.35">
      <c r="A26" s="13">
        <v>1</v>
      </c>
      <c r="B26" s="12">
        <f t="shared" si="0"/>
        <v>25</v>
      </c>
      <c r="C26" s="13" t="s">
        <v>887</v>
      </c>
      <c r="D26" s="13" t="s">
        <v>1179</v>
      </c>
      <c r="E26" s="13" t="s">
        <v>278</v>
      </c>
      <c r="F26" s="13">
        <v>0</v>
      </c>
      <c r="G26" s="13">
        <v>5</v>
      </c>
    </row>
    <row r="27" spans="1:7" x14ac:dyDescent="0.35">
      <c r="A27" s="12">
        <v>1</v>
      </c>
      <c r="B27" s="12">
        <f t="shared" si="0"/>
        <v>26</v>
      </c>
      <c r="C27" s="13" t="s">
        <v>1180</v>
      </c>
      <c r="D27" s="13" t="s">
        <v>888</v>
      </c>
      <c r="E27" s="13" t="s">
        <v>278</v>
      </c>
      <c r="F27" s="13">
        <v>0</v>
      </c>
      <c r="G27" s="13">
        <v>5</v>
      </c>
    </row>
    <row r="28" spans="1:7" x14ac:dyDescent="0.35">
      <c r="A28" s="12">
        <v>1</v>
      </c>
      <c r="B28" s="12">
        <f t="shared" si="0"/>
        <v>27</v>
      </c>
      <c r="C28" s="13" t="s">
        <v>889</v>
      </c>
      <c r="D28" s="13" t="s">
        <v>1181</v>
      </c>
      <c r="E28" s="13" t="s">
        <v>270</v>
      </c>
      <c r="F28" s="13">
        <v>1</v>
      </c>
      <c r="G28" s="13">
        <v>8</v>
      </c>
    </row>
    <row r="29" spans="1:7" x14ac:dyDescent="0.35">
      <c r="A29" s="12">
        <v>1</v>
      </c>
      <c r="B29" s="12">
        <f t="shared" si="0"/>
        <v>28</v>
      </c>
      <c r="C29" s="13" t="s">
        <v>890</v>
      </c>
      <c r="D29" s="13" t="s">
        <v>890</v>
      </c>
      <c r="E29" s="13" t="s">
        <v>190</v>
      </c>
      <c r="F29" s="13">
        <v>3</v>
      </c>
      <c r="G29" s="13">
        <v>2</v>
      </c>
    </row>
    <row r="30" spans="1:7" x14ac:dyDescent="0.35">
      <c r="A30" s="12">
        <v>1</v>
      </c>
      <c r="B30" s="12">
        <f t="shared" si="0"/>
        <v>29</v>
      </c>
      <c r="C30" s="13" t="s">
        <v>892</v>
      </c>
      <c r="D30" s="13" t="s">
        <v>891</v>
      </c>
      <c r="E30" s="13" t="s">
        <v>1182</v>
      </c>
      <c r="F30" s="13">
        <v>2</v>
      </c>
      <c r="G30" s="13">
        <v>2</v>
      </c>
    </row>
    <row r="31" spans="1:7" x14ac:dyDescent="0.35">
      <c r="A31" s="12">
        <v>1</v>
      </c>
      <c r="B31" s="12">
        <f t="shared" si="0"/>
        <v>30</v>
      </c>
      <c r="C31" s="13" t="s">
        <v>894</v>
      </c>
      <c r="D31" s="13" t="s">
        <v>893</v>
      </c>
      <c r="E31" s="13" t="s">
        <v>257</v>
      </c>
      <c r="F31" s="13">
        <v>5</v>
      </c>
      <c r="G31" s="13">
        <v>1</v>
      </c>
    </row>
    <row r="32" spans="1:7" x14ac:dyDescent="0.35">
      <c r="A32" s="12">
        <v>1</v>
      </c>
      <c r="B32" s="12">
        <f t="shared" si="0"/>
        <v>31</v>
      </c>
      <c r="C32" s="13" t="s">
        <v>896</v>
      </c>
      <c r="D32" s="13" t="s">
        <v>895</v>
      </c>
      <c r="E32" s="13" t="s">
        <v>273</v>
      </c>
      <c r="F32" s="13">
        <v>0</v>
      </c>
      <c r="G32" s="13">
        <v>4</v>
      </c>
    </row>
    <row r="33" spans="1:7" x14ac:dyDescent="0.35">
      <c r="A33" s="12">
        <v>1</v>
      </c>
      <c r="B33" s="12">
        <f t="shared" si="0"/>
        <v>32</v>
      </c>
      <c r="C33" s="13" t="s">
        <v>897</v>
      </c>
      <c r="D33" s="13" t="s">
        <v>1183</v>
      </c>
      <c r="E33" s="13" t="s">
        <v>273</v>
      </c>
      <c r="F33" s="13">
        <v>0</v>
      </c>
      <c r="G33" s="13">
        <v>4</v>
      </c>
    </row>
    <row r="34" spans="1:7" x14ac:dyDescent="0.35">
      <c r="A34" s="12">
        <v>1</v>
      </c>
      <c r="B34" s="12">
        <f t="shared" si="0"/>
        <v>33</v>
      </c>
      <c r="C34" s="13" t="s">
        <v>897</v>
      </c>
      <c r="D34" s="13" t="s">
        <v>1184</v>
      </c>
      <c r="E34" s="13" t="s">
        <v>257</v>
      </c>
      <c r="F34" s="13">
        <v>5</v>
      </c>
      <c r="G34" s="13">
        <v>2</v>
      </c>
    </row>
    <row r="35" spans="1:7" x14ac:dyDescent="0.35">
      <c r="A35" s="12">
        <v>1</v>
      </c>
      <c r="B35" s="12">
        <f t="shared" si="0"/>
        <v>34</v>
      </c>
      <c r="C35" s="13" t="s">
        <v>898</v>
      </c>
      <c r="D35" s="13" t="s">
        <v>1185</v>
      </c>
      <c r="E35" s="13" t="s">
        <v>270</v>
      </c>
      <c r="F35" s="13">
        <v>1</v>
      </c>
      <c r="G35" s="13">
        <v>8</v>
      </c>
    </row>
    <row r="36" spans="1:7" x14ac:dyDescent="0.35">
      <c r="A36" s="12">
        <v>1</v>
      </c>
      <c r="B36" s="12">
        <f t="shared" si="0"/>
        <v>35</v>
      </c>
      <c r="C36" s="13" t="s">
        <v>898</v>
      </c>
      <c r="D36" s="13" t="s">
        <v>1186</v>
      </c>
      <c r="E36" s="13" t="s">
        <v>1187</v>
      </c>
      <c r="F36" s="13">
        <v>0</v>
      </c>
      <c r="G36" s="13">
        <v>4</v>
      </c>
    </row>
    <row r="37" spans="1:7" x14ac:dyDescent="0.35">
      <c r="A37" s="12">
        <v>1</v>
      </c>
      <c r="B37" s="12">
        <f t="shared" si="0"/>
        <v>36</v>
      </c>
      <c r="C37" s="13" t="s">
        <v>899</v>
      </c>
      <c r="D37" s="13" t="s">
        <v>970</v>
      </c>
      <c r="E37" s="13" t="s">
        <v>270</v>
      </c>
      <c r="F37" s="13">
        <v>1</v>
      </c>
      <c r="G37" s="13">
        <v>7</v>
      </c>
    </row>
    <row r="38" spans="1:7" x14ac:dyDescent="0.35">
      <c r="A38" s="12">
        <v>1</v>
      </c>
      <c r="B38" s="12">
        <f t="shared" si="0"/>
        <v>37</v>
      </c>
      <c r="C38" s="13" t="s">
        <v>900</v>
      </c>
      <c r="D38" s="13" t="s">
        <v>971</v>
      </c>
      <c r="E38" s="13" t="s">
        <v>270</v>
      </c>
      <c r="F38" s="13">
        <v>1</v>
      </c>
      <c r="G38" s="13">
        <v>8</v>
      </c>
    </row>
    <row r="39" spans="1:7" x14ac:dyDescent="0.35">
      <c r="A39" s="12">
        <v>1</v>
      </c>
      <c r="B39" s="12">
        <f t="shared" si="0"/>
        <v>38</v>
      </c>
      <c r="C39" s="13" t="s">
        <v>902</v>
      </c>
      <c r="D39" s="13" t="s">
        <v>901</v>
      </c>
      <c r="E39" s="13" t="s">
        <v>190</v>
      </c>
      <c r="F39" s="13">
        <v>1</v>
      </c>
      <c r="G39" s="13">
        <v>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8702-B9C7-424D-A3C3-604D2611562C}">
  <sheetPr>
    <tabColor rgb="FFFFC000"/>
  </sheetPr>
  <dimension ref="A1:G8"/>
  <sheetViews>
    <sheetView workbookViewId="0">
      <selection sqref="A1:B1"/>
    </sheetView>
  </sheetViews>
  <sheetFormatPr defaultRowHeight="14.5" x14ac:dyDescent="0.35"/>
  <cols>
    <col min="1" max="1" width="7.453125" style="12" customWidth="1"/>
    <col min="2" max="2" width="6" style="12" customWidth="1"/>
    <col min="3" max="3" width="32.453125" style="12" customWidth="1"/>
    <col min="4" max="4" width="39.1796875" style="12" customWidth="1"/>
    <col min="5" max="16384" width="8.7265625" style="12"/>
  </cols>
  <sheetData>
    <row r="1" spans="1:7" x14ac:dyDescent="0.35">
      <c r="A1" s="13" t="s">
        <v>1111</v>
      </c>
      <c r="B1" s="13" t="s">
        <v>1434</v>
      </c>
      <c r="C1" s="14" t="s">
        <v>7</v>
      </c>
      <c r="D1" s="14" t="s">
        <v>222</v>
      </c>
      <c r="E1" s="14" t="s">
        <v>223</v>
      </c>
      <c r="F1" s="14" t="s">
        <v>224</v>
      </c>
      <c r="G1" s="14" t="s">
        <v>225</v>
      </c>
    </row>
    <row r="2" spans="1:7" ht="130.5" x14ac:dyDescent="0.35">
      <c r="A2" s="13">
        <v>2</v>
      </c>
      <c r="B2" s="13">
        <v>1</v>
      </c>
      <c r="C2" s="9" t="s">
        <v>1188</v>
      </c>
      <c r="D2" s="13" t="s">
        <v>1189</v>
      </c>
      <c r="E2" s="13" t="s">
        <v>190</v>
      </c>
      <c r="F2" s="13">
        <v>1</v>
      </c>
      <c r="G2" s="13">
        <v>3</v>
      </c>
    </row>
    <row r="3" spans="1:7" x14ac:dyDescent="0.35">
      <c r="A3" s="13">
        <v>2</v>
      </c>
      <c r="B3" s="13">
        <v>2</v>
      </c>
      <c r="C3" s="13" t="s">
        <v>849</v>
      </c>
      <c r="D3" s="13" t="s">
        <v>848</v>
      </c>
      <c r="E3" s="13" t="s">
        <v>270</v>
      </c>
      <c r="F3" s="13">
        <v>3</v>
      </c>
      <c r="G3" s="13">
        <v>1</v>
      </c>
    </row>
    <row r="4" spans="1:7" x14ac:dyDescent="0.35">
      <c r="A4" s="13">
        <v>2</v>
      </c>
      <c r="B4" s="13">
        <v>3</v>
      </c>
      <c r="C4" s="13" t="s">
        <v>851</v>
      </c>
      <c r="D4" s="13" t="s">
        <v>850</v>
      </c>
      <c r="E4" s="13" t="s">
        <v>270</v>
      </c>
      <c r="F4" s="13">
        <v>3</v>
      </c>
      <c r="G4" s="13">
        <v>6</v>
      </c>
    </row>
    <row r="5" spans="1:7" x14ac:dyDescent="0.35">
      <c r="A5" s="13">
        <v>2</v>
      </c>
      <c r="B5" s="13">
        <v>4</v>
      </c>
      <c r="C5" s="13" t="s">
        <v>852</v>
      </c>
      <c r="D5" s="13" t="s">
        <v>1190</v>
      </c>
      <c r="E5" s="13" t="s">
        <v>270</v>
      </c>
      <c r="F5" s="13">
        <v>3</v>
      </c>
      <c r="G5" s="13">
        <v>4</v>
      </c>
    </row>
    <row r="6" spans="1:7" x14ac:dyDescent="0.35">
      <c r="A6" s="13">
        <v>2</v>
      </c>
      <c r="B6" s="13">
        <v>5</v>
      </c>
      <c r="C6" s="13" t="s">
        <v>853</v>
      </c>
      <c r="D6" s="13" t="s">
        <v>972</v>
      </c>
      <c r="E6" s="13" t="s">
        <v>270</v>
      </c>
      <c r="F6" s="13">
        <v>3</v>
      </c>
      <c r="G6" s="13">
        <v>2</v>
      </c>
    </row>
    <row r="7" spans="1:7" x14ac:dyDescent="0.35">
      <c r="A7" s="13">
        <v>2</v>
      </c>
      <c r="B7" s="13">
        <v>6</v>
      </c>
      <c r="C7" s="13" t="s">
        <v>854</v>
      </c>
      <c r="D7" s="13" t="s">
        <v>1191</v>
      </c>
      <c r="E7" s="13" t="s">
        <v>190</v>
      </c>
      <c r="F7" s="13">
        <v>1</v>
      </c>
      <c r="G7" s="13">
        <v>3</v>
      </c>
    </row>
    <row r="8" spans="1:7" x14ac:dyDescent="0.35">
      <c r="A8" s="13"/>
      <c r="B8" s="13"/>
      <c r="C8" s="13"/>
      <c r="D8" s="13"/>
      <c r="E8" s="13"/>
      <c r="F8" s="13"/>
      <c r="G8" s="1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AB72C-B1DF-4DB6-BD72-49716B1CFFBA}">
  <sheetPr>
    <tabColor rgb="FFFFC000"/>
  </sheetPr>
  <dimension ref="A1:G12"/>
  <sheetViews>
    <sheetView workbookViewId="0">
      <selection sqref="A1:B1"/>
    </sheetView>
  </sheetViews>
  <sheetFormatPr defaultRowHeight="14.5" x14ac:dyDescent="0.35"/>
  <cols>
    <col min="1" max="2" width="5" customWidth="1"/>
    <col min="3" max="3" width="27.7265625" customWidth="1"/>
    <col min="4" max="4" width="21.54296875" customWidth="1"/>
  </cols>
  <sheetData>
    <row r="1" spans="1:7" x14ac:dyDescent="0.35">
      <c r="A1" s="13" t="s">
        <v>1111</v>
      </c>
      <c r="B1" s="13" t="s">
        <v>1434</v>
      </c>
      <c r="C1" s="2" t="s">
        <v>7</v>
      </c>
      <c r="D1" s="2" t="s">
        <v>222</v>
      </c>
      <c r="E1" s="2" t="s">
        <v>223</v>
      </c>
      <c r="F1" s="2" t="s">
        <v>224</v>
      </c>
      <c r="G1" s="2" t="s">
        <v>225</v>
      </c>
    </row>
    <row r="2" spans="1:7" x14ac:dyDescent="0.35">
      <c r="A2">
        <v>3</v>
      </c>
      <c r="B2">
        <v>1</v>
      </c>
      <c r="C2" t="s">
        <v>702</v>
      </c>
      <c r="D2" t="s">
        <v>701</v>
      </c>
      <c r="E2" t="s">
        <v>278</v>
      </c>
      <c r="F2">
        <v>0</v>
      </c>
      <c r="G2">
        <v>1</v>
      </c>
    </row>
    <row r="3" spans="1:7" x14ac:dyDescent="0.35">
      <c r="A3">
        <v>3</v>
      </c>
      <c r="B3">
        <v>2</v>
      </c>
      <c r="C3" t="s">
        <v>704</v>
      </c>
      <c r="D3" t="s">
        <v>703</v>
      </c>
      <c r="E3" t="s">
        <v>270</v>
      </c>
      <c r="F3">
        <v>1</v>
      </c>
      <c r="G3">
        <v>3</v>
      </c>
    </row>
    <row r="4" spans="1:7" x14ac:dyDescent="0.35">
      <c r="A4">
        <v>3</v>
      </c>
      <c r="B4">
        <f>B3+1</f>
        <v>3</v>
      </c>
      <c r="C4" t="s">
        <v>1192</v>
      </c>
      <c r="D4" t="s">
        <v>1193</v>
      </c>
      <c r="E4" t="s">
        <v>270</v>
      </c>
      <c r="F4">
        <v>3</v>
      </c>
      <c r="G4">
        <v>1</v>
      </c>
    </row>
    <row r="5" spans="1:7" x14ac:dyDescent="0.35">
      <c r="A5">
        <v>3</v>
      </c>
      <c r="B5">
        <f t="shared" ref="B5:B12" si="0">B4+1</f>
        <v>4</v>
      </c>
      <c r="C5" t="s">
        <v>1192</v>
      </c>
      <c r="D5" t="s">
        <v>1194</v>
      </c>
      <c r="E5" t="s">
        <v>278</v>
      </c>
      <c r="F5">
        <v>0</v>
      </c>
      <c r="G5">
        <v>1</v>
      </c>
    </row>
    <row r="6" spans="1:7" x14ac:dyDescent="0.35">
      <c r="A6">
        <v>3</v>
      </c>
      <c r="B6">
        <f t="shared" si="0"/>
        <v>5</v>
      </c>
      <c r="C6" t="s">
        <v>706</v>
      </c>
      <c r="D6" t="s">
        <v>705</v>
      </c>
      <c r="E6" t="s">
        <v>257</v>
      </c>
      <c r="F6" s="11">
        <v>5</v>
      </c>
      <c r="G6">
        <v>1</v>
      </c>
    </row>
    <row r="7" spans="1:7" x14ac:dyDescent="0.35">
      <c r="A7">
        <v>3</v>
      </c>
      <c r="B7">
        <f t="shared" si="0"/>
        <v>6</v>
      </c>
      <c r="C7" t="s">
        <v>709</v>
      </c>
      <c r="D7" t="s">
        <v>707</v>
      </c>
      <c r="E7" t="s">
        <v>257</v>
      </c>
      <c r="F7" s="11">
        <v>2</v>
      </c>
      <c r="G7">
        <v>1</v>
      </c>
    </row>
    <row r="8" spans="1:7" x14ac:dyDescent="0.35">
      <c r="A8">
        <v>3</v>
      </c>
      <c r="B8">
        <f t="shared" si="0"/>
        <v>7</v>
      </c>
      <c r="C8" t="s">
        <v>709</v>
      </c>
      <c r="D8" t="s">
        <v>708</v>
      </c>
      <c r="E8" t="s">
        <v>257</v>
      </c>
      <c r="F8">
        <v>3</v>
      </c>
      <c r="G8">
        <v>1</v>
      </c>
    </row>
    <row r="9" spans="1:7" x14ac:dyDescent="0.35">
      <c r="A9">
        <v>3</v>
      </c>
      <c r="B9">
        <f t="shared" si="0"/>
        <v>8</v>
      </c>
      <c r="C9" t="s">
        <v>711</v>
      </c>
      <c r="D9" t="s">
        <v>710</v>
      </c>
      <c r="E9" t="s">
        <v>257</v>
      </c>
      <c r="F9" s="11">
        <v>3</v>
      </c>
      <c r="G9">
        <v>1</v>
      </c>
    </row>
    <row r="10" spans="1:7" x14ac:dyDescent="0.35">
      <c r="A10">
        <v>3</v>
      </c>
      <c r="B10">
        <f t="shared" si="0"/>
        <v>9</v>
      </c>
      <c r="C10" t="s">
        <v>713</v>
      </c>
      <c r="D10" t="s">
        <v>712</v>
      </c>
      <c r="E10" t="s">
        <v>257</v>
      </c>
      <c r="F10" s="11">
        <v>3</v>
      </c>
      <c r="G10">
        <v>2</v>
      </c>
    </row>
    <row r="11" spans="1:7" x14ac:dyDescent="0.35">
      <c r="A11">
        <v>3</v>
      </c>
      <c r="B11">
        <f t="shared" si="0"/>
        <v>10</v>
      </c>
      <c r="C11" t="s">
        <v>716</v>
      </c>
      <c r="D11" t="s">
        <v>715</v>
      </c>
      <c r="E11" t="s">
        <v>257</v>
      </c>
      <c r="F11" s="11">
        <v>3</v>
      </c>
      <c r="G11">
        <v>2</v>
      </c>
    </row>
    <row r="12" spans="1:7" x14ac:dyDescent="0.35">
      <c r="A12">
        <v>3</v>
      </c>
      <c r="B12">
        <f t="shared" si="0"/>
        <v>11</v>
      </c>
      <c r="C12" t="s">
        <v>718</v>
      </c>
      <c r="D12" t="s">
        <v>717</v>
      </c>
      <c r="E12" t="s">
        <v>270</v>
      </c>
      <c r="F12">
        <v>1</v>
      </c>
      <c r="G12">
        <v>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A5966-04AC-4A10-BC8C-4F57C353447A}">
  <sheetPr>
    <tabColor rgb="FFFFC000"/>
  </sheetPr>
  <dimension ref="A1:G10"/>
  <sheetViews>
    <sheetView workbookViewId="0">
      <selection sqref="A1:B1"/>
    </sheetView>
  </sheetViews>
  <sheetFormatPr defaultRowHeight="14.5" x14ac:dyDescent="0.35"/>
  <cols>
    <col min="1" max="1" width="4.36328125" style="12" customWidth="1"/>
    <col min="2" max="2" width="5.7265625" style="12" customWidth="1"/>
    <col min="3" max="3" width="18.26953125" style="12" customWidth="1"/>
    <col min="4" max="16384" width="8.7265625" style="12"/>
  </cols>
  <sheetData>
    <row r="1" spans="1:7" x14ac:dyDescent="0.35">
      <c r="A1" s="13" t="s">
        <v>1111</v>
      </c>
      <c r="B1" s="13" t="s">
        <v>1434</v>
      </c>
      <c r="C1" s="14" t="s">
        <v>7</v>
      </c>
      <c r="D1" s="14" t="s">
        <v>222</v>
      </c>
      <c r="E1" s="14" t="s">
        <v>223</v>
      </c>
      <c r="F1" s="14" t="s">
        <v>224</v>
      </c>
      <c r="G1" s="14" t="s">
        <v>225</v>
      </c>
    </row>
    <row r="2" spans="1:7" x14ac:dyDescent="0.35">
      <c r="A2" s="12">
        <v>4</v>
      </c>
      <c r="B2" s="12">
        <v>1</v>
      </c>
      <c r="C2" s="12" t="s">
        <v>418</v>
      </c>
      <c r="D2" s="12" t="s">
        <v>417</v>
      </c>
      <c r="E2" s="12" t="s">
        <v>278</v>
      </c>
      <c r="F2" s="12">
        <v>0</v>
      </c>
      <c r="G2" s="12">
        <v>3</v>
      </c>
    </row>
    <row r="3" spans="1:7" x14ac:dyDescent="0.35">
      <c r="A3" s="12">
        <v>4</v>
      </c>
      <c r="B3" s="12">
        <v>2</v>
      </c>
      <c r="C3" s="12" t="s">
        <v>420</v>
      </c>
      <c r="D3" s="12" t="s">
        <v>419</v>
      </c>
      <c r="E3" s="12" t="s">
        <v>273</v>
      </c>
      <c r="F3" s="12">
        <v>0</v>
      </c>
      <c r="G3" s="12">
        <v>1</v>
      </c>
    </row>
    <row r="4" spans="1:7" x14ac:dyDescent="0.35">
      <c r="A4" s="12">
        <v>4</v>
      </c>
      <c r="B4" s="12">
        <v>3</v>
      </c>
      <c r="C4" s="12" t="s">
        <v>1197</v>
      </c>
      <c r="D4" s="12" t="s">
        <v>421</v>
      </c>
      <c r="E4" s="12" t="s">
        <v>273</v>
      </c>
      <c r="F4" s="12">
        <v>0</v>
      </c>
      <c r="G4" s="12">
        <v>1</v>
      </c>
    </row>
    <row r="5" spans="1:7" x14ac:dyDescent="0.35">
      <c r="A5" s="12">
        <v>4</v>
      </c>
      <c r="B5" s="12">
        <v>4</v>
      </c>
      <c r="C5" s="12" t="s">
        <v>1196</v>
      </c>
      <c r="D5" s="12" t="s">
        <v>422</v>
      </c>
      <c r="E5" s="12" t="s">
        <v>273</v>
      </c>
      <c r="F5" s="12">
        <v>0</v>
      </c>
      <c r="G5" s="12">
        <v>1</v>
      </c>
    </row>
    <row r="6" spans="1:7" x14ac:dyDescent="0.35">
      <c r="A6" s="12">
        <v>4</v>
      </c>
      <c r="B6" s="12">
        <v>5</v>
      </c>
      <c r="C6" s="12" t="s">
        <v>424</v>
      </c>
      <c r="D6" s="12" t="s">
        <v>423</v>
      </c>
      <c r="E6" s="12" t="s">
        <v>270</v>
      </c>
      <c r="F6" s="12">
        <v>1</v>
      </c>
      <c r="G6" s="12">
        <v>1</v>
      </c>
    </row>
    <row r="7" spans="1:7" x14ac:dyDescent="0.35">
      <c r="A7" s="12">
        <v>4</v>
      </c>
      <c r="B7" s="12">
        <v>6</v>
      </c>
      <c r="C7" s="12" t="s">
        <v>426</v>
      </c>
      <c r="D7" s="12" t="s">
        <v>425</v>
      </c>
      <c r="E7" s="12" t="s">
        <v>270</v>
      </c>
      <c r="F7" s="12">
        <v>3</v>
      </c>
      <c r="G7" s="12">
        <v>3</v>
      </c>
    </row>
    <row r="8" spans="1:7" x14ac:dyDescent="0.35">
      <c r="A8" s="12">
        <v>4</v>
      </c>
      <c r="B8" s="12">
        <v>7</v>
      </c>
      <c r="C8" s="12" t="s">
        <v>426</v>
      </c>
      <c r="D8" s="12" t="s">
        <v>427</v>
      </c>
      <c r="E8" s="12" t="s">
        <v>270</v>
      </c>
      <c r="F8" s="12">
        <v>3</v>
      </c>
      <c r="G8" s="12">
        <v>3</v>
      </c>
    </row>
    <row r="9" spans="1:7" x14ac:dyDescent="0.35">
      <c r="A9" s="12">
        <v>4</v>
      </c>
      <c r="B9" s="12">
        <v>8</v>
      </c>
      <c r="C9" s="12" t="s">
        <v>429</v>
      </c>
      <c r="D9" s="12" t="s">
        <v>428</v>
      </c>
      <c r="E9" s="12" t="s">
        <v>273</v>
      </c>
      <c r="F9" s="12">
        <v>0</v>
      </c>
      <c r="G9" s="12">
        <v>1</v>
      </c>
    </row>
    <row r="10" spans="1:7" x14ac:dyDescent="0.35">
      <c r="A10" s="12">
        <v>4</v>
      </c>
      <c r="B10" s="12">
        <v>9</v>
      </c>
      <c r="C10" s="12" t="s">
        <v>431</v>
      </c>
      <c r="D10" s="12" t="s">
        <v>430</v>
      </c>
      <c r="E10" s="12" t="s">
        <v>257</v>
      </c>
      <c r="F10" s="12">
        <v>5</v>
      </c>
      <c r="G10" s="12">
        <v>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F11CE-81FF-466E-9ED0-D5C3C62BCFE4}">
  <sheetPr>
    <tabColor rgb="FFFFC000"/>
  </sheetPr>
  <dimension ref="A1:H17"/>
  <sheetViews>
    <sheetView workbookViewId="0">
      <selection sqref="A1:B1"/>
    </sheetView>
  </sheetViews>
  <sheetFormatPr defaultRowHeight="14.5" x14ac:dyDescent="0.35"/>
  <cols>
    <col min="1" max="1" width="5" customWidth="1"/>
    <col min="2" max="2" width="5.1796875" customWidth="1"/>
    <col min="3" max="3" width="46.81640625" customWidth="1"/>
    <col min="4" max="4" width="20.7265625" customWidth="1"/>
  </cols>
  <sheetData>
    <row r="1" spans="1:8" x14ac:dyDescent="0.35">
      <c r="A1" s="13" t="s">
        <v>1111</v>
      </c>
      <c r="B1" s="13" t="s">
        <v>1434</v>
      </c>
      <c r="C1" s="2" t="s">
        <v>7</v>
      </c>
      <c r="D1" s="2" t="s">
        <v>222</v>
      </c>
      <c r="E1" s="2" t="s">
        <v>223</v>
      </c>
      <c r="F1" s="2" t="s">
        <v>224</v>
      </c>
      <c r="G1" s="2" t="s">
        <v>225</v>
      </c>
      <c r="H1" s="2"/>
    </row>
    <row r="2" spans="1:8" x14ac:dyDescent="0.35">
      <c r="A2">
        <v>5</v>
      </c>
      <c r="B2">
        <v>1</v>
      </c>
      <c r="C2" t="s">
        <v>961</v>
      </c>
      <c r="D2" t="s">
        <v>1198</v>
      </c>
      <c r="E2" t="s">
        <v>257</v>
      </c>
      <c r="F2">
        <v>2</v>
      </c>
      <c r="G2">
        <v>3</v>
      </c>
    </row>
    <row r="3" spans="1:8" x14ac:dyDescent="0.35">
      <c r="A3">
        <v>5</v>
      </c>
      <c r="B3">
        <f>B2+1</f>
        <v>2</v>
      </c>
      <c r="C3" t="s">
        <v>962</v>
      </c>
      <c r="D3" t="s">
        <v>979</v>
      </c>
      <c r="E3" t="s">
        <v>257</v>
      </c>
      <c r="F3">
        <v>5</v>
      </c>
      <c r="G3">
        <v>2</v>
      </c>
    </row>
    <row r="4" spans="1:8" x14ac:dyDescent="0.35">
      <c r="A4">
        <v>5</v>
      </c>
      <c r="B4">
        <f t="shared" ref="B4:B17" si="0">B3+1</f>
        <v>3</v>
      </c>
      <c r="C4" t="s">
        <v>962</v>
      </c>
      <c r="D4" t="s">
        <v>978</v>
      </c>
      <c r="E4" t="s">
        <v>270</v>
      </c>
      <c r="F4">
        <v>3</v>
      </c>
      <c r="G4">
        <v>3</v>
      </c>
    </row>
    <row r="5" spans="1:8" x14ac:dyDescent="0.35">
      <c r="A5">
        <v>5</v>
      </c>
      <c r="B5">
        <f t="shared" si="0"/>
        <v>4</v>
      </c>
      <c r="C5" t="s">
        <v>962</v>
      </c>
      <c r="D5" t="s">
        <v>980</v>
      </c>
      <c r="E5" t="s">
        <v>190</v>
      </c>
      <c r="F5">
        <v>1</v>
      </c>
      <c r="G5">
        <v>1</v>
      </c>
    </row>
    <row r="6" spans="1:8" x14ac:dyDescent="0.35">
      <c r="A6">
        <v>5</v>
      </c>
      <c r="B6">
        <f t="shared" si="0"/>
        <v>5</v>
      </c>
      <c r="C6" t="s">
        <v>1199</v>
      </c>
      <c r="D6" t="s">
        <v>973</v>
      </c>
      <c r="E6" t="s">
        <v>190</v>
      </c>
      <c r="F6">
        <v>3</v>
      </c>
      <c r="G6">
        <v>2</v>
      </c>
    </row>
    <row r="7" spans="1:8" x14ac:dyDescent="0.35">
      <c r="A7">
        <v>5</v>
      </c>
      <c r="B7">
        <f t="shared" si="0"/>
        <v>6</v>
      </c>
      <c r="C7" t="s">
        <v>1200</v>
      </c>
      <c r="D7" t="s">
        <v>981</v>
      </c>
      <c r="E7" t="s">
        <v>257</v>
      </c>
      <c r="F7">
        <v>2</v>
      </c>
      <c r="G7">
        <v>2</v>
      </c>
    </row>
    <row r="8" spans="1:8" x14ac:dyDescent="0.35">
      <c r="A8">
        <v>5</v>
      </c>
      <c r="B8">
        <f t="shared" si="0"/>
        <v>7</v>
      </c>
      <c r="C8" t="s">
        <v>963</v>
      </c>
      <c r="D8" t="s">
        <v>982</v>
      </c>
      <c r="E8" t="s">
        <v>273</v>
      </c>
      <c r="F8">
        <v>0</v>
      </c>
      <c r="G8">
        <v>1</v>
      </c>
    </row>
    <row r="9" spans="1:8" x14ac:dyDescent="0.35">
      <c r="A9">
        <v>5</v>
      </c>
      <c r="B9">
        <f t="shared" si="0"/>
        <v>8</v>
      </c>
      <c r="C9" t="s">
        <v>964</v>
      </c>
      <c r="D9" t="s">
        <v>974</v>
      </c>
      <c r="E9" t="s">
        <v>257</v>
      </c>
      <c r="F9">
        <v>1</v>
      </c>
      <c r="G9">
        <v>2</v>
      </c>
    </row>
    <row r="10" spans="1:8" x14ac:dyDescent="0.35">
      <c r="A10">
        <v>5</v>
      </c>
      <c r="B10">
        <f t="shared" si="0"/>
        <v>9</v>
      </c>
      <c r="C10" t="s">
        <v>964</v>
      </c>
      <c r="D10" t="s">
        <v>983</v>
      </c>
      <c r="E10" t="s">
        <v>278</v>
      </c>
      <c r="F10">
        <v>0</v>
      </c>
      <c r="G10">
        <v>5</v>
      </c>
    </row>
    <row r="11" spans="1:8" x14ac:dyDescent="0.35">
      <c r="A11">
        <v>5</v>
      </c>
      <c r="B11">
        <f t="shared" si="0"/>
        <v>10</v>
      </c>
      <c r="C11" t="s">
        <v>965</v>
      </c>
      <c r="D11" t="s">
        <v>975</v>
      </c>
      <c r="E11" t="s">
        <v>257</v>
      </c>
      <c r="F11">
        <v>5</v>
      </c>
      <c r="G11">
        <v>2</v>
      </c>
    </row>
    <row r="12" spans="1:8" x14ac:dyDescent="0.35">
      <c r="A12">
        <v>5</v>
      </c>
      <c r="B12">
        <f t="shared" si="0"/>
        <v>11</v>
      </c>
      <c r="C12" t="s">
        <v>966</v>
      </c>
      <c r="D12" t="s">
        <v>984</v>
      </c>
      <c r="E12" t="s">
        <v>257</v>
      </c>
      <c r="F12">
        <v>1</v>
      </c>
      <c r="G12">
        <v>1</v>
      </c>
    </row>
    <row r="13" spans="1:8" x14ac:dyDescent="0.35">
      <c r="A13">
        <v>5</v>
      </c>
      <c r="B13">
        <f t="shared" si="0"/>
        <v>12</v>
      </c>
      <c r="C13" t="s">
        <v>966</v>
      </c>
      <c r="D13" t="s">
        <v>985</v>
      </c>
      <c r="E13" t="s">
        <v>190</v>
      </c>
      <c r="F13">
        <v>3</v>
      </c>
      <c r="G13">
        <v>2</v>
      </c>
    </row>
    <row r="14" spans="1:8" x14ac:dyDescent="0.35">
      <c r="A14">
        <v>5</v>
      </c>
      <c r="B14">
        <f t="shared" si="0"/>
        <v>13</v>
      </c>
      <c r="C14" t="s">
        <v>967</v>
      </c>
      <c r="D14" t="s">
        <v>976</v>
      </c>
      <c r="E14" t="s">
        <v>270</v>
      </c>
      <c r="F14">
        <v>3</v>
      </c>
      <c r="G14">
        <v>1</v>
      </c>
    </row>
    <row r="15" spans="1:8" x14ac:dyDescent="0.35">
      <c r="A15">
        <v>5</v>
      </c>
      <c r="B15">
        <f t="shared" si="0"/>
        <v>14</v>
      </c>
      <c r="C15" t="s">
        <v>968</v>
      </c>
      <c r="D15" t="s">
        <v>987</v>
      </c>
      <c r="E15" t="s">
        <v>190</v>
      </c>
      <c r="F15">
        <v>3</v>
      </c>
      <c r="G15">
        <v>2</v>
      </c>
    </row>
    <row r="16" spans="1:8" x14ac:dyDescent="0.35">
      <c r="A16">
        <v>5</v>
      </c>
      <c r="B16">
        <f t="shared" si="0"/>
        <v>15</v>
      </c>
      <c r="C16" t="s">
        <v>969</v>
      </c>
      <c r="D16" t="s">
        <v>977</v>
      </c>
      <c r="E16" t="s">
        <v>190</v>
      </c>
      <c r="F16">
        <v>2</v>
      </c>
      <c r="G16">
        <v>1</v>
      </c>
    </row>
    <row r="17" spans="1:7" x14ac:dyDescent="0.35">
      <c r="A17">
        <v>5</v>
      </c>
      <c r="B17">
        <f t="shared" si="0"/>
        <v>16</v>
      </c>
      <c r="C17" t="s">
        <v>969</v>
      </c>
      <c r="D17" t="s">
        <v>986</v>
      </c>
      <c r="E17" t="s">
        <v>270</v>
      </c>
      <c r="F17">
        <v>3</v>
      </c>
      <c r="G17">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Articles included (ID)</vt:lpstr>
      <vt:lpstr>Themes, subthemes, topics</vt:lpstr>
      <vt:lpstr>Full data set</vt:lpstr>
      <vt:lpstr>Statistics_Occurencies</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Sheet5</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Lieke Hüsken</dc:creator>
  <cp:lastModifiedBy>Lieke Hüsken</cp:lastModifiedBy>
  <dcterms:created xsi:type="dcterms:W3CDTF">2024-01-03T15:13:25Z</dcterms:created>
  <dcterms:modified xsi:type="dcterms:W3CDTF">2024-09-18T15:17:48Z</dcterms:modified>
</cp:coreProperties>
</file>